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5.xml" ContentType="application/vnd.openxmlformats-officedocument.spreadsheetml.comments+xml"/>
  <Override PartName="/xl/charts/chart1.xml" ContentType="application/vnd.openxmlformats-officedocument.drawingml.chart+xml"/>
  <Override PartName="/xl/externalLinks/_rels/externalLink1.xml.rels" ContentType="application/vnd.openxmlformats-package.relationships+xml"/>
  <Override PartName="/xl/externalLinks/externalLink1.xml" ContentType="application/vnd.openxmlformats-officedocument.spreadsheetml.externalLink+xml"/>
  <Override PartName="/xl/workbook.xml" ContentType="application/vnd.openxmlformats-officedocument.spreadsheetml.sheet.main+xml"/>
  <Override PartName="/xl/comments7.xml" ContentType="application/vnd.openxmlformats-officedocument.spreadsheetml.comments+xml"/>
  <Override PartName="/xl/comments3.xml" ContentType="application/vnd.openxmlformats-officedocument.spreadsheetml.comments+xml"/>
  <Override PartName="/xl/styles.xml" ContentType="application/vnd.openxmlformats-officedocument.spreadsheetml.styles+xml"/>
  <Override PartName="/xl/worksheets/_rels/sheet14.xml.rels" ContentType="application/vnd.openxmlformats-package.relationships+xml"/>
  <Override PartName="/xl/worksheets/_rels/sheet8.xml.rels" ContentType="application/vnd.openxmlformats-package.relationships+xml"/>
  <Override PartName="/xl/worksheets/_rels/sheet13.xml.rels" ContentType="application/vnd.openxmlformats-package.relationships+xml"/>
  <Override PartName="/xl/worksheets/_rels/sheet7.xml.rels" ContentType="application/vnd.openxmlformats-package.relationships+xml"/>
  <Override PartName="/xl/worksheets/_rels/sheet12.xml.rels" ContentType="application/vnd.openxmlformats-package.relationships+xml"/>
  <Override PartName="/xl/worksheets/_rels/sheet11.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10.xml.rels" ContentType="application/vnd.openxmlformats-package.relationships+xml"/>
  <Override PartName="/xl/worksheets/_rels/sheet22.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3.xml.rels" ContentType="application/vnd.openxmlformats-package.relationships+xml"/>
  <Override PartName="/xl/worksheets/_rels/sheet21.xml.rels" ContentType="application/vnd.openxmlformats-package.relationships+xml"/>
  <Override PartName="/xl/worksheets/_rels/sheet19.xml.rels" ContentType="application/vnd.openxmlformats-package.relationships+xml"/>
  <Override PartName="/xl/worksheets/_rels/sheet20.xml.rels" ContentType="application/vnd.openxmlformats-package.relationships+xml"/>
  <Override PartName="/xl/worksheets/_rels/sheet18.xml.rels" ContentType="application/vnd.openxmlformats-package.relationships+xml"/>
  <Override PartName="/xl/worksheets/_rels/sheet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24.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omments18.xml" ContentType="application/vnd.openxmlformats-officedocument.spreadsheetml.comments+xml"/>
  <Override PartName="/xl/theme/theme1.xml" ContentType="application/vnd.openxmlformats-officedocument.theme+xml"/>
  <Override PartName="/xl/comments20.xml" ContentType="application/vnd.openxmlformats-officedocument.spreadsheetml.comments+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15.xml" ContentType="application/vnd.ms-excel.controlproperties+xml"/>
  <Override PartName="/xl/ctrlProps/ctrlProps7.xml" ContentType="application/vnd.ms-excel.controlproperties+xml"/>
  <Override PartName="/xl/ctrlProps/ctrlProps8.xml" ContentType="application/vnd.ms-excel.controlproperties+xml"/>
  <Override PartName="/xl/ctrlProps/ctrlProps10.xml" ContentType="application/vnd.ms-excel.controlproperties+xml"/>
  <Override PartName="/xl/drawings/vmlDrawing5.vml" ContentType="application/vnd.openxmlformats-officedocument.vmlDrawing"/>
  <Override PartName="/xl/drawings/drawing14.xml" ContentType="application/vnd.openxmlformats-officedocument.drawing+xml"/>
  <Override PartName="/xl/drawings/vmlDrawing4.vml" ContentType="application/vnd.openxmlformats-officedocument.vmlDrawing"/>
  <Override PartName="/xl/drawings/drawing11.xml" ContentType="application/vnd.openxmlformats-officedocument.drawing+xml"/>
  <Override PartName="/xl/drawings/vmlDrawing1.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3.vml" ContentType="application/vnd.openxmlformats-officedocument.vmlDrawing"/>
  <Override PartName="/xl/drawings/drawing25.xml" ContentType="application/vnd.openxmlformats-officedocument.drawing+xml"/>
  <Override PartName="/xl/drawings/drawing24.xml" ContentType="application/vnd.openxmlformats-officedocument.drawing+xml"/>
  <Override PartName="/xl/drawings/drawing23.xml" ContentType="application/vnd.openxmlformats-officedocument.drawing+xml"/>
  <Override PartName="/xl/drawings/drawing22.xml" ContentType="application/vnd.openxmlformats-officedocument.drawing+xml"/>
  <Override PartName="/xl/drawings/drawing21.xml" ContentType="application/vnd.openxmlformats-officedocument.drawing+xml"/>
  <Override PartName="/xl/drawings/drawing19.xml" ContentType="application/vnd.openxmlformats-officedocument.drawing+xml"/>
  <Override PartName="/xl/drawings/drawing1.xml" ContentType="application/vnd.openxmlformats-officedocument.drawing+xml"/>
  <Override PartName="/xl/drawings/drawing9.xml" ContentType="application/vnd.openxmlformats-officedocument.drawing+xml"/>
  <Override PartName="/xl/drawings/drawing18.xml" ContentType="application/vnd.openxmlformats-officedocument.drawing+xml"/>
  <Override PartName="/xl/drawings/drawing20.xml" ContentType="application/vnd.openxmlformats-officedocument.drawing+xml"/>
  <Override PartName="/xl/drawings/vmlDrawing6.vml" ContentType="application/vnd.openxmlformats-officedocument.vmlDrawing"/>
  <Override PartName="/xl/drawings/drawing16.xml" ContentType="application/vnd.openxmlformats-officedocument.drawing+xml"/>
  <Override PartName="/xl/drawings/_rels/drawing25.xml.rels" ContentType="application/vnd.openxmlformats-package.relationships+xml"/>
  <Override PartName="/xl/drawings/vmlDrawing2.vml" ContentType="application/vnd.openxmlformats-officedocument.vmlDrawing"/>
  <Override PartName="/xl/drawings/vmlDrawing7.vml" ContentType="application/vnd.openxmlformats-officedocument.vmlDrawing"/>
  <Override PartName="/xl/drawings/drawing17.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ront" sheetId="1" state="visible" r:id="rId3"/>
    <sheet name="NewDeals" sheetId="2" state="visible" r:id="rId4"/>
    <sheet name="Report" sheetId="3" state="visible" r:id="rId5"/>
    <sheet name="PL by Trader" sheetId="4" state="visible" r:id="rId6"/>
    <sheet name="PriceAlberta" sheetId="5" state="visible" r:id="rId7"/>
    <sheet name="AlbertaIndex" sheetId="6" state="visible" r:id="rId8"/>
    <sheet name="PriceBC" sheetId="7" state="visible" r:id="rId9"/>
    <sheet name="BCIndex" sheetId="8" state="visible" r:id="rId10"/>
    <sheet name="PriceEOL" sheetId="9" state="visible" r:id="rId11"/>
    <sheet name="EOLIndex" sheetId="10" state="visible" r:id="rId12"/>
    <sheet name="Options" sheetId="11" state="visible" r:id="rId13"/>
    <sheet name="OptionsIndex" sheetId="12" state="visible" r:id="rId14"/>
    <sheet name="Straddle" sheetId="13" state="visible" r:id="rId15"/>
    <sheet name="OptionsProp" sheetId="14" state="visible" r:id="rId16"/>
    <sheet name="SpotRates" sheetId="15" state="visible" r:id="rId17"/>
    <sheet name="TollExpl" sheetId="16" state="visible" r:id="rId18"/>
    <sheet name="PrudExpl" sheetId="17" state="visible" r:id="rId19"/>
    <sheet name="PrudCalc" sheetId="18" state="visible" r:id="rId20"/>
    <sheet name="US $" sheetId="19" state="visible" r:id="rId21"/>
    <sheet name="Orig Sched" sheetId="20" state="visible" r:id="rId22"/>
    <sheet name="Price - East " sheetId="21" state="visible" r:id="rId23"/>
    <sheet name="Chart1" sheetId="22" state="visible" r:id="rId24"/>
    <sheet name="PrintModule" sheetId="23" state="hidden" r:id="rId25"/>
    <sheet name="Module1" sheetId="24" state="hidden" r:id="rId26"/>
  </sheets>
  <externalReferences>
    <externalReference r:id="rId27"/>
  </externalReferences>
  <definedNames>
    <definedName function="false" hidden="false" localSheetId="5" name="_xlnm.Print_Titles" vbProcedure="false">AlbertaIndex!$1:$7</definedName>
    <definedName function="false" hidden="false" localSheetId="7" name="_xlnm.Print_Titles" vbProcedure="false">BCIndex!$1:$7</definedName>
    <definedName function="false" hidden="false" localSheetId="9" name="_xlnm.Print_Area" vbProcedure="false">EOLIndex!$A$6:$R$39</definedName>
    <definedName function="false" hidden="false" localSheetId="9" name="_xlnm.Print_Titles" vbProcedure="false">EOLIndex!$1:$5</definedName>
    <definedName function="false" hidden="false" localSheetId="1" name="_xlnm.Print_Area" vbProcedure="false">NewDeals!$A$1:$I$39</definedName>
    <definedName function="false" hidden="false" localSheetId="10" name="_xlnm.Print_Area" vbProcedure="false">Options!$A$6:$R$39</definedName>
    <definedName function="false" hidden="false" localSheetId="10" name="_xlnm.Print_Titles" vbProcedure="false">Options!$1:$5</definedName>
    <definedName function="false" hidden="false" localSheetId="11" name="_xlnm.Print_Area" vbProcedure="false">OptionsIndex!$A$6:$R$39</definedName>
    <definedName function="false" hidden="false" localSheetId="11" name="_xlnm.Print_Titles" vbProcedure="false">OptionsIndex!$1:$5</definedName>
    <definedName function="false" hidden="false" localSheetId="13" name="_xlnm.Print_Area" vbProcedure="false">OptionsProp!$A$6:$R$39</definedName>
    <definedName function="false" hidden="false" localSheetId="13" name="_xlnm.Print_Titles" vbProcedure="false">OptionsProp!$1:$5</definedName>
    <definedName function="false" hidden="false" localSheetId="19" name="_xlnm.Print_Area" vbProcedure="false">'Orig Sched'!$A$5:$Q$181</definedName>
    <definedName function="false" hidden="false" localSheetId="19" name="_xlnm.Print_Titles" vbProcedure="false">'Orig Sched'!$1:$7</definedName>
    <definedName function="false" hidden="false" localSheetId="3" name="_xlnm.Print_Area" vbProcedure="false">'PL by Trader'!$A$1:$K$102</definedName>
    <definedName function="false" hidden="false" localSheetId="20" name="_xlnm.Print_Area" vbProcedure="false">'Price - East '!$A$1:$AC$71</definedName>
    <definedName function="false" hidden="false" localSheetId="20" name="_xlnm.Print_Titles" vbProcedure="false">'Price - East '!$1:$7</definedName>
    <definedName function="false" hidden="false" localSheetId="4" name="_xlnm.Print_Area" vbProcedure="false">PriceAlberta!$A$1:$K$71</definedName>
    <definedName function="false" hidden="false" localSheetId="4" name="_xlnm.Print_Titles" vbProcedure="false">PriceAlberta!$1:$7</definedName>
    <definedName function="false" hidden="false" localSheetId="6" name="_xlnm.Print_Area" vbProcedure="false">PriceBC!$A$1:$K$71</definedName>
    <definedName function="false" hidden="false" localSheetId="6" name="_xlnm.Print_Titles" vbProcedure="false">PriceBC!$1:$7</definedName>
    <definedName function="false" hidden="false" localSheetId="8" name="_xlnm.Print_Area" vbProcedure="false">PriceEOL!$A$6:$R$39</definedName>
    <definedName function="false" hidden="false" localSheetId="8" name="_xlnm.Print_Titles" vbProcedure="false">PriceEOL!$1:$7</definedName>
    <definedName function="false" hidden="false" localSheetId="17" name="_xlnm.Print_Area" vbProcedure="false">PrudCalc!$A$1:$AJ$62</definedName>
    <definedName function="false" hidden="false" localSheetId="16" name="_xlnm.Print_Area" vbProcedure="false">PrudExpl!$A$1:$G$23</definedName>
    <definedName function="false" hidden="false" localSheetId="2" name="_xlnm.Print_Area" vbProcedure="false">Report!$A$1:$AE$102</definedName>
    <definedName function="false" hidden="false" localSheetId="14" name="_xlnm.Print_Area" vbProcedure="false">SpotRates!$A$1:$T$67</definedName>
    <definedName function="false" hidden="false" localSheetId="12" name="_xlnm.Print_Area" vbProcedure="false">Straddle!$A$6:$R$39</definedName>
    <definedName function="false" hidden="false" localSheetId="12" name="_xlnm.Print_Titles" vbProcedure="false">Straddle!$1:$5</definedName>
    <definedName function="false" hidden="false" localSheetId="18" name="_xlnm.Print_Area" vbProcedure="false">'US $'!$A$6:$R$39</definedName>
    <definedName function="false" hidden="false" localSheetId="18" name="_xlnm.Print_Titles" vbProcedure="false">'US $'!$1:$7</definedName>
    <definedName function="false" hidden="false" name="DAILY" vbProcedure="false">#REF!</definedName>
    <definedName function="false" hidden="false" name="DTITLE" vbProcedure="false">'Orig Sched'!$T$1:$AN$8</definedName>
    <definedName function="false" hidden="false" name="orignames" vbProcedure="false">'Orig Sched'!$AP$9:$AP$35</definedName>
    <definedName function="false" hidden="false" name="Print_Area_MI" vbProcedure="false">'Orig Sched'!$A$1:$G$8</definedName>
    <definedName function="false" hidden="false" name="Print_Titles_MI" vbProcedure="false">'Orig Sched'!$1:$8</definedName>
    <definedName function="false" hidden="false" name="RANGE" vbProcedure="false">#REF!</definedName>
    <definedName function="false" hidden="false" name="TITLE" vbProcedure="false">'Orig Sched'!$A$1:$O$8</definedName>
    <definedName function="false" hidden="false" name="wrn_RollDetail_" vbProcedure="false">{"BookBal",#N/A,FALSE,"Roll-1";"DailyChange",#N/A,FALSE,"Roll-1";"Schedules",#N/A,FALSE,"Roll-1"}</definedName>
    <definedName function="false" hidden="false" localSheetId="3" name="wrn_RollDetail_" vbProcedure="false">{"BookBal",#N/A,FALSE,"Roll-1";"DailyChange",#N/A,FALSE,"Roll-1";"Schedules",#N/A,FALSE,"Roll-1"}</definedName>
    <definedName function="false" hidden="false" localSheetId="4" name="ACwvu_BookBal_" vbProcedure="false">PriceAlberta!$A$6:$R$40</definedName>
    <definedName function="false" hidden="false" localSheetId="4" name="ACwvu_DailyChange_" vbProcedure="false">PriceAlberta!$A$41:$AG$118</definedName>
    <definedName function="false" hidden="false" localSheetId="4" name="ACwvu_Schedules_" vbProcedure="false">PriceAlberta!$A$121:$M$238</definedName>
    <definedName function="false" hidden="false" localSheetId="4" name="Swvu_BookBal_" vbProcedure="false">PriceAlberta!$A$6:$R$40</definedName>
    <definedName function="false" hidden="false" localSheetId="4" name="Swvu_DailyChange_" vbProcedure="false">PriceAlberta!$A$41:$AG$118</definedName>
    <definedName function="false" hidden="false" localSheetId="4" name="Swvu_Schedules_" vbProcedure="false">PriceAlberta!$A$121:$M$238</definedName>
    <definedName function="false" hidden="false" localSheetId="4"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4"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4"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4" name="Z_00D2C733_B168_11D2_A84F_00805F2505DF__wvu_PrintArea" vbProcedure="false">PriceAlberta!$A$6:$R$39</definedName>
    <definedName function="false" hidden="false" localSheetId="4" name="Z_00D2C733_B168_11D2_A84F_00805F2505DF__wvu_PrintTitles" vbProcedure="false">PriceAlberta!$1:$5</definedName>
    <definedName function="false" hidden="false" localSheetId="4" name="Z_00D2C73C_B168_11D2_A84F_00805F2505DF__wvu_PrintArea" vbProcedure="false">PriceAlberta!$A$40:$AG$118</definedName>
    <definedName function="false" hidden="false" localSheetId="4" name="Z_00D2C73C_B168_11D2_A84F_00805F2505DF__wvu_PrintTitles" vbProcedure="false">PriceAlberta!$1:$5</definedName>
    <definedName function="false" hidden="false" localSheetId="4" name="Z_00D2C745_B168_11D2_A84F_00805F2505DF__wvu_PrintArea" vbProcedure="false">PriceAlberta!$A$120:$M$237</definedName>
    <definedName function="false" hidden="false" localSheetId="4" name="Z_00D2C745_B168_11D2_A84F_00805F2505DF__wvu_PrintTitles" vbProcedure="false">PriceAlberta!$1:$5</definedName>
    <definedName function="false" hidden="false" localSheetId="4" name="Z_0184384A_B93D_11D2_8444_00805F3629DE__wvu_PrintArea" vbProcedure="false">PriceAlberta!$A$6:$R$39</definedName>
    <definedName function="false" hidden="false" localSheetId="4" name="Z_0184384A_B93D_11D2_8444_00805F3629DE__wvu_PrintTitles" vbProcedure="false">PriceAlberta!$1:$5</definedName>
    <definedName function="false" hidden="false" localSheetId="4" name="Z_01843853_B93D_11D2_8444_00805F3629DE__wvu_PrintArea" vbProcedure="false">PriceAlberta!$A$40:$AG$118</definedName>
    <definedName function="false" hidden="false" localSheetId="4" name="Z_01843853_B93D_11D2_8444_00805F3629DE__wvu_PrintTitles" vbProcedure="false">PriceAlberta!$1:$5</definedName>
    <definedName function="false" hidden="false" localSheetId="4" name="Z_0184385C_B93D_11D2_8444_00805F3629DE__wvu_PrintArea" vbProcedure="false">PriceAlberta!$A$120:$M$237</definedName>
    <definedName function="false" hidden="false" localSheetId="4" name="Z_0184385C_B93D_11D2_8444_00805F3629DE__wvu_PrintTitles" vbProcedure="false">PriceAlberta!$1:$5</definedName>
    <definedName function="false" hidden="false" localSheetId="4" name="Z_02448BA3_88FA_11D2_B05A_00104B2CC235__wvu_PrintArea" vbProcedure="false">PriceAlberta!$A$6:$R$39</definedName>
    <definedName function="false" hidden="false" localSheetId="4" name="Z_02448BA3_88FA_11D2_B05A_00104B2CC235__wvu_PrintTitles" vbProcedure="false">PriceAlberta!$1:$5</definedName>
    <definedName function="false" hidden="false" localSheetId="4" name="Z_02448BAC_88FA_11D2_B05A_00104B2CC235__wvu_PrintArea" vbProcedure="false">PriceAlberta!$A$40:$AG$118</definedName>
    <definedName function="false" hidden="false" localSheetId="4" name="Z_02448BAC_88FA_11D2_B05A_00104B2CC235__wvu_PrintTitles" vbProcedure="false">PriceAlberta!$1:$5</definedName>
    <definedName function="false" hidden="false" localSheetId="4" name="Z_02448BB5_88FA_11D2_B05A_00104B2CC235__wvu_PrintArea" vbProcedure="false">PriceAlberta!$A$120:$M$237</definedName>
    <definedName function="false" hidden="false" localSheetId="4" name="Z_02448BB5_88FA_11D2_B05A_00104B2CC235__wvu_PrintTitles" vbProcedure="false">PriceAlberta!$1:$5</definedName>
    <definedName function="false" hidden="false" localSheetId="4" name="Z_0AC5A1F3_9EA7_11D2_A842_00805F2505DF__wvu_PrintArea" vbProcedure="false">PriceAlberta!$A$6:$R$39</definedName>
    <definedName function="false" hidden="false" localSheetId="4" name="Z_0AC5A1F3_9EA7_11D2_A842_00805F2505DF__wvu_PrintTitles" vbProcedure="false">PriceAlberta!$1:$5</definedName>
    <definedName function="false" hidden="false" localSheetId="4" name="Z_0AC5A1FC_9EA7_11D2_A842_00805F2505DF__wvu_PrintArea" vbProcedure="false">PriceAlberta!$A$40:$AG$118</definedName>
    <definedName function="false" hidden="false" localSheetId="4" name="Z_0AC5A1FC_9EA7_11D2_A842_00805F2505DF__wvu_PrintTitles" vbProcedure="false">PriceAlberta!$1:$5</definedName>
    <definedName function="false" hidden="false" localSheetId="4" name="Z_0AC5A205_9EA7_11D2_A842_00805F2505DF__wvu_PrintArea" vbProcedure="false">PriceAlberta!$A$120:$M$237</definedName>
    <definedName function="false" hidden="false" localSheetId="4" name="Z_0AC5A205_9EA7_11D2_A842_00805F2505DF__wvu_PrintTitles" vbProcedure="false">PriceAlberta!$1:$5</definedName>
    <definedName function="false" hidden="false" localSheetId="4" name="Z_37FD7BDA_ABC9_11D2_843C_00805F3629DE__wvu_PrintArea" vbProcedure="false">PriceAlberta!$A$6:$R$39</definedName>
    <definedName function="false" hidden="false" localSheetId="4" name="Z_37FD7BDA_ABC9_11D2_843C_00805F3629DE__wvu_PrintTitles" vbProcedure="false">PriceAlberta!$1:$5</definedName>
    <definedName function="false" hidden="false" localSheetId="4" name="Z_37FD7BE3_ABC9_11D2_843C_00805F3629DE__wvu_PrintArea" vbProcedure="false">PriceAlberta!$A$40:$AG$118</definedName>
    <definedName function="false" hidden="false" localSheetId="4" name="Z_37FD7BE3_ABC9_11D2_843C_00805F3629DE__wvu_PrintTitles" vbProcedure="false">PriceAlberta!$1:$5</definedName>
    <definedName function="false" hidden="false" localSheetId="4" name="Z_37FD7BEC_ABC9_11D2_843C_00805F3629DE__wvu_PrintArea" vbProcedure="false">PriceAlberta!$A$120:$M$237</definedName>
    <definedName function="false" hidden="false" localSheetId="4" name="Z_37FD7BEC_ABC9_11D2_843C_00805F3629DE__wvu_PrintTitles" vbProcedure="false">PriceAlberta!$1:$5</definedName>
    <definedName function="false" hidden="false" localSheetId="4" name="Z_383AC427_A3FF_11D2_A845_00805F2505DF__wvu_PrintArea" vbProcedure="false">PriceAlberta!$A$6:$R$39</definedName>
    <definedName function="false" hidden="false" localSheetId="4" name="Z_383AC427_A3FF_11D2_A845_00805F2505DF__wvu_PrintTitles" vbProcedure="false">PriceAlberta!$1:$5</definedName>
    <definedName function="false" hidden="false" localSheetId="4" name="Z_383AC430_A3FF_11D2_A845_00805F2505DF__wvu_PrintArea" vbProcedure="false">PriceAlberta!$A$40:$AG$118</definedName>
    <definedName function="false" hidden="false" localSheetId="4" name="Z_383AC430_A3FF_11D2_A845_00805F2505DF__wvu_PrintTitles" vbProcedure="false">PriceAlberta!$1:$5</definedName>
    <definedName function="false" hidden="false" localSheetId="4" name="Z_383AC439_A3FF_11D2_A845_00805F2505DF__wvu_PrintArea" vbProcedure="false">PriceAlberta!$A$120:$M$237</definedName>
    <definedName function="false" hidden="false" localSheetId="4" name="Z_383AC439_A3FF_11D2_A845_00805F2505DF__wvu_PrintTitles" vbProcedure="false">PriceAlberta!$1:$5</definedName>
    <definedName function="false" hidden="false" localSheetId="4" name="Z_4398CED3_B092_11D2_A84E_00805F2505DF__wvu_PrintArea" vbProcedure="false">PriceAlberta!$A$6:$R$39</definedName>
    <definedName function="false" hidden="false" localSheetId="4" name="Z_4398CED3_B092_11D2_A84E_00805F2505DF__wvu_PrintTitles" vbProcedure="false">PriceAlberta!$1:$5</definedName>
    <definedName function="false" hidden="false" localSheetId="4" name="Z_4398CEDC_B092_11D2_A84E_00805F2505DF__wvu_PrintArea" vbProcedure="false">PriceAlberta!$A$40:$AG$118</definedName>
    <definedName function="false" hidden="false" localSheetId="4" name="Z_4398CEDC_B092_11D2_A84E_00805F2505DF__wvu_PrintTitles" vbProcedure="false">PriceAlberta!$1:$5</definedName>
    <definedName function="false" hidden="false" localSheetId="4" name="Z_4398CEE5_B092_11D2_A84E_00805F2505DF__wvu_PrintArea" vbProcedure="false">PriceAlberta!$A$120:$M$237</definedName>
    <definedName function="false" hidden="false" localSheetId="4" name="Z_4398CEE5_B092_11D2_A84E_00805F2505DF__wvu_PrintTitles" vbProcedure="false">PriceAlberta!$1:$5</definedName>
    <definedName function="false" hidden="false" localSheetId="4" name="Z_535643BF_B9EE_11D2_A857_00805F2505DF__wvu_PrintArea" vbProcedure="false">PriceAlberta!$A$6:$R$39</definedName>
    <definedName function="false" hidden="false" localSheetId="4" name="Z_535643BF_B9EE_11D2_A857_00805F2505DF__wvu_PrintTitles" vbProcedure="false">PriceAlberta!$1:$5</definedName>
    <definedName function="false" hidden="false" localSheetId="4" name="Z_535643C8_B9EE_11D2_A857_00805F2505DF__wvu_PrintArea" vbProcedure="false">PriceAlberta!$A$40:$AG$118</definedName>
    <definedName function="false" hidden="false" localSheetId="4" name="Z_535643C8_B9EE_11D2_A857_00805F2505DF__wvu_PrintTitles" vbProcedure="false">PriceAlberta!$1:$5</definedName>
    <definedName function="false" hidden="false" localSheetId="4" name="Z_535643D1_B9EE_11D2_A857_00805F2505DF__wvu_PrintArea" vbProcedure="false">PriceAlberta!$A$120:$M$237</definedName>
    <definedName function="false" hidden="false" localSheetId="4" name="Z_535643D1_B9EE_11D2_A857_00805F2505DF__wvu_PrintTitles" vbProcedure="false">PriceAlberta!$1:$5</definedName>
    <definedName function="false" hidden="false" localSheetId="4" name="Z_70785CB9_A4C6_11D2_A845_00805F2505DF__wvu_PrintArea" vbProcedure="false">PriceAlberta!$A$6:$R$39</definedName>
    <definedName function="false" hidden="false" localSheetId="4" name="Z_70785CB9_A4C6_11D2_A845_00805F2505DF__wvu_PrintTitles" vbProcedure="false">PriceAlberta!$1:$5</definedName>
    <definedName function="false" hidden="false" localSheetId="4" name="Z_70785CC2_A4C6_11D2_A845_00805F2505DF__wvu_PrintArea" vbProcedure="false">PriceAlberta!$A$40:$AG$118</definedName>
    <definedName function="false" hidden="false" localSheetId="4" name="Z_70785CC2_A4C6_11D2_A845_00805F2505DF__wvu_PrintTitles" vbProcedure="false">PriceAlberta!$1:$5</definedName>
    <definedName function="false" hidden="false" localSheetId="4" name="Z_70785CCB_A4C6_11D2_A845_00805F2505DF__wvu_PrintArea" vbProcedure="false">PriceAlberta!$A$120:$M$237</definedName>
    <definedName function="false" hidden="false" localSheetId="4" name="Z_70785CCB_A4C6_11D2_A845_00805F2505DF__wvu_PrintTitles" vbProcedure="false">PriceAlberta!$1:$5</definedName>
    <definedName function="false" hidden="false" localSheetId="4" name="Z_76D54FAA_89F3_11D2_B05A_00104B2CC235__wvu_PrintArea" vbProcedure="false">PriceAlberta!$A$6:$R$39</definedName>
    <definedName function="false" hidden="false" localSheetId="4" name="Z_76D54FAA_89F3_11D2_B05A_00104B2CC235__wvu_PrintTitles" vbProcedure="false">PriceAlberta!$1:$5</definedName>
    <definedName function="false" hidden="false" localSheetId="4" name="Z_76D54FB3_89F3_11D2_B05A_00104B2CC235__wvu_PrintArea" vbProcedure="false">PriceAlberta!$A$40:$AG$118</definedName>
    <definedName function="false" hidden="false" localSheetId="4" name="Z_76D54FB3_89F3_11D2_B05A_00104B2CC235__wvu_PrintTitles" vbProcedure="false">PriceAlberta!$1:$5</definedName>
    <definedName function="false" hidden="false" localSheetId="4" name="Z_76D54FBC_89F3_11D2_B05A_00104B2CC235__wvu_PrintArea" vbProcedure="false">PriceAlberta!$A$120:$M$237</definedName>
    <definedName function="false" hidden="false" localSheetId="4" name="Z_76D54FBC_89F3_11D2_B05A_00104B2CC235__wvu_PrintTitles" vbProcedure="false">PriceAlberta!$1:$5</definedName>
    <definedName function="false" hidden="false" localSheetId="4" name="Z_7B7539EF_B7B8_11D2_A856_00805F2505DF__wvu_PrintArea" vbProcedure="false">PriceAlberta!$A$6:$R$39</definedName>
    <definedName function="false" hidden="false" localSheetId="4" name="Z_7B7539EF_B7B8_11D2_A856_00805F2505DF__wvu_PrintTitles" vbProcedure="false">PriceAlberta!$1:$5</definedName>
    <definedName function="false" hidden="false" localSheetId="4" name="Z_7B7539F8_B7B8_11D2_A856_00805F2505DF__wvu_PrintArea" vbProcedure="false">PriceAlberta!$A$40:$AG$118</definedName>
    <definedName function="false" hidden="false" localSheetId="4" name="Z_7B7539F8_B7B8_11D2_A856_00805F2505DF__wvu_PrintTitles" vbProcedure="false">PriceAlberta!$1:$5</definedName>
    <definedName function="false" hidden="false" localSheetId="4" name="Z_7B753A01_B7B8_11D2_A856_00805F2505DF__wvu_PrintArea" vbProcedure="false">PriceAlberta!$A$120:$M$237</definedName>
    <definedName function="false" hidden="false" localSheetId="4" name="Z_7B753A01_B7B8_11D2_A856_00805F2505DF__wvu_PrintTitles" vbProcedure="false">PriceAlberta!$1:$5</definedName>
    <definedName function="false" hidden="false" localSheetId="4" name="Z_7C160643_B226_11D2_A850_00805F2505DF__wvu_PrintArea" vbProcedure="false">PriceAlberta!$A$6:$R$39</definedName>
    <definedName function="false" hidden="false" localSheetId="4" name="Z_7C160643_B226_11D2_A850_00805F2505DF__wvu_PrintTitles" vbProcedure="false">PriceAlberta!$1:$5</definedName>
    <definedName function="false" hidden="false" localSheetId="4" name="Z_7C16064C_B226_11D2_A850_00805F2505DF__wvu_PrintArea" vbProcedure="false">PriceAlberta!$A$40:$AG$118</definedName>
    <definedName function="false" hidden="false" localSheetId="4" name="Z_7C16064C_B226_11D2_A850_00805F2505DF__wvu_PrintTitles" vbProcedure="false">PriceAlberta!$1:$5</definedName>
    <definedName function="false" hidden="false" localSheetId="4" name="Z_7C160655_B226_11D2_A850_00805F2505DF__wvu_PrintArea" vbProcedure="false">PriceAlberta!$A$120:$M$237</definedName>
    <definedName function="false" hidden="false" localSheetId="4" name="Z_7C160655_B226_11D2_A850_00805F2505DF__wvu_PrintTitles" vbProcedure="false">PriceAlberta!$1:$5</definedName>
    <definedName function="false" hidden="false" localSheetId="4" name="Z_8106BDB0_AA5F_11D2_A84B_00805F2505DF__wvu_PrintArea" vbProcedure="false">PriceAlberta!$A$6:$R$39</definedName>
    <definedName function="false" hidden="false" localSheetId="4" name="Z_8106BDB0_AA5F_11D2_A84B_00805F2505DF__wvu_PrintTitles" vbProcedure="false">PriceAlberta!$1:$5</definedName>
    <definedName function="false" hidden="false" localSheetId="4" name="Z_8106BDB9_AA5F_11D2_A84B_00805F2505DF__wvu_PrintArea" vbProcedure="false">PriceAlberta!$A$40:$AG$118</definedName>
    <definedName function="false" hidden="false" localSheetId="4" name="Z_8106BDB9_AA5F_11D2_A84B_00805F2505DF__wvu_PrintTitles" vbProcedure="false">PriceAlberta!$1:$5</definedName>
    <definedName function="false" hidden="false" localSheetId="4" name="Z_8106BDC2_AA5F_11D2_A84B_00805F2505DF__wvu_PrintArea" vbProcedure="false">PriceAlberta!$A$120:$M$237</definedName>
    <definedName function="false" hidden="false" localSheetId="4" name="Z_8106BDC2_AA5F_11D2_A84B_00805F2505DF__wvu_PrintTitles" vbProcedure="false">PriceAlberta!$1:$5</definedName>
    <definedName function="false" hidden="false" localSheetId="4" name="Z_90E3CCE2_A590_11D2_A845_00805F2505DF__wvu_PrintArea" vbProcedure="false">PriceAlberta!$A$6:$R$39</definedName>
    <definedName function="false" hidden="false" localSheetId="4" name="Z_90E3CCE2_A590_11D2_A845_00805F2505DF__wvu_PrintTitles" vbProcedure="false">PriceAlberta!$1:$5</definedName>
    <definedName function="false" hidden="false" localSheetId="4" name="Z_90E3CCEB_A590_11D2_A845_00805F2505DF__wvu_PrintArea" vbProcedure="false">PriceAlberta!$A$40:$AG$118</definedName>
    <definedName function="false" hidden="false" localSheetId="4" name="Z_90E3CCEB_A590_11D2_A845_00805F2505DF__wvu_PrintTitles" vbProcedure="false">PriceAlberta!$1:$5</definedName>
    <definedName function="false" hidden="false" localSheetId="4" name="Z_90E3CCF4_A590_11D2_A845_00805F2505DF__wvu_PrintArea" vbProcedure="false">PriceAlberta!$A$120:$M$237</definedName>
    <definedName function="false" hidden="false" localSheetId="4" name="Z_90E3CCF4_A590_11D2_A845_00805F2505DF__wvu_PrintTitles" vbProcedure="false">PriceAlberta!$1:$5</definedName>
    <definedName function="false" hidden="false" localSheetId="4" name="Z_9F5984A8_ADA0_11D2_A84C_00805F2505DF__wvu_PrintArea" vbProcedure="false">PriceAlberta!$A$6:$R$39</definedName>
    <definedName function="false" hidden="false" localSheetId="4" name="Z_9F5984A8_ADA0_11D2_A84C_00805F2505DF__wvu_PrintTitles" vbProcedure="false">PriceAlberta!$1:$5</definedName>
    <definedName function="false" hidden="false" localSheetId="4" name="Z_9F5984B1_ADA0_11D2_A84C_00805F2505DF__wvu_PrintArea" vbProcedure="false">PriceAlberta!$A$40:$AG$118</definedName>
    <definedName function="false" hidden="false" localSheetId="4" name="Z_9F5984B1_ADA0_11D2_A84C_00805F2505DF__wvu_PrintTitles" vbProcedure="false">PriceAlberta!$1:$5</definedName>
    <definedName function="false" hidden="false" localSheetId="4" name="Z_9F5984BA_ADA0_11D2_A84C_00805F2505DF__wvu_PrintArea" vbProcedure="false">PriceAlberta!$A$120:$M$237</definedName>
    <definedName function="false" hidden="false" localSheetId="4" name="Z_9F5984BA_ADA0_11D2_A84C_00805F2505DF__wvu_PrintTitles" vbProcedure="false">PriceAlberta!$1:$5</definedName>
    <definedName function="false" hidden="false" localSheetId="4" name="Z_AA00244F_B62E_11D2_A853_00805F2505DF__wvu_PrintArea" vbProcedure="false">PriceAlberta!$A$6:$R$39</definedName>
    <definedName function="false" hidden="false" localSheetId="4" name="Z_AA00244F_B62E_11D2_A853_00805F2505DF__wvu_PrintTitles" vbProcedure="false">PriceAlberta!$1:$5</definedName>
    <definedName function="false" hidden="false" localSheetId="4" name="Z_AA002458_B62E_11D2_A853_00805F2505DF__wvu_PrintArea" vbProcedure="false">PriceAlberta!$A$40:$AG$118</definedName>
    <definedName function="false" hidden="false" localSheetId="4" name="Z_AA002458_B62E_11D2_A853_00805F2505DF__wvu_PrintTitles" vbProcedure="false">PriceAlberta!$1:$5</definedName>
    <definedName function="false" hidden="false" localSheetId="4" name="Z_AA002461_B62E_11D2_A853_00805F2505DF__wvu_PrintArea" vbProcedure="false">PriceAlberta!$A$120:$M$237</definedName>
    <definedName function="false" hidden="false" localSheetId="4" name="Z_AA002461_B62E_11D2_A853_00805F2505DF__wvu_PrintTitles" vbProcedure="false">PriceAlberta!$1:$5</definedName>
    <definedName function="false" hidden="false" localSheetId="4" name="Z_AA0024AD_B62E_11D2_A853_00805F2505DF__wvu_PrintArea" vbProcedure="false">PriceAlberta!$A$6:$R$39</definedName>
    <definedName function="false" hidden="false" localSheetId="4" name="Z_AA0024AD_B62E_11D2_A853_00805F2505DF__wvu_PrintTitles" vbProcedure="false">PriceAlberta!$1:$5</definedName>
    <definedName function="false" hidden="false" localSheetId="4" name="Z_AA0024B6_B62E_11D2_A853_00805F2505DF__wvu_PrintArea" vbProcedure="false">PriceAlberta!$A$40:$AG$118</definedName>
    <definedName function="false" hidden="false" localSheetId="4" name="Z_AA0024B6_B62E_11D2_A853_00805F2505DF__wvu_PrintTitles" vbProcedure="false">PriceAlberta!$1:$5</definedName>
    <definedName function="false" hidden="false" localSheetId="4" name="Z_AA0024BF_B62E_11D2_A853_00805F2505DF__wvu_PrintArea" vbProcedure="false">PriceAlberta!$A$120:$M$237</definedName>
    <definedName function="false" hidden="false" localSheetId="4" name="Z_AA0024BF_B62E_11D2_A853_00805F2505DF__wvu_PrintTitles" vbProcedure="false">PriceAlberta!$1:$5</definedName>
    <definedName function="false" hidden="false" localSheetId="4" name="Z_B2298A94_9F4B_11D2_A842_00805F2505DF__wvu_PrintArea" vbProcedure="false">PriceAlberta!$A$6:$R$39</definedName>
    <definedName function="false" hidden="false" localSheetId="4" name="Z_B2298A94_9F4B_11D2_A842_00805F2505DF__wvu_PrintTitles" vbProcedure="false">PriceAlberta!$1:$5</definedName>
    <definedName function="false" hidden="false" localSheetId="4" name="Z_B2298A9D_9F4B_11D2_A842_00805F2505DF__wvu_PrintArea" vbProcedure="false">PriceAlberta!$A$40:$AG$118</definedName>
    <definedName function="false" hidden="false" localSheetId="4" name="Z_B2298A9D_9F4B_11D2_A842_00805F2505DF__wvu_PrintTitles" vbProcedure="false">PriceAlberta!$1:$5</definedName>
    <definedName function="false" hidden="false" localSheetId="4" name="Z_B2298AA6_9F4B_11D2_A842_00805F2505DF__wvu_PrintArea" vbProcedure="false">PriceAlberta!$A$120:$M$237</definedName>
    <definedName function="false" hidden="false" localSheetId="4" name="Z_B2298AA6_9F4B_11D2_A842_00805F2505DF__wvu_PrintTitles" vbProcedure="false">PriceAlberta!$1:$5</definedName>
    <definedName function="false" hidden="false" localSheetId="4" name="Z_B2F7E2C5_7FBD_11D2_A836_00805F2505DF__wvu_PrintArea" vbProcedure="false">PriceAlberta!$A$6:$R$39</definedName>
    <definedName function="false" hidden="false" localSheetId="4" name="Z_B2F7E2C5_7FBD_11D2_A836_00805F2505DF__wvu_PrintTitles" vbProcedure="false">PriceAlberta!$1:$5</definedName>
    <definedName function="false" hidden="false" localSheetId="4" name="Z_B2F7E2CE_7FBD_11D2_A836_00805F2505DF__wvu_PrintArea" vbProcedure="false">PriceAlberta!$A$40:$AG$118</definedName>
    <definedName function="false" hidden="false" localSheetId="4" name="Z_B2F7E2CE_7FBD_11D2_A836_00805F2505DF__wvu_PrintTitles" vbProcedure="false">PriceAlberta!$1:$5</definedName>
    <definedName function="false" hidden="false" localSheetId="4" name="Z_B2F7E2D7_7FBD_11D2_A836_00805F2505DF__wvu_PrintArea" vbProcedure="false">PriceAlberta!$A$120:$M$237</definedName>
    <definedName function="false" hidden="false" localSheetId="4" name="Z_B2F7E2D7_7FBD_11D2_A836_00805F2505DF__wvu_PrintTitles" vbProcedure="false">PriceAlberta!$1:$5</definedName>
    <definedName function="false" hidden="false" localSheetId="4" name="Z_CAE48B03_AFF0_11D2_A84D_00805F2505DF__wvu_PrintArea" vbProcedure="false">PriceAlberta!$A$6:$R$39</definedName>
    <definedName function="false" hidden="false" localSheetId="4" name="Z_CAE48B03_AFF0_11D2_A84D_00805F2505DF__wvu_PrintTitles" vbProcedure="false">PriceAlberta!$1:$5</definedName>
    <definedName function="false" hidden="false" localSheetId="4" name="Z_CAE48B0C_AFF0_11D2_A84D_00805F2505DF__wvu_PrintArea" vbProcedure="false">PriceAlberta!$A$40:$AG$118</definedName>
    <definedName function="false" hidden="false" localSheetId="4" name="Z_CAE48B0C_AFF0_11D2_A84D_00805F2505DF__wvu_PrintTitles" vbProcedure="false">PriceAlberta!$1:$5</definedName>
    <definedName function="false" hidden="false" localSheetId="4" name="Z_CAE48B15_AFF0_11D2_A84D_00805F2505DF__wvu_PrintArea" vbProcedure="false">PriceAlberta!$A$120:$M$237</definedName>
    <definedName function="false" hidden="false" localSheetId="4" name="Z_CAE48B15_AFF0_11D2_A84D_00805F2505DF__wvu_PrintTitles" vbProcedure="false">PriceAlberta!$1:$5</definedName>
    <definedName function="false" hidden="false" localSheetId="4" name="Z_CC3965CB_A99C_11D2_A84A_00805F2505DF__wvu_PrintArea" vbProcedure="false">PriceAlberta!$A$6:$R$39</definedName>
    <definedName function="false" hidden="false" localSheetId="4" name="Z_CC3965CB_A99C_11D2_A84A_00805F2505DF__wvu_PrintTitles" vbProcedure="false">PriceAlberta!$1:$5</definedName>
    <definedName function="false" hidden="false" localSheetId="4" name="Z_CC3965D4_A99C_11D2_A84A_00805F2505DF__wvu_PrintArea" vbProcedure="false">PriceAlberta!$A$40:$AG$118</definedName>
    <definedName function="false" hidden="false" localSheetId="4" name="Z_CC3965D4_A99C_11D2_A84A_00805F2505DF__wvu_PrintTitles" vbProcedure="false">PriceAlberta!$1:$5</definedName>
    <definedName function="false" hidden="false" localSheetId="4" name="Z_CC3965DD_A99C_11D2_A84A_00805F2505DF__wvu_PrintArea" vbProcedure="false">PriceAlberta!$A$120:$M$237</definedName>
    <definedName function="false" hidden="false" localSheetId="4" name="Z_CC3965DD_A99C_11D2_A84A_00805F2505DF__wvu_PrintTitles" vbProcedure="false">PriceAlberta!$1:$5</definedName>
    <definedName function="false" hidden="false" localSheetId="4" name="Z_D4AB6C0B_AB0F_11D2_A84C_00805F2505DF__wvu_PrintArea" vbProcedure="false">PriceAlberta!$A$6:$R$39</definedName>
    <definedName function="false" hidden="false" localSheetId="4" name="Z_D4AB6C0B_AB0F_11D2_A84C_00805F2505DF__wvu_PrintTitles" vbProcedure="false">PriceAlberta!$1:$5</definedName>
    <definedName function="false" hidden="false" localSheetId="4" name="Z_D4AB6C14_AB0F_11D2_A84C_00805F2505DF__wvu_PrintArea" vbProcedure="false">PriceAlberta!$A$40:$AG$118</definedName>
    <definedName function="false" hidden="false" localSheetId="4" name="Z_D4AB6C14_AB0F_11D2_A84C_00805F2505DF__wvu_PrintTitles" vbProcedure="false">PriceAlberta!$1:$5</definedName>
    <definedName function="false" hidden="false" localSheetId="4" name="Z_D4AB6C1D_AB0F_11D2_A84C_00805F2505DF__wvu_PrintArea" vbProcedure="false">PriceAlberta!$A$120:$M$237</definedName>
    <definedName function="false" hidden="false" localSheetId="4" name="Z_D4AB6C1D_AB0F_11D2_A84C_00805F2505DF__wvu_PrintTitles" vbProcedure="false">PriceAlberta!$1:$5</definedName>
    <definedName function="false" hidden="false" localSheetId="4" name="Z_D4AB6C64_AB0F_11D2_A84C_00805F2505DF__wvu_PrintArea" vbProcedure="false">PriceAlberta!$A$6:$R$39</definedName>
    <definedName function="false" hidden="false" localSheetId="4" name="Z_D4AB6C64_AB0F_11D2_A84C_00805F2505DF__wvu_PrintTitles" vbProcedure="false">PriceAlberta!$1:$5</definedName>
    <definedName function="false" hidden="false" localSheetId="4" name="Z_D4AB6C6D_AB0F_11D2_A84C_00805F2505DF__wvu_PrintArea" vbProcedure="false">PriceAlberta!$A$40:$AG$118</definedName>
    <definedName function="false" hidden="false" localSheetId="4" name="Z_D4AB6C6D_AB0F_11D2_A84C_00805F2505DF__wvu_PrintTitles" vbProcedure="false">PriceAlberta!$1:$5</definedName>
    <definedName function="false" hidden="false" localSheetId="4" name="Z_D4AB6C76_AB0F_11D2_A84C_00805F2505DF__wvu_PrintArea" vbProcedure="false">PriceAlberta!$A$120:$M$237</definedName>
    <definedName function="false" hidden="false" localSheetId="4" name="Z_D4AB6C76_AB0F_11D2_A84C_00805F2505DF__wvu_PrintTitles" vbProcedure="false">PriceAlberta!$1:$5</definedName>
    <definedName function="false" hidden="false" localSheetId="4" name="Z_E05B5122_A672_11D2_A848_00805F2505DF__wvu_PrintArea" vbProcedure="false">PriceAlberta!$A$6:$R$39</definedName>
    <definedName function="false" hidden="false" localSheetId="4" name="Z_E05B5122_A672_11D2_A848_00805F2505DF__wvu_PrintTitles" vbProcedure="false">PriceAlberta!$1:$5</definedName>
    <definedName function="false" hidden="false" localSheetId="4" name="Z_E05B512B_A672_11D2_A848_00805F2505DF__wvu_PrintArea" vbProcedure="false">PriceAlberta!$A$40:$AG$118</definedName>
    <definedName function="false" hidden="false" localSheetId="4" name="Z_E05B512B_A672_11D2_A848_00805F2505DF__wvu_PrintTitles" vbProcedure="false">PriceAlberta!$1:$5</definedName>
    <definedName function="false" hidden="false" localSheetId="4" name="Z_E05B5134_A672_11D2_A848_00805F2505DF__wvu_PrintArea" vbProcedure="false">PriceAlberta!$A$120:$M$237</definedName>
    <definedName function="false" hidden="false" localSheetId="4" name="Z_E05B5134_A672_11D2_A848_00805F2505DF__wvu_PrintTitles" vbProcedure="false">PriceAlberta!$1:$5</definedName>
    <definedName function="false" hidden="false" localSheetId="4" name="Z_F60B7B79_B470_11D2_A851_00805F2505DF__wvu_PrintArea" vbProcedure="false">PriceAlberta!$A$6:$R$39</definedName>
    <definedName function="false" hidden="false" localSheetId="4" name="Z_F60B7B79_B470_11D2_A851_00805F2505DF__wvu_PrintTitles" vbProcedure="false">PriceAlberta!$1:$5</definedName>
    <definedName function="false" hidden="false" localSheetId="4" name="Z_F60B7B82_B470_11D2_A851_00805F2505DF__wvu_PrintArea" vbProcedure="false">PriceAlberta!$A$40:$AG$118</definedName>
    <definedName function="false" hidden="false" localSheetId="4" name="Z_F60B7B82_B470_11D2_A851_00805F2505DF__wvu_PrintTitles" vbProcedure="false">PriceAlberta!$1:$5</definedName>
    <definedName function="false" hidden="false" localSheetId="4" name="Z_F60B7B8B_B470_11D2_A851_00805F2505DF__wvu_PrintArea" vbProcedure="false">PriceAlberta!$A$120:$M$237</definedName>
    <definedName function="false" hidden="false" localSheetId="4" name="Z_F60B7B8B_B470_11D2_A851_00805F2505DF__wvu_PrintTitles" vbProcedure="false">PriceAlberta!$1:$5</definedName>
    <definedName function="false" hidden="false" localSheetId="4" name="Z_F60B7BDE_B470_11D2_A851_00805F2505DF__wvu_PrintArea" vbProcedure="false">PriceAlberta!$A$6:$R$39</definedName>
    <definedName function="false" hidden="false" localSheetId="4" name="Z_F60B7BDE_B470_11D2_A851_00805F2505DF__wvu_PrintTitles" vbProcedure="false">PriceAlberta!$1:$5</definedName>
    <definedName function="false" hidden="false" localSheetId="4" name="Z_F60B7BE7_B470_11D2_A851_00805F2505DF__wvu_PrintArea" vbProcedure="false">PriceAlberta!$A$40:$AG$118</definedName>
    <definedName function="false" hidden="false" localSheetId="4" name="Z_F60B7BE7_B470_11D2_A851_00805F2505DF__wvu_PrintTitles" vbProcedure="false">PriceAlberta!$1:$5</definedName>
    <definedName function="false" hidden="false" localSheetId="4" name="Z_F60B7BF0_B470_11D2_A851_00805F2505DF__wvu_PrintArea" vbProcedure="false">PriceAlberta!$A$120:$M$237</definedName>
    <definedName function="false" hidden="false" localSheetId="4" name="Z_F60B7BF0_B470_11D2_A851_00805F2505DF__wvu_PrintTitles" vbProcedure="false">PriceAlberta!$1:$5</definedName>
    <definedName function="false" hidden="false" localSheetId="4" name="Z_F947EA2B_ABF3_11D2_A84C_00805F2505DF__wvu_PrintArea" vbProcedure="false">PriceAlberta!$A$6:$R$39</definedName>
    <definedName function="false" hidden="false" localSheetId="4" name="Z_F947EA2B_ABF3_11D2_A84C_00805F2505DF__wvu_PrintTitles" vbProcedure="false">PriceAlberta!$1:$5</definedName>
    <definedName function="false" hidden="false" localSheetId="4" name="Z_F947EA34_ABF3_11D2_A84C_00805F2505DF__wvu_PrintArea" vbProcedure="false">PriceAlberta!$A$40:$AG$118</definedName>
    <definedName function="false" hidden="false" localSheetId="4" name="Z_F947EA34_ABF3_11D2_A84C_00805F2505DF__wvu_PrintTitles" vbProcedure="false">PriceAlberta!$1:$5</definedName>
    <definedName function="false" hidden="false" localSheetId="4" name="Z_F947EA3D_ABF3_11D2_A84C_00805F2505DF__wvu_PrintArea" vbProcedure="false">PriceAlberta!$A$120:$M$237</definedName>
    <definedName function="false" hidden="false" localSheetId="4" name="Z_F947EA3D_ABF3_11D2_A84C_00805F2505DF__wvu_PrintTitles" vbProcedure="false">PriceAlberta!$1:$5</definedName>
    <definedName function="false" hidden="false" localSheetId="5" name="ACwvu_BookBal_" vbProcedure="false">AlbertaIndex!$A$6:$R$40</definedName>
    <definedName function="false" hidden="false" localSheetId="5" name="ACwvu_DailyChange_" vbProcedure="false">AlbertaIndex!$A$41:$AG$118</definedName>
    <definedName function="false" hidden="false" localSheetId="5" name="ACwvu_Schedules_" vbProcedure="false">AlbertaIndex!$A$121:$M$239</definedName>
    <definedName function="false" hidden="false" localSheetId="5" name="Swvu_BookBal_" vbProcedure="false">AlbertaIndex!$A$6:$R$40</definedName>
    <definedName function="false" hidden="false" localSheetId="5" name="Swvu_DailyChange_" vbProcedure="false">AlbertaIndex!$A$41:$AG$118</definedName>
    <definedName function="false" hidden="false" localSheetId="5" name="Swvu_Schedules_" vbProcedure="false">AlbertaIndex!$A$121:$M$239</definedName>
    <definedName function="false" hidden="false" localSheetId="5" name="wrn_RollDetail_" vbProcedure="false">{"BookBal",#N/A,FALSE,"Roll";"DailyChange",#N/A,FALSE,"Roll";"Schedules",#N/A,FALSE,"Roll"}</definedName>
    <definedName function="false" hidden="false" localSheetId="5"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5"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5"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5" name="Z_00D2C730_B168_11D2_A84F_00805F2505DF__wvu_PrintArea" vbProcedure="false">AlbertaIndex!$A$6:$R$39</definedName>
    <definedName function="false" hidden="false" localSheetId="5" name="Z_00D2C730_B168_11D2_A84F_00805F2505DF__wvu_PrintTitles" vbProcedure="false">AlbertaIndex!$1:$5</definedName>
    <definedName function="false" hidden="false" localSheetId="5" name="Z_00D2C739_B168_11D2_A84F_00805F2505DF__wvu_PrintArea" vbProcedure="false">AlbertaIndex!$A$40:$AG$118</definedName>
    <definedName function="false" hidden="false" localSheetId="5" name="Z_00D2C739_B168_11D2_A84F_00805F2505DF__wvu_PrintTitles" vbProcedure="false">AlbertaIndex!$1:$5</definedName>
    <definedName function="false" hidden="false" localSheetId="5" name="Z_00D2C742_B168_11D2_A84F_00805F2505DF__wvu_PrintArea" vbProcedure="false">AlbertaIndex!$A$120:$M$238</definedName>
    <definedName function="false" hidden="false" localSheetId="5" name="Z_00D2C742_B168_11D2_A84F_00805F2505DF__wvu_PrintTitles" vbProcedure="false">AlbertaIndex!$1:$5</definedName>
    <definedName function="false" hidden="false" localSheetId="5" name="Z_01843847_B93D_11D2_8444_00805F3629DE__wvu_PrintArea" vbProcedure="false">AlbertaIndex!$A$6:$R$39</definedName>
    <definedName function="false" hidden="false" localSheetId="5" name="Z_01843847_B93D_11D2_8444_00805F3629DE__wvu_PrintTitles" vbProcedure="false">AlbertaIndex!$1:$5</definedName>
    <definedName function="false" hidden="false" localSheetId="5" name="Z_01843850_B93D_11D2_8444_00805F3629DE__wvu_PrintArea" vbProcedure="false">AlbertaIndex!$A$40:$AG$118</definedName>
    <definedName function="false" hidden="false" localSheetId="5" name="Z_01843850_B93D_11D2_8444_00805F3629DE__wvu_PrintTitles" vbProcedure="false">AlbertaIndex!$1:$5</definedName>
    <definedName function="false" hidden="false" localSheetId="5" name="Z_01843859_B93D_11D2_8444_00805F3629DE__wvu_PrintArea" vbProcedure="false">AlbertaIndex!$A$120:$M$238</definedName>
    <definedName function="false" hidden="false" localSheetId="5" name="Z_01843859_B93D_11D2_8444_00805F3629DE__wvu_PrintTitles" vbProcedure="false">AlbertaIndex!$1:$5</definedName>
    <definedName function="false" hidden="false" localSheetId="5" name="Z_02448BA0_88FA_11D2_B05A_00104B2CC235__wvu_PrintArea" vbProcedure="false">AlbertaIndex!$A$6:$R$39</definedName>
    <definedName function="false" hidden="false" localSheetId="5" name="Z_02448BA0_88FA_11D2_B05A_00104B2CC235__wvu_PrintTitles" vbProcedure="false">AlbertaIndex!$1:$5</definedName>
    <definedName function="false" hidden="false" localSheetId="5" name="Z_02448BA9_88FA_11D2_B05A_00104B2CC235__wvu_PrintArea" vbProcedure="false">AlbertaIndex!$A$40:$AG$118</definedName>
    <definedName function="false" hidden="false" localSheetId="5" name="Z_02448BA9_88FA_11D2_B05A_00104B2CC235__wvu_PrintTitles" vbProcedure="false">AlbertaIndex!$1:$5</definedName>
    <definedName function="false" hidden="false" localSheetId="5" name="Z_02448BB2_88FA_11D2_B05A_00104B2CC235__wvu_PrintArea" vbProcedure="false">AlbertaIndex!$A$120:$M$238</definedName>
    <definedName function="false" hidden="false" localSheetId="5" name="Z_02448BB2_88FA_11D2_B05A_00104B2CC235__wvu_PrintTitles" vbProcedure="false">AlbertaIndex!$1:$5</definedName>
    <definedName function="false" hidden="false" localSheetId="5" name="Z_0AC5A1F0_9EA7_11D2_A842_00805F2505DF__wvu_PrintArea" vbProcedure="false">AlbertaIndex!$A$6:$R$39</definedName>
    <definedName function="false" hidden="false" localSheetId="5" name="Z_0AC5A1F0_9EA7_11D2_A842_00805F2505DF__wvu_PrintTitles" vbProcedure="false">AlbertaIndex!$1:$5</definedName>
    <definedName function="false" hidden="false" localSheetId="5" name="Z_0AC5A1F9_9EA7_11D2_A842_00805F2505DF__wvu_PrintArea" vbProcedure="false">AlbertaIndex!$A$40:$AG$118</definedName>
    <definedName function="false" hidden="false" localSheetId="5" name="Z_0AC5A1F9_9EA7_11D2_A842_00805F2505DF__wvu_PrintTitles" vbProcedure="false">AlbertaIndex!$1:$5</definedName>
    <definedName function="false" hidden="false" localSheetId="5" name="Z_0AC5A202_9EA7_11D2_A842_00805F2505DF__wvu_PrintArea" vbProcedure="false">AlbertaIndex!$A$120:$M$238</definedName>
    <definedName function="false" hidden="false" localSheetId="5" name="Z_0AC5A202_9EA7_11D2_A842_00805F2505DF__wvu_PrintTitles" vbProcedure="false">AlbertaIndex!$1:$5</definedName>
    <definedName function="false" hidden="false" localSheetId="5" name="Z_37FD7BD7_ABC9_11D2_843C_00805F3629DE__wvu_PrintArea" vbProcedure="false">AlbertaIndex!$A$6:$R$39</definedName>
    <definedName function="false" hidden="false" localSheetId="5" name="Z_37FD7BD7_ABC9_11D2_843C_00805F3629DE__wvu_PrintTitles" vbProcedure="false">AlbertaIndex!$1:$5</definedName>
    <definedName function="false" hidden="false" localSheetId="5" name="Z_37FD7BE0_ABC9_11D2_843C_00805F3629DE__wvu_PrintArea" vbProcedure="false">AlbertaIndex!$A$40:$AG$118</definedName>
    <definedName function="false" hidden="false" localSheetId="5" name="Z_37FD7BE0_ABC9_11D2_843C_00805F3629DE__wvu_PrintTitles" vbProcedure="false">AlbertaIndex!$1:$5</definedName>
    <definedName function="false" hidden="false" localSheetId="5" name="Z_37FD7BE9_ABC9_11D2_843C_00805F3629DE__wvu_PrintArea" vbProcedure="false">AlbertaIndex!$A$120:$M$238</definedName>
    <definedName function="false" hidden="false" localSheetId="5" name="Z_37FD7BE9_ABC9_11D2_843C_00805F3629DE__wvu_PrintTitles" vbProcedure="false">AlbertaIndex!$1:$5</definedName>
    <definedName function="false" hidden="false" localSheetId="5" name="Z_383AC424_A3FF_11D2_A845_00805F2505DF__wvu_PrintArea" vbProcedure="false">AlbertaIndex!$A$6:$R$39</definedName>
    <definedName function="false" hidden="false" localSheetId="5" name="Z_383AC424_A3FF_11D2_A845_00805F2505DF__wvu_PrintTitles" vbProcedure="false">AlbertaIndex!$1:$5</definedName>
    <definedName function="false" hidden="false" localSheetId="5" name="Z_383AC42D_A3FF_11D2_A845_00805F2505DF__wvu_PrintArea" vbProcedure="false">AlbertaIndex!$A$40:$AG$118</definedName>
    <definedName function="false" hidden="false" localSheetId="5" name="Z_383AC42D_A3FF_11D2_A845_00805F2505DF__wvu_PrintTitles" vbProcedure="false">AlbertaIndex!$1:$5</definedName>
    <definedName function="false" hidden="false" localSheetId="5" name="Z_383AC436_A3FF_11D2_A845_00805F2505DF__wvu_PrintArea" vbProcedure="false">AlbertaIndex!$A$120:$M$238</definedName>
    <definedName function="false" hidden="false" localSheetId="5" name="Z_383AC436_A3FF_11D2_A845_00805F2505DF__wvu_PrintTitles" vbProcedure="false">AlbertaIndex!$1:$5</definedName>
    <definedName function="false" hidden="false" localSheetId="5" name="Z_4398CED0_B092_11D2_A84E_00805F2505DF__wvu_PrintArea" vbProcedure="false">AlbertaIndex!$A$6:$R$39</definedName>
    <definedName function="false" hidden="false" localSheetId="5" name="Z_4398CED0_B092_11D2_A84E_00805F2505DF__wvu_PrintTitles" vbProcedure="false">AlbertaIndex!$1:$5</definedName>
    <definedName function="false" hidden="false" localSheetId="5" name="Z_4398CED9_B092_11D2_A84E_00805F2505DF__wvu_PrintArea" vbProcedure="false">AlbertaIndex!$A$40:$AG$118</definedName>
    <definedName function="false" hidden="false" localSheetId="5" name="Z_4398CED9_B092_11D2_A84E_00805F2505DF__wvu_PrintTitles" vbProcedure="false">AlbertaIndex!$1:$5</definedName>
    <definedName function="false" hidden="false" localSheetId="5" name="Z_4398CEE2_B092_11D2_A84E_00805F2505DF__wvu_PrintArea" vbProcedure="false">AlbertaIndex!$A$120:$M$238</definedName>
    <definedName function="false" hidden="false" localSheetId="5" name="Z_4398CEE2_B092_11D2_A84E_00805F2505DF__wvu_PrintTitles" vbProcedure="false">AlbertaIndex!$1:$5</definedName>
    <definedName function="false" hidden="false" localSheetId="5" name="Z_535643BC_B9EE_11D2_A857_00805F2505DF__wvu_PrintArea" vbProcedure="false">AlbertaIndex!$A$6:$R$39</definedName>
    <definedName function="false" hidden="false" localSheetId="5" name="Z_535643BC_B9EE_11D2_A857_00805F2505DF__wvu_PrintTitles" vbProcedure="false">AlbertaIndex!$1:$5</definedName>
    <definedName function="false" hidden="false" localSheetId="5" name="Z_535643C5_B9EE_11D2_A857_00805F2505DF__wvu_PrintArea" vbProcedure="false">AlbertaIndex!$A$40:$AG$118</definedName>
    <definedName function="false" hidden="false" localSheetId="5" name="Z_535643C5_B9EE_11D2_A857_00805F2505DF__wvu_PrintTitles" vbProcedure="false">AlbertaIndex!$1:$5</definedName>
    <definedName function="false" hidden="false" localSheetId="5" name="Z_535643CE_B9EE_11D2_A857_00805F2505DF__wvu_PrintArea" vbProcedure="false">AlbertaIndex!$A$120:$M$238</definedName>
    <definedName function="false" hidden="false" localSheetId="5" name="Z_535643CE_B9EE_11D2_A857_00805F2505DF__wvu_PrintTitles" vbProcedure="false">AlbertaIndex!$1:$5</definedName>
    <definedName function="false" hidden="false" localSheetId="5" name="Z_70785CB6_A4C6_11D2_A845_00805F2505DF__wvu_PrintArea" vbProcedure="false">AlbertaIndex!$A$6:$R$39</definedName>
    <definedName function="false" hidden="false" localSheetId="5" name="Z_70785CB6_A4C6_11D2_A845_00805F2505DF__wvu_PrintTitles" vbProcedure="false">AlbertaIndex!$1:$5</definedName>
    <definedName function="false" hidden="false" localSheetId="5" name="Z_70785CBF_A4C6_11D2_A845_00805F2505DF__wvu_PrintArea" vbProcedure="false">AlbertaIndex!$A$40:$AG$118</definedName>
    <definedName function="false" hidden="false" localSheetId="5" name="Z_70785CBF_A4C6_11D2_A845_00805F2505DF__wvu_PrintTitles" vbProcedure="false">AlbertaIndex!$1:$5</definedName>
    <definedName function="false" hidden="false" localSheetId="5" name="Z_70785CC8_A4C6_11D2_A845_00805F2505DF__wvu_PrintArea" vbProcedure="false">AlbertaIndex!$A$120:$M$238</definedName>
    <definedName function="false" hidden="false" localSheetId="5" name="Z_70785CC8_A4C6_11D2_A845_00805F2505DF__wvu_PrintTitles" vbProcedure="false">AlbertaIndex!$1:$5</definedName>
    <definedName function="false" hidden="false" localSheetId="5" name="Z_76D54FA7_89F3_11D2_B05A_00104B2CC235__wvu_PrintArea" vbProcedure="false">AlbertaIndex!$A$6:$R$39</definedName>
    <definedName function="false" hidden="false" localSheetId="5" name="Z_76D54FA7_89F3_11D2_B05A_00104B2CC235__wvu_PrintTitles" vbProcedure="false">AlbertaIndex!$1:$5</definedName>
    <definedName function="false" hidden="false" localSheetId="5" name="Z_76D54FB0_89F3_11D2_B05A_00104B2CC235__wvu_PrintArea" vbProcedure="false">AlbertaIndex!$A$40:$AG$118</definedName>
    <definedName function="false" hidden="false" localSheetId="5" name="Z_76D54FB0_89F3_11D2_B05A_00104B2CC235__wvu_PrintTitles" vbProcedure="false">AlbertaIndex!$1:$5</definedName>
    <definedName function="false" hidden="false" localSheetId="5" name="Z_76D54FB9_89F3_11D2_B05A_00104B2CC235__wvu_PrintArea" vbProcedure="false">AlbertaIndex!$A$120:$M$238</definedName>
    <definedName function="false" hidden="false" localSheetId="5" name="Z_76D54FB9_89F3_11D2_B05A_00104B2CC235__wvu_PrintTitles" vbProcedure="false">AlbertaIndex!$1:$5</definedName>
    <definedName function="false" hidden="false" localSheetId="5" name="Z_7B7539EC_B7B8_11D2_A856_00805F2505DF__wvu_PrintArea" vbProcedure="false">AlbertaIndex!$A$6:$R$39</definedName>
    <definedName function="false" hidden="false" localSheetId="5" name="Z_7B7539EC_B7B8_11D2_A856_00805F2505DF__wvu_PrintTitles" vbProcedure="false">AlbertaIndex!$1:$5</definedName>
    <definedName function="false" hidden="false" localSheetId="5" name="Z_7B7539F5_B7B8_11D2_A856_00805F2505DF__wvu_PrintArea" vbProcedure="false">AlbertaIndex!$A$40:$AG$118</definedName>
    <definedName function="false" hidden="false" localSheetId="5" name="Z_7B7539F5_B7B8_11D2_A856_00805F2505DF__wvu_PrintTitles" vbProcedure="false">AlbertaIndex!$1:$5</definedName>
    <definedName function="false" hidden="false" localSheetId="5" name="Z_7B7539FE_B7B8_11D2_A856_00805F2505DF__wvu_PrintArea" vbProcedure="false">AlbertaIndex!$A$120:$M$238</definedName>
    <definedName function="false" hidden="false" localSheetId="5" name="Z_7B7539FE_B7B8_11D2_A856_00805F2505DF__wvu_PrintTitles" vbProcedure="false">AlbertaIndex!$1:$5</definedName>
    <definedName function="false" hidden="false" localSheetId="5" name="Z_7C160640_B226_11D2_A850_00805F2505DF__wvu_PrintArea" vbProcedure="false">AlbertaIndex!$A$6:$R$39</definedName>
    <definedName function="false" hidden="false" localSheetId="5" name="Z_7C160640_B226_11D2_A850_00805F2505DF__wvu_PrintTitles" vbProcedure="false">AlbertaIndex!$1:$5</definedName>
    <definedName function="false" hidden="false" localSheetId="5" name="Z_7C160649_B226_11D2_A850_00805F2505DF__wvu_PrintArea" vbProcedure="false">AlbertaIndex!$A$40:$AG$118</definedName>
    <definedName function="false" hidden="false" localSheetId="5" name="Z_7C160649_B226_11D2_A850_00805F2505DF__wvu_PrintTitles" vbProcedure="false">AlbertaIndex!$1:$5</definedName>
    <definedName function="false" hidden="false" localSheetId="5" name="Z_7C160652_B226_11D2_A850_00805F2505DF__wvu_PrintArea" vbProcedure="false">AlbertaIndex!$A$120:$M$238</definedName>
    <definedName function="false" hidden="false" localSheetId="5" name="Z_7C160652_B226_11D2_A850_00805F2505DF__wvu_PrintTitles" vbProcedure="false">AlbertaIndex!$1:$5</definedName>
    <definedName function="false" hidden="false" localSheetId="5" name="Z_8106BDAD_AA5F_11D2_A84B_00805F2505DF__wvu_PrintArea" vbProcedure="false">AlbertaIndex!$A$6:$R$39</definedName>
    <definedName function="false" hidden="false" localSheetId="5" name="Z_8106BDAD_AA5F_11D2_A84B_00805F2505DF__wvu_PrintTitles" vbProcedure="false">AlbertaIndex!$1:$5</definedName>
    <definedName function="false" hidden="false" localSheetId="5" name="Z_8106BDB6_AA5F_11D2_A84B_00805F2505DF__wvu_PrintArea" vbProcedure="false">AlbertaIndex!$A$40:$AG$118</definedName>
    <definedName function="false" hidden="false" localSheetId="5" name="Z_8106BDB6_AA5F_11D2_A84B_00805F2505DF__wvu_PrintTitles" vbProcedure="false">AlbertaIndex!$1:$5</definedName>
    <definedName function="false" hidden="false" localSheetId="5" name="Z_8106BDBF_AA5F_11D2_A84B_00805F2505DF__wvu_PrintArea" vbProcedure="false">AlbertaIndex!$A$120:$M$238</definedName>
    <definedName function="false" hidden="false" localSheetId="5" name="Z_8106BDBF_AA5F_11D2_A84B_00805F2505DF__wvu_PrintTitles" vbProcedure="false">AlbertaIndex!$1:$5</definedName>
    <definedName function="false" hidden="false" localSheetId="5" name="Z_90E3CCDF_A590_11D2_A845_00805F2505DF__wvu_PrintArea" vbProcedure="false">AlbertaIndex!$A$6:$R$39</definedName>
    <definedName function="false" hidden="false" localSheetId="5" name="Z_90E3CCDF_A590_11D2_A845_00805F2505DF__wvu_PrintTitles" vbProcedure="false">AlbertaIndex!$1:$5</definedName>
    <definedName function="false" hidden="false" localSheetId="5" name="Z_90E3CCE8_A590_11D2_A845_00805F2505DF__wvu_PrintArea" vbProcedure="false">AlbertaIndex!$A$40:$AG$118</definedName>
    <definedName function="false" hidden="false" localSheetId="5" name="Z_90E3CCE8_A590_11D2_A845_00805F2505DF__wvu_PrintTitles" vbProcedure="false">AlbertaIndex!$1:$5</definedName>
    <definedName function="false" hidden="false" localSheetId="5" name="Z_90E3CCF1_A590_11D2_A845_00805F2505DF__wvu_PrintArea" vbProcedure="false">AlbertaIndex!$A$120:$M$238</definedName>
    <definedName function="false" hidden="false" localSheetId="5" name="Z_90E3CCF1_A590_11D2_A845_00805F2505DF__wvu_PrintTitles" vbProcedure="false">AlbertaIndex!$1:$5</definedName>
    <definedName function="false" hidden="false" localSheetId="5" name="Z_9F5984A5_ADA0_11D2_A84C_00805F2505DF__wvu_PrintArea" vbProcedure="false">AlbertaIndex!$A$6:$R$39</definedName>
    <definedName function="false" hidden="false" localSheetId="5" name="Z_9F5984A5_ADA0_11D2_A84C_00805F2505DF__wvu_PrintTitles" vbProcedure="false">AlbertaIndex!$1:$5</definedName>
    <definedName function="false" hidden="false" localSheetId="5" name="Z_9F5984AE_ADA0_11D2_A84C_00805F2505DF__wvu_PrintArea" vbProcedure="false">AlbertaIndex!$A$40:$AG$118</definedName>
    <definedName function="false" hidden="false" localSheetId="5" name="Z_9F5984AE_ADA0_11D2_A84C_00805F2505DF__wvu_PrintTitles" vbProcedure="false">AlbertaIndex!$1:$5</definedName>
    <definedName function="false" hidden="false" localSheetId="5" name="Z_9F5984B7_ADA0_11D2_A84C_00805F2505DF__wvu_PrintArea" vbProcedure="false">AlbertaIndex!$A$120:$M$238</definedName>
    <definedName function="false" hidden="false" localSheetId="5" name="Z_9F5984B7_ADA0_11D2_A84C_00805F2505DF__wvu_PrintTitles" vbProcedure="false">AlbertaIndex!$1:$5</definedName>
    <definedName function="false" hidden="false" localSheetId="5" name="Z_AA00244C_B62E_11D2_A853_00805F2505DF__wvu_PrintArea" vbProcedure="false">AlbertaIndex!$A$6:$R$39</definedName>
    <definedName function="false" hidden="false" localSheetId="5" name="Z_AA00244C_B62E_11D2_A853_00805F2505DF__wvu_PrintTitles" vbProcedure="false">AlbertaIndex!$1:$5</definedName>
    <definedName function="false" hidden="false" localSheetId="5" name="Z_AA002455_B62E_11D2_A853_00805F2505DF__wvu_PrintArea" vbProcedure="false">AlbertaIndex!$A$40:$AG$118</definedName>
    <definedName function="false" hidden="false" localSheetId="5" name="Z_AA002455_B62E_11D2_A853_00805F2505DF__wvu_PrintTitles" vbProcedure="false">AlbertaIndex!$1:$5</definedName>
    <definedName function="false" hidden="false" localSheetId="5" name="Z_AA00245E_B62E_11D2_A853_00805F2505DF__wvu_PrintArea" vbProcedure="false">AlbertaIndex!$A$120:$M$238</definedName>
    <definedName function="false" hidden="false" localSheetId="5" name="Z_AA00245E_B62E_11D2_A853_00805F2505DF__wvu_PrintTitles" vbProcedure="false">AlbertaIndex!$1:$5</definedName>
    <definedName function="false" hidden="false" localSheetId="5" name="Z_AA0024AA_B62E_11D2_A853_00805F2505DF__wvu_PrintArea" vbProcedure="false">AlbertaIndex!$A$6:$R$39</definedName>
    <definedName function="false" hidden="false" localSheetId="5" name="Z_AA0024AA_B62E_11D2_A853_00805F2505DF__wvu_PrintTitles" vbProcedure="false">AlbertaIndex!$1:$5</definedName>
    <definedName function="false" hidden="false" localSheetId="5" name="Z_AA0024B3_B62E_11D2_A853_00805F2505DF__wvu_PrintArea" vbProcedure="false">AlbertaIndex!$A$40:$AG$118</definedName>
    <definedName function="false" hidden="false" localSheetId="5" name="Z_AA0024B3_B62E_11D2_A853_00805F2505DF__wvu_PrintTitles" vbProcedure="false">AlbertaIndex!$1:$5</definedName>
    <definedName function="false" hidden="false" localSheetId="5" name="Z_AA0024BC_B62E_11D2_A853_00805F2505DF__wvu_PrintArea" vbProcedure="false">AlbertaIndex!$A$120:$M$238</definedName>
    <definedName function="false" hidden="false" localSheetId="5" name="Z_AA0024BC_B62E_11D2_A853_00805F2505DF__wvu_PrintTitles" vbProcedure="false">AlbertaIndex!$1:$5</definedName>
    <definedName function="false" hidden="false" localSheetId="5" name="Z_B2298A91_9F4B_11D2_A842_00805F2505DF__wvu_PrintArea" vbProcedure="false">AlbertaIndex!$A$6:$R$39</definedName>
    <definedName function="false" hidden="false" localSheetId="5" name="Z_B2298A91_9F4B_11D2_A842_00805F2505DF__wvu_PrintTitles" vbProcedure="false">AlbertaIndex!$1:$5</definedName>
    <definedName function="false" hidden="false" localSheetId="5" name="Z_B2298A9A_9F4B_11D2_A842_00805F2505DF__wvu_PrintArea" vbProcedure="false">AlbertaIndex!$A$40:$AG$118</definedName>
    <definedName function="false" hidden="false" localSheetId="5" name="Z_B2298A9A_9F4B_11D2_A842_00805F2505DF__wvu_PrintTitles" vbProcedure="false">AlbertaIndex!$1:$5</definedName>
    <definedName function="false" hidden="false" localSheetId="5" name="Z_B2298AA3_9F4B_11D2_A842_00805F2505DF__wvu_PrintArea" vbProcedure="false">AlbertaIndex!$A$120:$M$238</definedName>
    <definedName function="false" hidden="false" localSheetId="5" name="Z_B2298AA3_9F4B_11D2_A842_00805F2505DF__wvu_PrintTitles" vbProcedure="false">AlbertaIndex!$1:$5</definedName>
    <definedName function="false" hidden="false" localSheetId="5" name="Z_B2F7E2C2_7FBD_11D2_A836_00805F2505DF__wvu_PrintArea" vbProcedure="false">AlbertaIndex!$A$6:$R$39</definedName>
    <definedName function="false" hidden="false" localSheetId="5" name="Z_B2F7E2C2_7FBD_11D2_A836_00805F2505DF__wvu_PrintTitles" vbProcedure="false">AlbertaIndex!$1:$5</definedName>
    <definedName function="false" hidden="false" localSheetId="5" name="Z_B2F7E2CB_7FBD_11D2_A836_00805F2505DF__wvu_PrintArea" vbProcedure="false">AlbertaIndex!$A$40:$AG$118</definedName>
    <definedName function="false" hidden="false" localSheetId="5" name="Z_B2F7E2CB_7FBD_11D2_A836_00805F2505DF__wvu_PrintTitles" vbProcedure="false">AlbertaIndex!$1:$5</definedName>
    <definedName function="false" hidden="false" localSheetId="5" name="Z_B2F7E2D4_7FBD_11D2_A836_00805F2505DF__wvu_PrintArea" vbProcedure="false">AlbertaIndex!$A$120:$M$238</definedName>
    <definedName function="false" hidden="false" localSheetId="5" name="Z_B2F7E2D4_7FBD_11D2_A836_00805F2505DF__wvu_PrintTitles" vbProcedure="false">AlbertaIndex!$1:$5</definedName>
    <definedName function="false" hidden="false" localSheetId="5" name="Z_CAE48B00_AFF0_11D2_A84D_00805F2505DF__wvu_PrintArea" vbProcedure="false">AlbertaIndex!$A$6:$R$39</definedName>
    <definedName function="false" hidden="false" localSheetId="5" name="Z_CAE48B00_AFF0_11D2_A84D_00805F2505DF__wvu_PrintTitles" vbProcedure="false">AlbertaIndex!$1:$5</definedName>
    <definedName function="false" hidden="false" localSheetId="5" name="Z_CAE48B09_AFF0_11D2_A84D_00805F2505DF__wvu_PrintArea" vbProcedure="false">AlbertaIndex!$A$40:$AG$118</definedName>
    <definedName function="false" hidden="false" localSheetId="5" name="Z_CAE48B09_AFF0_11D2_A84D_00805F2505DF__wvu_PrintTitles" vbProcedure="false">AlbertaIndex!$1:$5</definedName>
    <definedName function="false" hidden="false" localSheetId="5" name="Z_CAE48B12_AFF0_11D2_A84D_00805F2505DF__wvu_PrintArea" vbProcedure="false">AlbertaIndex!$A$120:$M$238</definedName>
    <definedName function="false" hidden="false" localSheetId="5" name="Z_CAE48B12_AFF0_11D2_A84D_00805F2505DF__wvu_PrintTitles" vbProcedure="false">AlbertaIndex!$1:$5</definedName>
    <definedName function="false" hidden="false" localSheetId="5" name="Z_CC3965C8_A99C_11D2_A84A_00805F2505DF__wvu_PrintArea" vbProcedure="false">AlbertaIndex!$A$6:$R$39</definedName>
    <definedName function="false" hidden="false" localSheetId="5" name="Z_CC3965C8_A99C_11D2_A84A_00805F2505DF__wvu_PrintTitles" vbProcedure="false">AlbertaIndex!$1:$5</definedName>
    <definedName function="false" hidden="false" localSheetId="5" name="Z_CC3965D1_A99C_11D2_A84A_00805F2505DF__wvu_PrintArea" vbProcedure="false">AlbertaIndex!$A$40:$AG$118</definedName>
    <definedName function="false" hidden="false" localSheetId="5" name="Z_CC3965D1_A99C_11D2_A84A_00805F2505DF__wvu_PrintTitles" vbProcedure="false">AlbertaIndex!$1:$5</definedName>
    <definedName function="false" hidden="false" localSheetId="5" name="Z_CC3965DA_A99C_11D2_A84A_00805F2505DF__wvu_PrintArea" vbProcedure="false">AlbertaIndex!$A$120:$M$238</definedName>
    <definedName function="false" hidden="false" localSheetId="5" name="Z_CC3965DA_A99C_11D2_A84A_00805F2505DF__wvu_PrintTitles" vbProcedure="false">AlbertaIndex!$1:$5</definedName>
    <definedName function="false" hidden="false" localSheetId="5" name="Z_D4AB6C08_AB0F_11D2_A84C_00805F2505DF__wvu_PrintArea" vbProcedure="false">AlbertaIndex!$A$6:$R$39</definedName>
    <definedName function="false" hidden="false" localSheetId="5" name="Z_D4AB6C08_AB0F_11D2_A84C_00805F2505DF__wvu_PrintTitles" vbProcedure="false">AlbertaIndex!$1:$5</definedName>
    <definedName function="false" hidden="false" localSheetId="5" name="Z_D4AB6C11_AB0F_11D2_A84C_00805F2505DF__wvu_PrintArea" vbProcedure="false">AlbertaIndex!$A$40:$AG$118</definedName>
    <definedName function="false" hidden="false" localSheetId="5" name="Z_D4AB6C11_AB0F_11D2_A84C_00805F2505DF__wvu_PrintTitles" vbProcedure="false">AlbertaIndex!$1:$5</definedName>
    <definedName function="false" hidden="false" localSheetId="5" name="Z_D4AB6C1A_AB0F_11D2_A84C_00805F2505DF__wvu_PrintArea" vbProcedure="false">AlbertaIndex!$A$120:$M$238</definedName>
    <definedName function="false" hidden="false" localSheetId="5" name="Z_D4AB6C1A_AB0F_11D2_A84C_00805F2505DF__wvu_PrintTitles" vbProcedure="false">AlbertaIndex!$1:$5</definedName>
    <definedName function="false" hidden="false" localSheetId="5" name="Z_D4AB6C61_AB0F_11D2_A84C_00805F2505DF__wvu_PrintArea" vbProcedure="false">AlbertaIndex!$A$6:$R$39</definedName>
    <definedName function="false" hidden="false" localSheetId="5" name="Z_D4AB6C61_AB0F_11D2_A84C_00805F2505DF__wvu_PrintTitles" vbProcedure="false">AlbertaIndex!$1:$5</definedName>
    <definedName function="false" hidden="false" localSheetId="5" name="Z_D4AB6C6A_AB0F_11D2_A84C_00805F2505DF__wvu_PrintArea" vbProcedure="false">AlbertaIndex!$A$40:$AG$118</definedName>
    <definedName function="false" hidden="false" localSheetId="5" name="Z_D4AB6C6A_AB0F_11D2_A84C_00805F2505DF__wvu_PrintTitles" vbProcedure="false">AlbertaIndex!$1:$5</definedName>
    <definedName function="false" hidden="false" localSheetId="5" name="Z_D4AB6C73_AB0F_11D2_A84C_00805F2505DF__wvu_PrintArea" vbProcedure="false">AlbertaIndex!$A$120:$M$238</definedName>
    <definedName function="false" hidden="false" localSheetId="5" name="Z_D4AB6C73_AB0F_11D2_A84C_00805F2505DF__wvu_PrintTitles" vbProcedure="false">AlbertaIndex!$1:$5</definedName>
    <definedName function="false" hidden="false" localSheetId="5" name="Z_E05B511F_A672_11D2_A848_00805F2505DF__wvu_PrintArea" vbProcedure="false">AlbertaIndex!$A$6:$R$39</definedName>
    <definedName function="false" hidden="false" localSheetId="5" name="Z_E05B511F_A672_11D2_A848_00805F2505DF__wvu_PrintTitles" vbProcedure="false">AlbertaIndex!$1:$5</definedName>
    <definedName function="false" hidden="false" localSheetId="5" name="Z_E05B5128_A672_11D2_A848_00805F2505DF__wvu_PrintArea" vbProcedure="false">AlbertaIndex!$A$40:$AG$118</definedName>
    <definedName function="false" hidden="false" localSheetId="5" name="Z_E05B5128_A672_11D2_A848_00805F2505DF__wvu_PrintTitles" vbProcedure="false">AlbertaIndex!$1:$5</definedName>
    <definedName function="false" hidden="false" localSheetId="5" name="Z_E05B5131_A672_11D2_A848_00805F2505DF__wvu_PrintArea" vbProcedure="false">AlbertaIndex!$A$120:$M$238</definedName>
    <definedName function="false" hidden="false" localSheetId="5" name="Z_E05B5131_A672_11D2_A848_00805F2505DF__wvu_PrintTitles" vbProcedure="false">AlbertaIndex!$1:$5</definedName>
    <definedName function="false" hidden="false" localSheetId="5" name="Z_F60B7B76_B470_11D2_A851_00805F2505DF__wvu_PrintArea" vbProcedure="false">AlbertaIndex!$A$6:$R$39</definedName>
    <definedName function="false" hidden="false" localSheetId="5" name="Z_F60B7B76_B470_11D2_A851_00805F2505DF__wvu_PrintTitles" vbProcedure="false">AlbertaIndex!$1:$5</definedName>
    <definedName function="false" hidden="false" localSheetId="5" name="Z_F60B7B7F_B470_11D2_A851_00805F2505DF__wvu_PrintArea" vbProcedure="false">AlbertaIndex!$A$40:$AG$118</definedName>
    <definedName function="false" hidden="false" localSheetId="5" name="Z_F60B7B7F_B470_11D2_A851_00805F2505DF__wvu_PrintTitles" vbProcedure="false">AlbertaIndex!$1:$5</definedName>
    <definedName function="false" hidden="false" localSheetId="5" name="Z_F60B7B88_B470_11D2_A851_00805F2505DF__wvu_PrintArea" vbProcedure="false">AlbertaIndex!$A$120:$M$238</definedName>
    <definedName function="false" hidden="false" localSheetId="5" name="Z_F60B7B88_B470_11D2_A851_00805F2505DF__wvu_PrintTitles" vbProcedure="false">AlbertaIndex!$1:$5</definedName>
    <definedName function="false" hidden="false" localSheetId="5" name="Z_F60B7BDB_B470_11D2_A851_00805F2505DF__wvu_PrintArea" vbProcedure="false">AlbertaIndex!$A$6:$R$39</definedName>
    <definedName function="false" hidden="false" localSheetId="5" name="Z_F60B7BDB_B470_11D2_A851_00805F2505DF__wvu_PrintTitles" vbProcedure="false">AlbertaIndex!$1:$5</definedName>
    <definedName function="false" hidden="false" localSheetId="5" name="Z_F60B7BE4_B470_11D2_A851_00805F2505DF__wvu_PrintArea" vbProcedure="false">AlbertaIndex!$A$40:$AG$118</definedName>
    <definedName function="false" hidden="false" localSheetId="5" name="Z_F60B7BE4_B470_11D2_A851_00805F2505DF__wvu_PrintTitles" vbProcedure="false">AlbertaIndex!$1:$5</definedName>
    <definedName function="false" hidden="false" localSheetId="5" name="Z_F60B7BED_B470_11D2_A851_00805F2505DF__wvu_PrintArea" vbProcedure="false">AlbertaIndex!$A$120:$M$238</definedName>
    <definedName function="false" hidden="false" localSheetId="5" name="Z_F60B7BED_B470_11D2_A851_00805F2505DF__wvu_PrintTitles" vbProcedure="false">AlbertaIndex!$1:$5</definedName>
    <definedName function="false" hidden="false" localSheetId="5" name="Z_F947EA28_ABF3_11D2_A84C_00805F2505DF__wvu_PrintArea" vbProcedure="false">AlbertaIndex!$A$6:$R$39</definedName>
    <definedName function="false" hidden="false" localSheetId="5" name="Z_F947EA28_ABF3_11D2_A84C_00805F2505DF__wvu_PrintTitles" vbProcedure="false">AlbertaIndex!$1:$5</definedName>
    <definedName function="false" hidden="false" localSheetId="5" name="Z_F947EA31_ABF3_11D2_A84C_00805F2505DF__wvu_PrintArea" vbProcedure="false">AlbertaIndex!$A$40:$AG$118</definedName>
    <definedName function="false" hidden="false" localSheetId="5" name="Z_F947EA31_ABF3_11D2_A84C_00805F2505DF__wvu_PrintTitles" vbProcedure="false">AlbertaIndex!$1:$5</definedName>
    <definedName function="false" hidden="false" localSheetId="5" name="Z_F947EA3A_ABF3_11D2_A84C_00805F2505DF__wvu_PrintArea" vbProcedure="false">AlbertaIndex!$A$120:$M$238</definedName>
    <definedName function="false" hidden="false" localSheetId="5" name="Z_F947EA3A_ABF3_11D2_A84C_00805F2505DF__wvu_PrintTitles" vbProcedure="false">AlbertaIndex!$1:$5</definedName>
    <definedName function="false" hidden="false" localSheetId="6" name="ACwvu_BookBal_" vbProcedure="false">PriceBC!$A$6:$R$40</definedName>
    <definedName function="false" hidden="false" localSheetId="6" name="ACwvu_DailyChange_" vbProcedure="false">PriceBC!$A$41:$AG$118</definedName>
    <definedName function="false" hidden="false" localSheetId="6" name="ACwvu_Schedules_" vbProcedure="false">PriceBC!$A$121:$M$238</definedName>
    <definedName function="false" hidden="false" localSheetId="6" name="DAILY" vbProcedure="false">'[1]Orig Sched'!$DP$120</definedName>
    <definedName function="false" hidden="false" localSheetId="6" name="RANGE" vbProcedure="false">'[1]Orig Sched'!$DP$120</definedName>
    <definedName function="false" hidden="false" localSheetId="6" name="Swvu_BookBal_" vbProcedure="false">PriceBC!$A$6:$R$40</definedName>
    <definedName function="false" hidden="false" localSheetId="6" name="Swvu_DailyChange_" vbProcedure="false">PriceBC!$A$41:$AG$118</definedName>
    <definedName function="false" hidden="false" localSheetId="6" name="Swvu_Schedules_" vbProcedure="false">PriceBC!$A$121:$M$238</definedName>
    <definedName function="false" hidden="false" localSheetId="6" name="wrn_RollDetail_" vbProcedure="false">{"BookBal",#N/A,FALSE,"Roll-1";"DailyChange",#N/A,FALSE,"Roll-1";"Schedules",#N/A,FALSE,"Roll-1"}</definedName>
    <definedName function="false" hidden="false" localSheetId="6"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6"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6"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6" name="Z_00D2C733_B168_11D2_A84F_00805F2505DF__wvu_PrintArea" vbProcedure="false">PriceBC!$A$6:$R$39</definedName>
    <definedName function="false" hidden="false" localSheetId="6" name="Z_00D2C733_B168_11D2_A84F_00805F2505DF__wvu_PrintTitles" vbProcedure="false">PriceBC!$1:$5</definedName>
    <definedName function="false" hidden="false" localSheetId="6" name="Z_00D2C73C_B168_11D2_A84F_00805F2505DF__wvu_PrintArea" vbProcedure="false">PriceBC!$A$40:$AG$118</definedName>
    <definedName function="false" hidden="false" localSheetId="6" name="Z_00D2C73C_B168_11D2_A84F_00805F2505DF__wvu_PrintTitles" vbProcedure="false">PriceBC!$1:$5</definedName>
    <definedName function="false" hidden="false" localSheetId="6" name="Z_00D2C745_B168_11D2_A84F_00805F2505DF__wvu_PrintArea" vbProcedure="false">PriceBC!$A$120:$M$237</definedName>
    <definedName function="false" hidden="false" localSheetId="6" name="Z_00D2C745_B168_11D2_A84F_00805F2505DF__wvu_PrintTitles" vbProcedure="false">PriceBC!$1:$5</definedName>
    <definedName function="false" hidden="false" localSheetId="6" name="Z_0184384A_B93D_11D2_8444_00805F3629DE__wvu_PrintArea" vbProcedure="false">PriceBC!$A$6:$R$39</definedName>
    <definedName function="false" hidden="false" localSheetId="6" name="Z_0184384A_B93D_11D2_8444_00805F3629DE__wvu_PrintTitles" vbProcedure="false">PriceBC!$1:$5</definedName>
    <definedName function="false" hidden="false" localSheetId="6" name="Z_01843853_B93D_11D2_8444_00805F3629DE__wvu_PrintArea" vbProcedure="false">PriceBC!$A$40:$AG$118</definedName>
    <definedName function="false" hidden="false" localSheetId="6" name="Z_01843853_B93D_11D2_8444_00805F3629DE__wvu_PrintTitles" vbProcedure="false">PriceBC!$1:$5</definedName>
    <definedName function="false" hidden="false" localSheetId="6" name="Z_0184385C_B93D_11D2_8444_00805F3629DE__wvu_PrintArea" vbProcedure="false">PriceBC!$A$120:$M$237</definedName>
    <definedName function="false" hidden="false" localSheetId="6" name="Z_0184385C_B93D_11D2_8444_00805F3629DE__wvu_PrintTitles" vbProcedure="false">PriceBC!$1:$5</definedName>
    <definedName function="false" hidden="false" localSheetId="6" name="Z_02448BA3_88FA_11D2_B05A_00104B2CC235__wvu_PrintArea" vbProcedure="false">PriceBC!$A$6:$R$39</definedName>
    <definedName function="false" hidden="false" localSheetId="6" name="Z_02448BA3_88FA_11D2_B05A_00104B2CC235__wvu_PrintTitles" vbProcedure="false">PriceBC!$1:$5</definedName>
    <definedName function="false" hidden="false" localSheetId="6" name="Z_02448BAC_88FA_11D2_B05A_00104B2CC235__wvu_PrintArea" vbProcedure="false">PriceBC!$A$40:$AG$118</definedName>
    <definedName function="false" hidden="false" localSheetId="6" name="Z_02448BAC_88FA_11D2_B05A_00104B2CC235__wvu_PrintTitles" vbProcedure="false">PriceBC!$1:$5</definedName>
    <definedName function="false" hidden="false" localSheetId="6" name="Z_02448BB5_88FA_11D2_B05A_00104B2CC235__wvu_PrintArea" vbProcedure="false">PriceBC!$A$120:$M$237</definedName>
    <definedName function="false" hidden="false" localSheetId="6" name="Z_02448BB5_88FA_11D2_B05A_00104B2CC235__wvu_PrintTitles" vbProcedure="false">PriceBC!$1:$5</definedName>
    <definedName function="false" hidden="false" localSheetId="6" name="Z_0AC5A1F3_9EA7_11D2_A842_00805F2505DF__wvu_PrintArea" vbProcedure="false">PriceBC!$A$6:$R$39</definedName>
    <definedName function="false" hidden="false" localSheetId="6" name="Z_0AC5A1F3_9EA7_11D2_A842_00805F2505DF__wvu_PrintTitles" vbProcedure="false">PriceBC!$1:$5</definedName>
    <definedName function="false" hidden="false" localSheetId="6" name="Z_0AC5A1FC_9EA7_11D2_A842_00805F2505DF__wvu_PrintArea" vbProcedure="false">PriceBC!$A$40:$AG$118</definedName>
    <definedName function="false" hidden="false" localSheetId="6" name="Z_0AC5A1FC_9EA7_11D2_A842_00805F2505DF__wvu_PrintTitles" vbProcedure="false">PriceBC!$1:$5</definedName>
    <definedName function="false" hidden="false" localSheetId="6" name="Z_0AC5A205_9EA7_11D2_A842_00805F2505DF__wvu_PrintArea" vbProcedure="false">PriceBC!$A$120:$M$237</definedName>
    <definedName function="false" hidden="false" localSheetId="6" name="Z_0AC5A205_9EA7_11D2_A842_00805F2505DF__wvu_PrintTitles" vbProcedure="false">PriceBC!$1:$5</definedName>
    <definedName function="false" hidden="false" localSheetId="6" name="Z_37FD7BDA_ABC9_11D2_843C_00805F3629DE__wvu_PrintArea" vbProcedure="false">PriceBC!$A$6:$R$39</definedName>
    <definedName function="false" hidden="false" localSheetId="6" name="Z_37FD7BDA_ABC9_11D2_843C_00805F3629DE__wvu_PrintTitles" vbProcedure="false">PriceBC!$1:$5</definedName>
    <definedName function="false" hidden="false" localSheetId="6" name="Z_37FD7BE3_ABC9_11D2_843C_00805F3629DE__wvu_PrintArea" vbProcedure="false">PriceBC!$A$40:$AG$118</definedName>
    <definedName function="false" hidden="false" localSheetId="6" name="Z_37FD7BE3_ABC9_11D2_843C_00805F3629DE__wvu_PrintTitles" vbProcedure="false">PriceBC!$1:$5</definedName>
    <definedName function="false" hidden="false" localSheetId="6" name="Z_37FD7BEC_ABC9_11D2_843C_00805F3629DE__wvu_PrintArea" vbProcedure="false">PriceBC!$A$120:$M$237</definedName>
    <definedName function="false" hidden="false" localSheetId="6" name="Z_37FD7BEC_ABC9_11D2_843C_00805F3629DE__wvu_PrintTitles" vbProcedure="false">PriceBC!$1:$5</definedName>
    <definedName function="false" hidden="false" localSheetId="6" name="Z_383AC427_A3FF_11D2_A845_00805F2505DF__wvu_PrintArea" vbProcedure="false">PriceBC!$A$6:$R$39</definedName>
    <definedName function="false" hidden="false" localSheetId="6" name="Z_383AC427_A3FF_11D2_A845_00805F2505DF__wvu_PrintTitles" vbProcedure="false">PriceBC!$1:$5</definedName>
    <definedName function="false" hidden="false" localSheetId="6" name="Z_383AC430_A3FF_11D2_A845_00805F2505DF__wvu_PrintArea" vbProcedure="false">PriceBC!$A$40:$AG$118</definedName>
    <definedName function="false" hidden="false" localSheetId="6" name="Z_383AC430_A3FF_11D2_A845_00805F2505DF__wvu_PrintTitles" vbProcedure="false">PriceBC!$1:$5</definedName>
    <definedName function="false" hidden="false" localSheetId="6" name="Z_383AC439_A3FF_11D2_A845_00805F2505DF__wvu_PrintArea" vbProcedure="false">PriceBC!$A$120:$M$237</definedName>
    <definedName function="false" hidden="false" localSheetId="6" name="Z_383AC439_A3FF_11D2_A845_00805F2505DF__wvu_PrintTitles" vbProcedure="false">PriceBC!$1:$5</definedName>
    <definedName function="false" hidden="false" localSheetId="6" name="Z_4398CED3_B092_11D2_A84E_00805F2505DF__wvu_PrintArea" vbProcedure="false">PriceBC!$A$6:$R$39</definedName>
    <definedName function="false" hidden="false" localSheetId="6" name="Z_4398CED3_B092_11D2_A84E_00805F2505DF__wvu_PrintTitles" vbProcedure="false">PriceBC!$1:$5</definedName>
    <definedName function="false" hidden="false" localSheetId="6" name="Z_4398CEDC_B092_11D2_A84E_00805F2505DF__wvu_PrintArea" vbProcedure="false">PriceBC!$A$40:$AG$118</definedName>
    <definedName function="false" hidden="false" localSheetId="6" name="Z_4398CEDC_B092_11D2_A84E_00805F2505DF__wvu_PrintTitles" vbProcedure="false">PriceBC!$1:$5</definedName>
    <definedName function="false" hidden="false" localSheetId="6" name="Z_4398CEE5_B092_11D2_A84E_00805F2505DF__wvu_PrintArea" vbProcedure="false">PriceBC!$A$120:$M$237</definedName>
    <definedName function="false" hidden="false" localSheetId="6" name="Z_4398CEE5_B092_11D2_A84E_00805F2505DF__wvu_PrintTitles" vbProcedure="false">PriceBC!$1:$5</definedName>
    <definedName function="false" hidden="false" localSheetId="6" name="Z_535643BF_B9EE_11D2_A857_00805F2505DF__wvu_PrintArea" vbProcedure="false">PriceBC!$A$6:$R$39</definedName>
    <definedName function="false" hidden="false" localSheetId="6" name="Z_535643BF_B9EE_11D2_A857_00805F2505DF__wvu_PrintTitles" vbProcedure="false">PriceBC!$1:$5</definedName>
    <definedName function="false" hidden="false" localSheetId="6" name="Z_535643C8_B9EE_11D2_A857_00805F2505DF__wvu_PrintArea" vbProcedure="false">PriceBC!$A$40:$AG$118</definedName>
    <definedName function="false" hidden="false" localSheetId="6" name="Z_535643C8_B9EE_11D2_A857_00805F2505DF__wvu_PrintTitles" vbProcedure="false">PriceBC!$1:$5</definedName>
    <definedName function="false" hidden="false" localSheetId="6" name="Z_535643D1_B9EE_11D2_A857_00805F2505DF__wvu_PrintArea" vbProcedure="false">PriceBC!$A$120:$M$237</definedName>
    <definedName function="false" hidden="false" localSheetId="6" name="Z_535643D1_B9EE_11D2_A857_00805F2505DF__wvu_PrintTitles" vbProcedure="false">PriceBC!$1:$5</definedName>
    <definedName function="false" hidden="false" localSheetId="6" name="Z_70785CB9_A4C6_11D2_A845_00805F2505DF__wvu_PrintArea" vbProcedure="false">PriceBC!$A$6:$R$39</definedName>
    <definedName function="false" hidden="false" localSheetId="6" name="Z_70785CB9_A4C6_11D2_A845_00805F2505DF__wvu_PrintTitles" vbProcedure="false">PriceBC!$1:$5</definedName>
    <definedName function="false" hidden="false" localSheetId="6" name="Z_70785CC2_A4C6_11D2_A845_00805F2505DF__wvu_PrintArea" vbProcedure="false">PriceBC!$A$40:$AG$118</definedName>
    <definedName function="false" hidden="false" localSheetId="6" name="Z_70785CC2_A4C6_11D2_A845_00805F2505DF__wvu_PrintTitles" vbProcedure="false">PriceBC!$1:$5</definedName>
    <definedName function="false" hidden="false" localSheetId="6" name="Z_70785CCB_A4C6_11D2_A845_00805F2505DF__wvu_PrintArea" vbProcedure="false">PriceBC!$A$120:$M$237</definedName>
    <definedName function="false" hidden="false" localSheetId="6" name="Z_70785CCB_A4C6_11D2_A845_00805F2505DF__wvu_PrintTitles" vbProcedure="false">PriceBC!$1:$5</definedName>
    <definedName function="false" hidden="false" localSheetId="6" name="Z_76D54FAA_89F3_11D2_B05A_00104B2CC235__wvu_PrintArea" vbProcedure="false">PriceBC!$A$6:$R$39</definedName>
    <definedName function="false" hidden="false" localSheetId="6" name="Z_76D54FAA_89F3_11D2_B05A_00104B2CC235__wvu_PrintTitles" vbProcedure="false">PriceBC!$1:$5</definedName>
    <definedName function="false" hidden="false" localSheetId="6" name="Z_76D54FB3_89F3_11D2_B05A_00104B2CC235__wvu_PrintArea" vbProcedure="false">PriceBC!$A$40:$AG$118</definedName>
    <definedName function="false" hidden="false" localSheetId="6" name="Z_76D54FB3_89F3_11D2_B05A_00104B2CC235__wvu_PrintTitles" vbProcedure="false">PriceBC!$1:$5</definedName>
    <definedName function="false" hidden="false" localSheetId="6" name="Z_76D54FBC_89F3_11D2_B05A_00104B2CC235__wvu_PrintArea" vbProcedure="false">PriceBC!$A$120:$M$237</definedName>
    <definedName function="false" hidden="false" localSheetId="6" name="Z_76D54FBC_89F3_11D2_B05A_00104B2CC235__wvu_PrintTitles" vbProcedure="false">PriceBC!$1:$5</definedName>
    <definedName function="false" hidden="false" localSheetId="6" name="Z_7B7539EF_B7B8_11D2_A856_00805F2505DF__wvu_PrintArea" vbProcedure="false">PriceBC!$A$6:$R$39</definedName>
    <definedName function="false" hidden="false" localSheetId="6" name="Z_7B7539EF_B7B8_11D2_A856_00805F2505DF__wvu_PrintTitles" vbProcedure="false">PriceBC!$1:$5</definedName>
    <definedName function="false" hidden="false" localSheetId="6" name="Z_7B7539F8_B7B8_11D2_A856_00805F2505DF__wvu_PrintArea" vbProcedure="false">PriceBC!$A$40:$AG$118</definedName>
    <definedName function="false" hidden="false" localSheetId="6" name="Z_7B7539F8_B7B8_11D2_A856_00805F2505DF__wvu_PrintTitles" vbProcedure="false">PriceBC!$1:$5</definedName>
    <definedName function="false" hidden="false" localSheetId="6" name="Z_7B753A01_B7B8_11D2_A856_00805F2505DF__wvu_PrintArea" vbProcedure="false">PriceBC!$A$120:$M$237</definedName>
    <definedName function="false" hidden="false" localSheetId="6" name="Z_7B753A01_B7B8_11D2_A856_00805F2505DF__wvu_PrintTitles" vbProcedure="false">PriceBC!$1:$5</definedName>
    <definedName function="false" hidden="false" localSheetId="6" name="Z_7C160643_B226_11D2_A850_00805F2505DF__wvu_PrintArea" vbProcedure="false">PriceBC!$A$6:$R$39</definedName>
    <definedName function="false" hidden="false" localSheetId="6" name="Z_7C160643_B226_11D2_A850_00805F2505DF__wvu_PrintTitles" vbProcedure="false">PriceBC!$1:$5</definedName>
    <definedName function="false" hidden="false" localSheetId="6" name="Z_7C16064C_B226_11D2_A850_00805F2505DF__wvu_PrintArea" vbProcedure="false">PriceBC!$A$40:$AG$118</definedName>
    <definedName function="false" hidden="false" localSheetId="6" name="Z_7C16064C_B226_11D2_A850_00805F2505DF__wvu_PrintTitles" vbProcedure="false">PriceBC!$1:$5</definedName>
    <definedName function="false" hidden="false" localSheetId="6" name="Z_7C160655_B226_11D2_A850_00805F2505DF__wvu_PrintArea" vbProcedure="false">PriceBC!$A$120:$M$237</definedName>
    <definedName function="false" hidden="false" localSheetId="6" name="Z_7C160655_B226_11D2_A850_00805F2505DF__wvu_PrintTitles" vbProcedure="false">PriceBC!$1:$5</definedName>
    <definedName function="false" hidden="false" localSheetId="6" name="Z_8106BDB0_AA5F_11D2_A84B_00805F2505DF__wvu_PrintArea" vbProcedure="false">PriceBC!$A$6:$R$39</definedName>
    <definedName function="false" hidden="false" localSheetId="6" name="Z_8106BDB0_AA5F_11D2_A84B_00805F2505DF__wvu_PrintTitles" vbProcedure="false">PriceBC!$1:$5</definedName>
    <definedName function="false" hidden="false" localSheetId="6" name="Z_8106BDB9_AA5F_11D2_A84B_00805F2505DF__wvu_PrintArea" vbProcedure="false">PriceBC!$A$40:$AG$118</definedName>
    <definedName function="false" hidden="false" localSheetId="6" name="Z_8106BDB9_AA5F_11D2_A84B_00805F2505DF__wvu_PrintTitles" vbProcedure="false">PriceBC!$1:$5</definedName>
    <definedName function="false" hidden="false" localSheetId="6" name="Z_8106BDC2_AA5F_11D2_A84B_00805F2505DF__wvu_PrintArea" vbProcedure="false">PriceBC!$A$120:$M$237</definedName>
    <definedName function="false" hidden="false" localSheetId="6" name="Z_8106BDC2_AA5F_11D2_A84B_00805F2505DF__wvu_PrintTitles" vbProcedure="false">PriceBC!$1:$5</definedName>
    <definedName function="false" hidden="false" localSheetId="6" name="Z_90E3CCE2_A590_11D2_A845_00805F2505DF__wvu_PrintArea" vbProcedure="false">PriceBC!$A$6:$R$39</definedName>
    <definedName function="false" hidden="false" localSheetId="6" name="Z_90E3CCE2_A590_11D2_A845_00805F2505DF__wvu_PrintTitles" vbProcedure="false">PriceBC!$1:$5</definedName>
    <definedName function="false" hidden="false" localSheetId="6" name="Z_90E3CCEB_A590_11D2_A845_00805F2505DF__wvu_PrintArea" vbProcedure="false">PriceBC!$A$40:$AG$118</definedName>
    <definedName function="false" hidden="false" localSheetId="6" name="Z_90E3CCEB_A590_11D2_A845_00805F2505DF__wvu_PrintTitles" vbProcedure="false">PriceBC!$1:$5</definedName>
    <definedName function="false" hidden="false" localSheetId="6" name="Z_90E3CCF4_A590_11D2_A845_00805F2505DF__wvu_PrintArea" vbProcedure="false">PriceBC!$A$120:$M$237</definedName>
    <definedName function="false" hidden="false" localSheetId="6" name="Z_90E3CCF4_A590_11D2_A845_00805F2505DF__wvu_PrintTitles" vbProcedure="false">PriceBC!$1:$5</definedName>
    <definedName function="false" hidden="false" localSheetId="6" name="Z_9F5984A8_ADA0_11D2_A84C_00805F2505DF__wvu_PrintArea" vbProcedure="false">PriceBC!$A$6:$R$39</definedName>
    <definedName function="false" hidden="false" localSheetId="6" name="Z_9F5984A8_ADA0_11D2_A84C_00805F2505DF__wvu_PrintTitles" vbProcedure="false">PriceBC!$1:$5</definedName>
    <definedName function="false" hidden="false" localSheetId="6" name="Z_9F5984B1_ADA0_11D2_A84C_00805F2505DF__wvu_PrintArea" vbProcedure="false">PriceBC!$A$40:$AG$118</definedName>
    <definedName function="false" hidden="false" localSheetId="6" name="Z_9F5984B1_ADA0_11D2_A84C_00805F2505DF__wvu_PrintTitles" vbProcedure="false">PriceBC!$1:$5</definedName>
    <definedName function="false" hidden="false" localSheetId="6" name="Z_9F5984BA_ADA0_11D2_A84C_00805F2505DF__wvu_PrintArea" vbProcedure="false">PriceBC!$A$120:$M$237</definedName>
    <definedName function="false" hidden="false" localSheetId="6" name="Z_9F5984BA_ADA0_11D2_A84C_00805F2505DF__wvu_PrintTitles" vbProcedure="false">PriceBC!$1:$5</definedName>
    <definedName function="false" hidden="false" localSheetId="6" name="Z_AA00244F_B62E_11D2_A853_00805F2505DF__wvu_PrintArea" vbProcedure="false">PriceBC!$A$6:$R$39</definedName>
    <definedName function="false" hidden="false" localSheetId="6" name="Z_AA00244F_B62E_11D2_A853_00805F2505DF__wvu_PrintTitles" vbProcedure="false">PriceBC!$1:$5</definedName>
    <definedName function="false" hidden="false" localSheetId="6" name="Z_AA002458_B62E_11D2_A853_00805F2505DF__wvu_PrintArea" vbProcedure="false">PriceBC!$A$40:$AG$118</definedName>
    <definedName function="false" hidden="false" localSheetId="6" name="Z_AA002458_B62E_11D2_A853_00805F2505DF__wvu_PrintTitles" vbProcedure="false">PriceBC!$1:$5</definedName>
    <definedName function="false" hidden="false" localSheetId="6" name="Z_AA002461_B62E_11D2_A853_00805F2505DF__wvu_PrintArea" vbProcedure="false">PriceBC!$A$120:$M$237</definedName>
    <definedName function="false" hidden="false" localSheetId="6" name="Z_AA002461_B62E_11D2_A853_00805F2505DF__wvu_PrintTitles" vbProcedure="false">PriceBC!$1:$5</definedName>
    <definedName function="false" hidden="false" localSheetId="6" name="Z_AA0024AD_B62E_11D2_A853_00805F2505DF__wvu_PrintArea" vbProcedure="false">PriceBC!$A$6:$R$39</definedName>
    <definedName function="false" hidden="false" localSheetId="6" name="Z_AA0024AD_B62E_11D2_A853_00805F2505DF__wvu_PrintTitles" vbProcedure="false">PriceBC!$1:$5</definedName>
    <definedName function="false" hidden="false" localSheetId="6" name="Z_AA0024B6_B62E_11D2_A853_00805F2505DF__wvu_PrintArea" vbProcedure="false">PriceBC!$A$40:$AG$118</definedName>
    <definedName function="false" hidden="false" localSheetId="6" name="Z_AA0024B6_B62E_11D2_A853_00805F2505DF__wvu_PrintTitles" vbProcedure="false">PriceBC!$1:$5</definedName>
    <definedName function="false" hidden="false" localSheetId="6" name="Z_AA0024BF_B62E_11D2_A853_00805F2505DF__wvu_PrintArea" vbProcedure="false">PriceBC!$A$120:$M$237</definedName>
    <definedName function="false" hidden="false" localSheetId="6" name="Z_AA0024BF_B62E_11D2_A853_00805F2505DF__wvu_PrintTitles" vbProcedure="false">PriceBC!$1:$5</definedName>
    <definedName function="false" hidden="false" localSheetId="6" name="Z_B2298A94_9F4B_11D2_A842_00805F2505DF__wvu_PrintArea" vbProcedure="false">PriceBC!$A$6:$R$39</definedName>
    <definedName function="false" hidden="false" localSheetId="6" name="Z_B2298A94_9F4B_11D2_A842_00805F2505DF__wvu_PrintTitles" vbProcedure="false">PriceBC!$1:$5</definedName>
    <definedName function="false" hidden="false" localSheetId="6" name="Z_B2298A9D_9F4B_11D2_A842_00805F2505DF__wvu_PrintArea" vbProcedure="false">PriceBC!$A$40:$AG$118</definedName>
    <definedName function="false" hidden="false" localSheetId="6" name="Z_B2298A9D_9F4B_11D2_A842_00805F2505DF__wvu_PrintTitles" vbProcedure="false">PriceBC!$1:$5</definedName>
    <definedName function="false" hidden="false" localSheetId="6" name="Z_B2298AA6_9F4B_11D2_A842_00805F2505DF__wvu_PrintArea" vbProcedure="false">PriceBC!$A$120:$M$237</definedName>
    <definedName function="false" hidden="false" localSheetId="6" name="Z_B2298AA6_9F4B_11D2_A842_00805F2505DF__wvu_PrintTitles" vbProcedure="false">PriceBC!$1:$5</definedName>
    <definedName function="false" hidden="false" localSheetId="6" name="Z_B2F7E2C5_7FBD_11D2_A836_00805F2505DF__wvu_PrintArea" vbProcedure="false">PriceBC!$A$6:$R$39</definedName>
    <definedName function="false" hidden="false" localSheetId="6" name="Z_B2F7E2C5_7FBD_11D2_A836_00805F2505DF__wvu_PrintTitles" vbProcedure="false">PriceBC!$1:$5</definedName>
    <definedName function="false" hidden="false" localSheetId="6" name="Z_B2F7E2CE_7FBD_11D2_A836_00805F2505DF__wvu_PrintArea" vbProcedure="false">PriceBC!$A$40:$AG$118</definedName>
    <definedName function="false" hidden="false" localSheetId="6" name="Z_B2F7E2CE_7FBD_11D2_A836_00805F2505DF__wvu_PrintTitles" vbProcedure="false">PriceBC!$1:$5</definedName>
    <definedName function="false" hidden="false" localSheetId="6" name="Z_B2F7E2D7_7FBD_11D2_A836_00805F2505DF__wvu_PrintArea" vbProcedure="false">PriceBC!$A$120:$M$237</definedName>
    <definedName function="false" hidden="false" localSheetId="6" name="Z_B2F7E2D7_7FBD_11D2_A836_00805F2505DF__wvu_PrintTitles" vbProcedure="false">PriceBC!$1:$5</definedName>
    <definedName function="false" hidden="false" localSheetId="6" name="Z_CAE48B03_AFF0_11D2_A84D_00805F2505DF__wvu_PrintArea" vbProcedure="false">PriceBC!$A$6:$R$39</definedName>
    <definedName function="false" hidden="false" localSheetId="6" name="Z_CAE48B03_AFF0_11D2_A84D_00805F2505DF__wvu_PrintTitles" vbProcedure="false">PriceBC!$1:$5</definedName>
    <definedName function="false" hidden="false" localSheetId="6" name="Z_CAE48B0C_AFF0_11D2_A84D_00805F2505DF__wvu_PrintArea" vbProcedure="false">PriceBC!$A$40:$AG$118</definedName>
    <definedName function="false" hidden="false" localSheetId="6" name="Z_CAE48B0C_AFF0_11D2_A84D_00805F2505DF__wvu_PrintTitles" vbProcedure="false">PriceBC!$1:$5</definedName>
    <definedName function="false" hidden="false" localSheetId="6" name="Z_CAE48B15_AFF0_11D2_A84D_00805F2505DF__wvu_PrintArea" vbProcedure="false">PriceBC!$A$120:$M$237</definedName>
    <definedName function="false" hidden="false" localSheetId="6" name="Z_CAE48B15_AFF0_11D2_A84D_00805F2505DF__wvu_PrintTitles" vbProcedure="false">PriceBC!$1:$5</definedName>
    <definedName function="false" hidden="false" localSheetId="6" name="Z_CC3965CB_A99C_11D2_A84A_00805F2505DF__wvu_PrintArea" vbProcedure="false">PriceBC!$A$6:$R$39</definedName>
    <definedName function="false" hidden="false" localSheetId="6" name="Z_CC3965CB_A99C_11D2_A84A_00805F2505DF__wvu_PrintTitles" vbProcedure="false">PriceBC!$1:$5</definedName>
    <definedName function="false" hidden="false" localSheetId="6" name="Z_CC3965D4_A99C_11D2_A84A_00805F2505DF__wvu_PrintArea" vbProcedure="false">PriceBC!$A$40:$AG$118</definedName>
    <definedName function="false" hidden="false" localSheetId="6" name="Z_CC3965D4_A99C_11D2_A84A_00805F2505DF__wvu_PrintTitles" vbProcedure="false">PriceBC!$1:$5</definedName>
    <definedName function="false" hidden="false" localSheetId="6" name="Z_CC3965DD_A99C_11D2_A84A_00805F2505DF__wvu_PrintArea" vbProcedure="false">PriceBC!$A$120:$M$237</definedName>
    <definedName function="false" hidden="false" localSheetId="6" name="Z_CC3965DD_A99C_11D2_A84A_00805F2505DF__wvu_PrintTitles" vbProcedure="false">PriceBC!$1:$5</definedName>
    <definedName function="false" hidden="false" localSheetId="6" name="Z_D4AB6C0B_AB0F_11D2_A84C_00805F2505DF__wvu_PrintArea" vbProcedure="false">PriceBC!$A$6:$R$39</definedName>
    <definedName function="false" hidden="false" localSheetId="6" name="Z_D4AB6C0B_AB0F_11D2_A84C_00805F2505DF__wvu_PrintTitles" vbProcedure="false">PriceBC!$1:$5</definedName>
    <definedName function="false" hidden="false" localSheetId="6" name="Z_D4AB6C14_AB0F_11D2_A84C_00805F2505DF__wvu_PrintArea" vbProcedure="false">PriceBC!$A$40:$AG$118</definedName>
    <definedName function="false" hidden="false" localSheetId="6" name="Z_D4AB6C14_AB0F_11D2_A84C_00805F2505DF__wvu_PrintTitles" vbProcedure="false">PriceBC!$1:$5</definedName>
    <definedName function="false" hidden="false" localSheetId="6" name="Z_D4AB6C1D_AB0F_11D2_A84C_00805F2505DF__wvu_PrintArea" vbProcedure="false">PriceBC!$A$120:$M$237</definedName>
    <definedName function="false" hidden="false" localSheetId="6" name="Z_D4AB6C1D_AB0F_11D2_A84C_00805F2505DF__wvu_PrintTitles" vbProcedure="false">PriceBC!$1:$5</definedName>
    <definedName function="false" hidden="false" localSheetId="6" name="Z_D4AB6C64_AB0F_11D2_A84C_00805F2505DF__wvu_PrintArea" vbProcedure="false">PriceBC!$A$6:$R$39</definedName>
    <definedName function="false" hidden="false" localSheetId="6" name="Z_D4AB6C64_AB0F_11D2_A84C_00805F2505DF__wvu_PrintTitles" vbProcedure="false">PriceBC!$1:$5</definedName>
    <definedName function="false" hidden="false" localSheetId="6" name="Z_D4AB6C6D_AB0F_11D2_A84C_00805F2505DF__wvu_PrintArea" vbProcedure="false">PriceBC!$A$40:$AG$118</definedName>
    <definedName function="false" hidden="false" localSheetId="6" name="Z_D4AB6C6D_AB0F_11D2_A84C_00805F2505DF__wvu_PrintTitles" vbProcedure="false">PriceBC!$1:$5</definedName>
    <definedName function="false" hidden="false" localSheetId="6" name="Z_D4AB6C76_AB0F_11D2_A84C_00805F2505DF__wvu_PrintArea" vbProcedure="false">PriceBC!$A$120:$M$237</definedName>
    <definedName function="false" hidden="false" localSheetId="6" name="Z_D4AB6C76_AB0F_11D2_A84C_00805F2505DF__wvu_PrintTitles" vbProcedure="false">PriceBC!$1:$5</definedName>
    <definedName function="false" hidden="false" localSheetId="6" name="Z_E05B5122_A672_11D2_A848_00805F2505DF__wvu_PrintArea" vbProcedure="false">PriceBC!$A$6:$R$39</definedName>
    <definedName function="false" hidden="false" localSheetId="6" name="Z_E05B5122_A672_11D2_A848_00805F2505DF__wvu_PrintTitles" vbProcedure="false">PriceBC!$1:$5</definedName>
    <definedName function="false" hidden="false" localSheetId="6" name="Z_E05B512B_A672_11D2_A848_00805F2505DF__wvu_PrintArea" vbProcedure="false">PriceBC!$A$40:$AG$118</definedName>
    <definedName function="false" hidden="false" localSheetId="6" name="Z_E05B512B_A672_11D2_A848_00805F2505DF__wvu_PrintTitles" vbProcedure="false">PriceBC!$1:$5</definedName>
    <definedName function="false" hidden="false" localSheetId="6" name="Z_E05B5134_A672_11D2_A848_00805F2505DF__wvu_PrintArea" vbProcedure="false">PriceBC!$A$120:$M$237</definedName>
    <definedName function="false" hidden="false" localSheetId="6" name="Z_E05B5134_A672_11D2_A848_00805F2505DF__wvu_PrintTitles" vbProcedure="false">PriceBC!$1:$5</definedName>
    <definedName function="false" hidden="false" localSheetId="6" name="Z_F60B7B79_B470_11D2_A851_00805F2505DF__wvu_PrintArea" vbProcedure="false">PriceBC!$A$6:$R$39</definedName>
    <definedName function="false" hidden="false" localSheetId="6" name="Z_F60B7B79_B470_11D2_A851_00805F2505DF__wvu_PrintTitles" vbProcedure="false">PriceBC!$1:$5</definedName>
    <definedName function="false" hidden="false" localSheetId="6" name="Z_F60B7B82_B470_11D2_A851_00805F2505DF__wvu_PrintArea" vbProcedure="false">PriceBC!$A$40:$AG$118</definedName>
    <definedName function="false" hidden="false" localSheetId="6" name="Z_F60B7B82_B470_11D2_A851_00805F2505DF__wvu_PrintTitles" vbProcedure="false">PriceBC!$1:$5</definedName>
    <definedName function="false" hidden="false" localSheetId="6" name="Z_F60B7B8B_B470_11D2_A851_00805F2505DF__wvu_PrintArea" vbProcedure="false">PriceBC!$A$120:$M$237</definedName>
    <definedName function="false" hidden="false" localSheetId="6" name="Z_F60B7B8B_B470_11D2_A851_00805F2505DF__wvu_PrintTitles" vbProcedure="false">PriceBC!$1:$5</definedName>
    <definedName function="false" hidden="false" localSheetId="6" name="Z_F60B7BDE_B470_11D2_A851_00805F2505DF__wvu_PrintArea" vbProcedure="false">PriceBC!$A$6:$R$39</definedName>
    <definedName function="false" hidden="false" localSheetId="6" name="Z_F60B7BDE_B470_11D2_A851_00805F2505DF__wvu_PrintTitles" vbProcedure="false">PriceBC!$1:$5</definedName>
    <definedName function="false" hidden="false" localSheetId="6" name="Z_F60B7BE7_B470_11D2_A851_00805F2505DF__wvu_PrintArea" vbProcedure="false">PriceBC!$A$40:$AG$118</definedName>
    <definedName function="false" hidden="false" localSheetId="6" name="Z_F60B7BE7_B470_11D2_A851_00805F2505DF__wvu_PrintTitles" vbProcedure="false">PriceBC!$1:$5</definedName>
    <definedName function="false" hidden="false" localSheetId="6" name="Z_F60B7BF0_B470_11D2_A851_00805F2505DF__wvu_PrintArea" vbProcedure="false">PriceBC!$A$120:$M$237</definedName>
    <definedName function="false" hidden="false" localSheetId="6" name="Z_F60B7BF0_B470_11D2_A851_00805F2505DF__wvu_PrintTitles" vbProcedure="false">PriceBC!$1:$5</definedName>
    <definedName function="false" hidden="false" localSheetId="6" name="Z_F947EA2B_ABF3_11D2_A84C_00805F2505DF__wvu_PrintArea" vbProcedure="false">PriceBC!$A$6:$R$39</definedName>
    <definedName function="false" hidden="false" localSheetId="6" name="Z_F947EA2B_ABF3_11D2_A84C_00805F2505DF__wvu_PrintTitles" vbProcedure="false">PriceBC!$1:$5</definedName>
    <definedName function="false" hidden="false" localSheetId="6" name="Z_F947EA34_ABF3_11D2_A84C_00805F2505DF__wvu_PrintArea" vbProcedure="false">PriceBC!$A$40:$AG$118</definedName>
    <definedName function="false" hidden="false" localSheetId="6" name="Z_F947EA34_ABF3_11D2_A84C_00805F2505DF__wvu_PrintTitles" vbProcedure="false">PriceBC!$1:$5</definedName>
    <definedName function="false" hidden="false" localSheetId="6" name="Z_F947EA3D_ABF3_11D2_A84C_00805F2505DF__wvu_PrintArea" vbProcedure="false">PriceBC!$A$120:$M$237</definedName>
    <definedName function="false" hidden="false" localSheetId="6" name="Z_F947EA3D_ABF3_11D2_A84C_00805F2505DF__wvu_PrintTitles" vbProcedure="false">PriceBC!$1:$5</definedName>
    <definedName function="false" hidden="false" localSheetId="7" name="ACwvu_BookBal_" vbProcedure="false">BCIndex!$A$6:$R$40</definedName>
    <definedName function="false" hidden="false" localSheetId="7" name="ACwvu_DailyChange_" vbProcedure="false">BCIndex!$A$41:$AG$118</definedName>
    <definedName function="false" hidden="false" localSheetId="7" name="ACwvu_Schedules_" vbProcedure="false">BCIndex!$A$121:$M$239</definedName>
    <definedName function="false" hidden="false" localSheetId="7" name="DAILY" vbProcedure="false">'[1]Orig Sched'!$DP$120</definedName>
    <definedName function="false" hidden="false" localSheetId="7" name="RANGE" vbProcedure="false">'[1]Orig Sched'!$DP$120</definedName>
    <definedName function="false" hidden="false" localSheetId="7" name="Swvu_BookBal_" vbProcedure="false">BCIndex!$A$6:$R$40</definedName>
    <definedName function="false" hidden="false" localSheetId="7" name="Swvu_DailyChange_" vbProcedure="false">BCIndex!$A$41:$AG$118</definedName>
    <definedName function="false" hidden="false" localSheetId="7" name="Swvu_Schedules_" vbProcedure="false">BCIndex!$A$121:$M$239</definedName>
    <definedName function="false" hidden="false" localSheetId="7" name="wrn_RollDetail_" vbProcedure="false">{"BookBal",#N/A,FALSE,"Roll";"DailyChange",#N/A,FALSE,"Roll";"Schedules",#N/A,FALSE,"Roll"}</definedName>
    <definedName function="false" hidden="false" localSheetId="7"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7"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7"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7" name="Z_00D2C730_B168_11D2_A84F_00805F2505DF__wvu_PrintArea" vbProcedure="false">BCIndex!$A$6:$R$39</definedName>
    <definedName function="false" hidden="false" localSheetId="7" name="Z_00D2C730_B168_11D2_A84F_00805F2505DF__wvu_PrintTitles" vbProcedure="false">BCIndex!$1:$5</definedName>
    <definedName function="false" hidden="false" localSheetId="7" name="Z_00D2C739_B168_11D2_A84F_00805F2505DF__wvu_PrintArea" vbProcedure="false">BCIndex!$A$40:$AG$118</definedName>
    <definedName function="false" hidden="false" localSheetId="7" name="Z_00D2C739_B168_11D2_A84F_00805F2505DF__wvu_PrintTitles" vbProcedure="false">BCIndex!$1:$5</definedName>
    <definedName function="false" hidden="false" localSheetId="7" name="Z_00D2C742_B168_11D2_A84F_00805F2505DF__wvu_PrintArea" vbProcedure="false">BCIndex!$A$120:$M$238</definedName>
    <definedName function="false" hidden="false" localSheetId="7" name="Z_00D2C742_B168_11D2_A84F_00805F2505DF__wvu_PrintTitles" vbProcedure="false">BCIndex!$1:$5</definedName>
    <definedName function="false" hidden="false" localSheetId="7" name="Z_01843847_B93D_11D2_8444_00805F3629DE__wvu_PrintArea" vbProcedure="false">BCIndex!$A$6:$R$39</definedName>
    <definedName function="false" hidden="false" localSheetId="7" name="Z_01843847_B93D_11D2_8444_00805F3629DE__wvu_PrintTitles" vbProcedure="false">BCIndex!$1:$5</definedName>
    <definedName function="false" hidden="false" localSheetId="7" name="Z_01843850_B93D_11D2_8444_00805F3629DE__wvu_PrintArea" vbProcedure="false">BCIndex!$A$40:$AG$118</definedName>
    <definedName function="false" hidden="false" localSheetId="7" name="Z_01843850_B93D_11D2_8444_00805F3629DE__wvu_PrintTitles" vbProcedure="false">BCIndex!$1:$5</definedName>
    <definedName function="false" hidden="false" localSheetId="7" name="Z_01843859_B93D_11D2_8444_00805F3629DE__wvu_PrintArea" vbProcedure="false">BCIndex!$A$120:$M$238</definedName>
    <definedName function="false" hidden="false" localSheetId="7" name="Z_01843859_B93D_11D2_8444_00805F3629DE__wvu_PrintTitles" vbProcedure="false">BCIndex!$1:$5</definedName>
    <definedName function="false" hidden="false" localSheetId="7" name="Z_02448BA0_88FA_11D2_B05A_00104B2CC235__wvu_PrintArea" vbProcedure="false">BCIndex!$A$6:$R$39</definedName>
    <definedName function="false" hidden="false" localSheetId="7" name="Z_02448BA0_88FA_11D2_B05A_00104B2CC235__wvu_PrintTitles" vbProcedure="false">BCIndex!$1:$5</definedName>
    <definedName function="false" hidden="false" localSheetId="7" name="Z_02448BA9_88FA_11D2_B05A_00104B2CC235__wvu_PrintArea" vbProcedure="false">BCIndex!$A$40:$AG$118</definedName>
    <definedName function="false" hidden="false" localSheetId="7" name="Z_02448BA9_88FA_11D2_B05A_00104B2CC235__wvu_PrintTitles" vbProcedure="false">BCIndex!$1:$5</definedName>
    <definedName function="false" hidden="false" localSheetId="7" name="Z_02448BB2_88FA_11D2_B05A_00104B2CC235__wvu_PrintArea" vbProcedure="false">BCIndex!$A$120:$M$238</definedName>
    <definedName function="false" hidden="false" localSheetId="7" name="Z_02448BB2_88FA_11D2_B05A_00104B2CC235__wvu_PrintTitles" vbProcedure="false">BCIndex!$1:$5</definedName>
    <definedName function="false" hidden="false" localSheetId="7" name="Z_0AC5A1F0_9EA7_11D2_A842_00805F2505DF__wvu_PrintArea" vbProcedure="false">BCIndex!$A$6:$R$39</definedName>
    <definedName function="false" hidden="false" localSheetId="7" name="Z_0AC5A1F0_9EA7_11D2_A842_00805F2505DF__wvu_PrintTitles" vbProcedure="false">BCIndex!$1:$5</definedName>
    <definedName function="false" hidden="false" localSheetId="7" name="Z_0AC5A1F9_9EA7_11D2_A842_00805F2505DF__wvu_PrintArea" vbProcedure="false">BCIndex!$A$40:$AG$118</definedName>
    <definedName function="false" hidden="false" localSheetId="7" name="Z_0AC5A1F9_9EA7_11D2_A842_00805F2505DF__wvu_PrintTitles" vbProcedure="false">BCIndex!$1:$5</definedName>
    <definedName function="false" hidden="false" localSheetId="7" name="Z_0AC5A202_9EA7_11D2_A842_00805F2505DF__wvu_PrintArea" vbProcedure="false">BCIndex!$A$120:$M$238</definedName>
    <definedName function="false" hidden="false" localSheetId="7" name="Z_0AC5A202_9EA7_11D2_A842_00805F2505DF__wvu_PrintTitles" vbProcedure="false">BCIndex!$1:$5</definedName>
    <definedName function="false" hidden="false" localSheetId="7" name="Z_37FD7BD7_ABC9_11D2_843C_00805F3629DE__wvu_PrintArea" vbProcedure="false">BCIndex!$A$6:$R$39</definedName>
    <definedName function="false" hidden="false" localSheetId="7" name="Z_37FD7BD7_ABC9_11D2_843C_00805F3629DE__wvu_PrintTitles" vbProcedure="false">BCIndex!$1:$5</definedName>
    <definedName function="false" hidden="false" localSheetId="7" name="Z_37FD7BE0_ABC9_11D2_843C_00805F3629DE__wvu_PrintArea" vbProcedure="false">BCIndex!$A$40:$AG$118</definedName>
    <definedName function="false" hidden="false" localSheetId="7" name="Z_37FD7BE0_ABC9_11D2_843C_00805F3629DE__wvu_PrintTitles" vbProcedure="false">BCIndex!$1:$5</definedName>
    <definedName function="false" hidden="false" localSheetId="7" name="Z_37FD7BE9_ABC9_11D2_843C_00805F3629DE__wvu_PrintArea" vbProcedure="false">BCIndex!$A$120:$M$238</definedName>
    <definedName function="false" hidden="false" localSheetId="7" name="Z_37FD7BE9_ABC9_11D2_843C_00805F3629DE__wvu_PrintTitles" vbProcedure="false">BCIndex!$1:$5</definedName>
    <definedName function="false" hidden="false" localSheetId="7" name="Z_383AC424_A3FF_11D2_A845_00805F2505DF__wvu_PrintArea" vbProcedure="false">BCIndex!$A$6:$R$39</definedName>
    <definedName function="false" hidden="false" localSheetId="7" name="Z_383AC424_A3FF_11D2_A845_00805F2505DF__wvu_PrintTitles" vbProcedure="false">BCIndex!$1:$5</definedName>
    <definedName function="false" hidden="false" localSheetId="7" name="Z_383AC42D_A3FF_11D2_A845_00805F2505DF__wvu_PrintArea" vbProcedure="false">BCIndex!$A$40:$AG$118</definedName>
    <definedName function="false" hidden="false" localSheetId="7" name="Z_383AC42D_A3FF_11D2_A845_00805F2505DF__wvu_PrintTitles" vbProcedure="false">BCIndex!$1:$5</definedName>
    <definedName function="false" hidden="false" localSheetId="7" name="Z_383AC436_A3FF_11D2_A845_00805F2505DF__wvu_PrintArea" vbProcedure="false">BCIndex!$A$120:$M$238</definedName>
    <definedName function="false" hidden="false" localSheetId="7" name="Z_383AC436_A3FF_11D2_A845_00805F2505DF__wvu_PrintTitles" vbProcedure="false">BCIndex!$1:$5</definedName>
    <definedName function="false" hidden="false" localSheetId="7" name="Z_4398CED0_B092_11D2_A84E_00805F2505DF__wvu_PrintArea" vbProcedure="false">BCIndex!$A$6:$R$39</definedName>
    <definedName function="false" hidden="false" localSheetId="7" name="Z_4398CED0_B092_11D2_A84E_00805F2505DF__wvu_PrintTitles" vbProcedure="false">BCIndex!$1:$5</definedName>
    <definedName function="false" hidden="false" localSheetId="7" name="Z_4398CED9_B092_11D2_A84E_00805F2505DF__wvu_PrintArea" vbProcedure="false">BCIndex!$A$40:$AG$118</definedName>
    <definedName function="false" hidden="false" localSheetId="7" name="Z_4398CED9_B092_11D2_A84E_00805F2505DF__wvu_PrintTitles" vbProcedure="false">BCIndex!$1:$5</definedName>
    <definedName function="false" hidden="false" localSheetId="7" name="Z_4398CEE2_B092_11D2_A84E_00805F2505DF__wvu_PrintArea" vbProcedure="false">BCIndex!$A$120:$M$238</definedName>
    <definedName function="false" hidden="false" localSheetId="7" name="Z_4398CEE2_B092_11D2_A84E_00805F2505DF__wvu_PrintTitles" vbProcedure="false">BCIndex!$1:$5</definedName>
    <definedName function="false" hidden="false" localSheetId="7" name="Z_535643BC_B9EE_11D2_A857_00805F2505DF__wvu_PrintArea" vbProcedure="false">BCIndex!$A$6:$R$39</definedName>
    <definedName function="false" hidden="false" localSheetId="7" name="Z_535643BC_B9EE_11D2_A857_00805F2505DF__wvu_PrintTitles" vbProcedure="false">BCIndex!$1:$5</definedName>
    <definedName function="false" hidden="false" localSheetId="7" name="Z_535643C5_B9EE_11D2_A857_00805F2505DF__wvu_PrintArea" vbProcedure="false">BCIndex!$A$40:$AG$118</definedName>
    <definedName function="false" hidden="false" localSheetId="7" name="Z_535643C5_B9EE_11D2_A857_00805F2505DF__wvu_PrintTitles" vbProcedure="false">BCIndex!$1:$5</definedName>
    <definedName function="false" hidden="false" localSheetId="7" name="Z_535643CE_B9EE_11D2_A857_00805F2505DF__wvu_PrintArea" vbProcedure="false">BCIndex!$A$120:$M$238</definedName>
    <definedName function="false" hidden="false" localSheetId="7" name="Z_535643CE_B9EE_11D2_A857_00805F2505DF__wvu_PrintTitles" vbProcedure="false">BCIndex!$1:$5</definedName>
    <definedName function="false" hidden="false" localSheetId="7" name="Z_70785CB6_A4C6_11D2_A845_00805F2505DF__wvu_PrintArea" vbProcedure="false">BCIndex!$A$6:$R$39</definedName>
    <definedName function="false" hidden="false" localSheetId="7" name="Z_70785CB6_A4C6_11D2_A845_00805F2505DF__wvu_PrintTitles" vbProcedure="false">BCIndex!$1:$5</definedName>
    <definedName function="false" hidden="false" localSheetId="7" name="Z_70785CBF_A4C6_11D2_A845_00805F2505DF__wvu_PrintArea" vbProcedure="false">BCIndex!$A$40:$AG$118</definedName>
    <definedName function="false" hidden="false" localSheetId="7" name="Z_70785CBF_A4C6_11D2_A845_00805F2505DF__wvu_PrintTitles" vbProcedure="false">BCIndex!$1:$5</definedName>
    <definedName function="false" hidden="false" localSheetId="7" name="Z_70785CC8_A4C6_11D2_A845_00805F2505DF__wvu_PrintArea" vbProcedure="false">BCIndex!$A$120:$M$238</definedName>
    <definedName function="false" hidden="false" localSheetId="7" name="Z_70785CC8_A4C6_11D2_A845_00805F2505DF__wvu_PrintTitles" vbProcedure="false">BCIndex!$1:$5</definedName>
    <definedName function="false" hidden="false" localSheetId="7" name="Z_76D54FA7_89F3_11D2_B05A_00104B2CC235__wvu_PrintArea" vbProcedure="false">BCIndex!$A$6:$R$39</definedName>
    <definedName function="false" hidden="false" localSheetId="7" name="Z_76D54FA7_89F3_11D2_B05A_00104B2CC235__wvu_PrintTitles" vbProcedure="false">BCIndex!$1:$5</definedName>
    <definedName function="false" hidden="false" localSheetId="7" name="Z_76D54FB0_89F3_11D2_B05A_00104B2CC235__wvu_PrintArea" vbProcedure="false">BCIndex!$A$40:$AG$118</definedName>
    <definedName function="false" hidden="false" localSheetId="7" name="Z_76D54FB0_89F3_11D2_B05A_00104B2CC235__wvu_PrintTitles" vbProcedure="false">BCIndex!$1:$5</definedName>
    <definedName function="false" hidden="false" localSheetId="7" name="Z_76D54FB9_89F3_11D2_B05A_00104B2CC235__wvu_PrintArea" vbProcedure="false">BCIndex!$A$120:$M$238</definedName>
    <definedName function="false" hidden="false" localSheetId="7" name="Z_76D54FB9_89F3_11D2_B05A_00104B2CC235__wvu_PrintTitles" vbProcedure="false">BCIndex!$1:$5</definedName>
    <definedName function="false" hidden="false" localSheetId="7" name="Z_7B7539EC_B7B8_11D2_A856_00805F2505DF__wvu_PrintArea" vbProcedure="false">BCIndex!$A$6:$R$39</definedName>
    <definedName function="false" hidden="false" localSheetId="7" name="Z_7B7539EC_B7B8_11D2_A856_00805F2505DF__wvu_PrintTitles" vbProcedure="false">BCIndex!$1:$5</definedName>
    <definedName function="false" hidden="false" localSheetId="7" name="Z_7B7539F5_B7B8_11D2_A856_00805F2505DF__wvu_PrintArea" vbProcedure="false">BCIndex!$A$40:$AG$118</definedName>
    <definedName function="false" hidden="false" localSheetId="7" name="Z_7B7539F5_B7B8_11D2_A856_00805F2505DF__wvu_PrintTitles" vbProcedure="false">BCIndex!$1:$5</definedName>
    <definedName function="false" hidden="false" localSheetId="7" name="Z_7B7539FE_B7B8_11D2_A856_00805F2505DF__wvu_PrintArea" vbProcedure="false">BCIndex!$A$120:$M$238</definedName>
    <definedName function="false" hidden="false" localSheetId="7" name="Z_7B7539FE_B7B8_11D2_A856_00805F2505DF__wvu_PrintTitles" vbProcedure="false">BCIndex!$1:$5</definedName>
    <definedName function="false" hidden="false" localSheetId="7" name="Z_7C160640_B226_11D2_A850_00805F2505DF__wvu_PrintArea" vbProcedure="false">BCIndex!$A$6:$R$39</definedName>
    <definedName function="false" hidden="false" localSheetId="7" name="Z_7C160640_B226_11D2_A850_00805F2505DF__wvu_PrintTitles" vbProcedure="false">BCIndex!$1:$5</definedName>
    <definedName function="false" hidden="false" localSheetId="7" name="Z_7C160649_B226_11D2_A850_00805F2505DF__wvu_PrintArea" vbProcedure="false">BCIndex!$A$40:$AG$118</definedName>
    <definedName function="false" hidden="false" localSheetId="7" name="Z_7C160649_B226_11D2_A850_00805F2505DF__wvu_PrintTitles" vbProcedure="false">BCIndex!$1:$5</definedName>
    <definedName function="false" hidden="false" localSheetId="7" name="Z_7C160652_B226_11D2_A850_00805F2505DF__wvu_PrintArea" vbProcedure="false">BCIndex!$A$120:$M$238</definedName>
    <definedName function="false" hidden="false" localSheetId="7" name="Z_7C160652_B226_11D2_A850_00805F2505DF__wvu_PrintTitles" vbProcedure="false">BCIndex!$1:$5</definedName>
    <definedName function="false" hidden="false" localSheetId="7" name="Z_8106BDAD_AA5F_11D2_A84B_00805F2505DF__wvu_PrintArea" vbProcedure="false">BCIndex!$A$6:$R$39</definedName>
    <definedName function="false" hidden="false" localSheetId="7" name="Z_8106BDAD_AA5F_11D2_A84B_00805F2505DF__wvu_PrintTitles" vbProcedure="false">BCIndex!$1:$5</definedName>
    <definedName function="false" hidden="false" localSheetId="7" name="Z_8106BDB6_AA5F_11D2_A84B_00805F2505DF__wvu_PrintArea" vbProcedure="false">BCIndex!$A$40:$AG$118</definedName>
    <definedName function="false" hidden="false" localSheetId="7" name="Z_8106BDB6_AA5F_11D2_A84B_00805F2505DF__wvu_PrintTitles" vbProcedure="false">BCIndex!$1:$5</definedName>
    <definedName function="false" hidden="false" localSheetId="7" name="Z_8106BDBF_AA5F_11D2_A84B_00805F2505DF__wvu_PrintArea" vbProcedure="false">BCIndex!$A$120:$M$238</definedName>
    <definedName function="false" hidden="false" localSheetId="7" name="Z_8106BDBF_AA5F_11D2_A84B_00805F2505DF__wvu_PrintTitles" vbProcedure="false">BCIndex!$1:$5</definedName>
    <definedName function="false" hidden="false" localSheetId="7" name="Z_90E3CCDF_A590_11D2_A845_00805F2505DF__wvu_PrintArea" vbProcedure="false">BCIndex!$A$6:$R$39</definedName>
    <definedName function="false" hidden="false" localSheetId="7" name="Z_90E3CCDF_A590_11D2_A845_00805F2505DF__wvu_PrintTitles" vbProcedure="false">BCIndex!$1:$5</definedName>
    <definedName function="false" hidden="false" localSheetId="7" name="Z_90E3CCE8_A590_11D2_A845_00805F2505DF__wvu_PrintArea" vbProcedure="false">BCIndex!$A$40:$AG$118</definedName>
    <definedName function="false" hidden="false" localSheetId="7" name="Z_90E3CCE8_A590_11D2_A845_00805F2505DF__wvu_PrintTitles" vbProcedure="false">BCIndex!$1:$5</definedName>
    <definedName function="false" hidden="false" localSheetId="7" name="Z_90E3CCF1_A590_11D2_A845_00805F2505DF__wvu_PrintArea" vbProcedure="false">BCIndex!$A$120:$M$238</definedName>
    <definedName function="false" hidden="false" localSheetId="7" name="Z_90E3CCF1_A590_11D2_A845_00805F2505DF__wvu_PrintTitles" vbProcedure="false">BCIndex!$1:$5</definedName>
    <definedName function="false" hidden="false" localSheetId="7" name="Z_9F5984A5_ADA0_11D2_A84C_00805F2505DF__wvu_PrintArea" vbProcedure="false">BCIndex!$A$6:$R$39</definedName>
    <definedName function="false" hidden="false" localSheetId="7" name="Z_9F5984A5_ADA0_11D2_A84C_00805F2505DF__wvu_PrintTitles" vbProcedure="false">BCIndex!$1:$5</definedName>
    <definedName function="false" hidden="false" localSheetId="7" name="Z_9F5984AE_ADA0_11D2_A84C_00805F2505DF__wvu_PrintArea" vbProcedure="false">BCIndex!$A$40:$AG$118</definedName>
    <definedName function="false" hidden="false" localSheetId="7" name="Z_9F5984AE_ADA0_11D2_A84C_00805F2505DF__wvu_PrintTitles" vbProcedure="false">BCIndex!$1:$5</definedName>
    <definedName function="false" hidden="false" localSheetId="7" name="Z_9F5984B7_ADA0_11D2_A84C_00805F2505DF__wvu_PrintArea" vbProcedure="false">BCIndex!$A$120:$M$238</definedName>
    <definedName function="false" hidden="false" localSheetId="7" name="Z_9F5984B7_ADA0_11D2_A84C_00805F2505DF__wvu_PrintTitles" vbProcedure="false">BCIndex!$1:$5</definedName>
    <definedName function="false" hidden="false" localSheetId="7" name="Z_AA00244C_B62E_11D2_A853_00805F2505DF__wvu_PrintArea" vbProcedure="false">BCIndex!$A$6:$R$39</definedName>
    <definedName function="false" hidden="false" localSheetId="7" name="Z_AA00244C_B62E_11D2_A853_00805F2505DF__wvu_PrintTitles" vbProcedure="false">BCIndex!$1:$5</definedName>
    <definedName function="false" hidden="false" localSheetId="7" name="Z_AA002455_B62E_11D2_A853_00805F2505DF__wvu_PrintArea" vbProcedure="false">BCIndex!$A$40:$AG$118</definedName>
    <definedName function="false" hidden="false" localSheetId="7" name="Z_AA002455_B62E_11D2_A853_00805F2505DF__wvu_PrintTitles" vbProcedure="false">BCIndex!$1:$5</definedName>
    <definedName function="false" hidden="false" localSheetId="7" name="Z_AA00245E_B62E_11D2_A853_00805F2505DF__wvu_PrintArea" vbProcedure="false">BCIndex!$A$120:$M$238</definedName>
    <definedName function="false" hidden="false" localSheetId="7" name="Z_AA00245E_B62E_11D2_A853_00805F2505DF__wvu_PrintTitles" vbProcedure="false">BCIndex!$1:$5</definedName>
    <definedName function="false" hidden="false" localSheetId="7" name="Z_AA0024AA_B62E_11D2_A853_00805F2505DF__wvu_PrintArea" vbProcedure="false">BCIndex!$A$6:$R$39</definedName>
    <definedName function="false" hidden="false" localSheetId="7" name="Z_AA0024AA_B62E_11D2_A853_00805F2505DF__wvu_PrintTitles" vbProcedure="false">BCIndex!$1:$5</definedName>
    <definedName function="false" hidden="false" localSheetId="7" name="Z_AA0024B3_B62E_11D2_A853_00805F2505DF__wvu_PrintArea" vbProcedure="false">BCIndex!$A$40:$AG$118</definedName>
    <definedName function="false" hidden="false" localSheetId="7" name="Z_AA0024B3_B62E_11D2_A853_00805F2505DF__wvu_PrintTitles" vbProcedure="false">BCIndex!$1:$5</definedName>
    <definedName function="false" hidden="false" localSheetId="7" name="Z_AA0024BC_B62E_11D2_A853_00805F2505DF__wvu_PrintArea" vbProcedure="false">BCIndex!$A$120:$M$238</definedName>
    <definedName function="false" hidden="false" localSheetId="7" name="Z_AA0024BC_B62E_11D2_A853_00805F2505DF__wvu_PrintTitles" vbProcedure="false">BCIndex!$1:$5</definedName>
    <definedName function="false" hidden="false" localSheetId="7" name="Z_B2298A91_9F4B_11D2_A842_00805F2505DF__wvu_PrintArea" vbProcedure="false">BCIndex!$A$6:$R$39</definedName>
    <definedName function="false" hidden="false" localSheetId="7" name="Z_B2298A91_9F4B_11D2_A842_00805F2505DF__wvu_PrintTitles" vbProcedure="false">BCIndex!$1:$5</definedName>
    <definedName function="false" hidden="false" localSheetId="7" name="Z_B2298A9A_9F4B_11D2_A842_00805F2505DF__wvu_PrintArea" vbProcedure="false">BCIndex!$A$40:$AG$118</definedName>
    <definedName function="false" hidden="false" localSheetId="7" name="Z_B2298A9A_9F4B_11D2_A842_00805F2505DF__wvu_PrintTitles" vbProcedure="false">BCIndex!$1:$5</definedName>
    <definedName function="false" hidden="false" localSheetId="7" name="Z_B2298AA3_9F4B_11D2_A842_00805F2505DF__wvu_PrintArea" vbProcedure="false">BCIndex!$A$120:$M$238</definedName>
    <definedName function="false" hidden="false" localSheetId="7" name="Z_B2298AA3_9F4B_11D2_A842_00805F2505DF__wvu_PrintTitles" vbProcedure="false">BCIndex!$1:$5</definedName>
    <definedName function="false" hidden="false" localSheetId="7" name="Z_B2F7E2C2_7FBD_11D2_A836_00805F2505DF__wvu_PrintArea" vbProcedure="false">BCIndex!$A$6:$R$39</definedName>
    <definedName function="false" hidden="false" localSheetId="7" name="Z_B2F7E2C2_7FBD_11D2_A836_00805F2505DF__wvu_PrintTitles" vbProcedure="false">BCIndex!$1:$5</definedName>
    <definedName function="false" hidden="false" localSheetId="7" name="Z_B2F7E2CB_7FBD_11D2_A836_00805F2505DF__wvu_PrintArea" vbProcedure="false">BCIndex!$A$40:$AG$118</definedName>
    <definedName function="false" hidden="false" localSheetId="7" name="Z_B2F7E2CB_7FBD_11D2_A836_00805F2505DF__wvu_PrintTitles" vbProcedure="false">BCIndex!$1:$5</definedName>
    <definedName function="false" hidden="false" localSheetId="7" name="Z_B2F7E2D4_7FBD_11D2_A836_00805F2505DF__wvu_PrintArea" vbProcedure="false">BCIndex!$A$120:$M$238</definedName>
    <definedName function="false" hidden="false" localSheetId="7" name="Z_B2F7E2D4_7FBD_11D2_A836_00805F2505DF__wvu_PrintTitles" vbProcedure="false">BCIndex!$1:$5</definedName>
    <definedName function="false" hidden="false" localSheetId="7" name="Z_CAE48B00_AFF0_11D2_A84D_00805F2505DF__wvu_PrintArea" vbProcedure="false">BCIndex!$A$6:$R$39</definedName>
    <definedName function="false" hidden="false" localSheetId="7" name="Z_CAE48B00_AFF0_11D2_A84D_00805F2505DF__wvu_PrintTitles" vbProcedure="false">BCIndex!$1:$5</definedName>
    <definedName function="false" hidden="false" localSheetId="7" name="Z_CAE48B09_AFF0_11D2_A84D_00805F2505DF__wvu_PrintArea" vbProcedure="false">BCIndex!$A$40:$AG$118</definedName>
    <definedName function="false" hidden="false" localSheetId="7" name="Z_CAE48B09_AFF0_11D2_A84D_00805F2505DF__wvu_PrintTitles" vbProcedure="false">BCIndex!$1:$5</definedName>
    <definedName function="false" hidden="false" localSheetId="7" name="Z_CAE48B12_AFF0_11D2_A84D_00805F2505DF__wvu_PrintArea" vbProcedure="false">BCIndex!$A$120:$M$238</definedName>
    <definedName function="false" hidden="false" localSheetId="7" name="Z_CAE48B12_AFF0_11D2_A84D_00805F2505DF__wvu_PrintTitles" vbProcedure="false">BCIndex!$1:$5</definedName>
    <definedName function="false" hidden="false" localSheetId="7" name="Z_CC3965C8_A99C_11D2_A84A_00805F2505DF__wvu_PrintArea" vbProcedure="false">BCIndex!$A$6:$R$39</definedName>
    <definedName function="false" hidden="false" localSheetId="7" name="Z_CC3965C8_A99C_11D2_A84A_00805F2505DF__wvu_PrintTitles" vbProcedure="false">BCIndex!$1:$5</definedName>
    <definedName function="false" hidden="false" localSheetId="7" name="Z_CC3965D1_A99C_11D2_A84A_00805F2505DF__wvu_PrintArea" vbProcedure="false">BCIndex!$A$40:$AG$118</definedName>
    <definedName function="false" hidden="false" localSheetId="7" name="Z_CC3965D1_A99C_11D2_A84A_00805F2505DF__wvu_PrintTitles" vbProcedure="false">BCIndex!$1:$5</definedName>
    <definedName function="false" hidden="false" localSheetId="7" name="Z_CC3965DA_A99C_11D2_A84A_00805F2505DF__wvu_PrintArea" vbProcedure="false">BCIndex!$A$120:$M$238</definedName>
    <definedName function="false" hidden="false" localSheetId="7" name="Z_CC3965DA_A99C_11D2_A84A_00805F2505DF__wvu_PrintTitles" vbProcedure="false">BCIndex!$1:$5</definedName>
    <definedName function="false" hidden="false" localSheetId="7" name="Z_D4AB6C08_AB0F_11D2_A84C_00805F2505DF__wvu_PrintArea" vbProcedure="false">BCIndex!$A$6:$R$39</definedName>
    <definedName function="false" hidden="false" localSheetId="7" name="Z_D4AB6C08_AB0F_11D2_A84C_00805F2505DF__wvu_PrintTitles" vbProcedure="false">BCIndex!$1:$5</definedName>
    <definedName function="false" hidden="false" localSheetId="7" name="Z_D4AB6C11_AB0F_11D2_A84C_00805F2505DF__wvu_PrintArea" vbProcedure="false">BCIndex!$A$40:$AG$118</definedName>
    <definedName function="false" hidden="false" localSheetId="7" name="Z_D4AB6C11_AB0F_11D2_A84C_00805F2505DF__wvu_PrintTitles" vbProcedure="false">BCIndex!$1:$5</definedName>
    <definedName function="false" hidden="false" localSheetId="7" name="Z_D4AB6C1A_AB0F_11D2_A84C_00805F2505DF__wvu_PrintArea" vbProcedure="false">BCIndex!$A$120:$M$238</definedName>
    <definedName function="false" hidden="false" localSheetId="7" name="Z_D4AB6C1A_AB0F_11D2_A84C_00805F2505DF__wvu_PrintTitles" vbProcedure="false">BCIndex!$1:$5</definedName>
    <definedName function="false" hidden="false" localSheetId="7" name="Z_D4AB6C61_AB0F_11D2_A84C_00805F2505DF__wvu_PrintArea" vbProcedure="false">BCIndex!$A$6:$R$39</definedName>
    <definedName function="false" hidden="false" localSheetId="7" name="Z_D4AB6C61_AB0F_11D2_A84C_00805F2505DF__wvu_PrintTitles" vbProcedure="false">BCIndex!$1:$5</definedName>
    <definedName function="false" hidden="false" localSheetId="7" name="Z_D4AB6C6A_AB0F_11D2_A84C_00805F2505DF__wvu_PrintArea" vbProcedure="false">BCIndex!$A$40:$AG$118</definedName>
    <definedName function="false" hidden="false" localSheetId="7" name="Z_D4AB6C6A_AB0F_11D2_A84C_00805F2505DF__wvu_PrintTitles" vbProcedure="false">BCIndex!$1:$5</definedName>
    <definedName function="false" hidden="false" localSheetId="7" name="Z_D4AB6C73_AB0F_11D2_A84C_00805F2505DF__wvu_PrintArea" vbProcedure="false">BCIndex!$A$120:$M$238</definedName>
    <definedName function="false" hidden="false" localSheetId="7" name="Z_D4AB6C73_AB0F_11D2_A84C_00805F2505DF__wvu_PrintTitles" vbProcedure="false">BCIndex!$1:$5</definedName>
    <definedName function="false" hidden="false" localSheetId="7" name="Z_E05B511F_A672_11D2_A848_00805F2505DF__wvu_PrintArea" vbProcedure="false">BCIndex!$A$6:$R$39</definedName>
    <definedName function="false" hidden="false" localSheetId="7" name="Z_E05B511F_A672_11D2_A848_00805F2505DF__wvu_PrintTitles" vbProcedure="false">BCIndex!$1:$5</definedName>
    <definedName function="false" hidden="false" localSheetId="7" name="Z_E05B5128_A672_11D2_A848_00805F2505DF__wvu_PrintArea" vbProcedure="false">BCIndex!$A$40:$AG$118</definedName>
    <definedName function="false" hidden="false" localSheetId="7" name="Z_E05B5128_A672_11D2_A848_00805F2505DF__wvu_PrintTitles" vbProcedure="false">BCIndex!$1:$5</definedName>
    <definedName function="false" hidden="false" localSheetId="7" name="Z_E05B5131_A672_11D2_A848_00805F2505DF__wvu_PrintArea" vbProcedure="false">BCIndex!$A$120:$M$238</definedName>
    <definedName function="false" hidden="false" localSheetId="7" name="Z_E05B5131_A672_11D2_A848_00805F2505DF__wvu_PrintTitles" vbProcedure="false">BCIndex!$1:$5</definedName>
    <definedName function="false" hidden="false" localSheetId="7" name="Z_F60B7B76_B470_11D2_A851_00805F2505DF__wvu_PrintArea" vbProcedure="false">BCIndex!$A$6:$R$39</definedName>
    <definedName function="false" hidden="false" localSheetId="7" name="Z_F60B7B76_B470_11D2_A851_00805F2505DF__wvu_PrintTitles" vbProcedure="false">BCIndex!$1:$5</definedName>
    <definedName function="false" hidden="false" localSheetId="7" name="Z_F60B7B7F_B470_11D2_A851_00805F2505DF__wvu_PrintArea" vbProcedure="false">BCIndex!$A$40:$AG$118</definedName>
    <definedName function="false" hidden="false" localSheetId="7" name="Z_F60B7B7F_B470_11D2_A851_00805F2505DF__wvu_PrintTitles" vbProcedure="false">BCIndex!$1:$5</definedName>
    <definedName function="false" hidden="false" localSheetId="7" name="Z_F60B7B88_B470_11D2_A851_00805F2505DF__wvu_PrintArea" vbProcedure="false">BCIndex!$A$120:$M$238</definedName>
    <definedName function="false" hidden="false" localSheetId="7" name="Z_F60B7B88_B470_11D2_A851_00805F2505DF__wvu_PrintTitles" vbProcedure="false">BCIndex!$1:$5</definedName>
    <definedName function="false" hidden="false" localSheetId="7" name="Z_F60B7BDB_B470_11D2_A851_00805F2505DF__wvu_PrintArea" vbProcedure="false">BCIndex!$A$6:$R$39</definedName>
    <definedName function="false" hidden="false" localSheetId="7" name="Z_F60B7BDB_B470_11D2_A851_00805F2505DF__wvu_PrintTitles" vbProcedure="false">BCIndex!$1:$5</definedName>
    <definedName function="false" hidden="false" localSheetId="7" name="Z_F60B7BE4_B470_11D2_A851_00805F2505DF__wvu_PrintArea" vbProcedure="false">BCIndex!$A$40:$AG$118</definedName>
    <definedName function="false" hidden="false" localSheetId="7" name="Z_F60B7BE4_B470_11D2_A851_00805F2505DF__wvu_PrintTitles" vbProcedure="false">BCIndex!$1:$5</definedName>
    <definedName function="false" hidden="false" localSheetId="7" name="Z_F60B7BED_B470_11D2_A851_00805F2505DF__wvu_PrintArea" vbProcedure="false">BCIndex!$A$120:$M$238</definedName>
    <definedName function="false" hidden="false" localSheetId="7" name="Z_F60B7BED_B470_11D2_A851_00805F2505DF__wvu_PrintTitles" vbProcedure="false">BCIndex!$1:$5</definedName>
    <definedName function="false" hidden="false" localSheetId="7" name="Z_F947EA28_ABF3_11D2_A84C_00805F2505DF__wvu_PrintArea" vbProcedure="false">BCIndex!$A$6:$R$39</definedName>
    <definedName function="false" hidden="false" localSheetId="7" name="Z_F947EA28_ABF3_11D2_A84C_00805F2505DF__wvu_PrintTitles" vbProcedure="false">BCIndex!$1:$5</definedName>
    <definedName function="false" hidden="false" localSheetId="7" name="Z_F947EA31_ABF3_11D2_A84C_00805F2505DF__wvu_PrintArea" vbProcedure="false">BCIndex!$A$40:$AG$118</definedName>
    <definedName function="false" hidden="false" localSheetId="7" name="Z_F947EA31_ABF3_11D2_A84C_00805F2505DF__wvu_PrintTitles" vbProcedure="false">BCIndex!$1:$5</definedName>
    <definedName function="false" hidden="false" localSheetId="7" name="Z_F947EA3A_ABF3_11D2_A84C_00805F2505DF__wvu_PrintArea" vbProcedure="false">BCIndex!$A$120:$M$238</definedName>
    <definedName function="false" hidden="false" localSheetId="7" name="Z_F947EA3A_ABF3_11D2_A84C_00805F2505DF__wvu_PrintTitles" vbProcedure="false">BCIndex!$1:$5</definedName>
    <definedName function="false" hidden="false" localSheetId="8" name="ACwvu_BookBal_" vbProcedure="false">PriceEOL!$A$6:$R$40</definedName>
    <definedName function="false" hidden="false" localSheetId="8" name="ACwvu_DailyChange_" vbProcedure="false">PriceEOL!$A$41:$AG$118</definedName>
    <definedName function="false" hidden="false" localSheetId="8" name="ACwvu_Schedules_" vbProcedure="false">PriceEOL!$A$121:$M$239</definedName>
    <definedName function="false" hidden="false" localSheetId="8" name="Swvu_BookBal_" vbProcedure="false">PriceEOL!$A$6:$R$40</definedName>
    <definedName function="false" hidden="false" localSheetId="8" name="Swvu_DailyChange_" vbProcedure="false">PriceEOL!$A$41:$AG$118</definedName>
    <definedName function="false" hidden="false" localSheetId="8" name="Swvu_Schedules_" vbProcedure="false">PriceEOL!$A$121:$M$239</definedName>
    <definedName function="false" hidden="false" localSheetId="8" name="wrn_RollDetail_" vbProcedure="false">{"BookBal",#N/A,FALSE,"Roll";"DailyChange",#N/A,FALSE,"Roll";"Schedules",#N/A,FALSE,"Roll"}</definedName>
    <definedName function="false" hidden="false" localSheetId="8"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8"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8"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8" name="Z_00D2C734_B168_11D2_A84F_00805F2505DF__wvu_PrintArea" vbProcedure="false">PriceEOL!$A$6:$R$39</definedName>
    <definedName function="false" hidden="false" localSheetId="8" name="Z_00D2C734_B168_11D2_A84F_00805F2505DF__wvu_PrintTitles" vbProcedure="false">PriceEOL!$1:$5</definedName>
    <definedName function="false" hidden="false" localSheetId="8" name="Z_00D2C73D_B168_11D2_A84F_00805F2505DF__wvu_PrintArea" vbProcedure="false">PriceEOL!$A$40:$AG$118</definedName>
    <definedName function="false" hidden="false" localSheetId="8" name="Z_00D2C73D_B168_11D2_A84F_00805F2505DF__wvu_PrintTitles" vbProcedure="false">PriceEOL!$1:$5</definedName>
    <definedName function="false" hidden="false" localSheetId="8" name="Z_00D2C746_B168_11D2_A84F_00805F2505DF__wvu_PrintArea" vbProcedure="false">PriceEOL!$A$120:$M$238</definedName>
    <definedName function="false" hidden="false" localSheetId="8" name="Z_00D2C746_B168_11D2_A84F_00805F2505DF__wvu_PrintTitles" vbProcedure="false">PriceEOL!$1:$5</definedName>
    <definedName function="false" hidden="false" localSheetId="8" name="Z_0184384B_B93D_11D2_8444_00805F3629DE__wvu_PrintArea" vbProcedure="false">PriceEOL!$A$6:$R$39</definedName>
    <definedName function="false" hidden="false" localSheetId="8" name="Z_0184384B_B93D_11D2_8444_00805F3629DE__wvu_PrintTitles" vbProcedure="false">PriceEOL!$1:$5</definedName>
    <definedName function="false" hidden="false" localSheetId="8" name="Z_01843854_B93D_11D2_8444_00805F3629DE__wvu_PrintArea" vbProcedure="false">PriceEOL!$A$40:$AG$118</definedName>
    <definedName function="false" hidden="false" localSheetId="8" name="Z_01843854_B93D_11D2_8444_00805F3629DE__wvu_PrintTitles" vbProcedure="false">PriceEOL!$1:$5</definedName>
    <definedName function="false" hidden="false" localSheetId="8" name="Z_0184385D_B93D_11D2_8444_00805F3629DE__wvu_PrintArea" vbProcedure="false">PriceEOL!$A$120:$M$238</definedName>
    <definedName function="false" hidden="false" localSheetId="8" name="Z_0184385D_B93D_11D2_8444_00805F3629DE__wvu_PrintTitles" vbProcedure="false">PriceEOL!$1:$5</definedName>
    <definedName function="false" hidden="false" localSheetId="8" name="Z_02448BA4_88FA_11D2_B05A_00104B2CC235__wvu_PrintArea" vbProcedure="false">PriceEOL!$A$6:$R$39</definedName>
    <definedName function="false" hidden="false" localSheetId="8" name="Z_02448BA4_88FA_11D2_B05A_00104B2CC235__wvu_PrintTitles" vbProcedure="false">PriceEOL!$1:$5</definedName>
    <definedName function="false" hidden="false" localSheetId="8" name="Z_02448BAD_88FA_11D2_B05A_00104B2CC235__wvu_PrintArea" vbProcedure="false">PriceEOL!$A$40:$AG$118</definedName>
    <definedName function="false" hidden="false" localSheetId="8" name="Z_02448BAD_88FA_11D2_B05A_00104B2CC235__wvu_PrintTitles" vbProcedure="false">PriceEOL!$1:$5</definedName>
    <definedName function="false" hidden="false" localSheetId="8" name="Z_02448BB6_88FA_11D2_B05A_00104B2CC235__wvu_PrintArea" vbProcedure="false">PriceEOL!$A$120:$M$238</definedName>
    <definedName function="false" hidden="false" localSheetId="8" name="Z_02448BB6_88FA_11D2_B05A_00104B2CC235__wvu_PrintTitles" vbProcedure="false">PriceEOL!$1:$5</definedName>
    <definedName function="false" hidden="false" localSheetId="8" name="Z_0AC5A1F4_9EA7_11D2_A842_00805F2505DF__wvu_PrintArea" vbProcedure="false">PriceEOL!$A$6:$R$39</definedName>
    <definedName function="false" hidden="false" localSheetId="8" name="Z_0AC5A1F4_9EA7_11D2_A842_00805F2505DF__wvu_PrintTitles" vbProcedure="false">PriceEOL!$1:$5</definedName>
    <definedName function="false" hidden="false" localSheetId="8" name="Z_0AC5A1FD_9EA7_11D2_A842_00805F2505DF__wvu_PrintArea" vbProcedure="false">PriceEOL!$A$40:$AG$118</definedName>
    <definedName function="false" hidden="false" localSheetId="8" name="Z_0AC5A1FD_9EA7_11D2_A842_00805F2505DF__wvu_PrintTitles" vbProcedure="false">PriceEOL!$1:$5</definedName>
    <definedName function="false" hidden="false" localSheetId="8" name="Z_0AC5A206_9EA7_11D2_A842_00805F2505DF__wvu_PrintArea" vbProcedure="false">PriceEOL!$A$120:$M$238</definedName>
    <definedName function="false" hidden="false" localSheetId="8" name="Z_0AC5A206_9EA7_11D2_A842_00805F2505DF__wvu_PrintTitles" vbProcedure="false">PriceEOL!$1:$5</definedName>
    <definedName function="false" hidden="false" localSheetId="8" name="Z_37FD7BDB_ABC9_11D2_843C_00805F3629DE__wvu_PrintArea" vbProcedure="false">PriceEOL!$A$6:$R$39</definedName>
    <definedName function="false" hidden="false" localSheetId="8" name="Z_37FD7BDB_ABC9_11D2_843C_00805F3629DE__wvu_PrintTitles" vbProcedure="false">PriceEOL!$1:$5</definedName>
    <definedName function="false" hidden="false" localSheetId="8" name="Z_37FD7BE4_ABC9_11D2_843C_00805F3629DE__wvu_PrintArea" vbProcedure="false">PriceEOL!$A$40:$AG$118</definedName>
    <definedName function="false" hidden="false" localSheetId="8" name="Z_37FD7BE4_ABC9_11D2_843C_00805F3629DE__wvu_PrintTitles" vbProcedure="false">PriceEOL!$1:$5</definedName>
    <definedName function="false" hidden="false" localSheetId="8" name="Z_37FD7BED_ABC9_11D2_843C_00805F3629DE__wvu_PrintArea" vbProcedure="false">PriceEOL!$A$120:$M$238</definedName>
    <definedName function="false" hidden="false" localSheetId="8" name="Z_37FD7BED_ABC9_11D2_843C_00805F3629DE__wvu_PrintTitles" vbProcedure="false">PriceEOL!$1:$5</definedName>
    <definedName function="false" hidden="false" localSheetId="8" name="Z_383AC428_A3FF_11D2_A845_00805F2505DF__wvu_PrintArea" vbProcedure="false">PriceEOL!$A$6:$R$39</definedName>
    <definedName function="false" hidden="false" localSheetId="8" name="Z_383AC428_A3FF_11D2_A845_00805F2505DF__wvu_PrintTitles" vbProcedure="false">PriceEOL!$1:$5</definedName>
    <definedName function="false" hidden="false" localSheetId="8" name="Z_383AC431_A3FF_11D2_A845_00805F2505DF__wvu_PrintArea" vbProcedure="false">PriceEOL!$A$40:$AG$118</definedName>
    <definedName function="false" hidden="false" localSheetId="8" name="Z_383AC431_A3FF_11D2_A845_00805F2505DF__wvu_PrintTitles" vbProcedure="false">PriceEOL!$1:$5</definedName>
    <definedName function="false" hidden="false" localSheetId="8" name="Z_383AC43A_A3FF_11D2_A845_00805F2505DF__wvu_PrintArea" vbProcedure="false">PriceEOL!$A$120:$M$238</definedName>
    <definedName function="false" hidden="false" localSheetId="8" name="Z_383AC43A_A3FF_11D2_A845_00805F2505DF__wvu_PrintTitles" vbProcedure="false">PriceEOL!$1:$5</definedName>
    <definedName function="false" hidden="false" localSheetId="8" name="Z_4398CED4_B092_11D2_A84E_00805F2505DF__wvu_PrintArea" vbProcedure="false">PriceEOL!$A$6:$R$39</definedName>
    <definedName function="false" hidden="false" localSheetId="8" name="Z_4398CED4_B092_11D2_A84E_00805F2505DF__wvu_PrintTitles" vbProcedure="false">PriceEOL!$1:$5</definedName>
    <definedName function="false" hidden="false" localSheetId="8" name="Z_4398CEDD_B092_11D2_A84E_00805F2505DF__wvu_PrintArea" vbProcedure="false">PriceEOL!$A$40:$AG$118</definedName>
    <definedName function="false" hidden="false" localSheetId="8" name="Z_4398CEDD_B092_11D2_A84E_00805F2505DF__wvu_PrintTitles" vbProcedure="false">PriceEOL!$1:$5</definedName>
    <definedName function="false" hidden="false" localSheetId="8" name="Z_4398CEE6_B092_11D2_A84E_00805F2505DF__wvu_PrintArea" vbProcedure="false">PriceEOL!$A$120:$M$238</definedName>
    <definedName function="false" hidden="false" localSheetId="8" name="Z_4398CEE6_B092_11D2_A84E_00805F2505DF__wvu_PrintTitles" vbProcedure="false">PriceEOL!$1:$5</definedName>
    <definedName function="false" hidden="false" localSheetId="8" name="Z_535643C0_B9EE_11D2_A857_00805F2505DF__wvu_PrintArea" vbProcedure="false">PriceEOL!$A$6:$R$39</definedName>
    <definedName function="false" hidden="false" localSheetId="8" name="Z_535643C0_B9EE_11D2_A857_00805F2505DF__wvu_PrintTitles" vbProcedure="false">PriceEOL!$1:$5</definedName>
    <definedName function="false" hidden="false" localSheetId="8" name="Z_535643C9_B9EE_11D2_A857_00805F2505DF__wvu_PrintArea" vbProcedure="false">PriceEOL!$A$40:$AG$118</definedName>
    <definedName function="false" hidden="false" localSheetId="8" name="Z_535643C9_B9EE_11D2_A857_00805F2505DF__wvu_PrintTitles" vbProcedure="false">PriceEOL!$1:$5</definedName>
    <definedName function="false" hidden="false" localSheetId="8" name="Z_535643D2_B9EE_11D2_A857_00805F2505DF__wvu_PrintArea" vbProcedure="false">PriceEOL!$A$120:$M$238</definedName>
    <definedName function="false" hidden="false" localSheetId="8" name="Z_535643D2_B9EE_11D2_A857_00805F2505DF__wvu_PrintTitles" vbProcedure="false">PriceEOL!$1:$5</definedName>
    <definedName function="false" hidden="false" localSheetId="8" name="Z_70785CBA_A4C6_11D2_A845_00805F2505DF__wvu_PrintArea" vbProcedure="false">PriceEOL!$A$6:$R$39</definedName>
    <definedName function="false" hidden="false" localSheetId="8" name="Z_70785CBA_A4C6_11D2_A845_00805F2505DF__wvu_PrintTitles" vbProcedure="false">PriceEOL!$1:$5</definedName>
    <definedName function="false" hidden="false" localSheetId="8" name="Z_70785CC3_A4C6_11D2_A845_00805F2505DF__wvu_PrintArea" vbProcedure="false">PriceEOL!$A$40:$AG$118</definedName>
    <definedName function="false" hidden="false" localSheetId="8" name="Z_70785CC3_A4C6_11D2_A845_00805F2505DF__wvu_PrintTitles" vbProcedure="false">PriceEOL!$1:$5</definedName>
    <definedName function="false" hidden="false" localSheetId="8" name="Z_70785CCC_A4C6_11D2_A845_00805F2505DF__wvu_PrintArea" vbProcedure="false">PriceEOL!$A$120:$M$238</definedName>
    <definedName function="false" hidden="false" localSheetId="8" name="Z_70785CCC_A4C6_11D2_A845_00805F2505DF__wvu_PrintTitles" vbProcedure="false">PriceEOL!$1:$5</definedName>
    <definedName function="false" hidden="false" localSheetId="8" name="Z_76D54FAB_89F3_11D2_B05A_00104B2CC235__wvu_PrintArea" vbProcedure="false">PriceEOL!$A$6:$R$39</definedName>
    <definedName function="false" hidden="false" localSheetId="8" name="Z_76D54FAB_89F3_11D2_B05A_00104B2CC235__wvu_PrintTitles" vbProcedure="false">PriceEOL!$1:$5</definedName>
    <definedName function="false" hidden="false" localSheetId="8" name="Z_76D54FB4_89F3_11D2_B05A_00104B2CC235__wvu_PrintArea" vbProcedure="false">PriceEOL!$A$40:$AG$118</definedName>
    <definedName function="false" hidden="false" localSheetId="8" name="Z_76D54FB4_89F3_11D2_B05A_00104B2CC235__wvu_PrintTitles" vbProcedure="false">PriceEOL!$1:$5</definedName>
    <definedName function="false" hidden="false" localSheetId="8" name="Z_76D54FBD_89F3_11D2_B05A_00104B2CC235__wvu_PrintArea" vbProcedure="false">PriceEOL!$A$120:$M$238</definedName>
    <definedName function="false" hidden="false" localSheetId="8" name="Z_76D54FBD_89F3_11D2_B05A_00104B2CC235__wvu_PrintTitles" vbProcedure="false">PriceEOL!$1:$5</definedName>
    <definedName function="false" hidden="false" localSheetId="8" name="Z_7B7539F0_B7B8_11D2_A856_00805F2505DF__wvu_PrintArea" vbProcedure="false">PriceEOL!$A$6:$R$39</definedName>
    <definedName function="false" hidden="false" localSheetId="8" name="Z_7B7539F0_B7B8_11D2_A856_00805F2505DF__wvu_PrintTitles" vbProcedure="false">PriceEOL!$1:$5</definedName>
    <definedName function="false" hidden="false" localSheetId="8" name="Z_7B7539F9_B7B8_11D2_A856_00805F2505DF__wvu_PrintArea" vbProcedure="false">PriceEOL!$A$40:$AG$118</definedName>
    <definedName function="false" hidden="false" localSheetId="8" name="Z_7B7539F9_B7B8_11D2_A856_00805F2505DF__wvu_PrintTitles" vbProcedure="false">PriceEOL!$1:$5</definedName>
    <definedName function="false" hidden="false" localSheetId="8" name="Z_7B753A02_B7B8_11D2_A856_00805F2505DF__wvu_PrintArea" vbProcedure="false">PriceEOL!$A$120:$M$238</definedName>
    <definedName function="false" hidden="false" localSheetId="8" name="Z_7B753A02_B7B8_11D2_A856_00805F2505DF__wvu_PrintTitles" vbProcedure="false">PriceEOL!$1:$5</definedName>
    <definedName function="false" hidden="false" localSheetId="8" name="Z_7C160644_B226_11D2_A850_00805F2505DF__wvu_PrintArea" vbProcedure="false">PriceEOL!$A$6:$R$39</definedName>
    <definedName function="false" hidden="false" localSheetId="8" name="Z_7C160644_B226_11D2_A850_00805F2505DF__wvu_PrintTitles" vbProcedure="false">PriceEOL!$1:$5</definedName>
    <definedName function="false" hidden="false" localSheetId="8" name="Z_7C16064D_B226_11D2_A850_00805F2505DF__wvu_PrintArea" vbProcedure="false">PriceEOL!$A$40:$AG$118</definedName>
    <definedName function="false" hidden="false" localSheetId="8" name="Z_7C16064D_B226_11D2_A850_00805F2505DF__wvu_PrintTitles" vbProcedure="false">PriceEOL!$1:$5</definedName>
    <definedName function="false" hidden="false" localSheetId="8" name="Z_7C160656_B226_11D2_A850_00805F2505DF__wvu_PrintArea" vbProcedure="false">PriceEOL!$A$120:$M$238</definedName>
    <definedName function="false" hidden="false" localSheetId="8" name="Z_7C160656_B226_11D2_A850_00805F2505DF__wvu_PrintTitles" vbProcedure="false">PriceEOL!$1:$5</definedName>
    <definedName function="false" hidden="false" localSheetId="8" name="Z_8106BDB1_AA5F_11D2_A84B_00805F2505DF__wvu_PrintArea" vbProcedure="false">PriceEOL!$A$6:$R$39</definedName>
    <definedName function="false" hidden="false" localSheetId="8" name="Z_8106BDB1_AA5F_11D2_A84B_00805F2505DF__wvu_PrintTitles" vbProcedure="false">PriceEOL!$1:$5</definedName>
    <definedName function="false" hidden="false" localSheetId="8" name="Z_8106BDBA_AA5F_11D2_A84B_00805F2505DF__wvu_PrintArea" vbProcedure="false">PriceEOL!$A$40:$AG$118</definedName>
    <definedName function="false" hidden="false" localSheetId="8" name="Z_8106BDBA_AA5F_11D2_A84B_00805F2505DF__wvu_PrintTitles" vbProcedure="false">PriceEOL!$1:$5</definedName>
    <definedName function="false" hidden="false" localSheetId="8" name="Z_8106BDC3_AA5F_11D2_A84B_00805F2505DF__wvu_PrintArea" vbProcedure="false">PriceEOL!$A$120:$M$238</definedName>
    <definedName function="false" hidden="false" localSheetId="8" name="Z_8106BDC3_AA5F_11D2_A84B_00805F2505DF__wvu_PrintTitles" vbProcedure="false">PriceEOL!$1:$5</definedName>
    <definedName function="false" hidden="false" localSheetId="8" name="Z_90E3CCE3_A590_11D2_A845_00805F2505DF__wvu_PrintArea" vbProcedure="false">PriceEOL!$A$6:$R$39</definedName>
    <definedName function="false" hidden="false" localSheetId="8" name="Z_90E3CCE3_A590_11D2_A845_00805F2505DF__wvu_PrintTitles" vbProcedure="false">PriceEOL!$1:$5</definedName>
    <definedName function="false" hidden="false" localSheetId="8" name="Z_90E3CCEC_A590_11D2_A845_00805F2505DF__wvu_PrintArea" vbProcedure="false">PriceEOL!$A$40:$AG$118</definedName>
    <definedName function="false" hidden="false" localSheetId="8" name="Z_90E3CCEC_A590_11D2_A845_00805F2505DF__wvu_PrintTitles" vbProcedure="false">PriceEOL!$1:$5</definedName>
    <definedName function="false" hidden="false" localSheetId="8" name="Z_90E3CCF5_A590_11D2_A845_00805F2505DF__wvu_PrintArea" vbProcedure="false">PriceEOL!$A$120:$M$238</definedName>
    <definedName function="false" hidden="false" localSheetId="8" name="Z_90E3CCF5_A590_11D2_A845_00805F2505DF__wvu_PrintTitles" vbProcedure="false">PriceEOL!$1:$5</definedName>
    <definedName function="false" hidden="false" localSheetId="8" name="Z_9F5984A9_ADA0_11D2_A84C_00805F2505DF__wvu_PrintArea" vbProcedure="false">PriceEOL!$A$6:$R$39</definedName>
    <definedName function="false" hidden="false" localSheetId="8" name="Z_9F5984A9_ADA0_11D2_A84C_00805F2505DF__wvu_PrintTitles" vbProcedure="false">PriceEOL!$1:$5</definedName>
    <definedName function="false" hidden="false" localSheetId="8" name="Z_9F5984B2_ADA0_11D2_A84C_00805F2505DF__wvu_PrintArea" vbProcedure="false">PriceEOL!$A$40:$AG$118</definedName>
    <definedName function="false" hidden="false" localSheetId="8" name="Z_9F5984B2_ADA0_11D2_A84C_00805F2505DF__wvu_PrintTitles" vbProcedure="false">PriceEOL!$1:$5</definedName>
    <definedName function="false" hidden="false" localSheetId="8" name="Z_9F5984BB_ADA0_11D2_A84C_00805F2505DF__wvu_PrintArea" vbProcedure="false">PriceEOL!$A$120:$M$238</definedName>
    <definedName function="false" hidden="false" localSheetId="8" name="Z_9F5984BB_ADA0_11D2_A84C_00805F2505DF__wvu_PrintTitles" vbProcedure="false">PriceEOL!$1:$5</definedName>
    <definedName function="false" hidden="false" localSheetId="8" name="Z_AA002450_B62E_11D2_A853_00805F2505DF__wvu_PrintArea" vbProcedure="false">PriceEOL!$A$6:$R$39</definedName>
    <definedName function="false" hidden="false" localSheetId="8" name="Z_AA002450_B62E_11D2_A853_00805F2505DF__wvu_PrintTitles" vbProcedure="false">PriceEOL!$1:$5</definedName>
    <definedName function="false" hidden="false" localSheetId="8" name="Z_AA002459_B62E_11D2_A853_00805F2505DF__wvu_PrintArea" vbProcedure="false">PriceEOL!$A$40:$AG$118</definedName>
    <definedName function="false" hidden="false" localSheetId="8" name="Z_AA002459_B62E_11D2_A853_00805F2505DF__wvu_PrintTitles" vbProcedure="false">PriceEOL!$1:$5</definedName>
    <definedName function="false" hidden="false" localSheetId="8" name="Z_AA002462_B62E_11D2_A853_00805F2505DF__wvu_PrintArea" vbProcedure="false">PriceEOL!$A$120:$M$238</definedName>
    <definedName function="false" hidden="false" localSheetId="8" name="Z_AA002462_B62E_11D2_A853_00805F2505DF__wvu_PrintTitles" vbProcedure="false">PriceEOL!$1:$5</definedName>
    <definedName function="false" hidden="false" localSheetId="8" name="Z_AA0024AE_B62E_11D2_A853_00805F2505DF__wvu_PrintArea" vbProcedure="false">PriceEOL!$A$6:$R$39</definedName>
    <definedName function="false" hidden="false" localSheetId="8" name="Z_AA0024AE_B62E_11D2_A853_00805F2505DF__wvu_PrintTitles" vbProcedure="false">PriceEOL!$1:$5</definedName>
    <definedName function="false" hidden="false" localSheetId="8" name="Z_AA0024B7_B62E_11D2_A853_00805F2505DF__wvu_PrintArea" vbProcedure="false">PriceEOL!$A$40:$AG$118</definedName>
    <definedName function="false" hidden="false" localSheetId="8" name="Z_AA0024B7_B62E_11D2_A853_00805F2505DF__wvu_PrintTitles" vbProcedure="false">PriceEOL!$1:$5</definedName>
    <definedName function="false" hidden="false" localSheetId="8" name="Z_AA0024C0_B62E_11D2_A853_00805F2505DF__wvu_PrintArea" vbProcedure="false">PriceEOL!$A$120:$M$238</definedName>
    <definedName function="false" hidden="false" localSheetId="8" name="Z_AA0024C0_B62E_11D2_A853_00805F2505DF__wvu_PrintTitles" vbProcedure="false">PriceEOL!$1:$5</definedName>
    <definedName function="false" hidden="false" localSheetId="8" name="Z_B2298A95_9F4B_11D2_A842_00805F2505DF__wvu_PrintArea" vbProcedure="false">PriceEOL!$A$6:$R$39</definedName>
    <definedName function="false" hidden="false" localSheetId="8" name="Z_B2298A95_9F4B_11D2_A842_00805F2505DF__wvu_PrintTitles" vbProcedure="false">PriceEOL!$1:$5</definedName>
    <definedName function="false" hidden="false" localSheetId="8" name="Z_B2298A9E_9F4B_11D2_A842_00805F2505DF__wvu_PrintArea" vbProcedure="false">PriceEOL!$A$40:$AG$118</definedName>
    <definedName function="false" hidden="false" localSheetId="8" name="Z_B2298A9E_9F4B_11D2_A842_00805F2505DF__wvu_PrintTitles" vbProcedure="false">PriceEOL!$1:$5</definedName>
    <definedName function="false" hidden="false" localSheetId="8" name="Z_B2298AA7_9F4B_11D2_A842_00805F2505DF__wvu_PrintArea" vbProcedure="false">PriceEOL!$A$120:$M$238</definedName>
    <definedName function="false" hidden="false" localSheetId="8" name="Z_B2298AA7_9F4B_11D2_A842_00805F2505DF__wvu_PrintTitles" vbProcedure="false">PriceEOL!$1:$5</definedName>
    <definedName function="false" hidden="false" localSheetId="8" name="Z_B2F7E2C6_7FBD_11D2_A836_00805F2505DF__wvu_PrintArea" vbProcedure="false">PriceEOL!$A$6:$R$39</definedName>
    <definedName function="false" hidden="false" localSheetId="8" name="Z_B2F7E2C6_7FBD_11D2_A836_00805F2505DF__wvu_PrintTitles" vbProcedure="false">PriceEOL!$1:$5</definedName>
    <definedName function="false" hidden="false" localSheetId="8" name="Z_B2F7E2CF_7FBD_11D2_A836_00805F2505DF__wvu_PrintArea" vbProcedure="false">PriceEOL!$A$40:$AG$118</definedName>
    <definedName function="false" hidden="false" localSheetId="8" name="Z_B2F7E2CF_7FBD_11D2_A836_00805F2505DF__wvu_PrintTitles" vbProcedure="false">PriceEOL!$1:$5</definedName>
    <definedName function="false" hidden="false" localSheetId="8" name="Z_B2F7E2D8_7FBD_11D2_A836_00805F2505DF__wvu_PrintArea" vbProcedure="false">PriceEOL!$A$120:$M$238</definedName>
    <definedName function="false" hidden="false" localSheetId="8" name="Z_B2F7E2D8_7FBD_11D2_A836_00805F2505DF__wvu_PrintTitles" vbProcedure="false">PriceEOL!$1:$5</definedName>
    <definedName function="false" hidden="false" localSheetId="8" name="Z_CAE48B04_AFF0_11D2_A84D_00805F2505DF__wvu_PrintArea" vbProcedure="false">PriceEOL!$A$6:$R$39</definedName>
    <definedName function="false" hidden="false" localSheetId="8" name="Z_CAE48B04_AFF0_11D2_A84D_00805F2505DF__wvu_PrintTitles" vbProcedure="false">PriceEOL!$1:$5</definedName>
    <definedName function="false" hidden="false" localSheetId="8" name="Z_CAE48B0D_AFF0_11D2_A84D_00805F2505DF__wvu_PrintArea" vbProcedure="false">PriceEOL!$A$40:$AG$118</definedName>
    <definedName function="false" hidden="false" localSheetId="8" name="Z_CAE48B0D_AFF0_11D2_A84D_00805F2505DF__wvu_PrintTitles" vbProcedure="false">PriceEOL!$1:$5</definedName>
    <definedName function="false" hidden="false" localSheetId="8" name="Z_CAE48B16_AFF0_11D2_A84D_00805F2505DF__wvu_PrintArea" vbProcedure="false">PriceEOL!$A$120:$M$238</definedName>
    <definedName function="false" hidden="false" localSheetId="8" name="Z_CAE48B16_AFF0_11D2_A84D_00805F2505DF__wvu_PrintTitles" vbProcedure="false">PriceEOL!$1:$5</definedName>
    <definedName function="false" hidden="false" localSheetId="8" name="Z_CC3965CC_A99C_11D2_A84A_00805F2505DF__wvu_PrintArea" vbProcedure="false">PriceEOL!$A$6:$R$39</definedName>
    <definedName function="false" hidden="false" localSheetId="8" name="Z_CC3965CC_A99C_11D2_A84A_00805F2505DF__wvu_PrintTitles" vbProcedure="false">PriceEOL!$1:$5</definedName>
    <definedName function="false" hidden="false" localSheetId="8" name="Z_CC3965D5_A99C_11D2_A84A_00805F2505DF__wvu_PrintArea" vbProcedure="false">PriceEOL!$A$40:$AG$118</definedName>
    <definedName function="false" hidden="false" localSheetId="8" name="Z_CC3965D5_A99C_11D2_A84A_00805F2505DF__wvu_PrintTitles" vbProcedure="false">PriceEOL!$1:$5</definedName>
    <definedName function="false" hidden="false" localSheetId="8" name="Z_CC3965DE_A99C_11D2_A84A_00805F2505DF__wvu_PrintArea" vbProcedure="false">PriceEOL!$A$120:$M$238</definedName>
    <definedName function="false" hidden="false" localSheetId="8" name="Z_CC3965DE_A99C_11D2_A84A_00805F2505DF__wvu_PrintTitles" vbProcedure="false">PriceEOL!$1:$5</definedName>
    <definedName function="false" hidden="false" localSheetId="8" name="Z_D4AB6C0C_AB0F_11D2_A84C_00805F2505DF__wvu_PrintArea" vbProcedure="false">PriceEOL!$A$6:$R$39</definedName>
    <definedName function="false" hidden="false" localSheetId="8" name="Z_D4AB6C0C_AB0F_11D2_A84C_00805F2505DF__wvu_PrintTitles" vbProcedure="false">PriceEOL!$1:$5</definedName>
    <definedName function="false" hidden="false" localSheetId="8" name="Z_D4AB6C15_AB0F_11D2_A84C_00805F2505DF__wvu_PrintArea" vbProcedure="false">PriceEOL!$A$40:$AG$118</definedName>
    <definedName function="false" hidden="false" localSheetId="8" name="Z_D4AB6C15_AB0F_11D2_A84C_00805F2505DF__wvu_PrintTitles" vbProcedure="false">PriceEOL!$1:$5</definedName>
    <definedName function="false" hidden="false" localSheetId="8" name="Z_D4AB6C1E_AB0F_11D2_A84C_00805F2505DF__wvu_PrintArea" vbProcedure="false">PriceEOL!$A$120:$M$238</definedName>
    <definedName function="false" hidden="false" localSheetId="8" name="Z_D4AB6C1E_AB0F_11D2_A84C_00805F2505DF__wvu_PrintTitles" vbProcedure="false">PriceEOL!$1:$5</definedName>
    <definedName function="false" hidden="false" localSheetId="8" name="Z_D4AB6C65_AB0F_11D2_A84C_00805F2505DF__wvu_PrintArea" vbProcedure="false">PriceEOL!$A$6:$R$39</definedName>
    <definedName function="false" hidden="false" localSheetId="8" name="Z_D4AB6C65_AB0F_11D2_A84C_00805F2505DF__wvu_PrintTitles" vbProcedure="false">PriceEOL!$1:$5</definedName>
    <definedName function="false" hidden="false" localSheetId="8" name="Z_D4AB6C6E_AB0F_11D2_A84C_00805F2505DF__wvu_PrintArea" vbProcedure="false">PriceEOL!$A$40:$AG$118</definedName>
    <definedName function="false" hidden="false" localSheetId="8" name="Z_D4AB6C6E_AB0F_11D2_A84C_00805F2505DF__wvu_PrintTitles" vbProcedure="false">PriceEOL!$1:$5</definedName>
    <definedName function="false" hidden="false" localSheetId="8" name="Z_D4AB6C77_AB0F_11D2_A84C_00805F2505DF__wvu_PrintArea" vbProcedure="false">PriceEOL!$A$120:$M$238</definedName>
    <definedName function="false" hidden="false" localSheetId="8" name="Z_D4AB6C77_AB0F_11D2_A84C_00805F2505DF__wvu_PrintTitles" vbProcedure="false">PriceEOL!$1:$5</definedName>
    <definedName function="false" hidden="false" localSheetId="8" name="Z_E05B5123_A672_11D2_A848_00805F2505DF__wvu_PrintArea" vbProcedure="false">PriceEOL!$A$6:$R$39</definedName>
    <definedName function="false" hidden="false" localSheetId="8" name="Z_E05B5123_A672_11D2_A848_00805F2505DF__wvu_PrintTitles" vbProcedure="false">PriceEOL!$1:$5</definedName>
    <definedName function="false" hidden="false" localSheetId="8" name="Z_E05B512C_A672_11D2_A848_00805F2505DF__wvu_PrintArea" vbProcedure="false">PriceEOL!$A$40:$AG$118</definedName>
    <definedName function="false" hidden="false" localSheetId="8" name="Z_E05B512C_A672_11D2_A848_00805F2505DF__wvu_PrintTitles" vbProcedure="false">PriceEOL!$1:$5</definedName>
    <definedName function="false" hidden="false" localSheetId="8" name="Z_E05B5135_A672_11D2_A848_00805F2505DF__wvu_PrintArea" vbProcedure="false">PriceEOL!$A$120:$M$238</definedName>
    <definedName function="false" hidden="false" localSheetId="8" name="Z_E05B5135_A672_11D2_A848_00805F2505DF__wvu_PrintTitles" vbProcedure="false">PriceEOL!$1:$5</definedName>
    <definedName function="false" hidden="false" localSheetId="8" name="Z_F60B7B7A_B470_11D2_A851_00805F2505DF__wvu_PrintArea" vbProcedure="false">PriceEOL!$A$6:$R$39</definedName>
    <definedName function="false" hidden="false" localSheetId="8" name="Z_F60B7B7A_B470_11D2_A851_00805F2505DF__wvu_PrintTitles" vbProcedure="false">PriceEOL!$1:$5</definedName>
    <definedName function="false" hidden="false" localSheetId="8" name="Z_F60B7B83_B470_11D2_A851_00805F2505DF__wvu_PrintArea" vbProcedure="false">PriceEOL!$A$40:$AG$118</definedName>
    <definedName function="false" hidden="false" localSheetId="8" name="Z_F60B7B83_B470_11D2_A851_00805F2505DF__wvu_PrintTitles" vbProcedure="false">PriceEOL!$1:$5</definedName>
    <definedName function="false" hidden="false" localSheetId="8" name="Z_F60B7B8C_B470_11D2_A851_00805F2505DF__wvu_PrintArea" vbProcedure="false">PriceEOL!$A$120:$M$238</definedName>
    <definedName function="false" hidden="false" localSheetId="8" name="Z_F60B7B8C_B470_11D2_A851_00805F2505DF__wvu_PrintTitles" vbProcedure="false">PriceEOL!$1:$5</definedName>
    <definedName function="false" hidden="false" localSheetId="8" name="Z_F60B7BDF_B470_11D2_A851_00805F2505DF__wvu_PrintArea" vbProcedure="false">PriceEOL!$A$6:$R$39</definedName>
    <definedName function="false" hidden="false" localSheetId="8" name="Z_F60B7BDF_B470_11D2_A851_00805F2505DF__wvu_PrintTitles" vbProcedure="false">PriceEOL!$1:$5</definedName>
    <definedName function="false" hidden="false" localSheetId="8" name="Z_F60B7BE8_B470_11D2_A851_00805F2505DF__wvu_PrintArea" vbProcedure="false">PriceEOL!$A$40:$AG$118</definedName>
    <definedName function="false" hidden="false" localSheetId="8" name="Z_F60B7BE8_B470_11D2_A851_00805F2505DF__wvu_PrintTitles" vbProcedure="false">PriceEOL!$1:$5</definedName>
    <definedName function="false" hidden="false" localSheetId="8" name="Z_F60B7BF1_B470_11D2_A851_00805F2505DF__wvu_PrintArea" vbProcedure="false">PriceEOL!$A$120:$M$238</definedName>
    <definedName function="false" hidden="false" localSheetId="8" name="Z_F60B7BF1_B470_11D2_A851_00805F2505DF__wvu_PrintTitles" vbProcedure="false">PriceEOL!$1:$5</definedName>
    <definedName function="false" hidden="false" localSheetId="8" name="Z_F947EA2C_ABF3_11D2_A84C_00805F2505DF__wvu_PrintArea" vbProcedure="false">PriceEOL!$A$6:$R$39</definedName>
    <definedName function="false" hidden="false" localSheetId="8" name="Z_F947EA2C_ABF3_11D2_A84C_00805F2505DF__wvu_PrintTitles" vbProcedure="false">PriceEOL!$1:$5</definedName>
    <definedName function="false" hidden="false" localSheetId="8" name="Z_F947EA35_ABF3_11D2_A84C_00805F2505DF__wvu_PrintArea" vbProcedure="false">PriceEOL!$A$40:$AG$118</definedName>
    <definedName function="false" hidden="false" localSheetId="8" name="Z_F947EA35_ABF3_11D2_A84C_00805F2505DF__wvu_PrintTitles" vbProcedure="false">PriceEOL!$1:$5</definedName>
    <definedName function="false" hidden="false" localSheetId="8" name="Z_F947EA3E_ABF3_11D2_A84C_00805F2505DF__wvu_PrintArea" vbProcedure="false">PriceEOL!$A$120:$M$238</definedName>
    <definedName function="false" hidden="false" localSheetId="8" name="Z_F947EA3E_ABF3_11D2_A84C_00805F2505DF__wvu_PrintTitles" vbProcedure="false">PriceEOL!$1:$5</definedName>
    <definedName function="false" hidden="false" localSheetId="9" name="ACwvu_BookBal_" vbProcedure="false">EOLIndex!$A$6:$R$40</definedName>
    <definedName function="false" hidden="false" localSheetId="9" name="ACwvu_DailyChange_" vbProcedure="false">EOLIndex!$A$41:$AG$118</definedName>
    <definedName function="false" hidden="false" localSheetId="9" name="ACwvu_Schedules_" vbProcedure="false">EOLIndex!$A$121:$M$239</definedName>
    <definedName function="false" hidden="false" localSheetId="9" name="Swvu_BookBal_" vbProcedure="false">EOLIndex!$A$6:$R$40</definedName>
    <definedName function="false" hidden="false" localSheetId="9" name="Swvu_DailyChange_" vbProcedure="false">EOLIndex!$A$41:$AG$118</definedName>
    <definedName function="false" hidden="false" localSheetId="9" name="Swvu_Schedules_" vbProcedure="false">EOLIndex!$A$121:$M$239</definedName>
    <definedName function="false" hidden="false" localSheetId="9" name="wrn_RollDetail_" vbProcedure="false">{"BookBal",#N/A,FALSE,"Roll";"DailyChange",#N/A,FALSE,"Roll";"Schedules",#N/A,FALSE,"Roll"}</definedName>
    <definedName function="false" hidden="false" localSheetId="9"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9"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9"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9" name="Z_00D2C735_B168_11D2_A84F_00805F2505DF__wvu_PrintArea" vbProcedure="false">EOLIndex!$A$6:$R$39</definedName>
    <definedName function="false" hidden="false" localSheetId="9" name="Z_00D2C735_B168_11D2_A84F_00805F2505DF__wvu_PrintTitles" vbProcedure="false">EOLIndex!$1:$5</definedName>
    <definedName function="false" hidden="false" localSheetId="9" name="Z_00D2C73E_B168_11D2_A84F_00805F2505DF__wvu_PrintArea" vbProcedure="false">EOLIndex!$A$40:$AG$118</definedName>
    <definedName function="false" hidden="false" localSheetId="9" name="Z_00D2C73E_B168_11D2_A84F_00805F2505DF__wvu_PrintTitles" vbProcedure="false">EOLIndex!$1:$5</definedName>
    <definedName function="false" hidden="false" localSheetId="9" name="Z_00D2C747_B168_11D2_A84F_00805F2505DF__wvu_PrintArea" vbProcedure="false">EOLIndex!$A$120:$M$238</definedName>
    <definedName function="false" hidden="false" localSheetId="9" name="Z_00D2C747_B168_11D2_A84F_00805F2505DF__wvu_PrintTitles" vbProcedure="false">EOLIndex!$1:$5</definedName>
    <definedName function="false" hidden="false" localSheetId="9" name="Z_0184384C_B93D_11D2_8444_00805F3629DE__wvu_PrintArea" vbProcedure="false">EOLIndex!$A$6:$R$39</definedName>
    <definedName function="false" hidden="false" localSheetId="9" name="Z_0184384C_B93D_11D2_8444_00805F3629DE__wvu_PrintTitles" vbProcedure="false">EOLIndex!$1:$5</definedName>
    <definedName function="false" hidden="false" localSheetId="9" name="Z_01843855_B93D_11D2_8444_00805F3629DE__wvu_PrintArea" vbProcedure="false">EOLIndex!$A$40:$AG$118</definedName>
    <definedName function="false" hidden="false" localSheetId="9" name="Z_01843855_B93D_11D2_8444_00805F3629DE__wvu_PrintTitles" vbProcedure="false">EOLIndex!$1:$5</definedName>
    <definedName function="false" hidden="false" localSheetId="9" name="Z_0184385E_B93D_11D2_8444_00805F3629DE__wvu_PrintArea" vbProcedure="false">EOLIndex!$A$120:$M$238</definedName>
    <definedName function="false" hidden="false" localSheetId="9" name="Z_0184385E_B93D_11D2_8444_00805F3629DE__wvu_PrintTitles" vbProcedure="false">EOLIndex!$1:$5</definedName>
    <definedName function="false" hidden="false" localSheetId="9" name="Z_02448BA5_88FA_11D2_B05A_00104B2CC235__wvu_PrintArea" vbProcedure="false">EOLIndex!$A$6:$R$39</definedName>
    <definedName function="false" hidden="false" localSheetId="9" name="Z_02448BA5_88FA_11D2_B05A_00104B2CC235__wvu_PrintTitles" vbProcedure="false">EOLIndex!$1:$5</definedName>
    <definedName function="false" hidden="false" localSheetId="9" name="Z_02448BAE_88FA_11D2_B05A_00104B2CC235__wvu_PrintArea" vbProcedure="false">EOLIndex!$A$40:$AG$118</definedName>
    <definedName function="false" hidden="false" localSheetId="9" name="Z_02448BAE_88FA_11D2_B05A_00104B2CC235__wvu_PrintTitles" vbProcedure="false">EOLIndex!$1:$5</definedName>
    <definedName function="false" hidden="false" localSheetId="9" name="Z_02448BB7_88FA_11D2_B05A_00104B2CC235__wvu_PrintArea" vbProcedure="false">EOLIndex!$A$120:$M$238</definedName>
    <definedName function="false" hidden="false" localSheetId="9" name="Z_02448BB7_88FA_11D2_B05A_00104B2CC235__wvu_PrintTitles" vbProcedure="false">EOLIndex!$1:$5</definedName>
    <definedName function="false" hidden="false" localSheetId="9" name="Z_0AC5A1F5_9EA7_11D2_A842_00805F2505DF__wvu_PrintArea" vbProcedure="false">EOLIndex!$A$6:$R$39</definedName>
    <definedName function="false" hidden="false" localSheetId="9" name="Z_0AC5A1F5_9EA7_11D2_A842_00805F2505DF__wvu_PrintTitles" vbProcedure="false">EOLIndex!$1:$5</definedName>
    <definedName function="false" hidden="false" localSheetId="9" name="Z_0AC5A1FE_9EA7_11D2_A842_00805F2505DF__wvu_PrintArea" vbProcedure="false">EOLIndex!$A$40:$AG$118</definedName>
    <definedName function="false" hidden="false" localSheetId="9" name="Z_0AC5A1FE_9EA7_11D2_A842_00805F2505DF__wvu_PrintTitles" vbProcedure="false">EOLIndex!$1:$5</definedName>
    <definedName function="false" hidden="false" localSheetId="9" name="Z_0AC5A207_9EA7_11D2_A842_00805F2505DF__wvu_PrintArea" vbProcedure="false">EOLIndex!$A$120:$M$238</definedName>
    <definedName function="false" hidden="false" localSheetId="9" name="Z_0AC5A207_9EA7_11D2_A842_00805F2505DF__wvu_PrintTitles" vbProcedure="false">EOLIndex!$1:$5</definedName>
    <definedName function="false" hidden="false" localSheetId="9" name="Z_37FD7BDC_ABC9_11D2_843C_00805F3629DE__wvu_PrintArea" vbProcedure="false">EOLIndex!$A$6:$R$39</definedName>
    <definedName function="false" hidden="false" localSheetId="9" name="Z_37FD7BDC_ABC9_11D2_843C_00805F3629DE__wvu_PrintTitles" vbProcedure="false">EOLIndex!$1:$5</definedName>
    <definedName function="false" hidden="false" localSheetId="9" name="Z_37FD7BE5_ABC9_11D2_843C_00805F3629DE__wvu_PrintArea" vbProcedure="false">EOLIndex!$A$40:$AG$118</definedName>
    <definedName function="false" hidden="false" localSheetId="9" name="Z_37FD7BE5_ABC9_11D2_843C_00805F3629DE__wvu_PrintTitles" vbProcedure="false">EOLIndex!$1:$5</definedName>
    <definedName function="false" hidden="false" localSheetId="9" name="Z_37FD7BEE_ABC9_11D2_843C_00805F3629DE__wvu_PrintArea" vbProcedure="false">EOLIndex!$A$120:$M$238</definedName>
    <definedName function="false" hidden="false" localSheetId="9" name="Z_37FD7BEE_ABC9_11D2_843C_00805F3629DE__wvu_PrintTitles" vbProcedure="false">EOLIndex!$1:$5</definedName>
    <definedName function="false" hidden="false" localSheetId="9" name="Z_383AC429_A3FF_11D2_A845_00805F2505DF__wvu_PrintArea" vbProcedure="false">EOLIndex!$A$6:$R$39</definedName>
    <definedName function="false" hidden="false" localSheetId="9" name="Z_383AC429_A3FF_11D2_A845_00805F2505DF__wvu_PrintTitles" vbProcedure="false">EOLIndex!$1:$5</definedName>
    <definedName function="false" hidden="false" localSheetId="9" name="Z_383AC432_A3FF_11D2_A845_00805F2505DF__wvu_PrintArea" vbProcedure="false">EOLIndex!$A$40:$AG$118</definedName>
    <definedName function="false" hidden="false" localSheetId="9" name="Z_383AC432_A3FF_11D2_A845_00805F2505DF__wvu_PrintTitles" vbProcedure="false">EOLIndex!$1:$5</definedName>
    <definedName function="false" hidden="false" localSheetId="9" name="Z_383AC43B_A3FF_11D2_A845_00805F2505DF__wvu_PrintArea" vbProcedure="false">EOLIndex!$A$120:$M$238</definedName>
    <definedName function="false" hidden="false" localSheetId="9" name="Z_383AC43B_A3FF_11D2_A845_00805F2505DF__wvu_PrintTitles" vbProcedure="false">EOLIndex!$1:$5</definedName>
    <definedName function="false" hidden="false" localSheetId="9" name="Z_4398CED5_B092_11D2_A84E_00805F2505DF__wvu_PrintArea" vbProcedure="false">EOLIndex!$A$6:$R$39</definedName>
    <definedName function="false" hidden="false" localSheetId="9" name="Z_4398CED5_B092_11D2_A84E_00805F2505DF__wvu_PrintTitles" vbProcedure="false">EOLIndex!$1:$5</definedName>
    <definedName function="false" hidden="false" localSheetId="9" name="Z_4398CEDE_B092_11D2_A84E_00805F2505DF__wvu_PrintArea" vbProcedure="false">EOLIndex!$A$40:$AG$118</definedName>
    <definedName function="false" hidden="false" localSheetId="9" name="Z_4398CEDE_B092_11D2_A84E_00805F2505DF__wvu_PrintTitles" vbProcedure="false">EOLIndex!$1:$5</definedName>
    <definedName function="false" hidden="false" localSheetId="9" name="Z_4398CEE7_B092_11D2_A84E_00805F2505DF__wvu_PrintArea" vbProcedure="false">EOLIndex!$A$120:$M$238</definedName>
    <definedName function="false" hidden="false" localSheetId="9" name="Z_4398CEE7_B092_11D2_A84E_00805F2505DF__wvu_PrintTitles" vbProcedure="false">EOLIndex!$1:$5</definedName>
    <definedName function="false" hidden="false" localSheetId="9" name="Z_535643C1_B9EE_11D2_A857_00805F2505DF__wvu_PrintArea" vbProcedure="false">EOLIndex!$A$6:$R$39</definedName>
    <definedName function="false" hidden="false" localSheetId="9" name="Z_535643C1_B9EE_11D2_A857_00805F2505DF__wvu_PrintTitles" vbProcedure="false">EOLIndex!$1:$5</definedName>
    <definedName function="false" hidden="false" localSheetId="9" name="Z_535643CA_B9EE_11D2_A857_00805F2505DF__wvu_PrintArea" vbProcedure="false">EOLIndex!$A$40:$AG$118</definedName>
    <definedName function="false" hidden="false" localSheetId="9" name="Z_535643CA_B9EE_11D2_A857_00805F2505DF__wvu_PrintTitles" vbProcedure="false">EOLIndex!$1:$5</definedName>
    <definedName function="false" hidden="false" localSheetId="9" name="Z_535643D3_B9EE_11D2_A857_00805F2505DF__wvu_PrintArea" vbProcedure="false">EOLIndex!$A$120:$M$238</definedName>
    <definedName function="false" hidden="false" localSheetId="9" name="Z_535643D3_B9EE_11D2_A857_00805F2505DF__wvu_PrintTitles" vbProcedure="false">EOLIndex!$1:$5</definedName>
    <definedName function="false" hidden="false" localSheetId="9" name="Z_70785CBB_A4C6_11D2_A845_00805F2505DF__wvu_PrintArea" vbProcedure="false">EOLIndex!$A$6:$R$39</definedName>
    <definedName function="false" hidden="false" localSheetId="9" name="Z_70785CBB_A4C6_11D2_A845_00805F2505DF__wvu_PrintTitles" vbProcedure="false">EOLIndex!$1:$5</definedName>
    <definedName function="false" hidden="false" localSheetId="9" name="Z_70785CC4_A4C6_11D2_A845_00805F2505DF__wvu_PrintArea" vbProcedure="false">EOLIndex!$A$40:$AG$118</definedName>
    <definedName function="false" hidden="false" localSheetId="9" name="Z_70785CC4_A4C6_11D2_A845_00805F2505DF__wvu_PrintTitles" vbProcedure="false">EOLIndex!$1:$5</definedName>
    <definedName function="false" hidden="false" localSheetId="9" name="Z_70785CCD_A4C6_11D2_A845_00805F2505DF__wvu_PrintArea" vbProcedure="false">EOLIndex!$A$120:$M$238</definedName>
    <definedName function="false" hidden="false" localSheetId="9" name="Z_70785CCD_A4C6_11D2_A845_00805F2505DF__wvu_PrintTitles" vbProcedure="false">EOLIndex!$1:$5</definedName>
    <definedName function="false" hidden="false" localSheetId="9" name="Z_76D54FAC_89F3_11D2_B05A_00104B2CC235__wvu_PrintArea" vbProcedure="false">EOLIndex!$A$6:$R$39</definedName>
    <definedName function="false" hidden="false" localSheetId="9" name="Z_76D54FAC_89F3_11D2_B05A_00104B2CC235__wvu_PrintTitles" vbProcedure="false">EOLIndex!$1:$5</definedName>
    <definedName function="false" hidden="false" localSheetId="9" name="Z_76D54FB5_89F3_11D2_B05A_00104B2CC235__wvu_PrintArea" vbProcedure="false">EOLIndex!$A$40:$AG$118</definedName>
    <definedName function="false" hidden="false" localSheetId="9" name="Z_76D54FB5_89F3_11D2_B05A_00104B2CC235__wvu_PrintTitles" vbProcedure="false">EOLIndex!$1:$5</definedName>
    <definedName function="false" hidden="false" localSheetId="9" name="Z_76D54FBE_89F3_11D2_B05A_00104B2CC235__wvu_PrintArea" vbProcedure="false">EOLIndex!$A$120:$M$238</definedName>
    <definedName function="false" hidden="false" localSheetId="9" name="Z_76D54FBE_89F3_11D2_B05A_00104B2CC235__wvu_PrintTitles" vbProcedure="false">EOLIndex!$1:$5</definedName>
    <definedName function="false" hidden="false" localSheetId="9" name="Z_7B7539F1_B7B8_11D2_A856_00805F2505DF__wvu_PrintArea" vbProcedure="false">EOLIndex!$A$6:$R$39</definedName>
    <definedName function="false" hidden="false" localSheetId="9" name="Z_7B7539F1_B7B8_11D2_A856_00805F2505DF__wvu_PrintTitles" vbProcedure="false">EOLIndex!$1:$5</definedName>
    <definedName function="false" hidden="false" localSheetId="9" name="Z_7B7539FA_B7B8_11D2_A856_00805F2505DF__wvu_PrintArea" vbProcedure="false">EOLIndex!$A$40:$AG$118</definedName>
    <definedName function="false" hidden="false" localSheetId="9" name="Z_7B7539FA_B7B8_11D2_A856_00805F2505DF__wvu_PrintTitles" vbProcedure="false">EOLIndex!$1:$5</definedName>
    <definedName function="false" hidden="false" localSheetId="9" name="Z_7B753A03_B7B8_11D2_A856_00805F2505DF__wvu_PrintArea" vbProcedure="false">EOLIndex!$A$120:$M$238</definedName>
    <definedName function="false" hidden="false" localSheetId="9" name="Z_7B753A03_B7B8_11D2_A856_00805F2505DF__wvu_PrintTitles" vbProcedure="false">EOLIndex!$1:$5</definedName>
    <definedName function="false" hidden="false" localSheetId="9" name="Z_7C160645_B226_11D2_A850_00805F2505DF__wvu_PrintArea" vbProcedure="false">EOLIndex!$A$6:$R$39</definedName>
    <definedName function="false" hidden="false" localSheetId="9" name="Z_7C160645_B226_11D2_A850_00805F2505DF__wvu_PrintTitles" vbProcedure="false">EOLIndex!$1:$5</definedName>
    <definedName function="false" hidden="false" localSheetId="9" name="Z_7C16064E_B226_11D2_A850_00805F2505DF__wvu_PrintArea" vbProcedure="false">EOLIndex!$A$40:$AG$118</definedName>
    <definedName function="false" hidden="false" localSheetId="9" name="Z_7C16064E_B226_11D2_A850_00805F2505DF__wvu_PrintTitles" vbProcedure="false">EOLIndex!$1:$5</definedName>
    <definedName function="false" hidden="false" localSheetId="9" name="Z_7C160657_B226_11D2_A850_00805F2505DF__wvu_PrintArea" vbProcedure="false">EOLIndex!$A$120:$M$238</definedName>
    <definedName function="false" hidden="false" localSheetId="9" name="Z_7C160657_B226_11D2_A850_00805F2505DF__wvu_PrintTitles" vbProcedure="false">EOLIndex!$1:$5</definedName>
    <definedName function="false" hidden="false" localSheetId="9" name="Z_8106BDB2_AA5F_11D2_A84B_00805F2505DF__wvu_PrintArea" vbProcedure="false">EOLIndex!$A$6:$R$39</definedName>
    <definedName function="false" hidden="false" localSheetId="9" name="Z_8106BDB2_AA5F_11D2_A84B_00805F2505DF__wvu_PrintTitles" vbProcedure="false">EOLIndex!$1:$5</definedName>
    <definedName function="false" hidden="false" localSheetId="9" name="Z_8106BDBB_AA5F_11D2_A84B_00805F2505DF__wvu_PrintArea" vbProcedure="false">EOLIndex!$A$40:$AG$118</definedName>
    <definedName function="false" hidden="false" localSheetId="9" name="Z_8106BDBB_AA5F_11D2_A84B_00805F2505DF__wvu_PrintTitles" vbProcedure="false">EOLIndex!$1:$5</definedName>
    <definedName function="false" hidden="false" localSheetId="9" name="Z_8106BDC4_AA5F_11D2_A84B_00805F2505DF__wvu_PrintArea" vbProcedure="false">EOLIndex!$A$120:$M$238</definedName>
    <definedName function="false" hidden="false" localSheetId="9" name="Z_8106BDC4_AA5F_11D2_A84B_00805F2505DF__wvu_PrintTitles" vbProcedure="false">EOLIndex!$1:$5</definedName>
    <definedName function="false" hidden="false" localSheetId="9" name="Z_90E3CCE4_A590_11D2_A845_00805F2505DF__wvu_PrintArea" vbProcedure="false">EOLIndex!$A$6:$R$39</definedName>
    <definedName function="false" hidden="false" localSheetId="9" name="Z_90E3CCE4_A590_11D2_A845_00805F2505DF__wvu_PrintTitles" vbProcedure="false">EOLIndex!$1:$5</definedName>
    <definedName function="false" hidden="false" localSheetId="9" name="Z_90E3CCED_A590_11D2_A845_00805F2505DF__wvu_PrintArea" vbProcedure="false">EOLIndex!$A$40:$AG$118</definedName>
    <definedName function="false" hidden="false" localSheetId="9" name="Z_90E3CCED_A590_11D2_A845_00805F2505DF__wvu_PrintTitles" vbProcedure="false">EOLIndex!$1:$5</definedName>
    <definedName function="false" hidden="false" localSheetId="9" name="Z_90E3CCF6_A590_11D2_A845_00805F2505DF__wvu_PrintArea" vbProcedure="false">EOLIndex!$A$120:$M$238</definedName>
    <definedName function="false" hidden="false" localSheetId="9" name="Z_90E3CCF6_A590_11D2_A845_00805F2505DF__wvu_PrintTitles" vbProcedure="false">EOLIndex!$1:$5</definedName>
    <definedName function="false" hidden="false" localSheetId="9" name="Z_9F5984AA_ADA0_11D2_A84C_00805F2505DF__wvu_PrintArea" vbProcedure="false">EOLIndex!$A$6:$R$39</definedName>
    <definedName function="false" hidden="false" localSheetId="9" name="Z_9F5984AA_ADA0_11D2_A84C_00805F2505DF__wvu_PrintTitles" vbProcedure="false">EOLIndex!$1:$5</definedName>
    <definedName function="false" hidden="false" localSheetId="9" name="Z_9F5984B3_ADA0_11D2_A84C_00805F2505DF__wvu_PrintArea" vbProcedure="false">EOLIndex!$A$40:$AG$118</definedName>
    <definedName function="false" hidden="false" localSheetId="9" name="Z_9F5984B3_ADA0_11D2_A84C_00805F2505DF__wvu_PrintTitles" vbProcedure="false">EOLIndex!$1:$5</definedName>
    <definedName function="false" hidden="false" localSheetId="9" name="Z_9F5984BC_ADA0_11D2_A84C_00805F2505DF__wvu_PrintArea" vbProcedure="false">EOLIndex!$A$120:$M$238</definedName>
    <definedName function="false" hidden="false" localSheetId="9" name="Z_9F5984BC_ADA0_11D2_A84C_00805F2505DF__wvu_PrintTitles" vbProcedure="false">EOLIndex!$1:$5</definedName>
    <definedName function="false" hidden="false" localSheetId="9" name="Z_AA002451_B62E_11D2_A853_00805F2505DF__wvu_PrintArea" vbProcedure="false">EOLIndex!$A$6:$R$39</definedName>
    <definedName function="false" hidden="false" localSheetId="9" name="Z_AA002451_B62E_11D2_A853_00805F2505DF__wvu_PrintTitles" vbProcedure="false">EOLIndex!$1:$5</definedName>
    <definedName function="false" hidden="false" localSheetId="9" name="Z_AA00245A_B62E_11D2_A853_00805F2505DF__wvu_PrintArea" vbProcedure="false">EOLIndex!$A$40:$AG$118</definedName>
    <definedName function="false" hidden="false" localSheetId="9" name="Z_AA00245A_B62E_11D2_A853_00805F2505DF__wvu_PrintTitles" vbProcedure="false">EOLIndex!$1:$5</definedName>
    <definedName function="false" hidden="false" localSheetId="9" name="Z_AA002463_B62E_11D2_A853_00805F2505DF__wvu_PrintArea" vbProcedure="false">EOLIndex!$A$120:$M$238</definedName>
    <definedName function="false" hidden="false" localSheetId="9" name="Z_AA002463_B62E_11D2_A853_00805F2505DF__wvu_PrintTitles" vbProcedure="false">EOLIndex!$1:$5</definedName>
    <definedName function="false" hidden="false" localSheetId="9" name="Z_AA0024AF_B62E_11D2_A853_00805F2505DF__wvu_PrintArea" vbProcedure="false">EOLIndex!$A$6:$R$39</definedName>
    <definedName function="false" hidden="false" localSheetId="9" name="Z_AA0024AF_B62E_11D2_A853_00805F2505DF__wvu_PrintTitles" vbProcedure="false">EOLIndex!$1:$5</definedName>
    <definedName function="false" hidden="false" localSheetId="9" name="Z_AA0024B8_B62E_11D2_A853_00805F2505DF__wvu_PrintArea" vbProcedure="false">EOLIndex!$A$40:$AG$118</definedName>
    <definedName function="false" hidden="false" localSheetId="9" name="Z_AA0024B8_B62E_11D2_A853_00805F2505DF__wvu_PrintTitles" vbProcedure="false">EOLIndex!$1:$5</definedName>
    <definedName function="false" hidden="false" localSheetId="9" name="Z_AA0024C1_B62E_11D2_A853_00805F2505DF__wvu_PrintArea" vbProcedure="false">EOLIndex!$A$120:$M$238</definedName>
    <definedName function="false" hidden="false" localSheetId="9" name="Z_AA0024C1_B62E_11D2_A853_00805F2505DF__wvu_PrintTitles" vbProcedure="false">EOLIndex!$1:$5</definedName>
    <definedName function="false" hidden="false" localSheetId="9" name="Z_B2298A96_9F4B_11D2_A842_00805F2505DF__wvu_PrintArea" vbProcedure="false">EOLIndex!$A$6:$R$39</definedName>
    <definedName function="false" hidden="false" localSheetId="9" name="Z_B2298A96_9F4B_11D2_A842_00805F2505DF__wvu_PrintTitles" vbProcedure="false">EOLIndex!$1:$5</definedName>
    <definedName function="false" hidden="false" localSheetId="9" name="Z_B2298A9F_9F4B_11D2_A842_00805F2505DF__wvu_PrintArea" vbProcedure="false">EOLIndex!$A$40:$AG$118</definedName>
    <definedName function="false" hidden="false" localSheetId="9" name="Z_B2298A9F_9F4B_11D2_A842_00805F2505DF__wvu_PrintTitles" vbProcedure="false">EOLIndex!$1:$5</definedName>
    <definedName function="false" hidden="false" localSheetId="9" name="Z_B2298AA8_9F4B_11D2_A842_00805F2505DF__wvu_PrintArea" vbProcedure="false">EOLIndex!$A$120:$M$238</definedName>
    <definedName function="false" hidden="false" localSheetId="9" name="Z_B2298AA8_9F4B_11D2_A842_00805F2505DF__wvu_PrintTitles" vbProcedure="false">EOLIndex!$1:$5</definedName>
    <definedName function="false" hidden="false" localSheetId="9" name="Z_B2F7E2C7_7FBD_11D2_A836_00805F2505DF__wvu_PrintArea" vbProcedure="false">EOLIndex!$A$6:$R$39</definedName>
    <definedName function="false" hidden="false" localSheetId="9" name="Z_B2F7E2C7_7FBD_11D2_A836_00805F2505DF__wvu_PrintTitles" vbProcedure="false">EOLIndex!$1:$5</definedName>
    <definedName function="false" hidden="false" localSheetId="9" name="Z_B2F7E2D0_7FBD_11D2_A836_00805F2505DF__wvu_PrintArea" vbProcedure="false">EOLIndex!$A$40:$AG$118</definedName>
    <definedName function="false" hidden="false" localSheetId="9" name="Z_B2F7E2D0_7FBD_11D2_A836_00805F2505DF__wvu_PrintTitles" vbProcedure="false">EOLIndex!$1:$5</definedName>
    <definedName function="false" hidden="false" localSheetId="9" name="Z_B2F7E2D9_7FBD_11D2_A836_00805F2505DF__wvu_PrintArea" vbProcedure="false">EOLIndex!$A$120:$M$238</definedName>
    <definedName function="false" hidden="false" localSheetId="9" name="Z_B2F7E2D9_7FBD_11D2_A836_00805F2505DF__wvu_PrintTitles" vbProcedure="false">EOLIndex!$1:$5</definedName>
    <definedName function="false" hidden="false" localSheetId="9" name="Z_CAE48B05_AFF0_11D2_A84D_00805F2505DF__wvu_PrintArea" vbProcedure="false">EOLIndex!$A$6:$R$39</definedName>
    <definedName function="false" hidden="false" localSheetId="9" name="Z_CAE48B05_AFF0_11D2_A84D_00805F2505DF__wvu_PrintTitles" vbProcedure="false">EOLIndex!$1:$5</definedName>
    <definedName function="false" hidden="false" localSheetId="9" name="Z_CAE48B0E_AFF0_11D2_A84D_00805F2505DF__wvu_PrintArea" vbProcedure="false">EOLIndex!$A$40:$AG$118</definedName>
    <definedName function="false" hidden="false" localSheetId="9" name="Z_CAE48B0E_AFF0_11D2_A84D_00805F2505DF__wvu_PrintTitles" vbProcedure="false">EOLIndex!$1:$5</definedName>
    <definedName function="false" hidden="false" localSheetId="9" name="Z_CAE48B17_AFF0_11D2_A84D_00805F2505DF__wvu_PrintArea" vbProcedure="false">EOLIndex!$A$120:$M$238</definedName>
    <definedName function="false" hidden="false" localSheetId="9" name="Z_CAE48B17_AFF0_11D2_A84D_00805F2505DF__wvu_PrintTitles" vbProcedure="false">EOLIndex!$1:$5</definedName>
    <definedName function="false" hidden="false" localSheetId="9" name="Z_CC3965CD_A99C_11D2_A84A_00805F2505DF__wvu_PrintArea" vbProcedure="false">EOLIndex!$A$6:$R$39</definedName>
    <definedName function="false" hidden="false" localSheetId="9" name="Z_CC3965CD_A99C_11D2_A84A_00805F2505DF__wvu_PrintTitles" vbProcedure="false">EOLIndex!$1:$5</definedName>
    <definedName function="false" hidden="false" localSheetId="9" name="Z_CC3965D6_A99C_11D2_A84A_00805F2505DF__wvu_PrintArea" vbProcedure="false">EOLIndex!$A$40:$AG$118</definedName>
    <definedName function="false" hidden="false" localSheetId="9" name="Z_CC3965D6_A99C_11D2_A84A_00805F2505DF__wvu_PrintTitles" vbProcedure="false">EOLIndex!$1:$5</definedName>
    <definedName function="false" hidden="false" localSheetId="9" name="Z_CC3965DF_A99C_11D2_A84A_00805F2505DF__wvu_PrintArea" vbProcedure="false">EOLIndex!$A$120:$M$238</definedName>
    <definedName function="false" hidden="false" localSheetId="9" name="Z_CC3965DF_A99C_11D2_A84A_00805F2505DF__wvu_PrintTitles" vbProcedure="false">EOLIndex!$1:$5</definedName>
    <definedName function="false" hidden="false" localSheetId="9" name="Z_D4AB6C0D_AB0F_11D2_A84C_00805F2505DF__wvu_PrintArea" vbProcedure="false">EOLIndex!$A$6:$R$39</definedName>
    <definedName function="false" hidden="false" localSheetId="9" name="Z_D4AB6C0D_AB0F_11D2_A84C_00805F2505DF__wvu_PrintTitles" vbProcedure="false">EOLIndex!$1:$5</definedName>
    <definedName function="false" hidden="false" localSheetId="9" name="Z_D4AB6C16_AB0F_11D2_A84C_00805F2505DF__wvu_PrintArea" vbProcedure="false">EOLIndex!$A$40:$AG$118</definedName>
    <definedName function="false" hidden="false" localSheetId="9" name="Z_D4AB6C16_AB0F_11D2_A84C_00805F2505DF__wvu_PrintTitles" vbProcedure="false">EOLIndex!$1:$5</definedName>
    <definedName function="false" hidden="false" localSheetId="9" name="Z_D4AB6C1F_AB0F_11D2_A84C_00805F2505DF__wvu_PrintArea" vbProcedure="false">EOLIndex!$A$120:$M$238</definedName>
    <definedName function="false" hidden="false" localSheetId="9" name="Z_D4AB6C1F_AB0F_11D2_A84C_00805F2505DF__wvu_PrintTitles" vbProcedure="false">EOLIndex!$1:$5</definedName>
    <definedName function="false" hidden="false" localSheetId="9" name="Z_D4AB6C66_AB0F_11D2_A84C_00805F2505DF__wvu_PrintArea" vbProcedure="false">EOLIndex!$A$6:$R$39</definedName>
    <definedName function="false" hidden="false" localSheetId="9" name="Z_D4AB6C66_AB0F_11D2_A84C_00805F2505DF__wvu_PrintTitles" vbProcedure="false">EOLIndex!$1:$5</definedName>
    <definedName function="false" hidden="false" localSheetId="9" name="Z_D4AB6C6F_AB0F_11D2_A84C_00805F2505DF__wvu_PrintArea" vbProcedure="false">EOLIndex!$A$40:$AG$118</definedName>
    <definedName function="false" hidden="false" localSheetId="9" name="Z_D4AB6C6F_AB0F_11D2_A84C_00805F2505DF__wvu_PrintTitles" vbProcedure="false">EOLIndex!$1:$5</definedName>
    <definedName function="false" hidden="false" localSheetId="9" name="Z_D4AB6C78_AB0F_11D2_A84C_00805F2505DF__wvu_PrintArea" vbProcedure="false">EOLIndex!$A$120:$M$238</definedName>
    <definedName function="false" hidden="false" localSheetId="9" name="Z_D4AB6C78_AB0F_11D2_A84C_00805F2505DF__wvu_PrintTitles" vbProcedure="false">EOLIndex!$1:$5</definedName>
    <definedName function="false" hidden="false" localSheetId="9" name="Z_E05B5124_A672_11D2_A848_00805F2505DF__wvu_PrintArea" vbProcedure="false">EOLIndex!$A$6:$R$39</definedName>
    <definedName function="false" hidden="false" localSheetId="9" name="Z_E05B5124_A672_11D2_A848_00805F2505DF__wvu_PrintTitles" vbProcedure="false">EOLIndex!$1:$5</definedName>
    <definedName function="false" hidden="false" localSheetId="9" name="Z_E05B512D_A672_11D2_A848_00805F2505DF__wvu_PrintArea" vbProcedure="false">EOLIndex!$A$40:$AG$118</definedName>
    <definedName function="false" hidden="false" localSheetId="9" name="Z_E05B512D_A672_11D2_A848_00805F2505DF__wvu_PrintTitles" vbProcedure="false">EOLIndex!$1:$5</definedName>
    <definedName function="false" hidden="false" localSheetId="9" name="Z_E05B5136_A672_11D2_A848_00805F2505DF__wvu_PrintArea" vbProcedure="false">EOLIndex!$A$120:$M$238</definedName>
    <definedName function="false" hidden="false" localSheetId="9" name="Z_E05B5136_A672_11D2_A848_00805F2505DF__wvu_PrintTitles" vbProcedure="false">EOLIndex!$1:$5</definedName>
    <definedName function="false" hidden="false" localSheetId="9" name="Z_F60B7B7B_B470_11D2_A851_00805F2505DF__wvu_PrintArea" vbProcedure="false">EOLIndex!$A$6:$R$39</definedName>
    <definedName function="false" hidden="false" localSheetId="9" name="Z_F60B7B7B_B470_11D2_A851_00805F2505DF__wvu_PrintTitles" vbProcedure="false">EOLIndex!$1:$5</definedName>
    <definedName function="false" hidden="false" localSheetId="9" name="Z_F60B7B84_B470_11D2_A851_00805F2505DF__wvu_PrintArea" vbProcedure="false">EOLIndex!$A$40:$AG$118</definedName>
    <definedName function="false" hidden="false" localSheetId="9" name="Z_F60B7B84_B470_11D2_A851_00805F2505DF__wvu_PrintTitles" vbProcedure="false">EOLIndex!$1:$5</definedName>
    <definedName function="false" hidden="false" localSheetId="9" name="Z_F60B7B8D_B470_11D2_A851_00805F2505DF__wvu_PrintArea" vbProcedure="false">EOLIndex!$A$120:$M$238</definedName>
    <definedName function="false" hidden="false" localSheetId="9" name="Z_F60B7B8D_B470_11D2_A851_00805F2505DF__wvu_PrintTitles" vbProcedure="false">EOLIndex!$1:$5</definedName>
    <definedName function="false" hidden="false" localSheetId="9" name="Z_F60B7BE0_B470_11D2_A851_00805F2505DF__wvu_PrintArea" vbProcedure="false">EOLIndex!$A$6:$R$39</definedName>
    <definedName function="false" hidden="false" localSheetId="9" name="Z_F60B7BE0_B470_11D2_A851_00805F2505DF__wvu_PrintTitles" vbProcedure="false">EOLIndex!$1:$5</definedName>
    <definedName function="false" hidden="false" localSheetId="9" name="Z_F60B7BE9_B470_11D2_A851_00805F2505DF__wvu_PrintArea" vbProcedure="false">EOLIndex!$A$40:$AG$118</definedName>
    <definedName function="false" hidden="false" localSheetId="9" name="Z_F60B7BE9_B470_11D2_A851_00805F2505DF__wvu_PrintTitles" vbProcedure="false">EOLIndex!$1:$5</definedName>
    <definedName function="false" hidden="false" localSheetId="9" name="Z_F60B7BF2_B470_11D2_A851_00805F2505DF__wvu_PrintArea" vbProcedure="false">EOLIndex!$A$120:$M$238</definedName>
    <definedName function="false" hidden="false" localSheetId="9" name="Z_F60B7BF2_B470_11D2_A851_00805F2505DF__wvu_PrintTitles" vbProcedure="false">EOLIndex!$1:$5</definedName>
    <definedName function="false" hidden="false" localSheetId="9" name="Z_F947EA2D_ABF3_11D2_A84C_00805F2505DF__wvu_PrintArea" vbProcedure="false">EOLIndex!$A$6:$R$39</definedName>
    <definedName function="false" hidden="false" localSheetId="9" name="Z_F947EA2D_ABF3_11D2_A84C_00805F2505DF__wvu_PrintTitles" vbProcedure="false">EOLIndex!$1:$5</definedName>
    <definedName function="false" hidden="false" localSheetId="9" name="Z_F947EA36_ABF3_11D2_A84C_00805F2505DF__wvu_PrintArea" vbProcedure="false">EOLIndex!$A$40:$AG$118</definedName>
    <definedName function="false" hidden="false" localSheetId="9" name="Z_F947EA36_ABF3_11D2_A84C_00805F2505DF__wvu_PrintTitles" vbProcedure="false">EOLIndex!$1:$5</definedName>
    <definedName function="false" hidden="false" localSheetId="9" name="Z_F947EA3F_ABF3_11D2_A84C_00805F2505DF__wvu_PrintArea" vbProcedure="false">EOLIndex!$A$120:$M$238</definedName>
    <definedName function="false" hidden="false" localSheetId="9" name="Z_F947EA3F_ABF3_11D2_A84C_00805F2505DF__wvu_PrintTitles" vbProcedure="false">EOLIndex!$1:$5</definedName>
    <definedName function="false" hidden="false" localSheetId="10" name="ACwvu_BookBal_" vbProcedure="false">Options!$A$6:$R$40</definedName>
    <definedName function="false" hidden="false" localSheetId="10" name="ACwvu_DailyChange_" vbProcedure="false">Options!$A$41:$AG$118</definedName>
    <definedName function="false" hidden="false" localSheetId="10" name="ACwvu_Schedules_" vbProcedure="false">Options!$A$121:$M$239</definedName>
    <definedName function="false" hidden="false" localSheetId="10" name="Swvu_BookBal_" vbProcedure="false">Options!$A$6:$R$40</definedName>
    <definedName function="false" hidden="false" localSheetId="10" name="Swvu_DailyChange_" vbProcedure="false">Options!$A$41:$AG$118</definedName>
    <definedName function="false" hidden="false" localSheetId="10" name="Swvu_Schedules_" vbProcedure="false">Options!$A$121:$M$239</definedName>
    <definedName function="false" hidden="false" localSheetId="10" name="wrn_RollDetail_" vbProcedure="false">{"BookBal",#N/A,FALSE,"Roll";"DailyChange",#N/A,FALSE,"Roll";"Schedules",#N/A,FALSE,"Roll"}</definedName>
    <definedName function="false" hidden="false" localSheetId="10"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10"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10"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10" name="Z_00D2C731_B168_11D2_A84F_00805F2505DF__wvu_PrintArea" vbProcedure="false">Options!$A$6:$R$39</definedName>
    <definedName function="false" hidden="false" localSheetId="10" name="Z_00D2C731_B168_11D2_A84F_00805F2505DF__wvu_PrintTitles" vbProcedure="false">Options!$1:$5</definedName>
    <definedName function="false" hidden="false" localSheetId="10" name="Z_00D2C73A_B168_11D2_A84F_00805F2505DF__wvu_PrintArea" vbProcedure="false">Options!$A$40:$AG$118</definedName>
    <definedName function="false" hidden="false" localSheetId="10" name="Z_00D2C73A_B168_11D2_A84F_00805F2505DF__wvu_PrintTitles" vbProcedure="false">Options!$1:$5</definedName>
    <definedName function="false" hidden="false" localSheetId="10" name="Z_00D2C743_B168_11D2_A84F_00805F2505DF__wvu_PrintArea" vbProcedure="false">Options!$A$120:$M$238</definedName>
    <definedName function="false" hidden="false" localSheetId="10" name="Z_00D2C743_B168_11D2_A84F_00805F2505DF__wvu_PrintTitles" vbProcedure="false">Options!$1:$5</definedName>
    <definedName function="false" hidden="false" localSheetId="10" name="Z_01843848_B93D_11D2_8444_00805F3629DE__wvu_PrintArea" vbProcedure="false">Options!$A$6:$R$39</definedName>
    <definedName function="false" hidden="false" localSheetId="10" name="Z_01843848_B93D_11D2_8444_00805F3629DE__wvu_PrintTitles" vbProcedure="false">Options!$1:$5</definedName>
    <definedName function="false" hidden="false" localSheetId="10" name="Z_01843851_B93D_11D2_8444_00805F3629DE__wvu_PrintArea" vbProcedure="false">Options!$A$40:$AG$118</definedName>
    <definedName function="false" hidden="false" localSheetId="10" name="Z_01843851_B93D_11D2_8444_00805F3629DE__wvu_PrintTitles" vbProcedure="false">Options!$1:$5</definedName>
    <definedName function="false" hidden="false" localSheetId="10" name="Z_0184385A_B93D_11D2_8444_00805F3629DE__wvu_PrintArea" vbProcedure="false">Options!$A$120:$M$238</definedName>
    <definedName function="false" hidden="false" localSheetId="10" name="Z_0184385A_B93D_11D2_8444_00805F3629DE__wvu_PrintTitles" vbProcedure="false">Options!$1:$5</definedName>
    <definedName function="false" hidden="false" localSheetId="10" name="Z_02448BA1_88FA_11D2_B05A_00104B2CC235__wvu_PrintArea" vbProcedure="false">Options!$A$6:$R$39</definedName>
    <definedName function="false" hidden="false" localSheetId="10" name="Z_02448BA1_88FA_11D2_B05A_00104B2CC235__wvu_PrintTitles" vbProcedure="false">Options!$1:$5</definedName>
    <definedName function="false" hidden="false" localSheetId="10" name="Z_02448BAA_88FA_11D2_B05A_00104B2CC235__wvu_PrintArea" vbProcedure="false">Options!$A$40:$AG$118</definedName>
    <definedName function="false" hidden="false" localSheetId="10" name="Z_02448BAA_88FA_11D2_B05A_00104B2CC235__wvu_PrintTitles" vbProcedure="false">Options!$1:$5</definedName>
    <definedName function="false" hidden="false" localSheetId="10" name="Z_02448BB3_88FA_11D2_B05A_00104B2CC235__wvu_PrintArea" vbProcedure="false">Options!$A$120:$M$238</definedName>
    <definedName function="false" hidden="false" localSheetId="10" name="Z_02448BB3_88FA_11D2_B05A_00104B2CC235__wvu_PrintTitles" vbProcedure="false">Options!$1:$5</definedName>
    <definedName function="false" hidden="false" localSheetId="10" name="Z_0AC5A1F1_9EA7_11D2_A842_00805F2505DF__wvu_PrintArea" vbProcedure="false">Options!$A$6:$R$39</definedName>
    <definedName function="false" hidden="false" localSheetId="10" name="Z_0AC5A1F1_9EA7_11D2_A842_00805F2505DF__wvu_PrintTitles" vbProcedure="false">Options!$1:$5</definedName>
    <definedName function="false" hidden="false" localSheetId="10" name="Z_0AC5A1FA_9EA7_11D2_A842_00805F2505DF__wvu_PrintArea" vbProcedure="false">Options!$A$40:$AG$118</definedName>
    <definedName function="false" hidden="false" localSheetId="10" name="Z_0AC5A1FA_9EA7_11D2_A842_00805F2505DF__wvu_PrintTitles" vbProcedure="false">Options!$1:$5</definedName>
    <definedName function="false" hidden="false" localSheetId="10" name="Z_0AC5A203_9EA7_11D2_A842_00805F2505DF__wvu_PrintArea" vbProcedure="false">Options!$A$120:$M$238</definedName>
    <definedName function="false" hidden="false" localSheetId="10" name="Z_0AC5A203_9EA7_11D2_A842_00805F2505DF__wvu_PrintTitles" vbProcedure="false">Options!$1:$5</definedName>
    <definedName function="false" hidden="false" localSheetId="10" name="Z_37FD7BD8_ABC9_11D2_843C_00805F3629DE__wvu_PrintArea" vbProcedure="false">Options!$A$6:$R$39</definedName>
    <definedName function="false" hidden="false" localSheetId="10" name="Z_37FD7BD8_ABC9_11D2_843C_00805F3629DE__wvu_PrintTitles" vbProcedure="false">Options!$1:$5</definedName>
    <definedName function="false" hidden="false" localSheetId="10" name="Z_37FD7BE1_ABC9_11D2_843C_00805F3629DE__wvu_PrintArea" vbProcedure="false">Options!$A$40:$AG$118</definedName>
    <definedName function="false" hidden="false" localSheetId="10" name="Z_37FD7BE1_ABC9_11D2_843C_00805F3629DE__wvu_PrintTitles" vbProcedure="false">Options!$1:$5</definedName>
    <definedName function="false" hidden="false" localSheetId="10" name="Z_37FD7BEA_ABC9_11D2_843C_00805F3629DE__wvu_PrintArea" vbProcedure="false">Options!$A$120:$M$238</definedName>
    <definedName function="false" hidden="false" localSheetId="10" name="Z_37FD7BEA_ABC9_11D2_843C_00805F3629DE__wvu_PrintTitles" vbProcedure="false">Options!$1:$5</definedName>
    <definedName function="false" hidden="false" localSheetId="10" name="Z_383AC425_A3FF_11D2_A845_00805F2505DF__wvu_PrintArea" vbProcedure="false">Options!$A$6:$R$39</definedName>
    <definedName function="false" hidden="false" localSheetId="10" name="Z_383AC425_A3FF_11D2_A845_00805F2505DF__wvu_PrintTitles" vbProcedure="false">Options!$1:$5</definedName>
    <definedName function="false" hidden="false" localSheetId="10" name="Z_383AC42E_A3FF_11D2_A845_00805F2505DF__wvu_PrintArea" vbProcedure="false">Options!$A$40:$AG$118</definedName>
    <definedName function="false" hidden="false" localSheetId="10" name="Z_383AC42E_A3FF_11D2_A845_00805F2505DF__wvu_PrintTitles" vbProcedure="false">Options!$1:$5</definedName>
    <definedName function="false" hidden="false" localSheetId="10" name="Z_383AC437_A3FF_11D2_A845_00805F2505DF__wvu_PrintArea" vbProcedure="false">Options!$A$120:$M$238</definedName>
    <definedName function="false" hidden="false" localSheetId="10" name="Z_383AC437_A3FF_11D2_A845_00805F2505DF__wvu_PrintTitles" vbProcedure="false">Options!$1:$5</definedName>
    <definedName function="false" hidden="false" localSheetId="10" name="Z_4398CED1_B092_11D2_A84E_00805F2505DF__wvu_PrintArea" vbProcedure="false">Options!$A$6:$R$39</definedName>
    <definedName function="false" hidden="false" localSheetId="10" name="Z_4398CED1_B092_11D2_A84E_00805F2505DF__wvu_PrintTitles" vbProcedure="false">Options!$1:$5</definedName>
    <definedName function="false" hidden="false" localSheetId="10" name="Z_4398CEDA_B092_11D2_A84E_00805F2505DF__wvu_PrintArea" vbProcedure="false">Options!$A$40:$AG$118</definedName>
    <definedName function="false" hidden="false" localSheetId="10" name="Z_4398CEDA_B092_11D2_A84E_00805F2505DF__wvu_PrintTitles" vbProcedure="false">Options!$1:$5</definedName>
    <definedName function="false" hidden="false" localSheetId="10" name="Z_4398CEE3_B092_11D2_A84E_00805F2505DF__wvu_PrintArea" vbProcedure="false">Options!$A$120:$M$238</definedName>
    <definedName function="false" hidden="false" localSheetId="10" name="Z_4398CEE3_B092_11D2_A84E_00805F2505DF__wvu_PrintTitles" vbProcedure="false">Options!$1:$5</definedName>
    <definedName function="false" hidden="false" localSheetId="10" name="Z_535643BD_B9EE_11D2_A857_00805F2505DF__wvu_PrintArea" vbProcedure="false">Options!$A$6:$R$39</definedName>
    <definedName function="false" hidden="false" localSheetId="10" name="Z_535643BD_B9EE_11D2_A857_00805F2505DF__wvu_PrintTitles" vbProcedure="false">Options!$1:$5</definedName>
    <definedName function="false" hidden="false" localSheetId="10" name="Z_535643C6_B9EE_11D2_A857_00805F2505DF__wvu_PrintArea" vbProcedure="false">Options!$A$40:$AG$118</definedName>
    <definedName function="false" hidden="false" localSheetId="10" name="Z_535643C6_B9EE_11D2_A857_00805F2505DF__wvu_PrintTitles" vbProcedure="false">Options!$1:$5</definedName>
    <definedName function="false" hidden="false" localSheetId="10" name="Z_535643CF_B9EE_11D2_A857_00805F2505DF__wvu_PrintArea" vbProcedure="false">Options!$A$120:$M$238</definedName>
    <definedName function="false" hidden="false" localSheetId="10" name="Z_535643CF_B9EE_11D2_A857_00805F2505DF__wvu_PrintTitles" vbProcedure="false">Options!$1:$5</definedName>
    <definedName function="false" hidden="false" localSheetId="10" name="Z_70785CB7_A4C6_11D2_A845_00805F2505DF__wvu_PrintArea" vbProcedure="false">Options!$A$6:$R$39</definedName>
    <definedName function="false" hidden="false" localSheetId="10" name="Z_70785CB7_A4C6_11D2_A845_00805F2505DF__wvu_PrintTitles" vbProcedure="false">Options!$1:$5</definedName>
    <definedName function="false" hidden="false" localSheetId="10" name="Z_70785CC0_A4C6_11D2_A845_00805F2505DF__wvu_PrintArea" vbProcedure="false">Options!$A$40:$AG$118</definedName>
    <definedName function="false" hidden="false" localSheetId="10" name="Z_70785CC0_A4C6_11D2_A845_00805F2505DF__wvu_PrintTitles" vbProcedure="false">Options!$1:$5</definedName>
    <definedName function="false" hidden="false" localSheetId="10" name="Z_70785CC9_A4C6_11D2_A845_00805F2505DF__wvu_PrintArea" vbProcedure="false">Options!$A$120:$M$238</definedName>
    <definedName function="false" hidden="false" localSheetId="10" name="Z_70785CC9_A4C6_11D2_A845_00805F2505DF__wvu_PrintTitles" vbProcedure="false">Options!$1:$5</definedName>
    <definedName function="false" hidden="false" localSheetId="10" name="Z_76D54FA8_89F3_11D2_B05A_00104B2CC235__wvu_PrintArea" vbProcedure="false">Options!$A$6:$R$39</definedName>
    <definedName function="false" hidden="false" localSheetId="10" name="Z_76D54FA8_89F3_11D2_B05A_00104B2CC235__wvu_PrintTitles" vbProcedure="false">Options!$1:$5</definedName>
    <definedName function="false" hidden="false" localSheetId="10" name="Z_76D54FB1_89F3_11D2_B05A_00104B2CC235__wvu_PrintArea" vbProcedure="false">Options!$A$40:$AG$118</definedName>
    <definedName function="false" hidden="false" localSheetId="10" name="Z_76D54FB1_89F3_11D2_B05A_00104B2CC235__wvu_PrintTitles" vbProcedure="false">Options!$1:$5</definedName>
    <definedName function="false" hidden="false" localSheetId="10" name="Z_76D54FBA_89F3_11D2_B05A_00104B2CC235__wvu_PrintArea" vbProcedure="false">Options!$A$120:$M$238</definedName>
    <definedName function="false" hidden="false" localSheetId="10" name="Z_76D54FBA_89F3_11D2_B05A_00104B2CC235__wvu_PrintTitles" vbProcedure="false">Options!$1:$5</definedName>
    <definedName function="false" hidden="false" localSheetId="10" name="Z_7B7539ED_B7B8_11D2_A856_00805F2505DF__wvu_PrintArea" vbProcedure="false">Options!$A$6:$R$39</definedName>
    <definedName function="false" hidden="false" localSheetId="10" name="Z_7B7539ED_B7B8_11D2_A856_00805F2505DF__wvu_PrintTitles" vbProcedure="false">Options!$1:$5</definedName>
    <definedName function="false" hidden="false" localSheetId="10" name="Z_7B7539F6_B7B8_11D2_A856_00805F2505DF__wvu_PrintArea" vbProcedure="false">Options!$A$40:$AG$118</definedName>
    <definedName function="false" hidden="false" localSheetId="10" name="Z_7B7539F6_B7B8_11D2_A856_00805F2505DF__wvu_PrintTitles" vbProcedure="false">Options!$1:$5</definedName>
    <definedName function="false" hidden="false" localSheetId="10" name="Z_7B7539FF_B7B8_11D2_A856_00805F2505DF__wvu_PrintArea" vbProcedure="false">Options!$A$120:$M$238</definedName>
    <definedName function="false" hidden="false" localSheetId="10" name="Z_7B7539FF_B7B8_11D2_A856_00805F2505DF__wvu_PrintTitles" vbProcedure="false">Options!$1:$5</definedName>
    <definedName function="false" hidden="false" localSheetId="10" name="Z_7C160641_B226_11D2_A850_00805F2505DF__wvu_PrintArea" vbProcedure="false">Options!$A$6:$R$39</definedName>
    <definedName function="false" hidden="false" localSheetId="10" name="Z_7C160641_B226_11D2_A850_00805F2505DF__wvu_PrintTitles" vbProcedure="false">Options!$1:$5</definedName>
    <definedName function="false" hidden="false" localSheetId="10" name="Z_7C16064A_B226_11D2_A850_00805F2505DF__wvu_PrintArea" vbProcedure="false">Options!$A$40:$AG$118</definedName>
    <definedName function="false" hidden="false" localSheetId="10" name="Z_7C16064A_B226_11D2_A850_00805F2505DF__wvu_PrintTitles" vbProcedure="false">Options!$1:$5</definedName>
    <definedName function="false" hidden="false" localSheetId="10" name="Z_7C160653_B226_11D2_A850_00805F2505DF__wvu_PrintArea" vbProcedure="false">Options!$A$120:$M$238</definedName>
    <definedName function="false" hidden="false" localSheetId="10" name="Z_7C160653_B226_11D2_A850_00805F2505DF__wvu_PrintTitles" vbProcedure="false">Options!$1:$5</definedName>
    <definedName function="false" hidden="false" localSheetId="10" name="Z_8106BDAE_AA5F_11D2_A84B_00805F2505DF__wvu_PrintArea" vbProcedure="false">Options!$A$6:$R$39</definedName>
    <definedName function="false" hidden="false" localSheetId="10" name="Z_8106BDAE_AA5F_11D2_A84B_00805F2505DF__wvu_PrintTitles" vbProcedure="false">Options!$1:$5</definedName>
    <definedName function="false" hidden="false" localSheetId="10" name="Z_8106BDB7_AA5F_11D2_A84B_00805F2505DF__wvu_PrintArea" vbProcedure="false">Options!$A$40:$AG$118</definedName>
    <definedName function="false" hidden="false" localSheetId="10" name="Z_8106BDB7_AA5F_11D2_A84B_00805F2505DF__wvu_PrintTitles" vbProcedure="false">Options!$1:$5</definedName>
    <definedName function="false" hidden="false" localSheetId="10" name="Z_8106BDC0_AA5F_11D2_A84B_00805F2505DF__wvu_PrintArea" vbProcedure="false">Options!$A$120:$M$238</definedName>
    <definedName function="false" hidden="false" localSheetId="10" name="Z_8106BDC0_AA5F_11D2_A84B_00805F2505DF__wvu_PrintTitles" vbProcedure="false">Options!$1:$5</definedName>
    <definedName function="false" hidden="false" localSheetId="10" name="Z_90E3CCE0_A590_11D2_A845_00805F2505DF__wvu_PrintArea" vbProcedure="false">Options!$A$6:$R$39</definedName>
    <definedName function="false" hidden="false" localSheetId="10" name="Z_90E3CCE0_A590_11D2_A845_00805F2505DF__wvu_PrintTitles" vbProcedure="false">Options!$1:$5</definedName>
    <definedName function="false" hidden="false" localSheetId="10" name="Z_90E3CCE9_A590_11D2_A845_00805F2505DF__wvu_PrintArea" vbProcedure="false">Options!$A$40:$AG$118</definedName>
    <definedName function="false" hidden="false" localSheetId="10" name="Z_90E3CCE9_A590_11D2_A845_00805F2505DF__wvu_PrintTitles" vbProcedure="false">Options!$1:$5</definedName>
    <definedName function="false" hidden="false" localSheetId="10" name="Z_90E3CCF2_A590_11D2_A845_00805F2505DF__wvu_PrintArea" vbProcedure="false">Options!$A$120:$M$238</definedName>
    <definedName function="false" hidden="false" localSheetId="10" name="Z_90E3CCF2_A590_11D2_A845_00805F2505DF__wvu_PrintTitles" vbProcedure="false">Options!$1:$5</definedName>
    <definedName function="false" hidden="false" localSheetId="10" name="Z_9F5984A6_ADA0_11D2_A84C_00805F2505DF__wvu_PrintArea" vbProcedure="false">Options!$A$6:$R$39</definedName>
    <definedName function="false" hidden="false" localSheetId="10" name="Z_9F5984A6_ADA0_11D2_A84C_00805F2505DF__wvu_PrintTitles" vbProcedure="false">Options!$1:$5</definedName>
    <definedName function="false" hidden="false" localSheetId="10" name="Z_9F5984AF_ADA0_11D2_A84C_00805F2505DF__wvu_PrintArea" vbProcedure="false">Options!$A$40:$AG$118</definedName>
    <definedName function="false" hidden="false" localSheetId="10" name="Z_9F5984AF_ADA0_11D2_A84C_00805F2505DF__wvu_PrintTitles" vbProcedure="false">Options!$1:$5</definedName>
    <definedName function="false" hidden="false" localSheetId="10" name="Z_9F5984B8_ADA0_11D2_A84C_00805F2505DF__wvu_PrintArea" vbProcedure="false">Options!$A$120:$M$238</definedName>
    <definedName function="false" hidden="false" localSheetId="10" name="Z_9F5984B8_ADA0_11D2_A84C_00805F2505DF__wvu_PrintTitles" vbProcedure="false">Options!$1:$5</definedName>
    <definedName function="false" hidden="false" localSheetId="10" name="Z_AA00244D_B62E_11D2_A853_00805F2505DF__wvu_PrintArea" vbProcedure="false">Options!$A$6:$R$39</definedName>
    <definedName function="false" hidden="false" localSheetId="10" name="Z_AA00244D_B62E_11D2_A853_00805F2505DF__wvu_PrintTitles" vbProcedure="false">Options!$1:$5</definedName>
    <definedName function="false" hidden="false" localSheetId="10" name="Z_AA002456_B62E_11D2_A853_00805F2505DF__wvu_PrintArea" vbProcedure="false">Options!$A$40:$AG$118</definedName>
    <definedName function="false" hidden="false" localSheetId="10" name="Z_AA002456_B62E_11D2_A853_00805F2505DF__wvu_PrintTitles" vbProcedure="false">Options!$1:$5</definedName>
    <definedName function="false" hidden="false" localSheetId="10" name="Z_AA00245F_B62E_11D2_A853_00805F2505DF__wvu_PrintArea" vbProcedure="false">Options!$A$120:$M$238</definedName>
    <definedName function="false" hidden="false" localSheetId="10" name="Z_AA00245F_B62E_11D2_A853_00805F2505DF__wvu_PrintTitles" vbProcedure="false">Options!$1:$5</definedName>
    <definedName function="false" hidden="false" localSheetId="10" name="Z_AA0024AB_B62E_11D2_A853_00805F2505DF__wvu_PrintArea" vbProcedure="false">Options!$A$6:$R$39</definedName>
    <definedName function="false" hidden="false" localSheetId="10" name="Z_AA0024AB_B62E_11D2_A853_00805F2505DF__wvu_PrintTitles" vbProcedure="false">Options!$1:$5</definedName>
    <definedName function="false" hidden="false" localSheetId="10" name="Z_AA0024B4_B62E_11D2_A853_00805F2505DF__wvu_PrintArea" vbProcedure="false">Options!$A$40:$AG$118</definedName>
    <definedName function="false" hidden="false" localSheetId="10" name="Z_AA0024B4_B62E_11D2_A853_00805F2505DF__wvu_PrintTitles" vbProcedure="false">Options!$1:$5</definedName>
    <definedName function="false" hidden="false" localSheetId="10" name="Z_AA0024BD_B62E_11D2_A853_00805F2505DF__wvu_PrintArea" vbProcedure="false">Options!$A$120:$M$238</definedName>
    <definedName function="false" hidden="false" localSheetId="10" name="Z_AA0024BD_B62E_11D2_A853_00805F2505DF__wvu_PrintTitles" vbProcedure="false">Options!$1:$5</definedName>
    <definedName function="false" hidden="false" localSheetId="10" name="Z_B2298A92_9F4B_11D2_A842_00805F2505DF__wvu_PrintArea" vbProcedure="false">Options!$A$6:$R$39</definedName>
    <definedName function="false" hidden="false" localSheetId="10" name="Z_B2298A92_9F4B_11D2_A842_00805F2505DF__wvu_PrintTitles" vbProcedure="false">Options!$1:$5</definedName>
    <definedName function="false" hidden="false" localSheetId="10" name="Z_B2298A9B_9F4B_11D2_A842_00805F2505DF__wvu_PrintArea" vbProcedure="false">Options!$A$40:$AG$118</definedName>
    <definedName function="false" hidden="false" localSheetId="10" name="Z_B2298A9B_9F4B_11D2_A842_00805F2505DF__wvu_PrintTitles" vbProcedure="false">Options!$1:$5</definedName>
    <definedName function="false" hidden="false" localSheetId="10" name="Z_B2298AA4_9F4B_11D2_A842_00805F2505DF__wvu_PrintArea" vbProcedure="false">Options!$A$120:$M$238</definedName>
    <definedName function="false" hidden="false" localSheetId="10" name="Z_B2298AA4_9F4B_11D2_A842_00805F2505DF__wvu_PrintTitles" vbProcedure="false">Options!$1:$5</definedName>
    <definedName function="false" hidden="false" localSheetId="10" name="Z_B2F7E2C3_7FBD_11D2_A836_00805F2505DF__wvu_PrintArea" vbProcedure="false">Options!$A$6:$R$39</definedName>
    <definedName function="false" hidden="false" localSheetId="10" name="Z_B2F7E2C3_7FBD_11D2_A836_00805F2505DF__wvu_PrintTitles" vbProcedure="false">Options!$1:$5</definedName>
    <definedName function="false" hidden="false" localSheetId="10" name="Z_B2F7E2CC_7FBD_11D2_A836_00805F2505DF__wvu_PrintArea" vbProcedure="false">Options!$A$40:$AG$118</definedName>
    <definedName function="false" hidden="false" localSheetId="10" name="Z_B2F7E2CC_7FBD_11D2_A836_00805F2505DF__wvu_PrintTitles" vbProcedure="false">Options!$1:$5</definedName>
    <definedName function="false" hidden="false" localSheetId="10" name="Z_B2F7E2D5_7FBD_11D2_A836_00805F2505DF__wvu_PrintArea" vbProcedure="false">Options!$A$120:$M$238</definedName>
    <definedName function="false" hidden="false" localSheetId="10" name="Z_B2F7E2D5_7FBD_11D2_A836_00805F2505DF__wvu_PrintTitles" vbProcedure="false">Options!$1:$5</definedName>
    <definedName function="false" hidden="false" localSheetId="10" name="Z_CAE48B01_AFF0_11D2_A84D_00805F2505DF__wvu_PrintArea" vbProcedure="false">Options!$A$6:$R$39</definedName>
    <definedName function="false" hidden="false" localSheetId="10" name="Z_CAE48B01_AFF0_11D2_A84D_00805F2505DF__wvu_PrintTitles" vbProcedure="false">Options!$1:$5</definedName>
    <definedName function="false" hidden="false" localSheetId="10" name="Z_CAE48B0A_AFF0_11D2_A84D_00805F2505DF__wvu_PrintArea" vbProcedure="false">Options!$A$40:$AG$118</definedName>
    <definedName function="false" hidden="false" localSheetId="10" name="Z_CAE48B0A_AFF0_11D2_A84D_00805F2505DF__wvu_PrintTitles" vbProcedure="false">Options!$1:$5</definedName>
    <definedName function="false" hidden="false" localSheetId="10" name="Z_CAE48B13_AFF0_11D2_A84D_00805F2505DF__wvu_PrintArea" vbProcedure="false">Options!$A$120:$M$238</definedName>
    <definedName function="false" hidden="false" localSheetId="10" name="Z_CAE48B13_AFF0_11D2_A84D_00805F2505DF__wvu_PrintTitles" vbProcedure="false">Options!$1:$5</definedName>
    <definedName function="false" hidden="false" localSheetId="10" name="Z_CC3965C9_A99C_11D2_A84A_00805F2505DF__wvu_PrintArea" vbProcedure="false">Options!$A$6:$R$39</definedName>
    <definedName function="false" hidden="false" localSheetId="10" name="Z_CC3965C9_A99C_11D2_A84A_00805F2505DF__wvu_PrintTitles" vbProcedure="false">Options!$1:$5</definedName>
    <definedName function="false" hidden="false" localSheetId="10" name="Z_CC3965D2_A99C_11D2_A84A_00805F2505DF__wvu_PrintArea" vbProcedure="false">Options!$A$40:$AG$118</definedName>
    <definedName function="false" hidden="false" localSheetId="10" name="Z_CC3965D2_A99C_11D2_A84A_00805F2505DF__wvu_PrintTitles" vbProcedure="false">Options!$1:$5</definedName>
    <definedName function="false" hidden="false" localSheetId="10" name="Z_CC3965DB_A99C_11D2_A84A_00805F2505DF__wvu_PrintArea" vbProcedure="false">Options!$A$120:$M$238</definedName>
    <definedName function="false" hidden="false" localSheetId="10" name="Z_CC3965DB_A99C_11D2_A84A_00805F2505DF__wvu_PrintTitles" vbProcedure="false">Options!$1:$5</definedName>
    <definedName function="false" hidden="false" localSheetId="10" name="Z_D4AB6C09_AB0F_11D2_A84C_00805F2505DF__wvu_PrintArea" vbProcedure="false">Options!$A$6:$R$39</definedName>
    <definedName function="false" hidden="false" localSheetId="10" name="Z_D4AB6C09_AB0F_11D2_A84C_00805F2505DF__wvu_PrintTitles" vbProcedure="false">Options!$1:$5</definedName>
    <definedName function="false" hidden="false" localSheetId="10" name="Z_D4AB6C12_AB0F_11D2_A84C_00805F2505DF__wvu_PrintArea" vbProcedure="false">Options!$A$40:$AG$118</definedName>
    <definedName function="false" hidden="false" localSheetId="10" name="Z_D4AB6C12_AB0F_11D2_A84C_00805F2505DF__wvu_PrintTitles" vbProcedure="false">Options!$1:$5</definedName>
    <definedName function="false" hidden="false" localSheetId="10" name="Z_D4AB6C1B_AB0F_11D2_A84C_00805F2505DF__wvu_PrintArea" vbProcedure="false">Options!$A$120:$M$238</definedName>
    <definedName function="false" hidden="false" localSheetId="10" name="Z_D4AB6C1B_AB0F_11D2_A84C_00805F2505DF__wvu_PrintTitles" vbProcedure="false">Options!$1:$5</definedName>
    <definedName function="false" hidden="false" localSheetId="10" name="Z_D4AB6C62_AB0F_11D2_A84C_00805F2505DF__wvu_PrintArea" vbProcedure="false">Options!$A$6:$R$39</definedName>
    <definedName function="false" hidden="false" localSheetId="10" name="Z_D4AB6C62_AB0F_11D2_A84C_00805F2505DF__wvu_PrintTitles" vbProcedure="false">Options!$1:$5</definedName>
    <definedName function="false" hidden="false" localSheetId="10" name="Z_D4AB6C6B_AB0F_11D2_A84C_00805F2505DF__wvu_PrintArea" vbProcedure="false">Options!$A$40:$AG$118</definedName>
    <definedName function="false" hidden="false" localSheetId="10" name="Z_D4AB6C6B_AB0F_11D2_A84C_00805F2505DF__wvu_PrintTitles" vbProcedure="false">Options!$1:$5</definedName>
    <definedName function="false" hidden="false" localSheetId="10" name="Z_D4AB6C74_AB0F_11D2_A84C_00805F2505DF__wvu_PrintArea" vbProcedure="false">Options!$A$120:$M$238</definedName>
    <definedName function="false" hidden="false" localSheetId="10" name="Z_D4AB6C74_AB0F_11D2_A84C_00805F2505DF__wvu_PrintTitles" vbProcedure="false">Options!$1:$5</definedName>
    <definedName function="false" hidden="false" localSheetId="10" name="Z_E05B5120_A672_11D2_A848_00805F2505DF__wvu_PrintArea" vbProcedure="false">Options!$A$6:$R$39</definedName>
    <definedName function="false" hidden="false" localSheetId="10" name="Z_E05B5120_A672_11D2_A848_00805F2505DF__wvu_PrintTitles" vbProcedure="false">Options!$1:$5</definedName>
    <definedName function="false" hidden="false" localSheetId="10" name="Z_E05B5129_A672_11D2_A848_00805F2505DF__wvu_PrintArea" vbProcedure="false">Options!$A$40:$AG$118</definedName>
    <definedName function="false" hidden="false" localSheetId="10" name="Z_E05B5129_A672_11D2_A848_00805F2505DF__wvu_PrintTitles" vbProcedure="false">Options!$1:$5</definedName>
    <definedName function="false" hidden="false" localSheetId="10" name="Z_E05B5132_A672_11D2_A848_00805F2505DF__wvu_PrintArea" vbProcedure="false">Options!$A$120:$M$238</definedName>
    <definedName function="false" hidden="false" localSheetId="10" name="Z_E05B5132_A672_11D2_A848_00805F2505DF__wvu_PrintTitles" vbProcedure="false">Options!$1:$5</definedName>
    <definedName function="false" hidden="false" localSheetId="10" name="Z_F60B7B77_B470_11D2_A851_00805F2505DF__wvu_PrintArea" vbProcedure="false">Options!$A$6:$R$39</definedName>
    <definedName function="false" hidden="false" localSheetId="10" name="Z_F60B7B77_B470_11D2_A851_00805F2505DF__wvu_PrintTitles" vbProcedure="false">Options!$1:$5</definedName>
    <definedName function="false" hidden="false" localSheetId="10" name="Z_F60B7B80_B470_11D2_A851_00805F2505DF__wvu_PrintArea" vbProcedure="false">Options!$A$40:$AG$118</definedName>
    <definedName function="false" hidden="false" localSheetId="10" name="Z_F60B7B80_B470_11D2_A851_00805F2505DF__wvu_PrintTitles" vbProcedure="false">Options!$1:$5</definedName>
    <definedName function="false" hidden="false" localSheetId="10" name="Z_F60B7B89_B470_11D2_A851_00805F2505DF__wvu_PrintArea" vbProcedure="false">Options!$A$120:$M$238</definedName>
    <definedName function="false" hidden="false" localSheetId="10" name="Z_F60B7B89_B470_11D2_A851_00805F2505DF__wvu_PrintTitles" vbProcedure="false">Options!$1:$5</definedName>
    <definedName function="false" hidden="false" localSheetId="10" name="Z_F60B7BDC_B470_11D2_A851_00805F2505DF__wvu_PrintArea" vbProcedure="false">Options!$A$6:$R$39</definedName>
    <definedName function="false" hidden="false" localSheetId="10" name="Z_F60B7BDC_B470_11D2_A851_00805F2505DF__wvu_PrintTitles" vbProcedure="false">Options!$1:$5</definedName>
    <definedName function="false" hidden="false" localSheetId="10" name="Z_F60B7BE5_B470_11D2_A851_00805F2505DF__wvu_PrintArea" vbProcedure="false">Options!$A$40:$AG$118</definedName>
    <definedName function="false" hidden="false" localSheetId="10" name="Z_F60B7BE5_B470_11D2_A851_00805F2505DF__wvu_PrintTitles" vbProcedure="false">Options!$1:$5</definedName>
    <definedName function="false" hidden="false" localSheetId="10" name="Z_F60B7BEE_B470_11D2_A851_00805F2505DF__wvu_PrintArea" vbProcedure="false">Options!$A$120:$M$238</definedName>
    <definedName function="false" hidden="false" localSheetId="10" name="Z_F60B7BEE_B470_11D2_A851_00805F2505DF__wvu_PrintTitles" vbProcedure="false">Options!$1:$5</definedName>
    <definedName function="false" hidden="false" localSheetId="10" name="Z_F947EA29_ABF3_11D2_A84C_00805F2505DF__wvu_PrintArea" vbProcedure="false">Options!$A$6:$R$39</definedName>
    <definedName function="false" hidden="false" localSheetId="10" name="Z_F947EA29_ABF3_11D2_A84C_00805F2505DF__wvu_PrintTitles" vbProcedure="false">Options!$1:$5</definedName>
    <definedName function="false" hidden="false" localSheetId="10" name="Z_F947EA32_ABF3_11D2_A84C_00805F2505DF__wvu_PrintArea" vbProcedure="false">Options!$A$40:$AG$118</definedName>
    <definedName function="false" hidden="false" localSheetId="10" name="Z_F947EA32_ABF3_11D2_A84C_00805F2505DF__wvu_PrintTitles" vbProcedure="false">Options!$1:$5</definedName>
    <definedName function="false" hidden="false" localSheetId="10" name="Z_F947EA3B_ABF3_11D2_A84C_00805F2505DF__wvu_PrintArea" vbProcedure="false">Options!$A$120:$M$238</definedName>
    <definedName function="false" hidden="false" localSheetId="10" name="Z_F947EA3B_ABF3_11D2_A84C_00805F2505DF__wvu_PrintTitles" vbProcedure="false">Options!$1:$5</definedName>
    <definedName function="false" hidden="false" localSheetId="11" name="ACwvu_BookBal_" vbProcedure="false">OptionsIndex!$A$6:$R$40</definedName>
    <definedName function="false" hidden="false" localSheetId="11" name="ACwvu_DailyChange_" vbProcedure="false">OptionsIndex!$A$41:$AG$118</definedName>
    <definedName function="false" hidden="false" localSheetId="11" name="ACwvu_Schedules_" vbProcedure="false">OptionsIndex!$A$121:$M$239</definedName>
    <definedName function="false" hidden="false" localSheetId="11" name="Swvu_BookBal_" vbProcedure="false">OptionsIndex!$A$6:$R$40</definedName>
    <definedName function="false" hidden="false" localSheetId="11" name="Swvu_DailyChange_" vbProcedure="false">OptionsIndex!$A$41:$AG$118</definedName>
    <definedName function="false" hidden="false" localSheetId="11" name="Swvu_Sc0_x000b_y&#13;les_" vbProcedure="false">OptionsIndex!$A$121:$M$239</definedName>
    <definedName function="false" hidden="false" localSheetId="11" name="wrn_RollDetail_" vbProcedure="false">{"BookBal",#N/A,FALSE,"Roll";"DailyChange",#N/A,FALSE,"Roll";"Schedules",#N/A,FALSE,"Roll"}</definedName>
    <definedName function="false" hidden="false" localSheetId="11"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11"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11"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11" name="Z_00D2C736_B168_11D2_A84F_00805F2505DF__wvu_PrintArea" vbProcedure="false">OptionsIndex!$A$6:$R$39</definedName>
    <definedName function="false" hidden="false" localSheetId="11" name="Z_00D2C736_B168_11D2_A84F_00805F2505DF__wvu_PrintTitles" vbProcedure="false">OptionsIndex!$1:$5</definedName>
    <definedName function="false" hidden="false" localSheetId="11" name="Z_00D2C73F_B168_11D2_A84F_00805F2505DF__wvu_PrintArea" vbProcedure="false">OptionsIndex!$A$40:$AG$118</definedName>
    <definedName function="false" hidden="false" localSheetId="11" name="Z_00D2C73F_B168_11D2_A84F_00805F2505DF__wvu_PrintTitles" vbProcedure="false">OptionsIndex!$1:$5</definedName>
    <definedName function="false" hidden="false" localSheetId="11" name="Z_00D2C748_B168_11D2_A84F_00805F2505DF__wvu_PrintArea" vbProcedure="false">OptionsIndex!$A$120:$M$238</definedName>
    <definedName function="false" hidden="false" localSheetId="11" name="Z_00D2C748_B168_11D2_A84F_00805F2505DF__wvu_PrintTitles" vbProcedure="false">OptionsIndex!$1:$5</definedName>
    <definedName function="false" hidden="false" localSheetId="11" name="Z_0184384D_B93D_11D2_8444_00805F3629DE__wvu_PrintArea" vbProcedure="false">OptionsIndex!$A$6:$R$39</definedName>
    <definedName function="false" hidden="false" localSheetId="11" name="Z_0184384D_B93D_11D2_8444_00805F3629DE__wvu_PrintTitles" vbProcedure="false">OptionsIndex!$1:$5</definedName>
    <definedName function="false" hidden="false" localSheetId="11" name="Z_01843856_B93D_11D2_8444_00805F3629DE__wvu_PrintArea" vbProcedure="false">OptionsIndex!$A$40:$AG$118</definedName>
    <definedName function="false" hidden="false" localSheetId="11" name="Z_01843856_B93D_11D2_8444_00805F3629DE__wvu_PrintTitles" vbProcedure="false">OptionsIndex!$1:$5</definedName>
    <definedName function="false" hidden="false" localSheetId="11" name="Z_0184385F_B93D_11D2_8444_00805F3629DE__wvu_PrintArea" vbProcedure="false">OptionsIndex!$A$120:$M$238</definedName>
    <definedName function="false" hidden="false" localSheetId="11" name="Z_0184385F_B93D_11D2_8444_00805F3629DE__wvu_PrintTitles" vbProcedure="false">OptionsIndex!$1:$5</definedName>
    <definedName function="false" hidden="false" localSheetId="11" name="Z_02448BA6_88FA_11D2_B05A_00104B2CC235__wvu_PrintArea" vbProcedure="false">OptionsIndex!$A$6:$R$39</definedName>
    <definedName function="false" hidden="false" localSheetId="11" name="Z_02448BA6_88FA_11D2_B05A_00104B2CC235__wvu_PrintTitles" vbProcedure="false">OptionsIndex!$1:$5</definedName>
    <definedName function="false" hidden="false" localSheetId="11" name="Z_02448BAF_88FA_11D2_B05A_00104B2CC235__wvu_PrintArea" vbProcedure="false">OptionsIndex!$A$40:$AG$118</definedName>
    <definedName function="false" hidden="false" localSheetId="11" name="Z_02448BAF_88FA_11D2_B05A_00104B2CC235__wvu_PrintTitles" vbProcedure="false">OptionsIndex!$1:$5</definedName>
    <definedName function="false" hidden="false" localSheetId="11" name="Z_02448BB8_88FA_11D2_B05A_00104B2CC235__wvu_PrintArea" vbProcedure="false">OptionsIndex!$A$120:$M$238</definedName>
    <definedName function="false" hidden="false" localSheetId="11" name="Z_02448BB8_88FA_11D2_B05A_00104B2CC235__wvu_PrintTitles" vbProcedure="false">OptionsIndex!$1:$5</definedName>
    <definedName function="false" hidden="false" localSheetId="11" name="Z_0AC5A1F6_9EA7_11D2_A842_00805F2505DF__wvu_PrintArea" vbProcedure="false">OptionsIndex!$A$6:$R$39</definedName>
    <definedName function="false" hidden="false" localSheetId="11" name="Z_0AC5A1F6_9EA7_11D2_A842_00805F2505DF__wvu_PrintTitles" vbProcedure="false">OptionsIndex!$1:$5</definedName>
    <definedName function="false" hidden="false" localSheetId="11" name="Z_0AC5A1FF_9EA7_11D2_A842_00805F2505DF__wvu_PrintArea" vbProcedure="false">OptionsIndex!$A$40:$AG$118</definedName>
    <definedName function="false" hidden="false" localSheetId="11" name="Z_0AC5A1FF_9EA7_11D2_A842_00805F2505DF__wvu_PrintTitles" vbProcedure="false">OptionsIndex!$1:$5</definedName>
    <definedName function="false" hidden="false" localSheetId="11" name="Z_0AC5A208_9EA7_11D2_A842_00805F2505DF__wvu_PrintArea" vbProcedure="false">OptionsIndex!$A$120:$M$238</definedName>
    <definedName function="false" hidden="false" localSheetId="11" name="Z_0AC5A208_9EA7_11D2_A842_00805F2505DF__wvu_PrintTitles" vbProcedure="false">OptionsIndex!$1:$5</definedName>
    <definedName function="false" hidden="false" localSheetId="11" name="Z_37FD7BDD_ABC9_11D2_843C_00805F3629DE__wvu_PrintArea" vbProcedure="false">OptionsIndex!$A$6:$R$39</definedName>
    <definedName function="false" hidden="false" localSheetId="11" name="Z_37FD7BDD_ABC9_11D2_843C_00805F3629DE__wvu_PrintTitles" vbProcedure="false">OptionsIndex!$1:$5</definedName>
    <definedName function="false" hidden="false" localSheetId="11" name="Z_37FD7BE6_ABC9_11D2_843C_00805F3629DE__wvu_PrintArea" vbProcedure="false">OptionsIndex!$A$40:$AG$118</definedName>
    <definedName function="false" hidden="false" localSheetId="11" name="Z_37FD7BE6_ABC9_11D2_843C_00805F3629DE__wvu_PrintTitles" vbProcedure="false">OptionsIndex!$1:$5</definedName>
    <definedName function="false" hidden="false" localSheetId="11" name="Z_37FD7BEF_ABC9_11D2_843C_00805F3629DE__wvu_PrintArea" vbProcedure="false">OptionsIndex!$A$120:$M$238</definedName>
    <definedName function="false" hidden="false" localSheetId="11" name="Z_37FD7BEF_ABC9_11D2_843C_00805F3629DE__wvu_PrintTitles" vbProcedure="false">OptionsIndex!$1:$5</definedName>
    <definedName function="false" hidden="false" localSheetId="11" name="Z_383AC42A_A3FF_11D2_A845_00805F2505DF__wvu_PrintArea" vbProcedure="false">OptionsIndex!$A$6:$R$39</definedName>
    <definedName function="false" hidden="false" localSheetId="11" name="Z_383AC42A_A3FF_11D2_A845_00805F2505DF__wvu_PrintTitles" vbProcedure="false">OptionsIndex!$1:$5</definedName>
    <definedName function="false" hidden="false" localSheetId="11" name="Z_383AC433_A3FF_11D2_A845_00805F2505DF__wvu_PrintArea" vbProcedure="false">OptionsIndex!$A$40:$AG$118</definedName>
    <definedName function="false" hidden="false" localSheetId="11" name="Z_383AC433_A3FF_11D2_A845_00805F2505DF__wvu_PrintTitles" vbProcedure="false">OptionsIndex!$1:$5</definedName>
    <definedName function="false" hidden="false" localSheetId="11" name="Z_383AC43C_A3FF_11D2_A845_00805F2505DF__wvu_PrintArea" vbProcedure="false">OptionsIndex!$A$120:$M$238</definedName>
    <definedName function="false" hidden="false" localSheetId="11" name="Z_383AC43C_A3FF_11D2_A845_00805F2505DF__wvu_PrintTitles" vbProcedure="false">OptionsIndex!$1:$5</definedName>
    <definedName function="false" hidden="false" localSheetId="11" name="Z_4398CED6_B092_11D2_A84E_00805F2505DF__wvu_PrintArea" vbProcedure="false">OptionsIndex!$A$6:$R$39</definedName>
    <definedName function="false" hidden="false" localSheetId="11" name="Z_4398CED6_B092_11D2_A84E_00805F2505DF__wvu_PrintTitles" vbProcedure="false">OptionsIndex!$1:$5</definedName>
    <definedName function="false" hidden="false" localSheetId="11" name="Z_4398CEDF_B092_11D2_A84E_00805F2505DF__wvu_PrintArea" vbProcedure="false">OptionsIndex!$A$40:$AG$118</definedName>
    <definedName function="false" hidden="false" localSheetId="11" name="Z_4398CEDF_B092_11D2_A84E_00805F2505DF__wvu_PrintTitles" vbProcedure="false">OptionsIndex!$1:$5</definedName>
    <definedName function="false" hidden="false" localSheetId="11" name="Z_4398CEE8_B092_11D2_A84E_00805F2505DF__wvu_PrintArea" vbProcedure="false">OptionsIndex!$A$120:$M$238</definedName>
    <definedName function="false" hidden="false" localSheetId="11" name="Z_4398CEE8_B092_11D2_A84E_00805F2505DF__wvu_PrintTitles" vbProcedure="false">OptionsIndex!$1:$5</definedName>
    <definedName function="false" hidden="false" localSheetId="11" name="Z_535643C2_B9EE_11D2_A857_00805F2505DF__wvu_PrintArea" vbProcedure="false">OptionsIndex!$A$6:$R$39</definedName>
    <definedName function="false" hidden="false" localSheetId="11" name="Z_535643C2_B9EE_11D2_A857_00805F2505DF__wvu_PrintTitles" vbProcedure="false">OptionsIndex!$1:$5</definedName>
    <definedName function="false" hidden="false" localSheetId="11" name="Z_535643CB_B9EE_11D2_A857_00805F2505DF__wvu_PrintArea" vbProcedure="false">OptionsIndex!$A$40:$AG$118</definedName>
    <definedName function="false" hidden="false" localSheetId="11" name="Z_535643CB_B9EE_11D2_A857_00805F2505DF__wvu_PrintTitles" vbProcedure="false">OptionsIndex!$1:$5</definedName>
    <definedName function="false" hidden="false" localSheetId="11" name="Z_535643D4_B9EE_11D2_A857_00805F2505DF__wvu_PrintArea" vbProcedure="false">OptionsIndex!$A$120:$M$238</definedName>
    <definedName function="false" hidden="false" localSheetId="11" name="Z_535643D4_B9EE_11D2_A857_00805F2505DF__wvu_PrintTitles" vbProcedure="false">OptionsIndex!$1:$5</definedName>
    <definedName function="false" hidden="false" localSheetId="11" name="Z_70785CBC_A4C6_11D2_A845_00805F2505DF__wvu_PrintArea" vbProcedure="false">OptionsIndex!$A$6:$R$39</definedName>
    <definedName function="false" hidden="false" localSheetId="11" name="Z_70785CBC_A4C6_11D2_A845_00805F2505DF__wvu_PrintTitles" vbProcedure="false">OptionsIndex!$1:$5</definedName>
    <definedName function="false" hidden="false" localSheetId="11" name="Z_70785CC5_A4C6_11D2_A845_00805F2505DF__wvu_PrintArea" vbProcedure="false">OptionsIndex!$A$40:$AG$118</definedName>
    <definedName function="false" hidden="false" localSheetId="11" name="Z_70785CC5_A4C6_11D2_A845_00805F2505DF__wvu_PrintTitles" vbProcedure="false">OptionsIndex!$1:$5</definedName>
    <definedName function="false" hidden="false" localSheetId="11" name="Z_70785CCE_A4C6_11D2_A845_00805F2505DF__wvu_PrintArea" vbProcedure="false">OptionsIndex!$A$120:$M$238</definedName>
    <definedName function="false" hidden="false" localSheetId="11" name="Z_70785CCE_A4C6_11D2_A845_00805F2505DF__wvu_PrintTitles" vbProcedure="false">OptionsIndex!$1:$5</definedName>
    <definedName function="false" hidden="false" localSheetId="11" name="Z_76D54FAD_89F3_11D2_B05A_00104B2CC235__wvu_PrintArea" vbProcedure="false">OptionsIndex!$A$6:$R$39</definedName>
    <definedName function="false" hidden="false" localSheetId="11" name="Z_76D54FAD_89F3_11D2_B05A_00104B2CC235__wvu_PrintTitles" vbProcedure="false">OptionsIndex!$1:$5</definedName>
    <definedName function="false" hidden="false" localSheetId="11" name="Z_76D54FB6_89F3_11D2_B05A_00104B2CC235__wvu_PrintArea" vbProcedure="false">OptionsIndex!$A$40:$AG$118</definedName>
    <definedName function="false" hidden="false" localSheetId="11" name="Z_76D54FB6_89F3_11D2_B05A_00104B2CC235__wvu_PrintTitles" vbProcedure="false">OptionsIndex!$1:$5</definedName>
    <definedName function="false" hidden="false" localSheetId="11" name="Z_76D54FBF_89F3_11D2_B05A_00104B2CC235__wvu_PrintArea" vbProcedure="false">OptionsIndex!$A$120:$M$238</definedName>
    <definedName function="false" hidden="false" localSheetId="11" name="Z_76D54FBF_89F3_11D2_B05A_00104B2CC235__wvu_PrintTitles" vbProcedure="false">OptionsIndex!$1:$5</definedName>
    <definedName function="false" hidden="false" localSheetId="11" name="Z_7B7539F2_B7B8_11D2_A856_00805F2505DF__wvu_PrintArea" vbProcedure="false">OptionsIndex!$A$6:$R$39</definedName>
    <definedName function="false" hidden="false" localSheetId="11" name="Z_7B7539F2_B7B8_11D2_A856_00805F2505DF__wvu_PrintTitles" vbProcedure="false">OptionsIndex!$1:$5</definedName>
    <definedName function="false" hidden="false" localSheetId="11" name="Z_7B7539FB_B7B8_11D2_A856_00805F2505DF__wvu_PrintArea" vbProcedure="false">OptionsIndex!$A$40:$AG$118</definedName>
    <definedName function="false" hidden="false" localSheetId="11" name="Z_7B7539FB_B7B8_11D2_A856_00805F2505DF__wvu_PrintTitles" vbProcedure="false">OptionsIndex!$1:$5</definedName>
    <definedName function="false" hidden="false" localSheetId="11" name="Z_7B753A04_B7B8_11D2_A856_00805F2505DF__wvu_PrintArea" vbProcedure="false">OptionsIndex!$A$120:$M$238</definedName>
    <definedName function="false" hidden="false" localSheetId="11" name="Z_7B753A04_B7B8_11D2_A856_00805F2505DF__wvu_PrintTitles" vbProcedure="false">OptionsIndex!$1:$5</definedName>
    <definedName function="false" hidden="false" localSheetId="11" name="Z_7C160646_B226_11D2_A850_00805F2505DF__wvu_PrintArea" vbProcedure="false">OptionsIndex!$A$6:$R$39</definedName>
    <definedName function="false" hidden="false" localSheetId="11" name="Z_7C160646_B226_11D2_A850_00805F2505DF__wvu_PrintTitles" vbProcedure="false">OptionsIndex!$1:$5</definedName>
    <definedName function="false" hidden="false" localSheetId="11" name="Z_7C16064F_B226_11D2_A850_00805F2505DF__wvu_PrintArea" vbProcedure="false">OptionsIndex!$A$40:$AG$118</definedName>
    <definedName function="false" hidden="false" localSheetId="11" name="Z_7C16064F_B226_11D2_A850_00805F2505DF__wvu_PrintTitles" vbProcedure="false">OptionsIndex!$1:$5</definedName>
    <definedName function="false" hidden="false" localSheetId="11" name="Z_7C160658_B226_11D2_A850_00805F2505DF__wvu_PrintArea" vbProcedure="false">OptionsIndex!$A$120:$M$238</definedName>
    <definedName function="false" hidden="false" localSheetId="11" name="Z_7C160658_B226_11D2_A850_00805F2505DF__wvu_PrintTitles" vbProcedure="false">OptionsIndex!$1:$5</definedName>
    <definedName function="false" hidden="false" localSheetId="11" name="Z_8106BDB3_AA5F_11D2_A84B_00805F2505DF__wvu_PrintArea" vbProcedure="false">OptionsIndex!$A$6:$R$39</definedName>
    <definedName function="false" hidden="false" localSheetId="11" name="Z_8106BDB3_AA5F_11D2_A84B_00805F2505DF__wvu_PrintTitles" vbProcedure="false">OptionsIndex!$1:$5</definedName>
    <definedName function="false" hidden="false" localSheetId="11" name="Z_8106BDBC_AA5F_11D2_A84B_00805F2505DF__wvu_PrintArea" vbProcedure="false">OptionsIndex!$A$40:$AG$118</definedName>
    <definedName function="false" hidden="false" localSheetId="11" name="Z_8106BDBC_AA5F_11D2_A84B_00805F2505DF__wvu_PrintTitles" vbProcedure="false">OptionsIndex!$1:$5</definedName>
    <definedName function="false" hidden="false" localSheetId="11" name="Z_8106BDC5_AA5F_11D2_A84B_00805F2505DF__wvu_PrintArea" vbProcedure="false">OptionsIndex!$A$120:$M$238</definedName>
    <definedName function="false" hidden="false" localSheetId="11" name="Z_8106BDC5_AA5F_11D2_A84B_00805F2505DF__wvu_PrintTitles" vbProcedure="false">OptionsIndex!$1:$5</definedName>
    <definedName function="false" hidden="false" localSheetId="11" name="Z_90E3CCE5_A590_11D2_A845_00805F2505DF__wvu_PrintArea" vbProcedure="false">OptionsIndex!$A$6:$R$39</definedName>
    <definedName function="false" hidden="false" localSheetId="11" name="Z_90E3CCE5_A590_11D2_A845_00805F2505DF__wvu_PrintTitles" vbProcedure="false">OptionsIndex!$1:$5</definedName>
    <definedName function="false" hidden="false" localSheetId="11" name="Z_90E3CCEE_A590_11D2_A845_00805F2505DF__wvu_PrintArea" vbProcedure="false">OptionsIndex!$A$40:$AG$118</definedName>
    <definedName function="false" hidden="false" localSheetId="11" name="Z_90E3CCEE_A590_11D2_A845_00805F2505DF__wvu_PrintTitles" vbProcedure="false">OptionsIndex!$1:$5</definedName>
    <definedName function="false" hidden="false" localSheetId="11" name="Z_90E3CCF7_A590_11D2_A845_00805F2505DF__wvu_PrintArea" vbProcedure="false">OptionsIndex!$A$120:$M$238</definedName>
    <definedName function="false" hidden="false" localSheetId="11" name="Z_90E3CCF7_A590_11D2_A845_00805F2505DF__wvu_PrintTitles" vbProcedure="false">OptionsIndex!$1:$5</definedName>
    <definedName function="false" hidden="false" localSheetId="11" name="Z_9F5984AB_ADA0_11D2_A84C_00805F2505DF__wvu_PrintArea" vbProcedure="false">OptionsIndex!$A$6:$R$39</definedName>
    <definedName function="false" hidden="false" localSheetId="11" name="Z_9F5984AB_ADA0_11D2_A84C_00805F2505DF__wvu_PrintTitles" vbProcedure="false">OptionsIndex!$1:$5</definedName>
    <definedName function="false" hidden="false" localSheetId="11" name="Z_9F5984B4_ADA0_11D2_A84C_00805F2505DF__wvu_PrintArea" vbProcedure="false">OptionsIndex!$A$40:$AG$118</definedName>
    <definedName function="false" hidden="false" localSheetId="11" name="Z_9F5984B4_ADA0_11D2_A84C_00805F2505DF__wvu_PrintTitles" vbProcedure="false">OptionsIndex!$1:$5</definedName>
    <definedName function="false" hidden="false" localSheetId="11" name="Z_9F5984BD_ADA0_11D2_A84C_00805F2505DF__wvu_PrintArea" vbProcedure="false">OptionsIndex!$A$120:$M$238</definedName>
    <definedName function="false" hidden="false" localSheetId="11" name="Z_9F5984BD_ADA0_11D2_A84C_00805F2505DF__wvu_PrintTitles" vbProcedure="false">OptionsIndex!$1:$5</definedName>
    <definedName function="false" hidden="false" localSheetId="11" name="Z_AA002452_B62E_11D2_A853_00805F2505DF__wvu_PrintArea" vbProcedure="false">OptionsIndex!$A$6:$R$39</definedName>
    <definedName function="false" hidden="false" localSheetId="11" name="Z_AA002452_B62E_11D2_A853_00805F2505DF__wvu_PrintTitles" vbProcedure="false">OptionsIndex!$1:$5</definedName>
    <definedName function="false" hidden="false" localSheetId="11" name="Z_AA00245B_B62E_11D2_A853_00805F2505DF__wvu_PrintArea" vbProcedure="false">OptionsIndex!$A$40:$AG$118</definedName>
    <definedName function="false" hidden="false" localSheetId="11" name="Z_AA00245B_B62E_11D2_A853_00805F2505DF__wvu_PrintTitles" vbProcedure="false">OptionsIndex!$1:$5</definedName>
    <definedName function="false" hidden="false" localSheetId="11" name="Z_AA002464_B62E_11D2_A853_00805F2505DF__wvu_PrintArea" vbProcedure="false">OptionsIndex!$A$120:$M$238</definedName>
    <definedName function="false" hidden="false" localSheetId="11" name="Z_AA002464_B62E_11D2_A853_00805F2505DF__wvu_PrintTitles" vbProcedure="false">OptionsIndex!$1:$5</definedName>
    <definedName function="false" hidden="false" localSheetId="11" name="Z_AA0024B0_B62E_11D2_A853_00805F2505DF__wvu_PrintArea" vbProcedure="false">OptionsIndex!$A$6:$R$39</definedName>
    <definedName function="false" hidden="false" localSheetId="11" name="Z_AA0024B0_B62E_11D2_A853_00805F2505DF__wvu_PrintTitles" vbProcedure="false">OptionsIndex!$1:$5</definedName>
    <definedName function="false" hidden="false" localSheetId="11" name="Z_AA0024B9_B62E_11D2_A853_00805F2505DF__wvu_PrintArea" vbProcedure="false">OptionsIndex!$A$40:$AG$118</definedName>
    <definedName function="false" hidden="false" localSheetId="11" name="Z_AA0024B9_B62E_11D2_A853_00805F2505DF__wvu_PrintTitles" vbProcedure="false">OptionsIndex!$1:$5</definedName>
    <definedName function="false" hidden="false" localSheetId="11" name="Z_AA0024C2_B62E_11D2_A853_00805F2505DF__wvu_PrintArea" vbProcedure="false">OptionsIndex!$A$120:$M$238</definedName>
    <definedName function="false" hidden="false" localSheetId="11" name="Z_AA0024C2_B62E_11D2_A853_00805F2505DF__wvu_PrintTitles" vbProcedure="false">OptionsIndex!$1:$5</definedName>
    <definedName function="false" hidden="false" localSheetId="11" name="Z_B2298A97_9F4B_11D2_A842_00805F2505DF__wvu_PrintArea" vbProcedure="false">OptionsIndex!$A$6:$R$39</definedName>
    <definedName function="false" hidden="false" localSheetId="11" name="Z_B2298A97_9F4B_11D2_A842_00805F2505DF__wvu_PrintTitles" vbProcedure="false">OptionsIndex!$1:$5</definedName>
    <definedName function="false" hidden="false" localSheetId="11" name="Z_B2298AA0_9F4B_11D2_A842_00805F2505DF__wvu_PrintArea" vbProcedure="false">OptionsIndex!$A$40:$AG$118</definedName>
    <definedName function="false" hidden="false" localSheetId="11" name="Z_B2298AA0_9F4B_11D2_A842_00805F2505DF__wvu_PrintTitles" vbProcedure="false">OptionsIndex!$1:$5</definedName>
    <definedName function="false" hidden="false" localSheetId="11" name="Z_B2298AA9_9F4B_11D2_A842_00805F2505DF__wvu_PrintArea" vbProcedure="false">OptionsIndex!$A$120:$M$238</definedName>
    <definedName function="false" hidden="false" localSheetId="11" name="Z_B2298AA9_9F4B_11D2_A842_00805F2505DF__wvu_PrintTitles" vbProcedure="false">OptionsIndex!$1:$5</definedName>
    <definedName function="false" hidden="false" localSheetId="11" name="Z_B2F7E2C8_7FBD_11D2_A836_00805F2505DF__wvu_PrintArea" vbProcedure="false">OptionsIndex!$A$6:$R$39</definedName>
    <definedName function="false" hidden="false" localSheetId="11" name="Z_B2F7E2C8_7FBD_11D2_A836_00805F2505DF__wvu_PrintTitles" vbProcedure="false">OptionsIndex!$1:$5</definedName>
    <definedName function="false" hidden="false" localSheetId="11" name="Z_B2F7E2D1_7FBD_11D2_A836_00805F2505DF__wvu_PrintArea" vbProcedure="false">OptionsIndex!$A$40:$AG$118</definedName>
    <definedName function="false" hidden="false" localSheetId="11" name="Z_B2F7E2D1_7FBD_11D2_A836_00805F2505DF__wvu_PrintTitles" vbProcedure="false">OptionsIndex!$1:$5</definedName>
    <definedName function="false" hidden="false" localSheetId="11" name="Z_B2F7E2DA_7FBD_11D2_A836_00805F2505DF__wvu_PrintArea" vbProcedure="false">OptionsIndex!$A$120:$M$238</definedName>
    <definedName function="false" hidden="false" localSheetId="11" name="Z_B2F7E2DA_7FBD_11D2_A836_00805F2505DF__wvu_PrintTitles" vbProcedure="false">OptionsIndex!$1:$5</definedName>
    <definedName function="false" hidden="false" localSheetId="11" name="Z_CAE48B06_AFF0_11D2_A84D_00805F2505DF__wvu_PrintArea" vbProcedure="false">OptionsIndex!$A$6:$R$39</definedName>
    <definedName function="false" hidden="false" localSheetId="11" name="Z_CAE48B06_AFF0_11D2_A84D_00805F2505DF__wvu_PrintTitles" vbProcedure="false">OptionsIndex!$1:$5</definedName>
    <definedName function="false" hidden="false" localSheetId="11" name="Z_CAE48B0F_AFF0_11D2_A84D_00805F2505DF__wvu_PrintArea" vbProcedure="false">OptionsIndex!$A$40:$AG$118</definedName>
    <definedName function="false" hidden="false" localSheetId="11" name="Z_CAE48B0F_AFF0_11D2_A84D_00805F2505DF__wvu_PrintTitles" vbProcedure="false">OptionsIndex!$1:$5</definedName>
    <definedName function="false" hidden="false" localSheetId="11" name="Z_CAE48B18_AFF0_11D2_A84D_00805F2505DF__wvu_PrintArea" vbProcedure="false">OptionsIndex!$A$120:$M$238</definedName>
    <definedName function="false" hidden="false" localSheetId="11" name="Z_CAE48B18_AFF0_11D2_A84D_00805F2505DF__wvu_PrintTitles" vbProcedure="false">OptionsIndex!$1:$5</definedName>
    <definedName function="false" hidden="false" localSheetId="11" name="Z_CC3965CE_A99C_11D2_A84A_00805F2505DF__wvu_PrintArea" vbProcedure="false">OptionsIndex!$A$6:$R$39</definedName>
    <definedName function="false" hidden="false" localSheetId="11" name="Z_CC3965CE_A99C_11D2_A84A_00805F2505DF__wvu_PrintTitles" vbProcedure="false">OptionsIndex!$1:$5</definedName>
    <definedName function="false" hidden="false" localSheetId="11" name="Z_CC3965D7_A99C_11D2_A84A_00805F2505DF__wvu_PrintArea" vbProcedure="false">OptionsIndex!$A$40:$AG$118</definedName>
    <definedName function="false" hidden="false" localSheetId="11" name="Z_CC3965D7_A99C_11D2_A84A_00805F2505DF__wvu_PrintTitles" vbProcedure="false">OptionsIndex!$1:$5</definedName>
    <definedName function="false" hidden="false" localSheetId="11" name="Z_CC3965E0_A99C_11D2_A84A_00805F2505DF__wvu_PrintArea" vbProcedure="false">OptionsIndex!$A$120:$M$238</definedName>
    <definedName function="false" hidden="false" localSheetId="11" name="Z_CC3965E0_A99C_11D2_A84A_00805F2505DF__wvu_PrintTitles" vbProcedure="false">OptionsIndex!$1:$5</definedName>
    <definedName function="false" hidden="false" localSheetId="11" name="Z_D4AB6C0E_AB0F_11D2_A84C_00805F2505DF__wvu_PrintArea" vbProcedure="false">OptionsIndex!$A$6:$R$39</definedName>
    <definedName function="false" hidden="false" localSheetId="11" name="Z_D4AB6C0E_AB0F_11D2_A84C_00805F2505DF__wvu_PrintTitles" vbProcedure="false">OptionsIndex!$1:$5</definedName>
    <definedName function="false" hidden="false" localSheetId="11" name="Z_D4AB6C17_AB0F_11D2_A84C_00805F2505DF__wvu_PrintArea" vbProcedure="false">OptionsIndex!$A$40:$AG$118</definedName>
    <definedName function="false" hidden="false" localSheetId="11" name="Z_D4AB6C17_AB0F_11D2_A84C_00805F2505DF__wvu_PrintTitles" vbProcedure="false">OptionsIndex!$1:$5</definedName>
    <definedName function="false" hidden="false" localSheetId="11" name="Z_D4AB6C20_AB0F_11D2_A84C_00805F2505DF__wvu_PrintArea" vbProcedure="false">OptionsIndex!$A$120:$M$238</definedName>
    <definedName function="false" hidden="false" localSheetId="11" name="Z_D4AB6C20_AB0F_11D2_A84C_00805F2505DF__wvu_PrintTitles" vbProcedure="false">OptionsIndex!$1:$5</definedName>
    <definedName function="false" hidden="false" localSheetId="11" name="Z_D4AB6C67_AB0F_11D2_A84C_00805F2505DF__wvu_PrintArea" vbProcedure="false">OptionsIndex!$A$6:$R$39</definedName>
    <definedName function="false" hidden="false" localSheetId="11" name="Z_D4AB6C67_AB0F_11D2_A84C_00805F2505DF__wvu_PrintTitles" vbProcedure="false">OptionsIndex!$1:$5</definedName>
    <definedName function="false" hidden="false" localSheetId="11" name="Z_D4AB6C70_AB0F_11D2_A84C_00805F2505DF__wvu_PrintArea" vbProcedure="false">OptionsIndex!$A$40:$AG$118</definedName>
    <definedName function="false" hidden="false" localSheetId="11" name="Z_D4AB6C70_AB0F_11D2_A84C_00805F2505DF__wvu_PrintTitles" vbProcedure="false">OptionsIndex!$1:$5</definedName>
    <definedName function="false" hidden="false" localSheetId="11" name="Z_D4AB6C79_AB0F_11D2_A84C_00805F2505DF__wvu_PrintArea" vbProcedure="false">OptionsIndex!$A$120:$M$238</definedName>
    <definedName function="false" hidden="false" localSheetId="11" name="Z_D4AB6C79_AB0F_11D2_A84C_00805F2505DF__wvu_PrintTitles" vbProcedure="false">OptionsIndex!$1:$5</definedName>
    <definedName function="false" hidden="false" localSheetId="11" name="Z_E05B5125_A672_11D2_A848_00805F2505DF__wvu_PrintArea" vbProcedure="false">OptionsIndex!$A$6:$R$39</definedName>
    <definedName function="false" hidden="false" localSheetId="11" name="Z_E05B5125_A672_11D2_A848_00805F2505DF__wvu_PrintTitles" vbProcedure="false">OptionsIndex!$1:$5</definedName>
    <definedName function="false" hidden="false" localSheetId="11" name="Z_E05B512E_A672_11D2_A848_00805F2505DF__wvu_PrintArea" vbProcedure="false">OptionsIndex!$A$40:$AG$118</definedName>
    <definedName function="false" hidden="false" localSheetId="11" name="Z_E05B512E_A672_11D2_A848_00805F2505DF__wvu_PrintTitles" vbProcedure="false">OptionsIndex!$1:$5</definedName>
    <definedName function="false" hidden="false" localSheetId="11" name="Z_E05B5137_A672_11D2_A848_00805F2505DF__wvu_PrintArea" vbProcedure="false">OptionsIndex!$A$120:$M$238</definedName>
    <definedName function="false" hidden="false" localSheetId="11" name="Z_E05B5137_A672_11D2_A848_00805F2505DF__wvu_PrintTitles" vbProcedure="false">OptionsIndex!$1:$5</definedName>
    <definedName function="false" hidden="false" localSheetId="11" name="Z_F60B7B7C_B470_11D2_A851_00805F2505DF__wvu_PrintArea" vbProcedure="false">OptionsIndex!$A$6:$R$39</definedName>
    <definedName function="false" hidden="false" localSheetId="11" name="Z_F60B7B7C_B470_11D2_A851_00805F2505DF__wvu_PrintTitles" vbProcedure="false">OptionsIndex!$1:$5</definedName>
    <definedName function="false" hidden="false" localSheetId="11" name="Z_F60B7B85_B470_11D2_A851_00805F2505DF__wvu_PrintArea" vbProcedure="false">OptionsIndex!$A$40:$AG$118</definedName>
    <definedName function="false" hidden="false" localSheetId="11" name="Z_F60B7B85_B470_11D2_A851_00805F2505DF__wvu_PrintTitles" vbProcedure="false">OptionsIndex!$1:$5</definedName>
    <definedName function="false" hidden="false" localSheetId="11" name="Z_F60B7B8E_B470_11D2_A851_00805F2505DF__wvu_PrintArea" vbProcedure="false">OptionsIndex!$A$120:$M$238</definedName>
    <definedName function="false" hidden="false" localSheetId="11" name="Z_F60B7B8E_B470_11D2_A851_00805F2505DF__wvu_PrintTitles" vbProcedure="false">OptionsIndex!$1:$5</definedName>
    <definedName function="false" hidden="false" localSheetId="11" name="Z_F60B7BE1_B470_11D2_A851_00805F2505DF__wvu_PrintArea" vbProcedure="false">OptionsIndex!$A$6:$R$39</definedName>
    <definedName function="false" hidden="false" localSheetId="11" name="Z_F60B7BE1_B470_11D2_A851_00805F2505DF__wvu_PrintTitles" vbProcedure="false">OptionsIndex!$1:$5</definedName>
    <definedName function="false" hidden="false" localSheetId="11" name="Z_F60B7BEA_B470_11D2_A851_00805F2505DF__wvu_PrintArea" vbProcedure="false">OptionsIndex!$A$40:$AG$118</definedName>
    <definedName function="false" hidden="false" localSheetId="11" name="Z_F60B7BEA_B470_11D2_A851_00805F2505DF__wvu_PrintTitles" vbProcedure="false">OptionsIndex!$1:$5</definedName>
    <definedName function="false" hidden="false" localSheetId="11" name="Z_F60B7BF3_B470_11D2_A851_00805F2505DF__wvu_PrintArea" vbProcedure="false">OptionsIndex!$A$120:$M$238</definedName>
    <definedName function="false" hidden="false" localSheetId="11" name="Z_F60B7BF3_B470_11D2_A851_00805F2505DF__wvu_PrintTitles" vbProcedure="false">OptionsIndex!$1:$5</definedName>
    <definedName function="false" hidden="false" localSheetId="11" name="Z_F947EA2E_ABF3_11D2_A84C_00805F2505DF__wvu_PrintArea" vbProcedure="false">OptionsIndex!$A$6:$R$39</definedName>
    <definedName function="false" hidden="false" localSheetId="11" name="Z_F947EA2E_ABF3_11D2_A84C_00805F2505DF__wvu_PrintTitles" vbProcedure="false">OptionsIndex!$1:$5</definedName>
    <definedName function="false" hidden="false" localSheetId="11" name="Z_F947EA37_ABF3_11D2_A84C_00805F2505DF__wvu_PrintArea" vbProcedure="false">OptionsIndex!$A$40:$AG$118</definedName>
    <definedName function="false" hidden="false" localSheetId="11" name="Z_F947EA37_ABF3_11D2_A84C_00805F2505DF__wvu_PrintTitles" vbProcedure="false">OptionsIndex!$1:$5</definedName>
    <definedName function="false" hidden="false" localSheetId="11" name="Z_F947EA40_ABF3_11D2_A84C_00805F2505DF__wvu_PrintArea" vbProcedure="false">OptionsIndex!$A$120:$M$238</definedName>
    <definedName function="false" hidden="false" localSheetId="11" name="Z_F947EA40_ABF3_11D2_A84C_00805F2505DF__wvu_PrintTitles" vbProcedure="false">OptionsIndex!$1:$5</definedName>
    <definedName function="false" hidden="false" localSheetId="12" name="ACwvu_BookBal_" vbProcedure="false">Straddle!$A$6:$R$40</definedName>
    <definedName function="false" hidden="false" localSheetId="12" name="ACwvu_DailyChange_" vbProcedure="false">Straddle!$A$41:$AG$118</definedName>
    <definedName function="false" hidden="false" localSheetId="12" name="ACwvu_Schedules_" vbProcedure="false">Straddle!$A$121:$M$239</definedName>
    <definedName function="false" hidden="false" localSheetId="12" name="Swvu_BookBal_" vbProcedure="false">Straddle!$A$6:$R$40</definedName>
    <definedName function="false" hidden="false" localSheetId="12" name="Swvu_DailyChange_" vbProcedure="false">Straddle!$A$41:$AG$118</definedName>
    <definedName function="false" hidden="false" localSheetId="12" name="Swvu_Schedules_" vbProcedure="false">Straddle!$A$121:$M$239</definedName>
    <definedName function="false" hidden="false" localSheetId="12" name="wrn_RollDetail_" vbProcedure="false">{"BookBal",#N/A,FALSE,"Roll";"DailyChange",#N/A,FALSE,"Roll";"Schedules",#N/A,FALSE,"Roll"}</definedName>
    <definedName function="false" hidden="false" localSheetId="12"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12"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12"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12" name="Z_00D2C737_B168_11D2_A84F_00805F2505DF__wvu_PrintArea" vbProcedure="false">Straddle!$A$6:$R$39</definedName>
    <definedName function="false" hidden="false" localSheetId="12" name="Z_00D2C737_B168_11D2_A84F_00805F2505DF__wvu_PrintTitles" vbProcedure="false">Straddle!$1:$5</definedName>
    <definedName function="false" hidden="false" localSheetId="12" name="Z_00D2C740_B168_11D2_A84F_00805F2505DF__wvu_PrintArea" vbProcedure="false">Straddle!$A$40:$AG$118</definedName>
    <definedName function="false" hidden="false" localSheetId="12" name="Z_00D2C740_B168_11D2_A84F_00805F2505DF__wvu_PrintTitles" vbProcedure="false">Straddle!$1:$5</definedName>
    <definedName function="false" hidden="false" localSheetId="12" name="Z_00D2C749_B168_11D2_A84F_00805F2505DF__wvu_PrintArea" vbProcedure="false">Straddle!$A$120:$M$238</definedName>
    <definedName function="false" hidden="false" localSheetId="12" name="Z_00D2C749_B168_11D2_A84F_00805F2505DF__wvu_PrintTitles" vbProcedure="false">Straddle!$1:$5</definedName>
    <definedName function="false" hidden="false" localSheetId="12" name="Z_0184384E_B93D_11D2_8444_00805F3629DE__wvu_PrintArea" vbProcedure="false">Straddle!$A$6:$R$39</definedName>
    <definedName function="false" hidden="false" localSheetId="12" name="Z_0184384E_B93D_11D2_8444_00805F3629DE__wvu_PrintTitles" vbProcedure="false">Straddle!$1:$5</definedName>
    <definedName function="false" hidden="false" localSheetId="12" name="Z_01843857_B93D_11D2_8444_00805F3629DE__wvu_PrintArea" vbProcedure="false">Straddle!$A$40:$AG$118</definedName>
    <definedName function="false" hidden="false" localSheetId="12" name="Z_01843857_B93D_11D2_8444_00805F3629DE__wvu_PrintTitles" vbProcedure="false">Straddle!$1:$5</definedName>
    <definedName function="false" hidden="false" localSheetId="12" name="Z_01843860_B93D_11D2_8444_00805F3629DE__wvu_PrintArea" vbProcedure="false">Straddle!$A$120:$M$238</definedName>
    <definedName function="false" hidden="false" localSheetId="12" name="Z_01843860_B93D_11D2_8444_00805F3629DE__wvu_PrintTitles" vbProcedure="false">Straddle!$1:$5</definedName>
    <definedName function="false" hidden="false" localSheetId="12" name="Z_02448BA7_88FA_11D2_B05A_00104B2CC235__wvu_PrintArea" vbProcedure="false">Straddle!$A$6:$R$39</definedName>
    <definedName function="false" hidden="false" localSheetId="12" name="Z_02448BA7_88FA_11D2_B05A_00104B2CC235__wvu_PrintTitles" vbProcedure="false">Straddle!$1:$5</definedName>
    <definedName function="false" hidden="false" localSheetId="12" name="Z_02448BB0_88FA_11D2_B05A_00104B2CC235__wvu_PrintArea" vbProcedure="false">Straddle!$A$40:$AG$118</definedName>
    <definedName function="false" hidden="false" localSheetId="12" name="Z_02448BB0_88FA_11D2_B05A_00104B2CC235__wvu_PrintTitles" vbProcedure="false">Straddle!$1:$5</definedName>
    <definedName function="false" hidden="false" localSheetId="12" name="Z_02448BB9_88FA_11D2_B05A_00104B2CC235__wvu_PrintArea" vbProcedure="false">Straddle!$A$120:$M$238</definedName>
    <definedName function="false" hidden="false" localSheetId="12" name="Z_02448BB9_88FA_11D2_B05A_00104B2CC235__wvu_PrintTitles" vbProcedure="false">Straddle!$1:$5</definedName>
    <definedName function="false" hidden="false" localSheetId="12" name="Z_0AC5A1F7_9EA7_11D2_A842_00805F2505DF__wvu_PrintArea" vbProcedure="false">Straddle!$A$6:$R$39</definedName>
    <definedName function="false" hidden="false" localSheetId="12" name="Z_0AC5A1F7_9EA7_11D2_A842_00805F2505DF__wvu_PrintTitles" vbProcedure="false">Straddle!$1:$5</definedName>
    <definedName function="false" hidden="false" localSheetId="12" name="Z_0AC5A200_9EA7_11D2_A842_00805F2505DF__wvu_PrintArea" vbProcedure="false">Straddle!$A$40:$AG$118</definedName>
    <definedName function="false" hidden="false" localSheetId="12" name="Z_0AC5A200_9EA7_11D2_A842_00805F2505DF__wvu_PrintTitles" vbProcedure="false">Straddle!$1:$5</definedName>
    <definedName function="false" hidden="false" localSheetId="12" name="Z_0AC5A209_9EA7_11D2_A842_00805F2505DF__wvu_PrintArea" vbProcedure="false">Straddle!$A$120:$M$238</definedName>
    <definedName function="false" hidden="false" localSheetId="12" name="Z_0AC5A209_9EA7_11D2_A842_00805F2505DF__wvu_PrintTitles" vbProcedure="false">Straddle!$1:$5</definedName>
    <definedName function="false" hidden="false" localSheetId="12" name="Z_37FD7BDE_ABC9_11D2_843C_00805F3629DE__wvu_PrintArea" vbProcedure="false">Straddle!$A$6:$R$39</definedName>
    <definedName function="false" hidden="false" localSheetId="12" name="Z_37FD7BDE_ABC9_11D2_843C_00805F3629DE__wvu_PrintTitles" vbProcedure="false">Straddle!$1:$5</definedName>
    <definedName function="false" hidden="false" localSheetId="12" name="Z_37FD7BE7_ABC9_11D2_843C_00805F3629DE__wvu_PrintArea" vbProcedure="false">Straddle!$A$40:$AG$118</definedName>
    <definedName function="false" hidden="false" localSheetId="12" name="Z_37FD7BE7_ABC9_11D2_843C_00805F3629DE__wvu_PrintTitles" vbProcedure="false">Straddle!$1:$5</definedName>
    <definedName function="false" hidden="false" localSheetId="12" name="Z_37FD7BF0_ABC9_11D2_843C_00805F3629DE__wvu_PrintArea" vbProcedure="false">Straddle!$A$120:$M$238</definedName>
    <definedName function="false" hidden="false" localSheetId="12" name="Z_37FD7BF0_ABC9_11D2_843C_00805F3629DE__wvu_PrintTitles" vbProcedure="false">Straddle!$1:$5</definedName>
    <definedName function="false" hidden="false" localSheetId="12" name="Z_383AC42B_A3FF_11D2_A845_00805F2505DF__wvu_PrintArea" vbProcedure="false">Straddle!$A$6:$R$39</definedName>
    <definedName function="false" hidden="false" localSheetId="12" name="Z_383AC42B_A3FF_11D2_A845_00805F2505DF__wvu_PrintTitles" vbProcedure="false">Straddle!$1:$5</definedName>
    <definedName function="false" hidden="false" localSheetId="12" name="Z_383AC434_A3FF_11D2_A845_00805F2505DF__wvu_PrintArea" vbProcedure="false">Straddle!$A$40:$AG$118</definedName>
    <definedName function="false" hidden="false" localSheetId="12" name="Z_383AC434_A3FF_11D2_A845_00805F2505DF__wvu_PrintTitles" vbProcedure="false">Straddle!$1:$5</definedName>
    <definedName function="false" hidden="false" localSheetId="12" name="Z_383AC43D_A3FF_11D2_A845_00805F2505DF__wvu_PrintArea" vbProcedure="false">Straddle!$A$120:$M$238</definedName>
    <definedName function="false" hidden="false" localSheetId="12" name="Z_383AC43D_A3FF_11D2_A845_00805F2505DF__wvu_PrintTitles" vbProcedure="false">Straddle!$1:$5</definedName>
    <definedName function="false" hidden="false" localSheetId="12" name="Z_4398CED7_B092_11D2_A84E_00805F2505DF__wvu_PrintArea" vbProcedure="false">Straddle!$A$6:$R$39</definedName>
    <definedName function="false" hidden="false" localSheetId="12" name="Z_4398CED7_B092_11D2_A84E_00805F2505DF__wvu_PrintTitles" vbProcedure="false">Straddle!$1:$5</definedName>
    <definedName function="false" hidden="false" localSheetId="12" name="Z_4398CEE0_B092_11D2_A84E_00805F2505DF__wvu_PrintArea" vbProcedure="false">Straddle!$A$40:$AG$118</definedName>
    <definedName function="false" hidden="false" localSheetId="12" name="Z_4398CEE0_B092_11D2_A84E_00805F2505DF__wvu_PrintTitles" vbProcedure="false">Straddle!$1:$5</definedName>
    <definedName function="false" hidden="false" localSheetId="12" name="Z_4398CEE9_B092_11D2_A84E_00805F2505DF__wvu_PrintArea" vbProcedure="false">Straddle!$A$120:$M$238</definedName>
    <definedName function="false" hidden="false" localSheetId="12" name="Z_4398CEE9_B092_11D2_A84E_00805F2505DF__wvu_PrintTitles" vbProcedure="false">Straddle!$1:$5</definedName>
    <definedName function="false" hidden="false" localSheetId="12" name="Z_535643C3_B9EE_11D2_A857_00805F2505DF__wvu_PrintArea" vbProcedure="false">Straddle!$A$6:$R$39</definedName>
    <definedName function="false" hidden="false" localSheetId="12" name="Z_535643C3_B9EE_11D2_A857_00805F2505DF__wvu_PrintTitles" vbProcedure="false">Straddle!$1:$5</definedName>
    <definedName function="false" hidden="false" localSheetId="12" name="Z_535643CC_B9EE_11D2_A857_00805F2505DF__wvu_PrintArea" vbProcedure="false">Straddle!$A$40:$AG$118</definedName>
    <definedName function="false" hidden="false" localSheetId="12" name="Z_535643CC_B9EE_11D2_A857_00805F2505DF__wvu_PrintTitles" vbProcedure="false">Straddle!$1:$5</definedName>
    <definedName function="false" hidden="false" localSheetId="12" name="Z_535643D5_B9EE_11D2_A857_00805F2505DF__wvu_PrintArea" vbProcedure="false">Straddle!$A$120:$M$238</definedName>
    <definedName function="false" hidden="false" localSheetId="12" name="Z_535643D5_B9EE_11D2_A857_00805F2505DF__wvu_PrintTitles" vbProcedure="false">Straddle!$1:$5</definedName>
    <definedName function="false" hidden="false" localSheetId="12" name="Z_70785CBD_A4C6_11D2_A845_00805F2505DF__wvu_PrintArea" vbProcedure="false">Straddle!$A$6:$R$39</definedName>
    <definedName function="false" hidden="false" localSheetId="12" name="Z_70785CBD_A4C6_11D2_A845_00805F2505DF__wvu_PrintTitles" vbProcedure="false">Straddle!$1:$5</definedName>
    <definedName function="false" hidden="false" localSheetId="12" name="Z_70785CC6_A4C6_11D2_A845_00805F2505DF__wvu_PrintArea" vbProcedure="false">Straddle!$A$40:$AG$118</definedName>
    <definedName function="false" hidden="false" localSheetId="12" name="Z_70785CC6_A4C6_11D2_A845_00805F2505DF__wvu_PrintTitles" vbProcedure="false">Straddle!$1:$5</definedName>
    <definedName function="false" hidden="false" localSheetId="12" name="Z_70785CCF_A4C6_11D2_A845_00805F2505DF__wvu_PrintArea" vbProcedure="false">Straddle!$A$120:$M$238</definedName>
    <definedName function="false" hidden="false" localSheetId="12" name="Z_70785CCF_A4C6_11D2_A845_00805F2505DF__wvu_PrintTitles" vbProcedure="false">Straddle!$1:$5</definedName>
    <definedName function="false" hidden="false" localSheetId="12" name="Z_76D54FAE_89F3_11D2_B05A_00104B2CC235__wvu_PrintArea" vbProcedure="false">Straddle!$A$6:$R$39</definedName>
    <definedName function="false" hidden="false" localSheetId="12" name="Z_76D54FAE_89F3_11D2_B05A_00104B2CC235__wvu_PrintTitles" vbProcedure="false">Straddle!$1:$5</definedName>
    <definedName function="false" hidden="false" localSheetId="12" name="Z_76D54FB7_89F3_11D2_B05A_00104B2CC235__wvu_PrintArea" vbProcedure="false">Straddle!$A$40:$AG$118</definedName>
    <definedName function="false" hidden="false" localSheetId="12" name="Z_76D54FB7_89F3_11D2_B05A_00104B2CC235__wvu_PrintTitles" vbProcedure="false">Straddle!$1:$5</definedName>
    <definedName function="false" hidden="false" localSheetId="12" name="Z_76D54FC0_89F3_11D2_B05A_00104B2CC235__wvu_PrintArea" vbProcedure="false">Straddle!$A$120:$M$238</definedName>
    <definedName function="false" hidden="false" localSheetId="12" name="Z_76D54FC0_89F3_11D2_B05A_00104B2CC235__wvu_PrintTitles" vbProcedure="false">Straddle!$1:$5</definedName>
    <definedName function="false" hidden="false" localSheetId="12" name="Z_7B7539F3_B7B8_11D2_A856_00805F2505DF__wvu_PrintArea" vbProcedure="false">Straddle!$A$6:$R$39</definedName>
    <definedName function="false" hidden="false" localSheetId="12" name="Z_7B7539F3_B7B8_11D2_A856_00805F2505DF__wvu_PrintTitles" vbProcedure="false">Straddle!$1:$5</definedName>
    <definedName function="false" hidden="false" localSheetId="12" name="Z_7B7539FC_B7B8_11D2_A856_00805F2505DF__wvu_PrintArea" vbProcedure="false">Straddle!$A$40:$AG$118</definedName>
    <definedName function="false" hidden="false" localSheetId="12" name="Z_7B7539FC_B7B8_11D2_A856_00805F2505DF__wvu_PrintTitles" vbProcedure="false">Straddle!$1:$5</definedName>
    <definedName function="false" hidden="false" localSheetId="12" name="Z_7B753A05_B7B8_11D2_A856_00805F2505DF__wvu_PrintArea" vbProcedure="false">Straddle!$A$120:$M$238</definedName>
    <definedName function="false" hidden="false" localSheetId="12" name="Z_7B753A05_B7B8_11D2_A856_00805F2505DF__wvu_PrintTitles" vbProcedure="false">Straddle!$1:$5</definedName>
    <definedName function="false" hidden="false" localSheetId="12" name="Z_7C160647_B226_11D2_A850_00805F2505DF__wvu_PrintArea" vbProcedure="false">Straddle!$A$6:$R$39</definedName>
    <definedName function="false" hidden="false" localSheetId="12" name="Z_7C160647_B226_11D2_A850_00805F2505DF__wvu_PrintTitles" vbProcedure="false">Straddle!$1:$5</definedName>
    <definedName function="false" hidden="false" localSheetId="12" name="Z_7C160650_B226_11D2_A850_00805F2505DF__wvu_PrintArea" vbProcedure="false">Straddle!$A$40:$AG$118</definedName>
    <definedName function="false" hidden="false" localSheetId="12" name="Z_7C160650_B226_11D2_A850_00805F2505DF__wvu_PrintTitles" vbProcedure="false">Straddle!$1:$5</definedName>
    <definedName function="false" hidden="false" localSheetId="12" name="Z_7C160659_B226_11D2_A850_00805F2505DF__wvu_PrintArea" vbProcedure="false">Straddle!$A$120:$M$238</definedName>
    <definedName function="false" hidden="false" localSheetId="12" name="Z_7C160659_B226_11D2_A850_00805F2505DF__wvu_PrintTitles" vbProcedure="false">Straddle!$1:$5</definedName>
    <definedName function="false" hidden="false" localSheetId="12" name="Z_8106BDB4_AA5F_11D2_A84B_00805F2505DF__wvu_PrintArea" vbProcedure="false">Straddle!$A$6:$R$39</definedName>
    <definedName function="false" hidden="false" localSheetId="12" name="Z_8106BDB4_AA5F_11D2_A84B_00805F2505DF__wvu_PrintTitles" vbProcedure="false">Straddle!$1:$5</definedName>
    <definedName function="false" hidden="false" localSheetId="12" name="Z_8106BDBD_AA5F_11D2_A84B_00805F2505DF__wvu_PrintArea" vbProcedure="false">Straddle!$A$40:$AG$118</definedName>
    <definedName function="false" hidden="false" localSheetId="12" name="Z_8106BDBD_AA5F_11D2_A84B_00805F2505DF__wvu_PrintTitles" vbProcedure="false">Straddle!$1:$5</definedName>
    <definedName function="false" hidden="false" localSheetId="12" name="Z_8106BDC6_AA5F_11D2_A84B_00805F2505DF__wvu_PrintArea" vbProcedure="false">Straddle!$A$120:$M$238</definedName>
    <definedName function="false" hidden="false" localSheetId="12" name="Z_8106BDC6_AA5F_11D2_A84B_00805F2505DF__wvu_PrintTitles" vbProcedure="false">Straddle!$1:$5</definedName>
    <definedName function="false" hidden="false" localSheetId="12" name="Z_90E3CCE6_A590_11D2_A845_00805F2505DF__wvu_PrintArea" vbProcedure="false">Straddle!$A$6:$R$39</definedName>
    <definedName function="false" hidden="false" localSheetId="12" name="Z_90E3CCE6_A590_11D2_A845_00805F2505DF__wvu_PrintTitles" vbProcedure="false">Straddle!$1:$5</definedName>
    <definedName function="false" hidden="false" localSheetId="12" name="Z_90E3CCEF_A590_11D2_A845_00805F2505DF__wvu_PrintArea" vbProcedure="false">Straddle!$A$40:$AG$118</definedName>
    <definedName function="false" hidden="false" localSheetId="12" name="Z_90E3CCEF_A590_11D2_A845_00805F2505DF__wvu_PrintTitles" vbProcedure="false">Straddle!$1:$5</definedName>
    <definedName function="false" hidden="false" localSheetId="12" name="Z_90E3CCF8_A590_11D2_A845_00805F2505DF__wvu_PrintArea" vbProcedure="false">Straddle!$A$120:$M$238</definedName>
    <definedName function="false" hidden="false" localSheetId="12" name="Z_90E3CCF8_A590_11D2_A845_00805F2505DF__wvu_PrintTitles" vbProcedure="false">Straddle!$1:$5</definedName>
    <definedName function="false" hidden="false" localSheetId="12" name="Z_9F5984AC_ADA0_11D2_A84C_00805F2505DF__wvu_PrintArea" vbProcedure="false">Straddle!$A$6:$R$39</definedName>
    <definedName function="false" hidden="false" localSheetId="12" name="Z_9F5984AC_ADA0_11D2_A84C_00805F2505DF__wvu_PrintTitles" vbProcedure="false">Straddle!$1:$5</definedName>
    <definedName function="false" hidden="false" localSheetId="12" name="Z_9F5984B5_ADA0_11D2_A84C_00805F2505DF__wvu_PrintArea" vbProcedure="false">Straddle!$A$40:$AG$118</definedName>
    <definedName function="false" hidden="false" localSheetId="12" name="Z_9F5984B5_ADA0_11D2_A84C_00805F2505DF__wvu_PrintTitles" vbProcedure="false">Straddle!$1:$5</definedName>
    <definedName function="false" hidden="false" localSheetId="12" name="Z_9F5984BE_ADA0_11D2_A84C_00805F2505DF__wvu_PrintArea" vbProcedure="false">Straddle!$A$120:$M$238</definedName>
    <definedName function="false" hidden="false" localSheetId="12" name="Z_9F5984BE_ADA0_11D2_A84C_00805F2505DF__wvu_PrintTitles" vbProcedure="false">Straddle!$1:$5</definedName>
    <definedName function="false" hidden="false" localSheetId="12" name="Z_AA002453_B62E_11D2_A853_00805F2505DF__wvu_PrintArea" vbProcedure="false">Straddle!$A$6:$R$39</definedName>
    <definedName function="false" hidden="false" localSheetId="12" name="Z_AA002453_B62E_11D2_A853_00805F2505DF__wvu_PrintTitles" vbProcedure="false">Straddle!$1:$5</definedName>
    <definedName function="false" hidden="false" localSheetId="12" name="Z_AA00245C_B62E_11D2_A853_00805F2505DF__wvu_PrintArea" vbProcedure="false">Straddle!$A$40:$AG$118</definedName>
    <definedName function="false" hidden="false" localSheetId="12" name="Z_AA00245C_B62E_11D2_A853_00805F2505DF__wvu_PrintTitles" vbProcedure="false">Straddle!$1:$5</definedName>
    <definedName function="false" hidden="false" localSheetId="12" name="Z_AA002465_B62E_11D2_A853_00805F2505DF__wvu_PrintArea" vbProcedure="false">Straddle!$A$120:$M$238</definedName>
    <definedName function="false" hidden="false" localSheetId="12" name="Z_AA002465_B62E_11D2_A853_00805F2505DF__wvu_PrintTitles" vbProcedure="false">Straddle!$1:$5</definedName>
    <definedName function="false" hidden="false" localSheetId="12" name="Z_AA0024B1_B62E_11D2_A853_00805F2505DF__wvu_PrintArea" vbProcedure="false">Straddle!$A$6:$R$39</definedName>
    <definedName function="false" hidden="false" localSheetId="12" name="Z_AA0024B1_B62E_11D2_A853_00805F2505DF__wvu_PrintTitles" vbProcedure="false">Straddle!$1:$5</definedName>
    <definedName function="false" hidden="false" localSheetId="12" name="Z_AA0024BA_B62E_11D2_A853_00805F2505DF__wvu_PrintArea" vbProcedure="false">Straddle!$A$40:$AG$118</definedName>
    <definedName function="false" hidden="false" localSheetId="12" name="Z_AA0024BA_B62E_11D2_A853_00805F2505DF__wvu_PrintTitles" vbProcedure="false">Straddle!$1:$5</definedName>
    <definedName function="false" hidden="false" localSheetId="12" name="Z_AA0024C3_B62E_11D2_A853_00805F2505DF__wvu_PrintArea" vbProcedure="false">Straddle!$A$120:$M$238</definedName>
    <definedName function="false" hidden="false" localSheetId="12" name="Z_AA0024C3_B62E_11D2_A853_00805F2505DF__wvu_PrintTitles" vbProcedure="false">Straddle!$1:$5</definedName>
    <definedName function="false" hidden="false" localSheetId="12" name="Z_B2298A98_9F4B_11D2_A842_00805F2505DF__wvu_PrintArea" vbProcedure="false">Straddle!$A$6:$R$39</definedName>
    <definedName function="false" hidden="false" localSheetId="12" name="Z_B2298A98_9F4B_11D2_A842_00805F2505DF__wvu_PrintTitles" vbProcedure="false">Straddle!$1:$5</definedName>
    <definedName function="false" hidden="false" localSheetId="12" name="Z_B2298AA1_9F4B_11D2_A842_00805F2505DF__wvu_PrintArea" vbProcedure="false">Straddle!$A$40:$AG$118</definedName>
    <definedName function="false" hidden="false" localSheetId="12" name="Z_B2298AA1_9F4B_11D2_A842_00805F2505DF__wvu_PrintTitles" vbProcedure="false">Straddle!$1:$5</definedName>
    <definedName function="false" hidden="false" localSheetId="12" name="Z_B2298AAA_9F4B_11D2_A842_00805F2505DF__wvu_PrintArea" vbProcedure="false">Straddle!$A$120:$M$238</definedName>
    <definedName function="false" hidden="false" localSheetId="12" name="Z_B2298AAA_9F4B_11D2_A842_00805F2505DF__wvu_PrintTitles" vbProcedure="false">Straddle!$1:$5</definedName>
    <definedName function="false" hidden="false" localSheetId="12" name="Z_B2F7E2C9_7FBD_11D2_A836_00805F2505DF__wvu_PrintArea" vbProcedure="false">Straddle!$A$6:$R$39</definedName>
    <definedName function="false" hidden="false" localSheetId="12" name="Z_B2F7E2C9_7FBD_11D2_A836_00805F2505DF__wvu_PrintTitles" vbProcedure="false">Straddle!$1:$5</definedName>
    <definedName function="false" hidden="false" localSheetId="12" name="Z_B2F7E2D2_7FBD_11D2_A836_00805F2505DF__wvu_PrintArea" vbProcedure="false">Straddle!$A$40:$AG$118</definedName>
    <definedName function="false" hidden="false" localSheetId="12" name="Z_B2F7E2D2_7FBD_11D2_A836_00805F2505DF__wvu_PrintTitles" vbProcedure="false">Straddle!$1:$5</definedName>
    <definedName function="false" hidden="false" localSheetId="12" name="Z_B2F7E2DB_7FBD_11D2_A836_00805F2505DF__wvu_PrintArea" vbProcedure="false">Straddle!$A$120:$M$238</definedName>
    <definedName function="false" hidden="false" localSheetId="12" name="Z_B2F7E2DB_7FBD_11D2_A836_00805F2505DF__wvu_PrintTitles" vbProcedure="false">Straddle!$1:$5</definedName>
    <definedName function="false" hidden="false" localSheetId="12" name="Z_CAE48B07_AFF0_11D2_A84D_00805F2505DF__wvu_PrintArea" vbProcedure="false">Straddle!$A$6:$R$39</definedName>
    <definedName function="false" hidden="false" localSheetId="12" name="Z_CAE48B07_AFF0_11D2_A84D_00805F2505DF__wvu_PrintTitles" vbProcedure="false">Straddle!$1:$5</definedName>
    <definedName function="false" hidden="false" localSheetId="12" name="Z_CAE48B10_AFF0_11D2_A84D_00805F2505DF__wvu_PrintArea" vbProcedure="false">Straddle!$A$40:$AG$118</definedName>
    <definedName function="false" hidden="false" localSheetId="12" name="Z_CAE48B10_AFF0_11D2_A84D_00805F2505DF__wvu_PrintTitles" vbProcedure="false">Straddle!$1:$5</definedName>
    <definedName function="false" hidden="false" localSheetId="12" name="Z_CAE48B19_AFF0_11D2_A84D_00805F2505DF__wvu_PrintArea" vbProcedure="false">Straddle!$A$120:$M$238</definedName>
    <definedName function="false" hidden="false" localSheetId="12" name="Z_CAE48B19_AFF0_11D2_A84D_00805F2505DF__wvu_PrintTitles" vbProcedure="false">Straddle!$1:$5</definedName>
    <definedName function="false" hidden="false" localSheetId="12" name="Z_CC3965CF_A99C_11D2_A84A_00805F2505DF__wvu_PrintArea" vbProcedure="false">Straddle!$A$6:$R$39</definedName>
    <definedName function="false" hidden="false" localSheetId="12" name="Z_CC3965CF_A99C_11D2_A84A_00805F2505DF__wvu_PrintTitles" vbProcedure="false">Straddle!$1:$5</definedName>
    <definedName function="false" hidden="false" localSheetId="12" name="Z_CC3965D8_A99C_11D2_A84A_00805F2505DF__wvu_PrintArea" vbProcedure="false">Straddle!$A$40:$AG$118</definedName>
    <definedName function="false" hidden="false" localSheetId="12" name="Z_CC3965D8_A99C_11D2_A84A_00805F2505DF__wvu_PrintTitles" vbProcedure="false">Straddle!$1:$5</definedName>
    <definedName function="false" hidden="false" localSheetId="12" name="Z_CC3965E1_A99C_11D2_A84A_00805F2505DF__wvu_PrintArea" vbProcedure="false">Straddle!$A$120:$M$238</definedName>
    <definedName function="false" hidden="false" localSheetId="12" name="Z_CC3965E1_A99C_11D2_A84A_00805F2505DF__wvu_PrintTitles" vbProcedure="false">Straddle!$1:$5</definedName>
    <definedName function="false" hidden="false" localSheetId="12" name="Z_D4AB6C0F_AB0F_11D2_A84C_00805F2505DF__wvu_PrintArea" vbProcedure="false">Straddle!$A$6:$R$39</definedName>
    <definedName function="false" hidden="false" localSheetId="12" name="Z_D4AB6C0F_AB0F_11D2_A84C_00805F2505DF__wvu_PrintTitles" vbProcedure="false">Straddle!$1:$5</definedName>
    <definedName function="false" hidden="false" localSheetId="12" name="Z_D4AB6C18_AB0F_11D2_A84C_00805F2505DF__wvu_PrintArea" vbProcedure="false">Straddle!$A$40:$AG$118</definedName>
    <definedName function="false" hidden="false" localSheetId="12" name="Z_D4AB6C18_AB0F_11D2_A84C_00805F2505DF__wvu_PrintTitles" vbProcedure="false">Straddle!$1:$5</definedName>
    <definedName function="false" hidden="false" localSheetId="12" name="Z_D4AB6C21_AB0F_11D2_A84C_00805F2505DF__wvu_PrintArea" vbProcedure="false">Straddle!$A$120:$M$238</definedName>
    <definedName function="false" hidden="false" localSheetId="12" name="Z_D4AB6C21_AB0F_11D2_A84C_00805F2505DF__wvu_PrintTitles" vbProcedure="false">Straddle!$1:$5</definedName>
    <definedName function="false" hidden="false" localSheetId="12" name="Z_D4AB6C68_AB0F_11D2_A84C_00805F2505DF__wvu_PrintArea" vbProcedure="false">Straddle!$A$6:$R$39</definedName>
    <definedName function="false" hidden="false" localSheetId="12" name="Z_D4AB6C68_AB0F_11D2_A84C_00805F2505DF__wvu_PrintTitles" vbProcedure="false">Straddle!$1:$5</definedName>
    <definedName function="false" hidden="false" localSheetId="12" name="Z_D4AB6C71_AB0F_11D2_A84C_00805F2505DF__wvu_PrintArea" vbProcedure="false">Straddle!$A$40:$AG$118</definedName>
    <definedName function="false" hidden="false" localSheetId="12" name="Z_D4AB6C71_AB0F_11D2_A84C_00805F2505DF__wvu_PrintTitles" vbProcedure="false">Straddle!$1:$5</definedName>
    <definedName function="false" hidden="false" localSheetId="12" name="Z_D4AB6C7A_AB0F_11D2_A84C_00805F2505DF__wvu_PrintArea" vbProcedure="false">Straddle!$A$120:$M$238</definedName>
    <definedName function="false" hidden="false" localSheetId="12" name="Z_D4AB6C7A_AB0F_11D2_A84C_00805F2505DF__wvu_PrintTitles" vbProcedure="false">Straddle!$1:$5</definedName>
    <definedName function="false" hidden="false" localSheetId="12" name="Z_E05B5126_A672_11D2_A848_00805F2505DF__wvu_PrintArea" vbProcedure="false">Straddle!$A$6:$R$39</definedName>
    <definedName function="false" hidden="false" localSheetId="12" name="Z_E05B5126_A672_11D2_A848_00805F2505DF__wvu_PrintTitles" vbProcedure="false">Straddle!$1:$5</definedName>
    <definedName function="false" hidden="false" localSheetId="12" name="Z_E05B512F_A672_11D2_A848_00805F2505DF__wvu_PrintArea" vbProcedure="false">Straddle!$A$40:$AG$118</definedName>
    <definedName function="false" hidden="false" localSheetId="12" name="Z_E05B512F_A672_11D2_A848_00805F2505DF__wvu_PrintTitles" vbProcedure="false">Straddle!$1:$5</definedName>
    <definedName function="false" hidden="false" localSheetId="12" name="Z_E05B5138_A672_11D2_A848_00805F2505DF__wvu_PrintArea" vbProcedure="false">Straddle!$A$120:$M$238</definedName>
    <definedName function="false" hidden="false" localSheetId="12" name="Z_E05B5138_A672_11D2_A848_00805F2505DF__wvu_PrintTitles" vbProcedure="false">Straddle!$1:$5</definedName>
    <definedName function="false" hidden="false" localSheetId="12" name="Z_F60B7B7D_B470_11D2_A851_00805F2505DF__wvu_PrintArea" vbProcedure="false">Straddle!$A$6:$R$39</definedName>
    <definedName function="false" hidden="false" localSheetId="12" name="Z_F60B7B7D_B470_11D2_A851_00805F2505DF__wvu_PrintTitles" vbProcedure="false">Straddle!$1:$5</definedName>
    <definedName function="false" hidden="false" localSheetId="12" name="Z_F60B7B86_B470_11D2_A851_00805F2505DF__wvu_PrintArea" vbProcedure="false">Straddle!$A$40:$AG$118</definedName>
    <definedName function="false" hidden="false" localSheetId="12" name="Z_F60B7B86_B470_11D2_A851_00805F2505DF__wvu_PrintTitles" vbProcedure="false">Straddle!$1:$5</definedName>
    <definedName function="false" hidden="false" localSheetId="12" name="Z_F60B7B8F_B470_11D2_A851_00805F2505DF__wvu_PrintArea" vbProcedure="false">Straddle!$A$120:$M$238</definedName>
    <definedName function="false" hidden="false" localSheetId="12" name="Z_F60B7B8F_B470_11D2_A851_00805F2505DF__wvu_PrintTitles" vbProcedure="false">Straddle!$1:$5</definedName>
    <definedName function="false" hidden="false" localSheetId="12" name="Z_F60B7BE2_B470_11D2_A851_00805F2505DF__wvu_PrintArea" vbProcedure="false">Straddle!$A$6:$R$39</definedName>
    <definedName function="false" hidden="false" localSheetId="12" name="Z_F60B7BE2_B470_11D2_A851_00805F2505DF__wvu_PrintTitles" vbProcedure="false">Straddle!$1:$5</definedName>
    <definedName function="false" hidden="false" localSheetId="12" name="Z_F60B7BEB_B470_11D2_A851_00805F2505DF__wvu_PrintArea" vbProcedure="false">Straddle!$A$40:$AG$118</definedName>
    <definedName function="false" hidden="false" localSheetId="12" name="Z_F60B7BEB_B470_11D2_A851_00805F2505DF__wvu_PrintTitles" vbProcedure="false">Straddle!$1:$5</definedName>
    <definedName function="false" hidden="false" localSheetId="12" name="Z_F60B7BF4_B470_11D2_A851_00805F2505DF__wvu_PrintArea" vbProcedure="false">Straddle!$A$120:$M$238</definedName>
    <definedName function="false" hidden="false" localSheetId="12" name="Z_F60B7BF4_B470_11D2_A851_00805F2505DF__wvu_PrintTitles" vbProcedure="false">Straddle!$1:$5</definedName>
    <definedName function="false" hidden="false" localSheetId="12" name="Z_F947EA2F_ABF3_11D2_A84C_00805F2505DF__wvu_PrintArea" vbProcedure="false">Straddle!$A$6:$R$39</definedName>
    <definedName function="false" hidden="false" localSheetId="12" name="Z_F947EA2F_ABF3_11D2_A84C_00805F2505DF__wvu_PrintTitles" vbProcedure="false">Straddle!$1:$5</definedName>
    <definedName function="false" hidden="false" localSheetId="12" name="Z_F947EA38_ABF3_11D2_A84C_00805F2505DF__wvu_PrintArea" vbProcedure="false">Straddle!$A$40:$AG$118</definedName>
    <definedName function="false" hidden="false" localSheetId="12" name="Z_F947EA38_ABF3_11D2_A84C_00805F2505DF__wvu_PrintTitles" vbProcedure="false">Straddle!$1:$5</definedName>
    <definedName function="false" hidden="false" localSheetId="12" name="Z_F947EA41_ABF3_11D2_A84C_00805F2505DF__wvu_PrintArea" vbProcedure="false">Straddle!$A$120:$M$238</definedName>
    <definedName function="false" hidden="false" localSheetId="12" name="Z_F947EA41_ABF3_11D2_A84C_00805F2505DF__wvu_PrintTitles" vbProcedure="false">Straddle!$1:$5</definedName>
    <definedName function="false" hidden="false" localSheetId="13" name="ACwvu_BookBal_" vbProcedure="false">OptionsProp!$A$6:$R$40</definedName>
    <definedName function="false" hidden="false" localSheetId="13" name="ACwvu_DailyChange_" vbProcedure="false">OptionsProp!$A$41:$AG$118</definedName>
    <definedName function="false" hidden="false" localSheetId="13" name="ACwvu_Schedules_" vbProcedure="false">OptionsProp!$A$121:$M$239</definedName>
    <definedName function="false" hidden="false" localSheetId="13" name="Swvu_BookBal_" vbProcedure="false">OptionsProp!$A$6:$R$40</definedName>
    <definedName function="false" hidden="false" localSheetId="13" name="Swvu_DailyChange_" vbProcedure="false">OptionsProp!$A$41:$AG$118</definedName>
    <definedName function="false" hidden="false" localSheetId="13" name="Swvu_Schedules_" vbProcedure="false">OptionsProp!$A$121:$M$239</definedName>
    <definedName function="false" hidden="false" localSheetId="13" name="wrn_RollDetail_" vbProcedure="false">{"BookBal",#N/A,FALSE,"Roll";"DailyChange",#N/A,FALSE,"Roll";"Schedules",#N/A,FALSE,"Roll"}</definedName>
    <definedName function="false" hidden="false" localSheetId="13"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13"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13"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13" name="Z_00D2C731_B168_11D2_A84F_00805F2505DF__wvu_PrintArea" vbProcedure="false">OptionsProp!$A$6:$R$39</definedName>
    <definedName function="false" hidden="false" localSheetId="13" name="Z_00D2C731_B168_11D2_A84F_00805F2505DF__wvu_PrintTitles" vbProcedure="false">OptionsProp!$1:$5</definedName>
    <definedName function="false" hidden="false" localSheetId="13" name="Z_00D2C73A_B168_11D2_A84F_00805F2505DF__wvu_PrintArea" vbProcedure="false">OptionsProp!$A$40:$AG$118</definedName>
    <definedName function="false" hidden="false" localSheetId="13" name="Z_00D2C73A_B168_11D2_A84F_00805F2505DF__wvu_PrintTitles" vbProcedure="false">OptionsProp!$1:$5</definedName>
    <definedName function="false" hidden="false" localSheetId="13" name="Z_00D2C743_B168_11D2_A84F_00805F2505DF__wvu_PrintArea" vbProcedure="false">OptionsProp!$A$120:$M$238</definedName>
    <definedName function="false" hidden="false" localSheetId="13" name="Z_00D2C743_B168_11D2_A84F_00805F2505DF__wvu_PrintTitles" vbProcedure="false">OptionsProp!$1:$5</definedName>
    <definedName function="false" hidden="false" localSheetId="13" name="Z_01843848_B93D_11D2_8444_00805F3629DE__wvu_PrintArea" vbProcedure="false">OptionsProp!$A$6:$R$39</definedName>
    <definedName function="false" hidden="false" localSheetId="13" name="Z_01843848_B93D_11D2_8444_00805F3629DE__wvu_PrintTitles" vbProcedure="false">OptionsProp!$1:$5</definedName>
    <definedName function="false" hidden="false" localSheetId="13" name="Z_01843851_B93D_11D2_8444_00805F3629DE__wvu_PrintArea" vbProcedure="false">OptionsProp!$A$40:$AG$118</definedName>
    <definedName function="false" hidden="false" localSheetId="13" name="Z_01843851_B93D_11D2_8444_00805F3629DE__wvu_PrintTitles" vbProcedure="false">OptionsProp!$1:$5</definedName>
    <definedName function="false" hidden="false" localSheetId="13" name="Z_0184385A_B93D_11D2_8444_00805F3629DE__wvu_PrintArea" vbProcedure="false">OptionsProp!$A$120:$M$238</definedName>
    <definedName function="false" hidden="false" localSheetId="13" name="Z_0184385A_B93D_11D2_8444_00805F3629DE__wvu_PrintTitles" vbProcedure="false">OptionsProp!$1:$5</definedName>
    <definedName function="false" hidden="false" localSheetId="13" name="Z_02448BA1_88FA_11D2_B05A_00104B2CC235__wvu_PrintArea" vbProcedure="false">OptionsProp!$A$6:$R$39</definedName>
    <definedName function="false" hidden="false" localSheetId="13" name="Z_02448BA1_88FA_11D2_B05A_00104B2CC235__wvu_PrintTitles" vbProcedure="false">OptionsProp!$1:$5</definedName>
    <definedName function="false" hidden="false" localSheetId="13" name="Z_02448BAA_88FA_11D2_B05A_00104B2CC235__wvu_PrintArea" vbProcedure="false">OptionsProp!$A$40:$AG$118</definedName>
    <definedName function="false" hidden="false" localSheetId="13" name="Z_02448BAA_88FA_11D2_B05A_00104B2CC235__wvu_PrintTitles" vbProcedure="false">OptionsProp!$1:$5</definedName>
    <definedName function="false" hidden="false" localSheetId="13" name="Z_02448BB3_88FA_11D2_B05A_00104B2CC235__wvu_PrintArea" vbProcedure="false">OptionsProp!$A$120:$M$238</definedName>
    <definedName function="false" hidden="false" localSheetId="13" name="Z_02448BB3_88FA_11D2_B05A_00104B2CC235__wvu_PrintTitles" vbProcedure="false">OptionsProp!$1:$5</definedName>
    <definedName function="false" hidden="false" localSheetId="13" name="Z_0AC5A1F1_9EA7_11D2_A842_00805F2505DF__wvu_PrintArea" vbProcedure="false">OptionsProp!$A$6:$R$39</definedName>
    <definedName function="false" hidden="false" localSheetId="13" name="Z_0AC5A1F1_9EA7_11D2_A842_00805F2505DF__wvu_PrintTitles" vbProcedure="false">OptionsProp!$1:$5</definedName>
    <definedName function="false" hidden="false" localSheetId="13" name="Z_0AC5A1FA_9EA7_11D2_A842_00805F2505DF__wvu_PrintArea" vbProcedure="false">OptionsProp!$A$40:$AG$118</definedName>
    <definedName function="false" hidden="false" localSheetId="13" name="Z_0AC5A1FA_9EA7_11D2_A842_00805F2505DF__wvu_PrintTitles" vbProcedure="false">OptionsProp!$1:$5</definedName>
    <definedName function="false" hidden="false" localSheetId="13" name="Z_0AC5A203_9EA7_11D2_A842_00805F2505DF__wvu_PrintArea" vbProcedure="false">OptionsProp!$A$120:$M$238</definedName>
    <definedName function="false" hidden="false" localSheetId="13" name="Z_0AC5A203_9EA7_11D2_A842_00805F2505DF__wvu_PrintTitles" vbProcedure="false">OptionsProp!$1:$5</definedName>
    <definedName function="false" hidden="false" localSheetId="13" name="Z_37FD7BD8_ABC9_11D2_843C_00805F3629DE__wvu_PrintArea" vbProcedure="false">OptionsProp!$A$6:$R$39</definedName>
    <definedName function="false" hidden="false" localSheetId="13" name="Z_37FD7BD8_ABC9_11D2_843C_00805F3629DE__wvu_PrintTitles" vbProcedure="false">OptionsProp!$1:$5</definedName>
    <definedName function="false" hidden="false" localSheetId="13" name="Z_37FD7BE1_ABC9_11D2_843C_00805F3629DE__wvu_PrintArea" vbProcedure="false">OptionsProp!$A$40:$AG$118</definedName>
    <definedName function="false" hidden="false" localSheetId="13" name="Z_37FD7BE1_ABC9_11D2_843C_00805F3629DE__wvu_PrintTitles" vbProcedure="false">OptionsProp!$1:$5</definedName>
    <definedName function="false" hidden="false" localSheetId="13" name="Z_37FD7BEA_ABC9_11D2_843C_00805F3629DE__wvu_PrintArea" vbProcedure="false">OptionsProp!$A$120:$M$238</definedName>
    <definedName function="false" hidden="false" localSheetId="13" name="Z_37FD7BEA_ABC9_11D2_843C_00805F3629DE__wvu_PrintTitles" vbProcedure="false">OptionsProp!$1:$5</definedName>
    <definedName function="false" hidden="false" localSheetId="13" name="Z_383AC425_A3FF_11D2_A845_00805F2505DF__wvu_PrintArea" vbProcedure="false">OptionsProp!$A$6:$R$39</definedName>
    <definedName function="false" hidden="false" localSheetId="13" name="Z_383AC425_A3FF_11D2_A845_00805F2505DF__wvu_PrintTitles" vbProcedure="false">OptionsProp!$1:$5</definedName>
    <definedName function="false" hidden="false" localSheetId="13" name="Z_383AC42E_A3FF_11D2_A845_00805F2505DF__wvu_PrintArea" vbProcedure="false">OptionsProp!$A$40:$AG$118</definedName>
    <definedName function="false" hidden="false" localSheetId="13" name="Z_383AC42E_A3FF_11D2_A845_00805F2505DF__wvu_PrintTitles" vbProcedure="false">OptionsProp!$1:$5</definedName>
    <definedName function="false" hidden="false" localSheetId="13" name="Z_383AC437_A3FF_11D2_A845_00805F2505DF__wvu_PrintArea" vbProcedure="false">OptionsProp!$A$120:$M$238</definedName>
    <definedName function="false" hidden="false" localSheetId="13" name="Z_383AC437_A3FF_11D2_A845_00805F2505DF__wvu_PrintTitles" vbProcedure="false">OptionsProp!$1:$5</definedName>
    <definedName function="false" hidden="false" localSheetId="13" name="Z_4398CED1_B092_11D2_A84E_00805F2505DF__wvu_PrintArea" vbProcedure="false">OptionsProp!$A$6:$R$39</definedName>
    <definedName function="false" hidden="false" localSheetId="13" name="Z_4398CED1_B092_11D2_A84E_00805F2505DF__wvu_PrintTitles" vbProcedure="false">OptionsProp!$1:$5</definedName>
    <definedName function="false" hidden="false" localSheetId="13" name="Z_4398CEDA_B092_11D2_A84E_00805F2505DF__wvu_PrintArea" vbProcedure="false">OptionsProp!$A$40:$AG$118</definedName>
    <definedName function="false" hidden="false" localSheetId="13" name="Z_4398CEDA_B092_11D2_A84E_00805F2505DF__wvu_PrintTitles" vbProcedure="false">OptionsProp!$1:$5</definedName>
    <definedName function="false" hidden="false" localSheetId="13" name="Z_4398CEE3_B092_11D2_A84E_00805F2505DF__wvu_PrintArea" vbProcedure="false">OptionsProp!$A$120:$M$238</definedName>
    <definedName function="false" hidden="false" localSheetId="13" name="Z_4398CEE3_B092_11D2_A84E_00805F2505DF__wvu_PrintTitles" vbProcedure="false">OptionsProp!$1:$5</definedName>
    <definedName function="false" hidden="false" localSheetId="13" name="Z_535643BD_B9EE_11D2_A857_00805F2505DF__wvu_PrintArea" vbProcedure="false">OptionsProp!$A$6:$R$39</definedName>
    <definedName function="false" hidden="false" localSheetId="13" name="Z_535643BD_B9EE_11D2_A857_00805F2505DF__wvu_PrintTitles" vbProcedure="false">OptionsProp!$1:$5</definedName>
    <definedName function="false" hidden="false" localSheetId="13" name="Z_535643C6_B9EE_11D2_A857_00805F2505DF__wvu_PrintArea" vbProcedure="false">OptionsProp!$A$40:$AG$118</definedName>
    <definedName function="false" hidden="false" localSheetId="13" name="Z_535643C6_B9EE_11D2_A857_00805F2505DF__wvu_PrintTitles" vbProcedure="false">OptionsProp!$1:$5</definedName>
    <definedName function="false" hidden="false" localSheetId="13" name="Z_535643CF_B9EE_11D2_A857_00805F2505DF__wvu_PrintArea" vbProcedure="false">OptionsProp!$A$120:$M$238</definedName>
    <definedName function="false" hidden="false" localSheetId="13" name="Z_535643CF_B9EE_11D2_A857_00805F2505DF__wvu_PrintTitles" vbProcedure="false">OptionsProp!$1:$5</definedName>
    <definedName function="false" hidden="false" localSheetId="13" name="Z_70785CB7_A4C6_11D2_A845_00805F2505DF__wvu_PrintArea" vbProcedure="false">OptionsProp!$A$6:$R$39</definedName>
    <definedName function="false" hidden="false" localSheetId="13" name="Z_70785CB7_A4C6_11D2_A845_00805F2505DF__wvu_PrintTitles" vbProcedure="false">OptionsProp!$1:$5</definedName>
    <definedName function="false" hidden="false" localSheetId="13" name="Z_70785CC0_A4C6_11D2_A845_00805F2505DF__wvu_PrintArea" vbProcedure="false">OptionsProp!$A$40:$AG$118</definedName>
    <definedName function="false" hidden="false" localSheetId="13" name="Z_70785CC0_A4C6_11D2_A845_00805F2505DF__wvu_PrintTitles" vbProcedure="false">OptionsProp!$1:$5</definedName>
    <definedName function="false" hidden="false" localSheetId="13" name="Z_70785CC9_A4C6_11D2_A845_00805F2505DF__wvu_PrintArea" vbProcedure="false">OptionsProp!$A$120:$M$238</definedName>
    <definedName function="false" hidden="false" localSheetId="13" name="Z_70785CC9_A4C6_11D2_A845_00805F2505DF__wvu_PrintTitles" vbProcedure="false">OptionsProp!$1:$5</definedName>
    <definedName function="false" hidden="false" localSheetId="13" name="Z_76D54FA8_89F3_11D2_B05A_00104B2CC235__wvu_PrintArea" vbProcedure="false">OptionsProp!$A$6:$R$39</definedName>
    <definedName function="false" hidden="false" localSheetId="13" name="Z_76D54FA8_89F3_11D2_B05A_00104B2CC235__wvu_PrintTitles" vbProcedure="false">OptionsProp!$1:$5</definedName>
    <definedName function="false" hidden="false" localSheetId="13" name="Z_76D54FB1_89F3_11D2_B05A_00104B2CC235__wvu_PrintArea" vbProcedure="false">OptionsProp!$A$40:$AG$118</definedName>
    <definedName function="false" hidden="false" localSheetId="13" name="Z_76D54FB1_89F3_11D2_B05A_00104B2CC235__wvu_PrintTitles" vbProcedure="false">OptionsProp!$1:$5</definedName>
    <definedName function="false" hidden="false" localSheetId="13" name="Z_76D54FBA_89F3_11D2_B05A_00104B2CC235__wvu_PrintArea" vbProcedure="false">OptionsProp!$A$120:$M$238</definedName>
    <definedName function="false" hidden="false" localSheetId="13" name="Z_76D54FBA_89F3_11D2_B05A_00104B2CC235__wvu_PrintTitles" vbProcedure="false">OptionsProp!$1:$5</definedName>
    <definedName function="false" hidden="false" localSheetId="13" name="Z_7B7539ED_B7B8_11D2_A856_00805F2505DF__wvu_PrintArea" vbProcedure="false">OptionsProp!$A$6:$R$39</definedName>
    <definedName function="false" hidden="false" localSheetId="13" name="Z_7B7539ED_B7B8_11D2_A856_00805F2505DF__wvu_PrintTitles" vbProcedure="false">OptionsProp!$1:$5</definedName>
    <definedName function="false" hidden="false" localSheetId="13" name="Z_7B7539F6_B7B8_11D2_A856_00805F2505DF__wvu_PrintArea" vbProcedure="false">OptionsProp!$A$40:$AG$118</definedName>
    <definedName function="false" hidden="false" localSheetId="13" name="Z_7B7539F6_B7B8_11D2_A856_00805F2505DF__wvu_PrintTitles" vbProcedure="false">OptionsProp!$1:$5</definedName>
    <definedName function="false" hidden="false" localSheetId="13" name="Z_7B7539FF_B7B8_11D2_A856_00805F2505DF__wvu_PrintArea" vbProcedure="false">OptionsProp!$A$120:$M$238</definedName>
    <definedName function="false" hidden="false" localSheetId="13" name="Z_7B7539FF_B7B8_11D2_A856_00805F2505DF__wvu_PrintTitles" vbProcedure="false">OptionsProp!$1:$5</definedName>
    <definedName function="false" hidden="false" localSheetId="13" name="Z_7C160641_B226_11D2_A850_00805F2505DF__wvu_PrintArea" vbProcedure="false">OptionsProp!$A$6:$R$39</definedName>
    <definedName function="false" hidden="false" localSheetId="13" name="Z_7C160641_B226_11D2_A850_00805F2505DF__wvu_PrintTitles" vbProcedure="false">OptionsProp!$1:$5</definedName>
    <definedName function="false" hidden="false" localSheetId="13" name="Z_7C16064A_B226_11D2_A850_00805F2505DF__wvu_PrintArea" vbProcedure="false">OptionsProp!$A$40:$AG$118</definedName>
    <definedName function="false" hidden="false" localSheetId="13" name="Z_7C16064A_B226_11D2_A850_00805F2505DF__wvu_PrintTitles" vbProcedure="false">OptionsProp!$1:$5</definedName>
    <definedName function="false" hidden="false" localSheetId="13" name="Z_7C160653_B226_11D2_A850_00805F2505DF__wvu_PrintArea" vbProcedure="false">OptionsProp!$A$120:$M$238</definedName>
    <definedName function="false" hidden="false" localSheetId="13" name="Z_7C160653_B226_11D2_A850_00805F2505DF__wvu_PrintTitles" vbProcedure="false">OptionsProp!$1:$5</definedName>
    <definedName function="false" hidden="false" localSheetId="13" name="Z_8106BDAE_AA5F_11D2_A84B_00805F2505DF__wvu_PrintArea" vbProcedure="false">OptionsProp!$A$6:$R$39</definedName>
    <definedName function="false" hidden="false" localSheetId="13" name="Z_8106BDAE_AA5F_11D2_A84B_00805F2505DF__wvu_PrintTitles" vbProcedure="false">OptionsProp!$1:$5</definedName>
    <definedName function="false" hidden="false" localSheetId="13" name="Z_8106BDB7_AA5F_11D2_A84B_00805F2505DF__wvu_PrintArea" vbProcedure="false">OptionsProp!$A$40:$AG$118</definedName>
    <definedName function="false" hidden="false" localSheetId="13" name="Z_8106BDB7_AA5F_11D2_A84B_00805F2505DF__wvu_PrintTitles" vbProcedure="false">OptionsProp!$1:$5</definedName>
    <definedName function="false" hidden="false" localSheetId="13" name="Z_8106BDC0_AA5F_11D2_A84B_00805F2505DF__wvu_PrintArea" vbProcedure="false">OptionsProp!$A$120:$M$238</definedName>
    <definedName function="false" hidden="false" localSheetId="13" name="Z_8106BDC0_AA5F_11D2_A84B_00805F2505DF__wvu_PrintTitles" vbProcedure="false">OptionsProp!$1:$5</definedName>
    <definedName function="false" hidden="false" localSheetId="13" name="Z_90E3CCE0_A590_11D2_A845_00805F2505DF__wvu_PrintArea" vbProcedure="false">OptionsProp!$A$6:$R$39</definedName>
    <definedName function="false" hidden="false" localSheetId="13" name="Z_90E3CCE0_A590_11D2_A845_00805F2505DF__wvu_PrintTitles" vbProcedure="false">OptionsProp!$1:$5</definedName>
    <definedName function="false" hidden="false" localSheetId="13" name="Z_90E3CCE9_A590_11D2_A845_00805F2505DF__wvu_PrintArea" vbProcedure="false">OptionsProp!$A$40:$AG$118</definedName>
    <definedName function="false" hidden="false" localSheetId="13" name="Z_90E3CCE9_A590_11D2_A845_00805F2505DF__wvu_PrintTitles" vbProcedure="false">OptionsProp!$1:$5</definedName>
    <definedName function="false" hidden="false" localSheetId="13" name="Z_90E3CCF2_A590_11D2_A845_00805F2505DF__wvu_PrintArea" vbProcedure="false">OptionsProp!$A$120:$M$238</definedName>
    <definedName function="false" hidden="false" localSheetId="13" name="Z_90E3CCF2_A590_11D2_A845_00805F2505DF__wvu_PrintTitles" vbProcedure="false">OptionsProp!$1:$5</definedName>
    <definedName function="false" hidden="false" localSheetId="13" name="Z_9F5984A6_ADA0_11D2_A84C_00805F2505DF__wvu_PrintArea" vbProcedure="false">OptionsProp!$A$6:$R$39</definedName>
    <definedName function="false" hidden="false" localSheetId="13" name="Z_9F5984A6_ADA0_11D2_A84C_00805F2505DF__wvu_PrintTitles" vbProcedure="false">OptionsProp!$1:$5</definedName>
    <definedName function="false" hidden="false" localSheetId="13" name="Z_9F5984AF_ADA0_11D2_A84C_00805F2505DF__wvu_PrintArea" vbProcedure="false">OptionsProp!$A$40:$AG$118</definedName>
    <definedName function="false" hidden="false" localSheetId="13" name="Z_9F5984AF_ADA0_11D2_A84C_00805F2505DF__wvu_PrintTitles" vbProcedure="false">OptionsProp!$1:$5</definedName>
    <definedName function="false" hidden="false" localSheetId="13" name="Z_9F5984B8_ADA0_11D2_A84C_00805F2505DF__wvu_PrintArea" vbProcedure="false">OptionsProp!$A$120:$M$238</definedName>
    <definedName function="false" hidden="false" localSheetId="13" name="Z_9F5984B8_ADA0_11D2_A84C_00805F2505DF__wvu_PrintTitles" vbProcedure="false">OptionsProp!$1:$5</definedName>
    <definedName function="false" hidden="false" localSheetId="13" name="Z_AA00244D_B62E_11D2_A853_00805F2505DF__wvu_PrintArea" vbProcedure="false">OptionsProp!$A$6:$R$39</definedName>
    <definedName function="false" hidden="false" localSheetId="13" name="Z_AA00244D_B62E_11D2_A853_00805F2505DF__wvu_PrintTitles" vbProcedure="false">OptionsProp!$1:$5</definedName>
    <definedName function="false" hidden="false" localSheetId="13" name="Z_AA002456_B62E_11D2_A853_00805F2505DF__wvu_PrintArea" vbProcedure="false">OptionsProp!$A$40:$AG$118</definedName>
    <definedName function="false" hidden="false" localSheetId="13" name="Z_AA002456_B62E_11D2_A853_00805F2505DF__wvu_PrintTitles" vbProcedure="false">OptionsProp!$1:$5</definedName>
    <definedName function="false" hidden="false" localSheetId="13" name="Z_AA00245F_B62E_11D2_A853_00805F2505DF__wvu_PrintArea" vbProcedure="false">OptionsProp!$A$120:$M$238</definedName>
    <definedName function="false" hidden="false" localSheetId="13" name="Z_AA00245F_B62E_11D2_A853_00805F2505DF__wvu_PrintTitles" vbProcedure="false">OptionsProp!$1:$5</definedName>
    <definedName function="false" hidden="false" localSheetId="13" name="Z_AA0024AB_B62E_11D2_A853_00805F2505DF__wvu_PrintArea" vbProcedure="false">OptionsProp!$A$6:$R$39</definedName>
    <definedName function="false" hidden="false" localSheetId="13" name="Z_AA0024AB_B62E_11D2_A853_00805F2505DF__wvu_PrintTitles" vbProcedure="false">OptionsProp!$1:$5</definedName>
    <definedName function="false" hidden="false" localSheetId="13" name="Z_AA0024B4_B62E_11D2_A853_00805F2505DF__wvu_PrintArea" vbProcedure="false">OptionsProp!$A$40:$AG$118</definedName>
    <definedName function="false" hidden="false" localSheetId="13" name="Z_AA0024B4_B62E_11D2_A853_00805F2505DF__wvu_PrintTitles" vbProcedure="false">OptionsProp!$1:$5</definedName>
    <definedName function="false" hidden="false" localSheetId="13" name="Z_AA0024BD_B62E_11D2_A853_00805F2505DF__wvu_PrintArea" vbProcedure="false">OptionsProp!$A$120:$M$238</definedName>
    <definedName function="false" hidden="false" localSheetId="13" name="Z_AA0024BD_B62E_11D2_A853_00805F2505DF__wvu_PrintTitles" vbProcedure="false">OptionsProp!$1:$5</definedName>
    <definedName function="false" hidden="false" localSheetId="13" name="Z_B2298A92_9F4B_11D2_A842_00805F2505DF__wvu_PrintArea" vbProcedure="false">OptionsProp!$A$6:$R$39</definedName>
    <definedName function="false" hidden="false" localSheetId="13" name="Z_B2298A92_9F4B_11D2_A842_00805F2505DF__wvu_PrintTitles" vbProcedure="false">OptionsProp!$1:$5</definedName>
    <definedName function="false" hidden="false" localSheetId="13" name="Z_B2298A9B_9F4B_11D2_A842_00805F2505DF__wvu_PrintArea" vbProcedure="false">OptionsProp!$A$40:$AG$118</definedName>
    <definedName function="false" hidden="false" localSheetId="13" name="Z_B2298A9B_9F4B_11D2_A842_00805F2505DF__wvu_PrintTitles" vbProcedure="false">OptionsProp!$1:$5</definedName>
    <definedName function="false" hidden="false" localSheetId="13" name="Z_B2298AA4_9F4B_11D2_A842_00805F2505DF__wvu_PrintArea" vbProcedure="false">OptionsProp!$A$120:$M$238</definedName>
    <definedName function="false" hidden="false" localSheetId="13" name="Z_B2298AA4_9F4B_11D2_A842_00805F2505DF__wvu_PrintTitles" vbProcedure="false">OptionsProp!$1:$5</definedName>
    <definedName function="false" hidden="false" localSheetId="13" name="Z_B2F7E2C3_7FBD_11D2_A836_00805F2505DF__wvu_PrintArea" vbProcedure="false">OptionsProp!$A$6:$R$39</definedName>
    <definedName function="false" hidden="false" localSheetId="13" name="Z_B2F7E2C3_7FBD_11D2_A836_00805F2505DF__wvu_PrintTitles" vbProcedure="false">OptionsProp!$1:$5</definedName>
    <definedName function="false" hidden="false" localSheetId="13" name="Z_B2F7E2CC_7FBD_11D2_A836_00805F2505DF__wvu_PrintArea" vbProcedure="false">OptionsProp!$A$40:$AG$118</definedName>
    <definedName function="false" hidden="false" localSheetId="13" name="Z_B2F7E2CC_7FBD_11D2_A836_00805F2505DF__wvu_PrintTitles" vbProcedure="false">OptionsProp!$1:$5</definedName>
    <definedName function="false" hidden="false" localSheetId="13" name="Z_B2F7E2D5_7FBD_11D2_A836_00805F2505DF__wvu_PrintArea" vbProcedure="false">OptionsProp!$A$120:$M$238</definedName>
    <definedName function="false" hidden="false" localSheetId="13" name="Z_B2F7E2D5_7FBD_11D2_A836_00805F2505DF__wvu_PrintTitles" vbProcedure="false">OptionsProp!$1:$5</definedName>
    <definedName function="false" hidden="false" localSheetId="13" name="Z_CAE48B01_AFF0_11D2_A84D_00805F2505DF__wvu_PrintArea" vbProcedure="false">OptionsProp!$A$6:$R$39</definedName>
    <definedName function="false" hidden="false" localSheetId="13" name="Z_CAE48B01_AFF0_11D2_A84D_00805F2505DF__wvu_PrintTitles" vbProcedure="false">OptionsProp!$1:$5</definedName>
    <definedName function="false" hidden="false" localSheetId="13" name="Z_CAE48B0A_AFF0_11D2_A84D_00805F2505DF__wvu_PrintArea" vbProcedure="false">OptionsProp!$A$40:$AG$118</definedName>
    <definedName function="false" hidden="false" localSheetId="13" name="Z_CAE48B0A_AFF0_11D2_A84D_00805F2505DF__wvu_PrintTitles" vbProcedure="false">OptionsProp!$1:$5</definedName>
    <definedName function="false" hidden="false" localSheetId="13" name="Z_CAE48B13_AFF0_11D2_A84D_00805F2505DF__wvu_PrintArea" vbProcedure="false">OptionsProp!$A$120:$M$238</definedName>
    <definedName function="false" hidden="false" localSheetId="13" name="Z_CAE48B13_AFF0_11D2_A84D_00805F2505DF__wvu_PrintTitles" vbProcedure="false">OptionsProp!$1:$5</definedName>
    <definedName function="false" hidden="false" localSheetId="13" name="Z_CC3965C9_A99C_11D2_A84A_00805F2505DF__wvu_PrintArea" vbProcedure="false">OptionsProp!$A$6:$R$39</definedName>
    <definedName function="false" hidden="false" localSheetId="13" name="Z_CC3965C9_A99C_11D2_A84A_00805F2505DF__wvu_PrintTitles" vbProcedure="false">OptionsProp!$1:$5</definedName>
    <definedName function="false" hidden="false" localSheetId="13" name="Z_CC3965D2_A99C_11D2_A84A_00805F2505DF__wvu_PrintArea" vbProcedure="false">OptionsProp!$A$40:$AG$118</definedName>
    <definedName function="false" hidden="false" localSheetId="13" name="Z_CC3965D2_A99C_11D2_A84A_00805F2505DF__wvu_PrintTitles" vbProcedure="false">OptionsProp!$1:$5</definedName>
    <definedName function="false" hidden="false" localSheetId="13" name="Z_CC3965DB_A99C_11D2_A84A_00805F2505DF__wvu_PrintArea" vbProcedure="false">OptionsProp!$A$120:$M$238</definedName>
    <definedName function="false" hidden="false" localSheetId="13" name="Z_CC3965DB_A99C_11D2_A84A_00805F2505DF__wvu_PrintTitles" vbProcedure="false">OptionsProp!$1:$5</definedName>
    <definedName function="false" hidden="false" localSheetId="13" name="Z_D4AB6C09_AB0F_11D2_A84C_00805F2505DF__wvu_PrintArea" vbProcedure="false">OptionsProp!$A$6:$R$39</definedName>
    <definedName function="false" hidden="false" localSheetId="13" name="Z_D4AB6C09_AB0F_11D2_A84C_00805F2505DF__wvu_PrintTitles" vbProcedure="false">OptionsProp!$1:$5</definedName>
    <definedName function="false" hidden="false" localSheetId="13" name="Z_D4AB6C12_AB0F_11D2_A84C_00805F2505DF__wvu_PrintArea" vbProcedure="false">OptionsProp!$A$40:$AG$118</definedName>
    <definedName function="false" hidden="false" localSheetId="13" name="Z_D4AB6C12_AB0F_11D2_A84C_00805F2505DF__wvu_PrintTitles" vbProcedure="false">OptionsProp!$1:$5</definedName>
    <definedName function="false" hidden="false" localSheetId="13" name="Z_D4AB6C1B_AB0F_11D2_A84C_00805F2505DF__wvu_PrintArea" vbProcedure="false">OptionsProp!$A$120:$M$238</definedName>
    <definedName function="false" hidden="false" localSheetId="13" name="Z_D4AB6C1B_AB0F_11D2_A84C_00805F2505DF__wvu_PrintTitles" vbProcedure="false">OptionsProp!$1:$5</definedName>
    <definedName function="false" hidden="false" localSheetId="13" name="Z_D4AB6C62_AB0F_11D2_A84C_00805F2505DF__wvu_PrintArea" vbProcedure="false">OptionsProp!$A$6:$R$39</definedName>
    <definedName function="false" hidden="false" localSheetId="13" name="Z_D4AB6C62_AB0F_11D2_A84C_00805F2505DF__wvu_PrintTitles" vbProcedure="false">OptionsProp!$1:$5</definedName>
    <definedName function="false" hidden="false" localSheetId="13" name="Z_D4AB6C6B_AB0F_11D2_A84C_00805F2505DF__wvu_PrintArea" vbProcedure="false">OptionsProp!$A$40:$AG$118</definedName>
    <definedName function="false" hidden="false" localSheetId="13" name="Z_D4AB6C6B_AB0F_11D2_A84C_00805F2505DF__wvu_PrintTitles" vbProcedure="false">OptionsProp!$1:$5</definedName>
    <definedName function="false" hidden="false" localSheetId="13" name="Z_D4AB6C74_AB0F_11D2_A84C_00805F2505DF__wvu_PrintArea" vbProcedure="false">OptionsProp!$A$120:$M$238</definedName>
    <definedName function="false" hidden="false" localSheetId="13" name="Z_D4AB6C74_AB0F_11D2_A84C_00805F2505DF__wvu_PrintTitles" vbProcedure="false">OptionsProp!$1:$5</definedName>
    <definedName function="false" hidden="false" localSheetId="13" name="Z_E05B5120_A672_11D2_A848_00805F2505DF__wvu_PrintArea" vbProcedure="false">OptionsProp!$A$6:$R$39</definedName>
    <definedName function="false" hidden="false" localSheetId="13" name="Z_E05B5120_A672_11D2_A848_00805F2505DF__wvu_PrintTitles" vbProcedure="false">OptionsProp!$1:$5</definedName>
    <definedName function="false" hidden="false" localSheetId="13" name="Z_E05B5129_A672_11D2_A848_00805F2505DF__wvu_PrintArea" vbProcedure="false">OptionsProp!$A$40:$AG$118</definedName>
    <definedName function="false" hidden="false" localSheetId="13" name="Z_E05B5129_A672_11D2_A848_00805F2505DF__wvu_PrintTitles" vbProcedure="false">OptionsProp!$1:$5</definedName>
    <definedName function="false" hidden="false" localSheetId="13" name="Z_E05B5132_A672_11D2_A848_00805F2505DF__wvu_PrintArea" vbProcedure="false">OptionsProp!$A$120:$M$238</definedName>
    <definedName function="false" hidden="false" localSheetId="13" name="Z_E05B5132_A672_11D2_A848_00805F2505DF__wvu_PrintTitles" vbProcedure="false">OptionsProp!$1:$5</definedName>
    <definedName function="false" hidden="false" localSheetId="13" name="Z_F60B7B77_B470_11D2_A851_00805F2505DF__wvu_PrintArea" vbProcedure="false">OptionsProp!$A$6:$R$39</definedName>
    <definedName function="false" hidden="false" localSheetId="13" name="Z_F60B7B77_B470_11D2_A851_00805F2505DF__wvu_PrintTitles" vbProcedure="false">OptionsProp!$1:$5</definedName>
    <definedName function="false" hidden="false" localSheetId="13" name="Z_F60B7B80_B470_11D2_A851_00805F2505DF__wvu_PrintArea" vbProcedure="false">OptionsProp!$A$40:$AG$118</definedName>
    <definedName function="false" hidden="false" localSheetId="13" name="Z_F60B7B80_B470_11D2_A851_00805F2505DF__wvu_PrintTitles" vbProcedure="false">OptionsProp!$1:$5</definedName>
    <definedName function="false" hidden="false" localSheetId="13" name="Z_F60B7B89_B470_11D2_A851_00805F2505DF__wvu_PrintArea" vbProcedure="false">OptionsProp!$A$120:$M$238</definedName>
    <definedName function="false" hidden="false" localSheetId="13" name="Z_F60B7B89_B470_11D2_A851_00805F2505DF__wvu_PrintTitles" vbProcedure="false">OptionsProp!$1:$5</definedName>
    <definedName function="false" hidden="false" localSheetId="13" name="Z_F60B7BDC_B470_11D2_A851_00805F2505DF__wvu_PrintArea" vbProcedure="false">OptionsProp!$A$6:$R$39</definedName>
    <definedName function="false" hidden="false" localSheetId="13" name="Z_F60B7BDC_B470_11D2_A851_00805F2505DF__wvu_PrintTitles" vbProcedure="false">OptionsProp!$1:$5</definedName>
    <definedName function="false" hidden="false" localSheetId="13" name="Z_F60B7BE5_B470_11D2_A851_00805F2505DF__wvu_PrintArea" vbProcedure="false">OptionsProp!$A$40:$AG$118</definedName>
    <definedName function="false" hidden="false" localSheetId="13" name="Z_F60B7BE5_B470_11D2_A851_00805F2505DF__wvu_PrintTitles" vbProcedure="false">OptionsProp!$1:$5</definedName>
    <definedName function="false" hidden="false" localSheetId="13" name="Z_F60B7BEE_B470_11D2_A851_00805F2505DF__wvu_PrintArea" vbProcedure="false">OptionsProp!$A$120:$M$238</definedName>
    <definedName function="false" hidden="false" localSheetId="13" name="Z_F60B7BEE_B470_11D2_A851_00805F2505DF__wvu_PrintTitles" vbProcedure="false">OptionsProp!$1:$5</definedName>
    <definedName function="false" hidden="false" localSheetId="13" name="Z_F947EA29_ABF3_11D2_A84C_00805F2505DF__wvu_PrintArea" vbProcedure="false">OptionsProp!$A$6:$R$39</definedName>
    <definedName function="false" hidden="false" localSheetId="13" name="Z_F947EA29_ABF3_11D2_A84C_00805F2505DF__wvu_PrintTitles" vbProcedure="false">OptionsProp!$1:$5</definedName>
    <definedName function="false" hidden="false" localSheetId="13" name="Z_F947EA32_ABF3_11D2_A84C_00805F2505DF__wvu_PrintArea" vbProcedure="false">OptionsProp!$A$40:$AG$118</definedName>
    <definedName function="false" hidden="false" localSheetId="13" name="Z_F947EA32_ABF3_11D2_A84C_00805F2505DF__wvu_PrintTitles" vbProcedure="false">OptionsProp!$1:$5</definedName>
    <definedName function="false" hidden="false" localSheetId="13" name="Z_F947EA3B_ABF3_11D2_A84C_00805F2505DF__wvu_PrintArea" vbProcedure="false">OptionsProp!$A$120:$M$238</definedName>
    <definedName function="false" hidden="false" localSheetId="13" name="Z_F947EA3B_ABF3_11D2_A84C_00805F2505DF__wvu_PrintTitles" vbProcedure="false">OptionsProp!$1:$5</definedName>
    <definedName function="false" hidden="false" localSheetId="18" name="ACwvu_BookBal_" vbProcedure="false">'US $'!$A$6:$R$40</definedName>
    <definedName function="false" hidden="false" localSheetId="18" name="ACwvu_DailyChange_" vbProcedure="false">'US $'!$A$41:$AG$118</definedName>
    <definedName function="false" hidden="false" localSheetId="18" name="ACwvu_Schedules_" vbProcedure="false">'US $'!$A$121:$M$239</definedName>
    <definedName function="false" hidden="false" localSheetId="18" name="Swvu_BookBal_" vbProcedure="false">'US $'!$A$6:$R$40</definedName>
    <definedName function="false" hidden="false" localSheetId="18" name="Swvu_DailyChange_" vbProcedure="false">'US $'!$A$41:$AG$118</definedName>
    <definedName function="false" hidden="false" localSheetId="18" name="Swvu_Schedules_" vbProcedure="false">'US $'!$A$121:$M$239</definedName>
    <definedName function="false" hidden="false" localSheetId="18" name="wrn_RollDetail_" vbProcedure="false">{"BookBal",#N/A,FALSE,"Roll";"DailyChange",#N/A,FALSE,"Roll";"Schedules",#N/A,FALSE,"Roll"}</definedName>
    <definedName function="false" hidden="false" localSheetId="18"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18"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18"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18" name="Z_00D2C738_B168_11D2_A84F_00805F2505DF__wvu_PrintArea" vbProcedure="false">'US $'!$A$6:$R$39</definedName>
    <definedName function="false" hidden="false" localSheetId="18" name="Z_00D2C738_B168_11D2_A84F_00805F2505DF__wvu_PrintTitles" vbProcedure="false">'US $'!$1:$5</definedName>
    <definedName function="false" hidden="false" localSheetId="18" name="Z_00D2C741_B168_11D2_A84F_00805F2505DF__wvu_PrintArea" vbProcedure="false">'US $'!$A$40:$AG$118</definedName>
    <definedName function="false" hidden="false" localSheetId="18" name="Z_00D2C741_B168_11D2_A84F_00805F2505DF__wvu_PrintTitles" vbProcedure="false">'US $'!$1:$5</definedName>
    <definedName function="false" hidden="false" localSheetId="18" name="Z_00D2C74A_B168_11D2_A84F_00805F2505DF__wvu_PrintArea" vbProcedure="false">'US $'!$A$120:$M$238</definedName>
    <definedName function="false" hidden="false" localSheetId="18" name="Z_00D2C74A_B168_11D2_A84F_00805F2505DF__wvu_PrintTitles" vbProcedure="false">'US $'!$1:$5</definedName>
    <definedName function="false" hidden="false" localSheetId="18" name="Z_0184384F_B93D_11D2_8444_00805F3629DE__wvu_PrintArea" vbProcedure="false">'US $'!$A$6:$R$39</definedName>
    <definedName function="false" hidden="false" localSheetId="18" name="Z_0184384F_B93D_11D2_8444_00805F3629DE__wvu_PrintTitles" vbProcedure="false">'US $'!$1:$5</definedName>
    <definedName function="false" hidden="false" localSheetId="18" name="Z_01843858_B93D_11D2_8444_00805F3629DE__wvu_PrintArea" vbProcedure="false">'US $'!$A$40:$AG$118</definedName>
    <definedName function="false" hidden="false" localSheetId="18" name="Z_01843858_B93D_11D2_8444_00805F3629DE__wvu_PrintTitles" vbProcedure="false">'US $'!$1:$5</definedName>
    <definedName function="false" hidden="false" localSheetId="18" name="Z_01843861_B93D_11D2_8444_00805F3629DE__wvu_PrintArea" vbProcedure="false">'US $'!$A$120:$M$238</definedName>
    <definedName function="false" hidden="false" localSheetId="18" name="Z_01843861_B93D_11D2_8444_00805F3629DE__wvu_PrintTitles" vbProcedure="false">'US $'!$1:$5</definedName>
    <definedName function="false" hidden="false" localSheetId="18" name="Z_02448BA8_88FA_11D2_B05A_00104B2CC235__wvu_PrintArea" vbProcedure="false">'US $'!$A$6:$R$39</definedName>
    <definedName function="false" hidden="false" localSheetId="18" name="Z_02448BA8_88FA_11D2_B05A_00104B2CC235__wvu_PrintTitles" vbProcedure="false">'US $'!$1:$5</definedName>
    <definedName function="false" hidden="false" localSheetId="18" name="Z_02448BB1_88FA_11D2_B05A_00104B2CC235__wvu_PrintArea" vbProcedure="false">'US $'!$A$40:$AG$118</definedName>
    <definedName function="false" hidden="false" localSheetId="18" name="Z_02448BB1_88FA_11D2_B05A_00104B2CC235__wvu_PrintTitles" vbProcedure="false">'US $'!$1:$5</definedName>
    <definedName function="false" hidden="false" localSheetId="18" name="Z_02448BBA_88FA_11D2_B05A_00104B2CC235__wvu_PrintArea" vbProcedure="false">'US $'!$A$120:$M$238</definedName>
    <definedName function="false" hidden="false" localSheetId="18" name="Z_02448BBA_88FA_11D2_B05A_00104B2CC235__wvu_PrintTitles" vbProcedure="false">'US $'!$1:$5</definedName>
    <definedName function="false" hidden="false" localSheetId="18" name="Z_0AC5A1F8_9EA7_11D2_A842_00805F2505DF__wvu_PrintArea" vbProcedure="false">'US $'!$A$6:$R$39</definedName>
    <definedName function="false" hidden="false" localSheetId="18" name="Z_0AC5A1F8_9EA7_11D2_A842_00805F2505DF__wvu_PrintTitles" vbProcedure="false">'US $'!$1:$5</definedName>
    <definedName function="false" hidden="false" localSheetId="18" name="Z_0AC5A201_9EA7_11D2_A842_00805F2505DF__wvu_PrintArea" vbProcedure="false">'US $'!$A$40:$AG$118</definedName>
    <definedName function="false" hidden="false" localSheetId="18" name="Z_0AC5A201_9EA7_11D2_A842_00805F2505DF__wvu_PrintTitles" vbProcedure="false">'US $'!$1:$5</definedName>
    <definedName function="false" hidden="false" localSheetId="18" name="Z_0AC5A20A_9EA7_11D2_A842_00805F2505DF__wvu_PrintArea" vbProcedure="false">'US $'!$A$120:$M$238</definedName>
    <definedName function="false" hidden="false" localSheetId="18" name="Z_0AC5A20A_9EA7_11D2_A842_00805F2505DF__wvu_PrintTitles" vbProcedure="false">'US $'!$1:$5</definedName>
    <definedName function="false" hidden="false" localSheetId="18" name="Z_37FD7BDF_ABC9_11D2_843C_00805F3629DE__wvu_PrintArea" vbProcedure="false">'US $'!$A$6:$R$39</definedName>
    <definedName function="false" hidden="false" localSheetId="18" name="Z_37FD7BDF_ABC9_11D2_843C_00805F3629DE__wvu_PrintTitles" vbProcedure="false">'US $'!$1:$5</definedName>
    <definedName function="false" hidden="false" localSheetId="18" name="Z_37FD7BE8_ABC9_11D2_843C_00805F3629DE__wvu_PrintArea" vbProcedure="false">'US $'!$A$40:$AG$118</definedName>
    <definedName function="false" hidden="false" localSheetId="18" name="Z_37FD7BE8_ABC9_11D2_843C_00805F3629DE__wvu_PrintTitles" vbProcedure="false">'US $'!$1:$5</definedName>
    <definedName function="false" hidden="false" localSheetId="18" name="Z_37FD7BF1_ABC9_11D2_843C_00805F3629DE__wvu_PrintArea" vbProcedure="false">'US $'!$A$120:$M$238</definedName>
    <definedName function="false" hidden="false" localSheetId="18" name="Z_37FD7BF1_ABC9_11D2_843C_00805F3629DE__wvu_PrintTitles" vbProcedure="false">'US $'!$1:$5</definedName>
    <definedName function="false" hidden="false" localSheetId="18" name="Z_383AC42C_A3FF_11D2_A845_00805F2505DF__wvu_PrintArea" vbProcedure="false">'US $'!$A$6:$R$39</definedName>
    <definedName function="false" hidden="false" localSheetId="18" name="Z_383AC42C_A3FF_11D2_A845_00805F2505DF__wvu_PrintTitles" vbProcedure="false">'US $'!$1:$5</definedName>
    <definedName function="false" hidden="false" localSheetId="18" name="Z_383AC435_A3FF_11D2_A845_00805F2505DF__wvu_PrintArea" vbProcedure="false">'US $'!$A$40:$AG$118</definedName>
    <definedName function="false" hidden="false" localSheetId="18" name="Z_383AC435_A3FF_11D2_A845_00805F2505DF__wvu_PrintTitles" vbProcedure="false">'US $'!$1:$5</definedName>
    <definedName function="false" hidden="false" localSheetId="18" name="Z_383AC43E_A3FF_11D2_A845_00805F2505DF__wvu_PrintArea" vbProcedure="false">'US $'!$A$120:$M$238</definedName>
    <definedName function="false" hidden="false" localSheetId="18" name="Z_383AC43E_A3FF_11D2_A845_00805F2505DF__wvu_PrintTitles" vbProcedure="false">'US $'!$1:$5</definedName>
    <definedName function="false" hidden="false" localSheetId="18" name="Z_4398CED8_B092_11D2_A84E_00805F2505DF__wvu_PrintArea" vbProcedure="false">'US $'!$A$6:$R$39</definedName>
    <definedName function="false" hidden="false" localSheetId="18" name="Z_4398CED8_B092_11D2_A84E_00805F2505DF__wvu_PrintTitles" vbProcedure="false">'US $'!$1:$5</definedName>
    <definedName function="false" hidden="false" localSheetId="18" name="Z_4398CEE1_B092_11D2_A84E_00805F2505DF__wvu_PrintArea" vbProcedure="false">'US $'!$A$40:$AG$118</definedName>
    <definedName function="false" hidden="false" localSheetId="18" name="Z_4398CEE1_B092_11D2_A84E_00805F2505DF__wvu_PrintTitles" vbProcedure="false">'US $'!$1:$5</definedName>
    <definedName function="false" hidden="false" localSheetId="18" name="Z_4398CEEA_B092_11D2_A84E_00805F2505DF__wvu_PrintArea" vbProcedure="false">'US $'!$A$120:$M$238</definedName>
    <definedName function="false" hidden="false" localSheetId="18" name="Z_4398CEEA_B092_11D2_A84E_00805F2505DF__wvu_PrintTitles" vbProcedure="false">'US $'!$1:$5</definedName>
    <definedName function="false" hidden="false" localSheetId="18" name="Z_535643C4_B9EE_11D2_A857_00805F2505DF__wvu_PrintArea" vbProcedure="false">'US $'!$A$6:$R$39</definedName>
    <definedName function="false" hidden="false" localSheetId="18" name="Z_535643C4_B9EE_11D2_A857_00805F2505DF__wvu_PrintTitles" vbProcedure="false">'US $'!$1:$5</definedName>
    <definedName function="false" hidden="false" localSheetId="18" name="Z_535643CD_B9EE_11D2_A857_00805F2505DF__wvu_PrintArea" vbProcedure="false">'US $'!$A$40:$AG$118</definedName>
    <definedName function="false" hidden="false" localSheetId="18" name="Z_535643CD_B9EE_11D2_A857_00805F2505DF__wvu_PrintTitles" vbProcedure="false">'US $'!$1:$5</definedName>
    <definedName function="false" hidden="false" localSheetId="18" name="Z_535643D6_B9EE_11D2_A857_00805F2505DF__wvu_PrintArea" vbProcedure="false">'US $'!$A$120:$M$238</definedName>
    <definedName function="false" hidden="false" localSheetId="18" name="Z_535643D6_B9EE_11D2_A857_00805F2505DF__wvu_PrintTitles" vbProcedure="false">'US $'!$1:$5</definedName>
    <definedName function="false" hidden="false" localSheetId="18" name="Z_70785CBE_A4C6_11D2_A845_00805F2505DF__wvu_PrintArea" vbProcedure="false">'US $'!$A$6:$R$39</definedName>
    <definedName function="false" hidden="false" localSheetId="18" name="Z_70785CBE_A4C6_11D2_A845_00805F2505DF__wvu_PrintTitles" vbProcedure="false">'US $'!$1:$5</definedName>
    <definedName function="false" hidden="false" localSheetId="18" name="Z_70785CC7_A4C6_11D2_A845_00805F2505DF__wvu_PrintArea" vbProcedure="false">'US $'!$A$40:$AG$118</definedName>
    <definedName function="false" hidden="false" localSheetId="18" name="Z_70785CC7_A4C6_11D2_A845_00805F2505DF__wvu_PrintTitles" vbProcedure="false">'US $'!$1:$5</definedName>
    <definedName function="false" hidden="false" localSheetId="18" name="Z_70785CD0_A4C6_11D2_A845_00805F2505DF__wvu_PrintArea" vbProcedure="false">'US $'!$A$120:$M$238</definedName>
    <definedName function="false" hidden="false" localSheetId="18" name="Z_70785CD0_A4C6_11D2_A845_00805F2505DF__wvu_PrintTitles" vbProcedure="false">'US $'!$1:$5</definedName>
    <definedName function="false" hidden="false" localSheetId="18" name="Z_76D54FAF_89F3_11D2_B05A_00104B2CC235__wvu_PrintArea" vbProcedure="false">'US $'!$A$6:$R$39</definedName>
    <definedName function="false" hidden="false" localSheetId="18" name="Z_76D54FAF_89F3_11D2_B05A_00104B2CC235__wvu_PrintTitles" vbProcedure="false">'US $'!$1:$5</definedName>
    <definedName function="false" hidden="false" localSheetId="18" name="Z_76D54FB8_89F3_11D2_B05A_00104B2CC235__wvu_PrintArea" vbProcedure="false">'US $'!$A$40:$AG$118</definedName>
    <definedName function="false" hidden="false" localSheetId="18" name="Z_76D54FB8_89F3_11D2_B05A_00104B2CC235__wvu_PrintTitles" vbProcedure="false">'US $'!$1:$5</definedName>
    <definedName function="false" hidden="false" localSheetId="18" name="Z_76D54FC1_89F3_11D2_B05A_00104B2CC235__wvu_PrintArea" vbProcedure="false">'US $'!$A$120:$M$238</definedName>
    <definedName function="false" hidden="false" localSheetId="18" name="Z_76D54FC1_89F3_11D2_B05A_00104B2CC235__wvu_PrintTitles" vbProcedure="false">'US $'!$1:$5</definedName>
    <definedName function="false" hidden="false" localSheetId="18" name="Z_7B7539F4_B7B8_11D2_A856_00805F2505DF__wvu_PrintArea" vbProcedure="false">'US $'!$A$6:$R$39</definedName>
    <definedName function="false" hidden="false" localSheetId="18" name="Z_7B7539F4_B7B8_11D2_A856_00805F2505DF__wvu_PrintTitles" vbProcedure="false">'US $'!$1:$5</definedName>
    <definedName function="false" hidden="false" localSheetId="18" name="Z_7B7539FD_B7B8_11D2_A856_00805F2505DF__wvu_PrintArea" vbProcedure="false">'US $'!$A$40:$AG$118</definedName>
    <definedName function="false" hidden="false" localSheetId="18" name="Z_7B7539FD_B7B8_11D2_A856_00805F2505DF__wvu_PrintTitles" vbProcedure="false">'US $'!$1:$5</definedName>
    <definedName function="false" hidden="false" localSheetId="18" name="Z_7B753A06_B7B8_11D2_A856_00805F2505DF__wvu_PrintArea" vbProcedure="false">'US $'!$A$120:$M$238</definedName>
    <definedName function="false" hidden="false" localSheetId="18" name="Z_7B753A06_B7B8_11D2_A856_00805F2505DF__wvu_PrintTitles" vbProcedure="false">'US $'!$1:$5</definedName>
    <definedName function="false" hidden="false" localSheetId="18" name="Z_7C160648_B226_11D2_A850_00805F2505DF__wvu_PrintArea" vbProcedure="false">'US $'!$A$6:$R$39</definedName>
    <definedName function="false" hidden="false" localSheetId="18" name="Z_7C160648_B226_11D2_A850_00805F2505DF__wvu_PrintTitles" vbProcedure="false">'US $'!$1:$5</definedName>
    <definedName function="false" hidden="false" localSheetId="18" name="Z_7C160651_B226_11D2_A850_00805F2505DF__wvu_PrintArea" vbProcedure="false">'US $'!$A$40:$AG$118</definedName>
    <definedName function="false" hidden="false" localSheetId="18" name="Z_7C160651_B226_11D2_A850_00805F2505DF__wvu_PrintTitles" vbProcedure="false">'US $'!$1:$5</definedName>
    <definedName function="false" hidden="false" localSheetId="18" name="Z_7C16065A_B226_11D2_A850_00805F2505DF__wvu_PrintArea" vbProcedure="false">'US $'!$A$120:$M$238</definedName>
    <definedName function="false" hidden="false" localSheetId="18" name="Z_7C16065A_B226_11D2_A850_00805F2505DF__wvu_PrintTitles" vbProcedure="false">'US $'!$1:$5</definedName>
    <definedName function="false" hidden="false" localSheetId="18" name="Z_8106BDB5_AA5F_11D2_A84B_00805F2505DF__wvu_PrintArea" vbProcedure="false">'US $'!$A$6:$R$39</definedName>
    <definedName function="false" hidden="false" localSheetId="18" name="Z_8106BDB5_AA5F_11D2_A84B_00805F2505DF__wvu_PrintTitles" vbProcedure="false">'US $'!$1:$5</definedName>
    <definedName function="false" hidden="false" localSheetId="18" name="Z_8106BDBE_AA5F_11D2_A84B_00805F2505DF__wvu_PrintArea" vbProcedure="false">'US $'!$A$40:$AG$118</definedName>
    <definedName function="false" hidden="false" localSheetId="18" name="Z_8106BDBE_AA5F_11D2_A84B_00805F2505DF__wvu_PrintTitles" vbProcedure="false">'US $'!$1:$5</definedName>
    <definedName function="false" hidden="false" localSheetId="18" name="Z_8106BDC7_AA5F_11D2_A84B_00805F2505DF__wvu_PrintArea" vbProcedure="false">'US $'!$A$120:$M$238</definedName>
    <definedName function="false" hidden="false" localSheetId="18" name="Z_8106BDC7_AA5F_11D2_A84B_00805F2505DF__wvu_PrintTitles" vbProcedure="false">'US $'!$1:$5</definedName>
    <definedName function="false" hidden="false" localSheetId="18" name="Z_90E3CCE7_A590_11D2_A845_00805F2505DF__wvu_PrintArea" vbProcedure="false">'US $'!$A$6:$R$39</definedName>
    <definedName function="false" hidden="false" localSheetId="18" name="Z_90E3CCE7_A590_11D2_A845_00805F2505DF__wvu_PrintTitles" vbProcedure="false">'US $'!$1:$5</definedName>
    <definedName function="false" hidden="false" localSheetId="18" name="Z_90E3CCF0_A590_11D2_A845_00805F2505DF__wvu_PrintArea" vbProcedure="false">'US $'!$A$40:$AG$118</definedName>
    <definedName function="false" hidden="false" localSheetId="18" name="Z_90E3CCF0_A590_11D2_A845_00805F2505DF__wvu_PrintTitles" vbProcedure="false">'US $'!$1:$5</definedName>
    <definedName function="false" hidden="false" localSheetId="18" name="Z_90E3CCF9_A590_11D2_A845_00805F2505DF__wvu_PrintArea" vbProcedure="false">'US $'!$A$120:$M$238</definedName>
    <definedName function="false" hidden="false" localSheetId="18" name="Z_90E3CCF9_A590_11D2_A845_00805F2505DF__wvu_PrintTitles" vbProcedure="false">'US $'!$1:$5</definedName>
    <definedName function="false" hidden="false" localSheetId="18" name="Z_9F5984AD_ADA0_11D2_A84C_00805F2505DF__wvu_PrintArea" vbProcedure="false">'US $'!$A$6:$R$39</definedName>
    <definedName function="false" hidden="false" localSheetId="18" name="Z_9F5984AD_ADA0_11D2_A84C_00805F2505DF__wvu_PrintTitles" vbProcedure="false">'US $'!$1:$5</definedName>
    <definedName function="false" hidden="false" localSheetId="18" name="Z_9F5984B6_ADA0_11D2_A84C_00805F2505DF__wvu_PrintArea" vbProcedure="false">'US $'!$A$40:$AG$118</definedName>
    <definedName function="false" hidden="false" localSheetId="18" name="Z_9F5984B6_ADA0_11D2_A84C_00805F2505DF__wvu_PrintTitles" vbProcedure="false">'US $'!$1:$5</definedName>
    <definedName function="false" hidden="false" localSheetId="18" name="Z_9F5984BF_ADA0_11D2_A84C_00805F2505DF__wvu_PrintArea" vbProcedure="false">'US $'!$A$120:$M$238</definedName>
    <definedName function="false" hidden="false" localSheetId="18" name="Z_9F5984BF_ADA0_11D2_A84C_00805F2505DF__wvu_PrintTitles" vbProcedure="false">'US $'!$1:$5</definedName>
    <definedName function="false" hidden="false" localSheetId="18" name="Z_AA002454_B62E_11D2_A853_00805F2505DF__wvu_PrintArea" vbProcedure="false">'US $'!$A$6:$R$39</definedName>
    <definedName function="false" hidden="false" localSheetId="18" name="Z_AA002454_B62E_11D2_A853_00805F2505DF__wvu_PrintTitles" vbProcedure="false">'US $'!$1:$5</definedName>
    <definedName function="false" hidden="false" localSheetId="18" name="Z_AA00245D_B62E_11D2_A853_00805F2505DF__wvu_PrintArea" vbProcedure="false">'US $'!$A$40:$AG$118</definedName>
    <definedName function="false" hidden="false" localSheetId="18" name="Z_AA00245D_B62E_11D2_A853_00805F2505DF__wvu_PrintTitles" vbProcedure="false">'US $'!$1:$5</definedName>
    <definedName function="false" hidden="false" localSheetId="18" name="Z_AA002466_B62E_11D2_A853_00805F2505DF__wvu_PrintArea" vbProcedure="false">'US $'!$A$120:$M$238</definedName>
    <definedName function="false" hidden="false" localSheetId="18" name="Z_AA002466_B62E_11D2_A853_00805F2505DF__wvu_PrintTitles" vbProcedure="false">'US $'!$1:$5</definedName>
    <definedName function="false" hidden="false" localSheetId="18" name="Z_AA0024B2_B62E_11D2_A853_00805F2505DF__wvu_PrintArea" vbProcedure="false">'US $'!$A$6:$R$39</definedName>
    <definedName function="false" hidden="false" localSheetId="18" name="Z_AA0024B2_B62E_11D2_A853_00805F2505DF__wvu_PrintTitles" vbProcedure="false">'US $'!$1:$5</definedName>
    <definedName function="false" hidden="false" localSheetId="18" name="Z_AA0024BB_B62E_11D2_A853_00805F2505DF__wvu_PrintArea" vbProcedure="false">'US $'!$A$40:$AG$118</definedName>
    <definedName function="false" hidden="false" localSheetId="18" name="Z_AA0024BB_B62E_11D2_A853_00805F2505DF__wvu_PrintTitles" vbProcedure="false">'US $'!$1:$5</definedName>
    <definedName function="false" hidden="false" localSheetId="18" name="Z_AA0024C4_B62E_11D2_A853_00805F2505DF__wvu_PrintArea" vbProcedure="false">'US $'!$A$120:$M$238</definedName>
    <definedName function="false" hidden="false" localSheetId="18" name="Z_AA0024C4_B62E_11D2_A853_00805F2505DF__wvu_PrintTitles" vbProcedure="false">'US $'!$1:$5</definedName>
    <definedName function="false" hidden="false" localSheetId="18" name="Z_B2298A99_9F4B_11D2_A842_00805F2505DF__wvu_PrintArea" vbProcedure="false">'US $'!$A$6:$R$39</definedName>
    <definedName function="false" hidden="false" localSheetId="18" name="Z_B2298A99_9F4B_11D2_A842_00805F2505DF__wvu_PrintTitles" vbProcedure="false">'US $'!$1:$5</definedName>
    <definedName function="false" hidden="false" localSheetId="18" name="Z_B2298AA2_9F4B_11D2_A842_00805F2505DF__wvu_PrintArea" vbProcedure="false">'US $'!$A$40:$AG$118</definedName>
    <definedName function="false" hidden="false" localSheetId="18" name="Z_B2298AA2_9F4B_11D2_A842_00805F2505DF__wvu_PrintTitles" vbProcedure="false">'US $'!$1:$5</definedName>
    <definedName function="false" hidden="false" localSheetId="18" name="Z_B2298AAB_9F4B_11D2_A842_00805F2505DF__wvu_PrintArea" vbProcedure="false">'US $'!$A$120:$M$238</definedName>
    <definedName function="false" hidden="false" localSheetId="18" name="Z_B2298AAB_9F4B_11D2_A842_00805F2505DF__wvu_PrintTitles" vbProcedure="false">'US $'!$1:$5</definedName>
    <definedName function="false" hidden="false" localSheetId="18" name="Z_B2F7E2CA_7FBD_11D2_A836_00805F2505DF__wvu_PrintArea" vbProcedure="false">'US $'!$A$6:$R$39</definedName>
    <definedName function="false" hidden="false" localSheetId="18" name="Z_B2F7E2CA_7FBD_11D2_A836_00805F2505DF__wvu_PrintTitles" vbProcedure="false">'US $'!$1:$5</definedName>
    <definedName function="false" hidden="false" localSheetId="18" name="Z_B2F7E2D3_7FBD_11D2_A836_00805F2505DF__wvu_PrintArea" vbProcedure="false">'US $'!$A$40:$AG$118</definedName>
    <definedName function="false" hidden="false" localSheetId="18" name="Z_B2F7E2D3_7FBD_11D2_A836_00805F2505DF__wvu_PrintTitles" vbProcedure="false">'US $'!$1:$5</definedName>
    <definedName function="false" hidden="false" localSheetId="18" name="Z_B2F7E2DC_7FBD_11D2_A836_00805F2505DF__wvu_PrintArea" vbProcedure="false">'US $'!$A$120:$M$238</definedName>
    <definedName function="false" hidden="false" localSheetId="18" name="Z_B2F7E2DC_7FBD_11D2_A836_00805F2505DF__wvu_PrintTitles" vbProcedure="false">'US $'!$1:$5</definedName>
    <definedName function="false" hidden="false" localSheetId="18" name="Z_CAE48B08_AFF0_11D2_A84D_00805F2505DF__wvu_PrintArea" vbProcedure="false">'US $'!$A$6:$R$39</definedName>
    <definedName function="false" hidden="false" localSheetId="18" name="Z_CAE48B08_AFF0_11D2_A84D_00805F2505DF__wvu_PrintTitles" vbProcedure="false">'US $'!$1:$5</definedName>
    <definedName function="false" hidden="false" localSheetId="18" name="Z_CAE48B11_AFF0_11D2_A84D_00805F2505DF__wvu_PrintArea" vbProcedure="false">'US $'!$A$40:$AG$118</definedName>
    <definedName function="false" hidden="false" localSheetId="18" name="Z_CAE48B11_AFF0_11D2_A84D_00805F2505DF__wvu_PrintTitles" vbProcedure="false">'US $'!$1:$5</definedName>
    <definedName function="false" hidden="false" localSheetId="18" name="Z_CAE48B1A_AFF0_11D2_A84D_00805F2505DF__wvu_PrintArea" vbProcedure="false">'US $'!$A$120:$M$238</definedName>
    <definedName function="false" hidden="false" localSheetId="18" name="Z_CAE48B1A_AFF0_11D2_A84D_00805F2505DF__wvu_PrintTitles" vbProcedure="false">'US $'!$1:$5</definedName>
    <definedName function="false" hidden="false" localSheetId="18" name="Z_CC3965D0_A99C_11D2_A84A_00805F2505DF__wvu_PrintArea" vbProcedure="false">'US $'!$A$6:$R$39</definedName>
    <definedName function="false" hidden="false" localSheetId="18" name="Z_CC3965D0_A99C_11D2_A84A_00805F2505DF__wvu_PrintTitles" vbProcedure="false">'US $'!$1:$5</definedName>
    <definedName function="false" hidden="false" localSheetId="18" name="Z_CC3965D9_A99C_11D2_A84A_00805F2505DF__wvu_PrintArea" vbProcedure="false">'US $'!$A$40:$AG$118</definedName>
    <definedName function="false" hidden="false" localSheetId="18" name="Z_CC3965D9_A99C_11D2_A84A_00805F2505DF__wvu_PrintTitles" vbProcedure="false">'US $'!$1:$5</definedName>
    <definedName function="false" hidden="false" localSheetId="18" name="Z_CC3965E2_A99C_11D2_A84A_00805F2505DF__wvu_PrintArea" vbProcedure="false">'US $'!$A$120:$M$238</definedName>
    <definedName function="false" hidden="false" localSheetId="18" name="Z_CC3965E2_A99C_11D2_A84A_00805F2505DF__wvu_PrintTitles" vbProcedure="false">'US $'!$1:$5</definedName>
    <definedName function="false" hidden="false" localSheetId="18" name="Z_D4AB6C10_AB0F_11D2_A84C_00805F2505DF__wvu_PrintArea" vbProcedure="false">'US $'!$A$6:$R$39</definedName>
    <definedName function="false" hidden="false" localSheetId="18" name="Z_D4AB6C10_AB0F_11D2_A84C_00805F2505DF__wvu_PrintTitles" vbProcedure="false">'US $'!$1:$5</definedName>
    <definedName function="false" hidden="false" localSheetId="18" name="Z_D4AB6C19_AB0F_11D2_A84C_00805F2505DF__wvu_PrintArea" vbProcedure="false">'US $'!$A$40:$AG$118</definedName>
    <definedName function="false" hidden="false" localSheetId="18" name="Z_D4AB6C19_AB0F_11D2_A84C_00805F2505DF__wvu_PrintTitles" vbProcedure="false">'US $'!$1:$5</definedName>
    <definedName function="false" hidden="false" localSheetId="18" name="Z_D4AB6C22_AB0F_11D2_A84C_00805F2505DF__wvu_PrintArea" vbProcedure="false">'US $'!$A$120:$M$238</definedName>
    <definedName function="false" hidden="false" localSheetId="18" name="Z_D4AB6C22_AB0F_11D2_A84C_00805F2505DF__wvu_PrintTitles" vbProcedure="false">'US $'!$1:$5</definedName>
    <definedName function="false" hidden="false" localSheetId="18" name="Z_D4AB6C69_AB0F_11D2_A84C_00805F2505DF__wvu_PrintArea" vbProcedure="false">'US $'!$A$6:$R$39</definedName>
    <definedName function="false" hidden="false" localSheetId="18" name="Z_D4AB6C69_AB0F_11D2_A84C_00805F2505DF__wvu_PrintTitles" vbProcedure="false">'US $'!$1:$5</definedName>
    <definedName function="false" hidden="false" localSheetId="18" name="Z_D4AB6C72_AB0F_11D2_A84C_00805F2505DF__wvu_PrintArea" vbProcedure="false">'US $'!$A$40:$AG$118</definedName>
    <definedName function="false" hidden="false" localSheetId="18" name="Z_D4AB6C72_AB0F_11D2_A84C_00805F2505DF__wvu_PrintTitles" vbProcedure="false">'US $'!$1:$5</definedName>
    <definedName function="false" hidden="false" localSheetId="18" name="Z_D4AB6C7B_AB0F_11D2_A84C_00805F2505DF__wvu_PrintArea" vbProcedure="false">'US $'!$A$120:$M$238</definedName>
    <definedName function="false" hidden="false" localSheetId="18" name="Z_D4AB6C7B_AB0F_11D2_A84C_00805F2505DF__wvu_PrintTitles" vbProcedure="false">'US $'!$1:$5</definedName>
    <definedName function="false" hidden="false" localSheetId="18" name="Z_E05B5127_A672_11D2_A848_00805F2505DF__wvu_PrintArea" vbProcedure="false">'US $'!$A$6:$R$39</definedName>
    <definedName function="false" hidden="false" localSheetId="18" name="Z_E05B5127_A672_11D2_A848_00805F2505DF__wvu_PrintTitles" vbProcedure="false">'US $'!$1:$5</definedName>
    <definedName function="false" hidden="false" localSheetId="18" name="Z_E05B5130_A672_11D2_A848_00805F2505DF__wvu_PrintArea" vbProcedure="false">'US $'!$A$40:$AG$118</definedName>
    <definedName function="false" hidden="false" localSheetId="18" name="Z_E05B5130_A672_11D2_A848_00805F2505DF__wvu_PrintTitles" vbProcedure="false">'US $'!$1:$5</definedName>
    <definedName function="false" hidden="false" localSheetId="18" name="Z_E05B5139_A672_11D2_A848_00805F2505DF__wvu_PrintArea" vbProcedure="false">'US $'!$A$120:$M$238</definedName>
    <definedName function="false" hidden="false" localSheetId="18" name="Z_E05B5139_A672_11D2_A848_00805F2505DF__wvu_PrintTitles" vbProcedure="false">'US $'!$1:$5</definedName>
    <definedName function="false" hidden="false" localSheetId="18" name="Z_F60B7B7E_B470_11D2_A851_00805F2505DF__wvu_PrintArea" vbProcedure="false">'US $'!$A$6:$R$39</definedName>
    <definedName function="false" hidden="false" localSheetId="18" name="Z_F60B7B7E_B470_11D2_A851_00805F2505DF__wvu_PrintTitles" vbProcedure="false">'US $'!$1:$5</definedName>
    <definedName function="false" hidden="false" localSheetId="18" name="Z_F60B7B87_B470_11D2_A851_00805F2505DF__wvu_PrintArea" vbProcedure="false">'US $'!$A$40:$AG$118</definedName>
    <definedName function="false" hidden="false" localSheetId="18" name="Z_F60B7B87_B470_11D2_A851_00805F2505DF__wvu_PrintTitles" vbProcedure="false">'US $'!$1:$5</definedName>
    <definedName function="false" hidden="false" localSheetId="18" name="Z_F60B7B90_B470_11D2_A851_00805F2505DF__wvu_PrintArea" vbProcedure="false">'US $'!$A$120:$M$238</definedName>
    <definedName function="false" hidden="false" localSheetId="18" name="Z_F60B7B90_B470_11D2_A851_00805F2505DF__wvu_PrintTitles" vbProcedure="false">'US $'!$1:$5</definedName>
    <definedName function="false" hidden="false" localSheetId="18" name="Z_F60B7BE3_B470_11D2_A851_00805F2505DF__wvu_PrintArea" vbProcedure="false">'US $'!$A$6:$R$39</definedName>
    <definedName function="false" hidden="false" localSheetId="18" name="Z_F60B7BE3_B470_11D2_A851_00805F2505DF__wvu_PrintTitles" vbProcedure="false">'US $'!$1:$5</definedName>
    <definedName function="false" hidden="false" localSheetId="18" name="Z_F60B7BEC_B470_11D2_A851_00805F2505DF__wvu_PrintArea" vbProcedure="false">'US $'!$A$40:$AG$118</definedName>
    <definedName function="false" hidden="false" localSheetId="18" name="Z_F60B7BEC_B470_11D2_A851_00805F2505DF__wvu_PrintTitles" vbProcedure="false">'US $'!$1:$5</definedName>
    <definedName function="false" hidden="false" localSheetId="18" name="Z_F60B7BF5_B470_11D2_A851_00805F2505DF__wvu_PrintArea" vbProcedure="false">'US $'!$A$120:$M$238</definedName>
    <definedName function="false" hidden="false" localSheetId="18" name="Z_F60B7BF5_B470_11D2_A851_00805F2505DF__wvu_PrintTitles" vbProcedure="false">'US $'!$1:$5</definedName>
    <definedName function="false" hidden="false" localSheetId="18" name="Z_F947EA30_ABF3_11D2_A84C_00805F2505DF__wvu_PrintArea" vbProcedure="false">'US $'!$A$6:$R$39</definedName>
    <definedName function="false" hidden="false" localSheetId="18" name="Z_F947EA30_ABF3_11D2_A84C_00805F2505DF__wvu_PrintTitles" vbProcedure="false">'US $'!$1:$5</definedName>
    <definedName function="false" hidden="false" localSheetId="18" name="Z_F947EA39_ABF3_11D2_A84C_00805F2505DF__wvu_PrintArea" vbProcedure="false">'US $'!$A$40:$AG$118</definedName>
    <definedName function="false" hidden="false" localSheetId="18" name="Z_F947EA39_ABF3_11D2_A84C_00805F2505DF__wvu_PrintTitles" vbProcedure="false">'US $'!$1:$5</definedName>
    <definedName function="false" hidden="false" localSheetId="18" name="Z_F947EA42_ABF3_11D2_A84C_00805F2505DF__wvu_PrintArea" vbProcedure="false">'US $'!$A$120:$M$238</definedName>
    <definedName function="false" hidden="false" localSheetId="18" name="Z_F947EA42_ABF3_11D2_A84C_00805F2505DF__wvu_PrintTitles" vbProcedure="false">'US $'!$1:$5</definedName>
    <definedName function="false" hidden="false" localSheetId="19" name="_Order1" vbProcedure="false">255</definedName>
    <definedName function="false" hidden="false" localSheetId="19" name="_Order2" vbProcedure="false">255</definedName>
    <definedName function="false" hidden="false" localSheetId="20" name="ACwvu_BookBal_" vbProcedure="false">'Price - East '!$A$6:$R$40</definedName>
    <definedName function="false" hidden="false" localSheetId="20" name="ACwvu_DailyChange_" vbProcedure="false">'Price - East '!$A$41:$AG$118</definedName>
    <definedName function="false" hidden="false" localSheetId="20" name="ACwvu_Schedules_" vbProcedure="false">'Price - East '!$A$121:$M$239</definedName>
    <definedName function="false" hidden="false" localSheetId="20" name="Swvu_BookBal_" vbProcedure="false">'Price - East '!$A$6:$R$40</definedName>
    <definedName function="false" hidden="false" localSheetId="20" name="Swvu_DailyChange_" vbProcedure="false">'Price - East '!$A$41:$AG$118</definedName>
    <definedName function="false" hidden="false" localSheetId="20" name="Swvu_Schedules_" vbProcedure="false">'Price - East '!$A$121:$M$239</definedName>
    <definedName function="false" hidden="false" localSheetId="20" name="wrn_RollDetail_" vbProcedure="false">{"BookBal",#N/A,FALSE,"Roll-1";"DailyChange",#N/A,FALSE,"Roll-1";"Schedules",#N/A,FALSE,"Roll-1"}</definedName>
    <definedName function="false" hidden="false" localSheetId="20" name="wvu_BookBal_" vbProcedure="false">{TRUE,TRUE,-1.25,-15.5,484.5,276.75,FALSE,TRUE,TRUE,TRUE,0,15,#N/A,18,#N/A,7.70512820512821,24.2307692307692,1,FALSE,FALSE,3,TRUE,1,FALSE,75,"Swvu.BookBal.","ACwvu.BookBal.",#N/A,FALSE,FALSE,0.25,0.25,0.25,0.25,2,"","&amp;L&amp;""Times New Roman,Italic""&amp;A/&amp;F  Prepared By: S. Mills (x3548)&amp;C&amp;""Times New Roman,Italic""Page 1 of 3&amp;R&amp;""Times New Roman,Italic""&amp;D &amp;T",TRUE,FALSE,FALSE,FALSE,1,#N/A,1,1,"=R6C1:R39C18","=R1:R5",#N/A,#N/A,FALSE,FALSE,FALSE,5,65532,65532,FALSE,FALSE,TRUE,TRUE,TRUE}</definedName>
    <definedName function="false" hidden="false" localSheetId="20" name="wvu_DailyChange_" vbProcedure="false">{TRUE,TRUE,-1.25,-15.5,484.5,276.75,FALSE,TRUE,TRUE,TRUE,0,1,#N/A,40,#N/A,7.1025641025641,24.2307692307692,1,FALSE,FALSE,3,TRUE,1,FALSE,75,"Swvu.DailyChange.","ACwvu.DailyChange.",#N/A,FALSE,FALSE,0.25,0.25,0.25,0.25,2,"","&amp;L&amp;""Times New Roman,Italic""&amp;A/&amp;F  Prepared By: S. Mills (x3548)&amp;C&amp;""Times New Roman,Italic""Page 2 of 3&amp;R&amp;""Times New Roman,Italic""&amp;D &amp;T",TRUE,FALSE,FALSE,FALSE,1,#N/A,1,1,"=R40C1:R118C33","=R1:R5",#N/A,#N/A,FALSE,FALSE,FALSE,5,65532,65532,FALSE,FALSE,TRUE,TRUE,TRUE}</definedName>
    <definedName function="false" hidden="false" localSheetId="20" name="wvu_Schedules_" vbProcedure="false">{TRUE,TRUE,-1.25,-15.5,484.5,276.75,FALSE,TRUE,TRUE,TRUE,0,1,#N/A,120,#N/A,7.1025641025641,24.2307692307692,1,FALSE,FALSE,3,TRUE,1,FALSE,75,"Swvu.Schedules.","ACwvu.Schedules.",#N/A,FALSE,FALSE,0.25,0.25,0.25,0.25,2,"","&amp;L&amp;""Times New Roman,Italic""&amp;A/&amp;F  Prepared By: S. Mills (x3548)&amp;C&amp;""Times New Roman,Italic""Page 3 of 3&amp;R&amp;""Times New Roman,Italic""&amp;D &amp;T",TRUE,FALSE,FALSE,FALSE,1,#N/A,1,1,"=R120C1:R238C13","=R1:R5",#N/A,#N/A,FALSE,FALSE,FALSE,5,65532,65532,FALSE,FALSE,TRUE,TRUE,TRUE}</definedName>
    <definedName function="false" hidden="false" localSheetId="20" name="Z_00D2C732_B168_11D2_A84F_00805F2505DF__wvu_PrintArea" vbProcedure="false">'Price - East '!$A$6:$R$39</definedName>
    <definedName function="false" hidden="false" localSheetId="20" name="Z_00D2C732_B168_11D2_A84F_00805F2505DF__wvu_PrintTitles" vbProcedure="false">'Price - East '!$1:$5</definedName>
    <definedName function="false" hidden="false" localSheetId="20" name="Z_00D2C73B_B168_11D2_A84F_00805F2505DF__wvu_PrintArea" vbProcedure="false">'Price - East '!$A$40:$AG$118</definedName>
    <definedName function="false" hidden="false" localSheetId="20" name="Z_00D2C73B_B168_11D2_A84F_00805F2505DF__wvu_PrintTitles" vbProcedure="false">'Price - East '!$1:$5</definedName>
    <definedName function="false" hidden="false" localSheetId="20" name="Z_00D2C744_B168_11D2_A84F_00805F2505DF__wvu_PrintArea" vbProcedure="false">'Price - East '!$A$120:$M$238</definedName>
    <definedName function="false" hidden="false" localSheetId="20" name="Z_00D2C744_B168_11D2_A84F_00805F2505DF__wvu_PrintTitles" vbProcedure="false">'Price - East '!$1:$5</definedName>
    <definedName function="false" hidden="false" localSheetId="20" name="Z_01843849_B93D_11D2_8444_00805F3629DE__wvu_PrintArea" vbProcedure="false">'Price - East '!$A$6:$R$39</definedName>
    <definedName function="false" hidden="false" localSheetId="20" name="Z_01843849_B93D_11D2_8444_00805F3629DE__wvu_PrintTitles" vbProcedure="false">'Price - East '!$1:$5</definedName>
    <definedName function="false" hidden="false" localSheetId="20" name="Z_01843852_B93D_11D2_8444_00805F3629DE__wvu_PrintArea" vbProcedure="false">'Price - East '!$A$40:$AG$118</definedName>
    <definedName function="false" hidden="false" localSheetId="20" name="Z_01843852_B93D_11D2_8444_00805F3629DE__wvu_PrintTitles" vbProcedure="false">'Price - East '!$1:$5</definedName>
    <definedName function="false" hidden="false" localSheetId="20" name="Z_0184385B_B93D_11D2_8444_00805F3629DE__wvu_PrintArea" vbProcedure="false">'Price - East '!$A$120:$M$238</definedName>
    <definedName function="false" hidden="false" localSheetId="20" name="Z_0184385B_B93D_11D2_8444_00805F3629DE__wvu_PrintTitles" vbProcedure="false">'Price - East '!$1:$5</definedName>
    <definedName function="false" hidden="false" localSheetId="20" name="Z_02448BA2_88FA_11D2_B05A_00104B2CC235__wvu_PrintArea" vbProcedure="false">'Price - East '!$A$6:$R$39</definedName>
    <definedName function="false" hidden="false" localSheetId="20" name="Z_02448BA2_88FA_11D2_B05A_00104B2CC235__wvu_PrintTitles" vbProcedure="false">'Price - East '!$1:$5</definedName>
    <definedName function="false" hidden="false" localSheetId="20" name="Z_02448BAB_88FA_11D2_B05A_00104B2CC235__wvu_PrintArea" vbProcedure="false">'Price - East '!$A$40:$AG$118</definedName>
    <definedName function="false" hidden="false" localSheetId="20" name="Z_02448BAB_88FA_11D2_B05A_00104B2CC235__wvu_PrintTitles" vbProcedure="false">'Price - East '!$1:$5</definedName>
    <definedName function="false" hidden="false" localSheetId="20" name="Z_02448BB4_88FA_11D2_B05A_00104B2CC235__wvu_PrintArea" vbProcedure="false">'Price - East '!$A$120:$M$238</definedName>
    <definedName function="false" hidden="false" localSheetId="20" name="Z_02448BB4_88FA_11D2_B05A_00104B2CC235__wvu_PrintTitles" vbProcedure="false">'Price - East '!$1:$5</definedName>
    <definedName function="false" hidden="false" localSheetId="20" name="Z_0AC5A1F2_9EA7_11D2_A842_00805F2505DF__wvu_PrintArea" vbProcedure="false">'Price - East '!$A$6:$R$39</definedName>
    <definedName function="false" hidden="false" localSheetId="20" name="Z_0AC5A1F2_9EA7_11D2_A842_00805F2505DF__wvu_PrintTitles" vbProcedure="false">'Price - East '!$1:$5</definedName>
    <definedName function="false" hidden="false" localSheetId="20" name="Z_0AC5A1FB_9EA7_11D2_A842_00805F2505DF__wvu_PrintArea" vbProcedure="false">'Price - East '!$A$40:$AG$118</definedName>
    <definedName function="false" hidden="false" localSheetId="20" name="Z_0AC5A1FB_9EA7_11D2_A842_00805F2505DF__wvu_PrintTitles" vbProcedure="false">'Price - East '!$1:$5</definedName>
    <definedName function="false" hidden="false" localSheetId="20" name="Z_0AC5A204_9EA7_11D2_A842_00805F2505DF__wvu_PrintArea" vbProcedure="false">'Price - East '!$A$120:$M$238</definedName>
    <definedName function="false" hidden="false" localSheetId="20" name="Z_0AC5A204_9EA7_11D2_A842_00805F2505DF__wvu_PrintTitles" vbProcedure="false">'Price - East '!$1:$5</definedName>
    <definedName function="false" hidden="false" localSheetId="20" name="Z_37FD7BD9_ABC9_11D2_843C_00805F3629DE__wvu_PrintArea" vbProcedure="false">'Price - East '!$A$6:$R$39</definedName>
    <definedName function="false" hidden="false" localSheetId="20" name="Z_37FD7BD9_ABC9_11D2_843C_00805F3629DE__wvu_PrintTitles" vbProcedure="false">'Price - East '!$1:$5</definedName>
    <definedName function="false" hidden="false" localSheetId="20" name="Z_37FD7BE2_ABC9_11D2_843C_00805F3629DE__wvu_PrintArea" vbProcedure="false">'Price - East '!$A$40:$AG$118</definedName>
    <definedName function="false" hidden="false" localSheetId="20" name="Z_37FD7BE2_ABC9_11D2_843C_00805F3629DE__wvu_PrintTitles" vbProcedure="false">'Price - East '!$1:$5</definedName>
    <definedName function="false" hidden="false" localSheetId="20" name="Z_37FD7BEB_ABC9_11D2_843C_00805F3629DE__wvu_PrintArea" vbProcedure="false">'Price - East '!$A$120:$M$238</definedName>
    <definedName function="false" hidden="false" localSheetId="20" name="Z_37FD7BEB_ABC9_11D2_843C_00805F3629DE__wvu_PrintTitles" vbProcedure="false">'Price - East '!$1:$5</definedName>
    <definedName function="false" hidden="false" localSheetId="20" name="Z_383AC426_A3FF_11D2_A845_00805F2505DF__wvu_PrintArea" vbProcedure="false">'Price - East '!$A$6:$R$39</definedName>
    <definedName function="false" hidden="false" localSheetId="20" name="Z_383AC426_A3FF_11D2_A845_00805F2505DF__wvu_PrintTitles" vbProcedure="false">'Price - East '!$1:$5</definedName>
    <definedName function="false" hidden="false" localSheetId="20" name="Z_383AC42F_A3FF_11D2_A845_00805F2505DF__wvu_PrintArea" vbProcedure="false">'Price - East '!$A$40:$AG$118</definedName>
    <definedName function="false" hidden="false" localSheetId="20" name="Z_383AC42F_A3FF_11D2_A845_00805F2505DF__wvu_PrintTitles" vbProcedure="false">'Price - East '!$1:$5</definedName>
    <definedName function="false" hidden="false" localSheetId="20" name="Z_383AC438_A3FF_11D2_A845_00805F2505DF__wvu_PrintArea" vbProcedure="false">'Price - East '!$A$120:$M$238</definedName>
    <definedName function="false" hidden="false" localSheetId="20" name="Z_383AC438_A3FF_11D2_A845_00805F2505DF__wvu_PrintTitles" vbProcedure="false">'Price - East '!$1:$5</definedName>
    <definedName function="false" hidden="false" localSheetId="20" name="Z_4398CED2_B092_11D2_A84E_00805F2505DF__wvu_PrintArea" vbProcedure="false">'Price - East '!$A$6:$R$39</definedName>
    <definedName function="false" hidden="false" localSheetId="20" name="Z_4398CED2_B092_11D2_A84E_00805F2505DF__wvu_PrintTitles" vbProcedure="false">'Price - East '!$1:$5</definedName>
    <definedName function="false" hidden="false" localSheetId="20" name="Z_4398CEDB_B092_11D2_A84E_00805F2505DF__wvu_PrintArea" vbProcedure="false">'Price - East '!$A$40:$AG$118</definedName>
    <definedName function="false" hidden="false" localSheetId="20" name="Z_4398CEDB_B092_11D2_A84E_00805F2505DF__wvu_PrintTitles" vbProcedure="false">'Price - East '!$1:$5</definedName>
    <definedName function="false" hidden="false" localSheetId="20" name="Z_4398CEE4_B092_11D2_A84E_00805F2505DF__wvu_PrintArea" vbProcedure="false">'Price - East '!$A$120:$M$238</definedName>
    <definedName function="false" hidden="false" localSheetId="20" name="Z_4398CEE4_B092_11D2_A84E_00805F2505DF__wvu_PrintTitles" vbProcedure="false">'Price - East '!$1:$5</definedName>
    <definedName function="false" hidden="false" localSheetId="20" name="Z_535643BE_B9EE_11D2_A857_00805F2505DF__wvu_PrintArea" vbProcedure="false">'Price - East '!$A$6:$R$39</definedName>
    <definedName function="false" hidden="false" localSheetId="20" name="Z_535643BE_B9EE_11D2_A857_00805F2505DF__wvu_PrintTitles" vbProcedure="false">'Price - East '!$1:$5</definedName>
    <definedName function="false" hidden="false" localSheetId="20" name="Z_535643C7_B9EE_11D2_A857_00805F2505DF__wvu_PrintArea" vbProcedure="false">'Price - East '!$A$40:$AG$118</definedName>
    <definedName function="false" hidden="false" localSheetId="20" name="Z_535643C7_B9EE_11D2_A857_00805F2505DF__wvu_PrintTitles" vbProcedure="false">'Price - East '!$1:$5</definedName>
    <definedName function="false" hidden="false" localSheetId="20" name="Z_535643D0_B9EE_11D2_A857_00805F2505DF__wvu_PrintArea" vbProcedure="false">'Price - East '!$A$120:$M$238</definedName>
    <definedName function="false" hidden="false" localSheetId="20" name="Z_535643D0_B9EE_11D2_A857_00805F2505DF__wvu_PrintTitles" vbProcedure="false">'Price - East '!$1:$5</definedName>
    <definedName function="false" hidden="false" localSheetId="20" name="Z_70785CB8_A4C6_11D2_A845_00805F2505DF__wvu_PrintArea" vbProcedure="false">'Price - East '!$A$6:$R$39</definedName>
    <definedName function="false" hidden="false" localSheetId="20" name="Z_70785CB8_A4C6_11D2_A845_00805F2505DF__wvu_PrintTitles" vbProcedure="false">'Price - East '!$1:$5</definedName>
    <definedName function="false" hidden="false" localSheetId="20" name="Z_70785CC1_A4C6_11D2_A845_00805F2505DF__wvu_PrintArea" vbProcedure="false">'Price - East '!$A$40:$AG$118</definedName>
    <definedName function="false" hidden="false" localSheetId="20" name="Z_70785CC1_A4C6_11D2_A845_00805F2505DF__wvu_PrintTitles" vbProcedure="false">'Price - East '!$1:$5</definedName>
    <definedName function="false" hidden="false" localSheetId="20" name="Z_70785CCA_A4C6_11D2_A845_00805F2505DF__wvu_PrintArea" vbProcedure="false">'Price - East '!$A$120:$M$238</definedName>
    <definedName function="false" hidden="false" localSheetId="20" name="Z_70785CCA_A4C6_11D2_A845_00805F2505DF__wvu_PrintTitles" vbProcedure="false">'Price - East '!$1:$5</definedName>
    <definedName function="false" hidden="false" localSheetId="20" name="Z_76D54FA9_89F3_11D2_B05A_00104B2CC235__wvu_PrintArea" vbProcedure="false">'Price - East '!$A$6:$R$39</definedName>
    <definedName function="false" hidden="false" localSheetId="20" name="Z_76D54FA9_89F3_11D2_B05A_00104B2CC235__wvu_PrintTitles" vbProcedure="false">'Price - East '!$1:$5</definedName>
    <definedName function="false" hidden="false" localSheetId="20" name="Z_76D54FB2_89F3_11D2_B05A_00104B2CC235__wvu_PrintArea" vbProcedure="false">'Price - East '!$A$40:$AG$118</definedName>
    <definedName function="false" hidden="false" localSheetId="20" name="Z_76D54FB2_89F3_11D2_B05A_00104B2CC235__wvu_PrintTitles" vbProcedure="false">'Price - East '!$1:$5</definedName>
    <definedName function="false" hidden="false" localSheetId="20" name="Z_76D54FBB_89F3_11D2_B05A_00104B2CC235__wvu_PrintArea" vbProcedure="false">'Price - East '!$A$120:$M$238</definedName>
    <definedName function="false" hidden="false" localSheetId="20" name="Z_76D54FBB_89F3_11D2_B05A_00104B2CC235__wvu_PrintTitles" vbProcedure="false">'Price - East '!$1:$5</definedName>
    <definedName function="false" hidden="false" localSheetId="20" name="Z_7B7539EE_B7B8_11D2_A856_00805F2505DF__wvu_PrintArea" vbProcedure="false">'Price - East '!$A$6:$R$39</definedName>
    <definedName function="false" hidden="false" localSheetId="20" name="Z_7B7539EE_B7B8_11D2_A856_00805F2505DF__wvu_PrintTitles" vbProcedure="false">'Price - East '!$1:$5</definedName>
    <definedName function="false" hidden="false" localSheetId="20" name="Z_7B7539F7_B7B8_11D2_A856_00805F2505DF__wvu_PrintArea" vbProcedure="false">'Price - East '!$A$40:$AG$118</definedName>
    <definedName function="false" hidden="false" localSheetId="20" name="Z_7B7539F7_B7B8_11D2_A856_00805F2505DF__wvu_PrintTitles" vbProcedure="false">'Price - East '!$1:$5</definedName>
    <definedName function="false" hidden="false" localSheetId="20" name="Z_7B753A00_B7B8_11D2_A856_00805F2505DF__wvu_PrintArea" vbProcedure="false">'Price - East '!$A$120:$M$238</definedName>
    <definedName function="false" hidden="false" localSheetId="20" name="Z_7B753A00_B7B8_11D2_A856_00805F2505DF__wvu_PrintTitles" vbProcedure="false">'Price - East '!$1:$5</definedName>
    <definedName function="false" hidden="false" localSheetId="20" name="Z_7C160642_B226_11D2_A850_00805F2505DF__wvu_PrintArea" vbProcedure="false">'Price - East '!$A$6:$R$39</definedName>
    <definedName function="false" hidden="false" localSheetId="20" name="Z_7C160642_B226_11D2_A850_00805F2505DF__wvu_PrintTitles" vbProcedure="false">'Price - East '!$1:$5</definedName>
    <definedName function="false" hidden="false" localSheetId="20" name="Z_7C16064B_B226_11D2_A850_00805F2505DF__wvu_PrintArea" vbProcedure="false">'Price - East '!$A$40:$AG$118</definedName>
    <definedName function="false" hidden="false" localSheetId="20" name="Z_7C16064B_B226_11D2_A850_00805F2505DF__wvu_PrintTitles" vbProcedure="false">'Price - East '!$1:$5</definedName>
    <definedName function="false" hidden="false" localSheetId="20" name="Z_7C160654_B226_11D2_A850_00805F2505DF__wvu_PrintArea" vbProcedure="false">'Price - East '!$A$120:$M$238</definedName>
    <definedName function="false" hidden="false" localSheetId="20" name="Z_7C160654_B226_11D2_A850_00805F2505DF__wvu_PrintTitles" vbProcedure="false">'Price - East '!$1:$5</definedName>
    <definedName function="false" hidden="false" localSheetId="20" name="Z_8106BDAF_AA5F_11D2_A84B_00805F2505DF__wvu_PrintArea" vbProcedure="false">'Price - East '!$A$6:$R$39</definedName>
    <definedName function="false" hidden="false" localSheetId="20" name="Z_8106BDAF_AA5F_11D2_A84B_00805F2505DF__wvu_PrintTitles" vbProcedure="false">'Price - East '!$1:$5</definedName>
    <definedName function="false" hidden="false" localSheetId="20" name="Z_8106BDB8_AA5F_11D2_A84B_00805F2505DF__wvu_PrintArea" vbProcedure="false">'Price - East '!$A$40:$AG$118</definedName>
    <definedName function="false" hidden="false" localSheetId="20" name="Z_8106BDB8_AA5F_11D2_A84B_00805F2505DF__wvu_PrintTitles" vbProcedure="false">'Price - East '!$1:$5</definedName>
    <definedName function="false" hidden="false" localSheetId="20" name="Z_8106BDC1_AA5F_11D2_A84B_00805F2505DF__wvu_PrintArea" vbProcedure="false">'Price - East '!$A$120:$M$238</definedName>
    <definedName function="false" hidden="false" localSheetId="20" name="Z_8106BDC1_AA5F_11D2_A84B_00805F2505DF__wvu_PrintTitles" vbProcedure="false">'Price - East '!$1:$5</definedName>
    <definedName function="false" hidden="false" localSheetId="20" name="Z_90E3CCE1_A590_11D2_A845_00805F2505DF__wvu_PrintArea" vbProcedure="false">'Price - East '!$A$6:$R$39</definedName>
    <definedName function="false" hidden="false" localSheetId="20" name="Z_90E3CCE1_A590_11D2_A845_00805F2505DF__wvu_PrintTitles" vbProcedure="false">'Price - East '!$1:$5</definedName>
    <definedName function="false" hidden="false" localSheetId="20" name="Z_90E3CCEA_A590_11D2_A845_00805F2505DF__wvu_PrintArea" vbProcedure="false">'Price - East '!$A$40:$AG$118</definedName>
    <definedName function="false" hidden="false" localSheetId="20" name="Z_90E3CCEA_A590_11D2_A845_00805F2505DF__wvu_PrintTitles" vbProcedure="false">'Price - East '!$1:$5</definedName>
    <definedName function="false" hidden="false" localSheetId="20" name="Z_90E3CCF3_A590_11D2_A845_00805F2505DF__wvu_PrintArea" vbProcedure="false">'Price - East '!$A$120:$M$238</definedName>
    <definedName function="false" hidden="false" localSheetId="20" name="Z_90E3CCF3_A590_11D2_A845_00805F2505DF__wvu_PrintTitles" vbProcedure="false">'Price - East '!$1:$5</definedName>
    <definedName function="false" hidden="false" localSheetId="20" name="Z_9F5984A7_ADA0_11D2_A84C_00805F2505DF__wvu_PrintArea" vbProcedure="false">'Price - East '!$A$6:$R$39</definedName>
    <definedName function="false" hidden="false" localSheetId="20" name="Z_9F5984A7_ADA0_11D2_A84C_00805F2505DF__wvu_PrintTitles" vbProcedure="false">'Price - East '!$1:$5</definedName>
    <definedName function="false" hidden="false" localSheetId="20" name="Z_9F5984B0_ADA0_11D2_A84C_00805F2505DF__wvu_PrintArea" vbProcedure="false">'Price - East '!$A$40:$AG$118</definedName>
    <definedName function="false" hidden="false" localSheetId="20" name="Z_9F5984B0_ADA0_11D2_A84C_00805F2505DF__wvu_PrintTitles" vbProcedure="false">'Price - East '!$1:$5</definedName>
    <definedName function="false" hidden="false" localSheetId="20" name="Z_9F5984B9_ADA0_11D2_A84C_00805F2505DF__wvu_PrintArea" vbProcedure="false">'Price - East '!$A$120:$M$238</definedName>
    <definedName function="false" hidden="false" localSheetId="20" name="Z_9F5984B9_ADA0_11D2_A84C_00805F2505DF__wvu_PrintTitles" vbProcedure="false">'Price - East '!$1:$5</definedName>
    <definedName function="false" hidden="false" localSheetId="20" name="Z_AA00244E_B62E_11D2_A853_00805F2505DF__wvu_PrintArea" vbProcedure="false">'Price - East '!$A$6:$R$39</definedName>
    <definedName function="false" hidden="false" localSheetId="20" name="Z_AA00244E_B62E_11D2_A853_00805F2505DF__wvu_PrintTitles" vbProcedure="false">'Price - East '!$1:$5</definedName>
    <definedName function="false" hidden="false" localSheetId="20" name="Z_AA002457_B62E_11D2_A853_00805F2505DF__wvu_PrintArea" vbProcedure="false">'Price - East '!$A$40:$AG$118</definedName>
    <definedName function="false" hidden="false" localSheetId="20" name="Z_AA002457_B62E_11D2_A853_00805F2505DF__wvu_PrintTitles" vbProcedure="false">'Price - East '!$1:$5</definedName>
    <definedName function="false" hidden="false" localSheetId="20" name="Z_AA002460_B62E_11D2_A853_00805F2505DF__wvu_PrintArea" vbProcedure="false">'Price - East '!$A$120:$M$238</definedName>
    <definedName function="false" hidden="false" localSheetId="20" name="Z_AA002460_B62E_11D2_A853_00805F2505DF__wvu_PrintTitles" vbProcedure="false">'Price - East '!$1:$5</definedName>
    <definedName function="false" hidden="false" localSheetId="20" name="Z_AA0024AC_B62E_11D2_A853_00805F2505DF__wvu_PrintArea" vbProcedure="false">'Price - East '!$A$6:$R$39</definedName>
    <definedName function="false" hidden="false" localSheetId="20" name="Z_AA0024AC_B62E_11D2_A853_00805F2505DF__wvu_PrintTitles" vbProcedure="false">'Price - East '!$1:$5</definedName>
    <definedName function="false" hidden="false" localSheetId="20" name="Z_AA0024B5_B62E_11D2_A853_00805F2505DF__wvu_PrintArea" vbProcedure="false">'Price - East '!$A$40:$AG$118</definedName>
    <definedName function="false" hidden="false" localSheetId="20" name="Z_AA0024B5_B62E_11D2_A853_00805F2505DF__wvu_PrintTitles" vbProcedure="false">'Price - East '!$1:$5</definedName>
    <definedName function="false" hidden="false" localSheetId="20" name="Z_AA0024BE_B62E_11D2_A853_00805F2505DF__wvu_PrintArea" vbProcedure="false">'Price - East '!$A$120:$M$238</definedName>
    <definedName function="false" hidden="false" localSheetId="20" name="Z_AA0024BE_B62E_11D2_A853_00805F2505DF__wvu_PrintTitles" vbProcedure="false">'Price - East '!$1:$5</definedName>
    <definedName function="false" hidden="false" localSheetId="20" name="Z_B2298A93_9F4B_11D2_A842_00805F2505DF__wvu_PrintArea" vbProcedure="false">'Price - East '!$A$6:$R$39</definedName>
    <definedName function="false" hidden="false" localSheetId="20" name="Z_B2298A93_9F4B_11D2_A842_00805F2505DF__wvu_PrintTitles" vbProcedure="false">'Price - East '!$1:$5</definedName>
    <definedName function="false" hidden="false" localSheetId="20" name="Z_B2298A9C_9F4B_11D2_A842_00805F2505DF__wvu_PrintArea" vbProcedure="false">'Price - East '!$A$40:$AG$118</definedName>
    <definedName function="false" hidden="false" localSheetId="20" name="Z_B2298A9C_9F4B_11D2_A842_00805F2505DF__wvu_PrintTitles" vbProcedure="false">'Price - East '!$1:$5</definedName>
    <definedName function="false" hidden="false" localSheetId="20" name="Z_B2298AA5_9F4B_11D2_A842_00805F2505DF__wvu_PrintArea" vbProcedure="false">'Price - East '!$A$120:$M$238</definedName>
    <definedName function="false" hidden="false" localSheetId="20" name="Z_B2298AA5_9F4B_11D2_A842_00805F2505DF__wvu_PrintTitles" vbProcedure="false">'Price - East '!$1:$5</definedName>
    <definedName function="false" hidden="false" localSheetId="20" name="Z_B2F7E2C4_7FBD_11D2_A836_00805F2505DF__wvu_PrintArea" vbProcedure="false">'Price - East '!$A$6:$R$39</definedName>
    <definedName function="false" hidden="false" localSheetId="20" name="Z_B2F7E2C4_7FBD_11D2_A836_00805F2505DF__wvu_PrintTitles" vbProcedure="false">'Price - East '!$1:$5</definedName>
    <definedName function="false" hidden="false" localSheetId="20" name="Z_B2F7E2CD_7FBD_11D2_A836_00805F2505DF__wvu_PrintArea" vbProcedure="false">'Price - East '!$A$40:$AG$118</definedName>
    <definedName function="false" hidden="false" localSheetId="20" name="Z_B2F7E2CD_7FBD_11D2_A836_00805F2505DF__wvu_PrintTitles" vbProcedure="false">'Price - East '!$1:$5</definedName>
    <definedName function="false" hidden="false" localSheetId="20" name="Z_B2F7E2D6_7FBD_11D2_A836_00805F2505DF__wvu_PrintArea" vbProcedure="false">'Price - East '!$A$120:$M$238</definedName>
    <definedName function="false" hidden="false" localSheetId="20" name="Z_B2F7E2D6_7FBD_11D2_A836_00805F2505DF__wvu_PrintTitles" vbProcedure="false">'Price - East '!$1:$5</definedName>
    <definedName function="false" hidden="false" localSheetId="20" name="Z_CAE48B02_AFF0_11D2_A84D_00805F2505DF__wvu_PrintArea" vbProcedure="false">'Price - East '!$A$6:$R$39</definedName>
    <definedName function="false" hidden="false" localSheetId="20" name="Z_CAE48B02_AFF0_11D2_A84D_00805F2505DF__wvu_PrintTitles" vbProcedure="false">'Price - East '!$1:$5</definedName>
    <definedName function="false" hidden="false" localSheetId="20" name="Z_CAE48B0B_AFF0_11D2_A84D_00805F2505DF__wvu_PrintArea" vbProcedure="false">'Price - East '!$A$40:$AG$118</definedName>
    <definedName function="false" hidden="false" localSheetId="20" name="Z_CAE48B0B_AFF0_11D2_A84D_00805F2505DF__wvu_PrintTitles" vbProcedure="false">'Price - East '!$1:$5</definedName>
    <definedName function="false" hidden="false" localSheetId="20" name="Z_CAE48B14_AFF0_11D2_A84D_00805F2505DF__wvu_PrintArea" vbProcedure="false">'Price - East '!$A$120:$M$238</definedName>
    <definedName function="false" hidden="false" localSheetId="20" name="Z_CAE48B14_AFF0_11D2_A84D_00805F2505DF__wvu_PrintTitles" vbProcedure="false">'Price - East '!$1:$5</definedName>
    <definedName function="false" hidden="false" localSheetId="20" name="Z_CC3965CA_A99C_11D2_A84A_00805F2505DF__wvu_PrintArea" vbProcedure="false">'Price - East '!$A$6:$R$39</definedName>
    <definedName function="false" hidden="false" localSheetId="20" name="Z_CC3965CA_A99C_11D2_A84A_00805F2505DF__wvu_PrintTitles" vbProcedure="false">'Price - East '!$1:$5</definedName>
    <definedName function="false" hidden="false" localSheetId="20" name="Z_CC3965D3_A99C_11D2_A84A_00805F2505DF__wvu_PrintArea" vbProcedure="false">'Price - East '!$A$40:$AG$118</definedName>
    <definedName function="false" hidden="false" localSheetId="20" name="Z_CC3965D3_A99C_11D2_A84A_00805F2505DF__wvu_PrintTitles" vbProcedure="false">'Price - East '!$1:$5</definedName>
    <definedName function="false" hidden="false" localSheetId="20" name="Z_CC3965DC_A99C_11D2_A84A_00805F2505DF__wvu_PrintArea" vbProcedure="false">'Price - East '!$A$120:$M$238</definedName>
    <definedName function="false" hidden="false" localSheetId="20" name="Z_CC3965DC_A99C_11D2_A84A_00805F2505DF__wvu_PrintTitles" vbProcedure="false">'Price - East '!$1:$5</definedName>
    <definedName function="false" hidden="false" localSheetId="20" name="Z_D4AB6C0A_AB0F_11D2_A84C_00805F2505DF__wvu_PrintArea" vbProcedure="false">'Price - East '!$A$6:$R$39</definedName>
    <definedName function="false" hidden="false" localSheetId="20" name="Z_D4AB6C0A_AB0F_11D2_A84C_00805F2505DF__wvu_PrintTitles" vbProcedure="false">'Price - East '!$1:$5</definedName>
    <definedName function="false" hidden="false" localSheetId="20" name="Z_D4AB6C13_AB0F_11D2_A84C_00805F2505DF__wvu_PrintArea" vbProcedure="false">'Price - East '!$A$40:$AG$118</definedName>
    <definedName function="false" hidden="false" localSheetId="20" name="Z_D4AB6C13_AB0F_11D2_A84C_00805F2505DF__wvu_PrintTitles" vbProcedure="false">'Price - East '!$1:$5</definedName>
    <definedName function="false" hidden="false" localSheetId="20" name="Z_D4AB6C1C_AB0F_11D2_A84C_00805F2505DF__wvu_PrintArea" vbProcedure="false">'Price - East '!$A$120:$M$238</definedName>
    <definedName function="false" hidden="false" localSheetId="20" name="Z_D4AB6C1C_AB0F_11D2_A84C_00805F2505DF__wvu_PrintTitles" vbProcedure="false">'Price - East '!$1:$5</definedName>
    <definedName function="false" hidden="false" localSheetId="20" name="Z_D4AB6C63_AB0F_11D2_A84C_00805F2505DF__wvu_PrintArea" vbProcedure="false">'Price - East '!$A$6:$R$39</definedName>
    <definedName function="false" hidden="false" localSheetId="20" name="Z_D4AB6C63_AB0F_11D2_A84C_00805F2505DF__wvu_PrintTitles" vbProcedure="false">'Price - East '!$1:$5</definedName>
    <definedName function="false" hidden="false" localSheetId="20" name="Z_D4AB6C6C_AB0F_11D2_A84C_00805F2505DF__wvu_PrintArea" vbProcedure="false">'Price - East '!$A$40:$AG$118</definedName>
    <definedName function="false" hidden="false" localSheetId="20" name="Z_D4AB6C6C_AB0F_11D2_A84C_00805F2505DF__wvu_PrintTitles" vbProcedure="false">'Price - East '!$1:$5</definedName>
    <definedName function="false" hidden="false" localSheetId="20" name="Z_D4AB6C75_AB0F_11D2_A84C_00805F2505DF__wvu_PrintArea" vbProcedure="false">'Price - East '!$A$120:$M$238</definedName>
    <definedName function="false" hidden="false" localSheetId="20" name="Z_D4AB6C75_AB0F_11D2_A84C_00805F2505DF__wvu_PrintTitles" vbProcedure="false">'Price - East '!$1:$5</definedName>
    <definedName function="false" hidden="false" localSheetId="20" name="Z_E05B5121_A672_11D2_A848_00805F2505DF__wvu_PrintArea" vbProcedure="false">'Price - East '!$A$6:$R$39</definedName>
    <definedName function="false" hidden="false" localSheetId="20" name="Z_E05B5121_A672_11D2_A848_00805F2505DF__wvu_PrintTitles" vbProcedure="false">'Price - East '!$1:$5</definedName>
    <definedName function="false" hidden="false" localSheetId="20" name="Z_E05B512A_A672_11D2_A848_00805F2505DF__wvu_PrintArea" vbProcedure="false">'Price - East '!$A$40:$AG$118</definedName>
    <definedName function="false" hidden="false" localSheetId="20" name="Z_E05B512A_A672_11D2_A848_00805F2505DF__wvu_PrintTitles" vbProcedure="false">'Price - East '!$1:$5</definedName>
    <definedName function="false" hidden="false" localSheetId="20" name="Z_E05B5133_A672_11D2_A848_00805F2505DF__wvu_PrintArea" vbProcedure="false">'Price - East '!$A$120:$M$238</definedName>
    <definedName function="false" hidden="false" localSheetId="20" name="Z_E05B5133_A672_11D2_A848_00805F2505DF__wvu_PrintTitles" vbProcedure="false">'Price - East '!$1:$5</definedName>
    <definedName function="false" hidden="false" localSheetId="20" name="Z_F60B7B78_B470_11D2_A851_00805F2505DF__wvu_PrintArea" vbProcedure="false">'Price - East '!$A$6:$R$39</definedName>
    <definedName function="false" hidden="false" localSheetId="20" name="Z_F60B7B78_B470_11D2_A851_00805F2505DF__wvu_PrintTitles" vbProcedure="false">'Price - East '!$1:$5</definedName>
    <definedName function="false" hidden="false" localSheetId="20" name="Z_F60B7B81_B470_11D2_A851_00805F2505DF__wvu_PrintArea" vbProcedure="false">'Price - East '!$A$40:$AG$118</definedName>
    <definedName function="false" hidden="false" localSheetId="20" name="Z_F60B7B81_B470_11D2_A851_00805F2505DF__wvu_PrintTitles" vbProcedure="false">'Price - East '!$1:$5</definedName>
    <definedName function="false" hidden="false" localSheetId="20" name="Z_F60B7B8A_B470_11D2_A851_00805F2505DF__wvu_PrintArea" vbProcedure="false">'Price - East '!$A$120:$M$238</definedName>
    <definedName function="false" hidden="false" localSheetId="20" name="Z_F60B7B8A_B470_11D2_A851_00805F2505DF__wvu_PrintTitles" vbProcedure="false">'Price - East '!$1:$5</definedName>
    <definedName function="false" hidden="false" localSheetId="20" name="Z_F60B7BDD_B470_11D2_A851_00805F2505DF__wvu_PrintArea" vbProcedure="false">'Price - East '!$A$6:$R$39</definedName>
    <definedName function="false" hidden="false" localSheetId="20" name="Z_F60B7BDD_B470_11D2_A851_00805F2505DF__wvu_PrintTitles" vbProcedure="false">'Price - East '!$1:$5</definedName>
    <definedName function="false" hidden="false" localSheetId="20" name="Z_F60B7BE6_B470_11D2_A851_00805F2505DF__wvu_PrintArea" vbProcedure="false">'Price - East '!$A$40:$AG$118</definedName>
    <definedName function="false" hidden="false" localSheetId="20" name="Z_F60B7BE6_B470_11D2_A851_00805F2505DF__wvu_PrintTitles" vbProcedure="false">'Price - East '!$1:$5</definedName>
    <definedName function="false" hidden="false" localSheetId="20" name="Z_F60B7BEF_B470_11D2_A851_00805F2505DF__wvu_PrintArea" vbProcedure="false">'Price - East '!$A$120:$M$238</definedName>
    <definedName function="false" hidden="false" localSheetId="20" name="Z_F60B7BEF_B470_11D2_A851_00805F2505DF__wvu_PrintTitles" vbProcedure="false">'Price - East '!$1:$5</definedName>
    <definedName function="false" hidden="false" localSheetId="20" name="Z_F947EA2A_ABF3_11D2_A84C_00805F2505DF__wvu_PrintArea" vbProcedure="false">'Price - East '!$A$6:$R$39</definedName>
    <definedName function="false" hidden="false" localSheetId="20" name="Z_F947EA2A_ABF3_11D2_A84C_00805F2505DF__wvu_PrintTitles" vbProcedure="false">'Price - East '!$1:$5</definedName>
    <definedName function="false" hidden="false" localSheetId="20" name="Z_F947EA33_ABF3_11D2_A84C_00805F2505DF__wvu_PrintArea" vbProcedure="false">'Price - East '!$A$40:$AG$118</definedName>
    <definedName function="false" hidden="false" localSheetId="20" name="Z_F947EA33_ABF3_11D2_A84C_00805F2505DF__wvu_PrintTitles" vbProcedure="false">'Price - East '!$1:$5</definedName>
    <definedName function="false" hidden="false" localSheetId="20" name="Z_F947EA3C_ABF3_11D2_A84C_00805F2505DF__wvu_PrintArea" vbProcedure="false">'Price - East '!$A$120:$M$238</definedName>
    <definedName function="false" hidden="false" localSheetId="20" name="Z_F947EA3C_ABF3_11D2_A84C_00805F2505DF__wvu_PrintTitles" vbProcedure="false">'Price - East '!$1:$5</definedName>
  </definedNames>
  <calcPr iterateCount="100" refMode="A1" iterate="false" iterateDelta="0.001"/>
  <extLst>
    <ext xmlns:loext="http://schemas.libreoffice.org/" uri="{7626C862-2A13-11E5-B345-FEFF819CDC9F}">
      <loext:extCalcPr stringRefSyntax="CalcA1"/>
    </ext>
  </extLst>
</workbook>
</file>

<file path=xl/comments1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U5" authorId="0">
      <text>
        <r>
          <rPr>
            <sz val="12"/>
            <color rgb="FF000000"/>
            <rFont val="Tahoma"/>
            <family val="0"/>
          </rPr>
          <t xml:space="preserve">Apr 9/98 deal E68516 &amp; E33178.  The term of the deal is Apr 99 to Mar 04.</t>
        </r>
      </text>
      <mc:AlternateContent>
        <mc:Choice Requires="v2">
          <commentPr autoFill="true" autoScale="false" colHidden="false" locked="false" rowHidden="false" textHAlign="justify" textVAlign="top">
            <anchor moveWithCells="false" sizeWithCells="false">
              <xdr:from>
                <xdr:col>16</xdr:col>
                <xdr:colOff>18</xdr:colOff>
                <xdr:row>3</xdr:row>
                <xdr:rowOff>7</xdr:rowOff>
              </xdr:from>
              <xdr:to>
                <xdr:col>20</xdr:col>
                <xdr:colOff>73</xdr:colOff>
                <xdr:row>9</xdr:row>
                <xdr:rowOff>8</xdr:rowOff>
              </xdr:to>
            </anchor>
          </commentPr>
        </mc:Choice>
        <mc:Fallback/>
      </mc:AlternateContent>
    </comment>
    <comment ref="X5" authorId="0">
      <text>
        <r>
          <rPr>
            <sz val="12"/>
            <color rgb="FF000000"/>
            <rFont val="Tahoma"/>
            <family val="0"/>
          </rPr>
          <t xml:space="preserve">Relates to deals with prepaid book Apr 14/99.  See also amount in Schedule C which is also a reserve for $353764</t>
        </r>
      </text>
      <mc:AlternateContent>
        <mc:Choice Requires="v2">
          <commentPr autoFill="true" autoScale="false" colHidden="false" locked="false" rowHidden="false" textHAlign="justify" textVAlign="top">
            <anchor moveWithCells="false" sizeWithCells="false">
              <xdr:from>
                <xdr:col>9</xdr:col>
                <xdr:colOff>37</xdr:colOff>
                <xdr:row>3</xdr:row>
                <xdr:rowOff>7</xdr:rowOff>
              </xdr:from>
              <xdr:to>
                <xdr:col>13</xdr:col>
                <xdr:colOff>89</xdr:colOff>
                <xdr:row>9</xdr:row>
                <xdr:rowOff>8</xdr:rowOff>
              </xdr:to>
            </anchor>
          </commentPr>
        </mc:Choice>
        <mc:Fallback/>
      </mc:AlternateContent>
    </comment>
    <comment ref="Y5" authorId="0">
      <text>
        <r>
          <rPr>
            <sz val="12"/>
            <color rgb="FF000000"/>
            <rFont val="Tahoma"/>
            <family val="0"/>
          </rPr>
          <t xml:space="preserve">To specifically reserve for Lavo's Wadd &amp; Parkway long term positions</t>
        </r>
      </text>
      <mc:AlternateContent>
        <mc:Choice Requires="v2">
          <commentPr autoFill="true" autoScale="false" colHidden="false" locked="false" rowHidden="false" textHAlign="justify" textVAlign="top">
            <anchor moveWithCells="false" sizeWithCells="false">
              <xdr:from>
                <xdr:col>21</xdr:col>
                <xdr:colOff>42</xdr:colOff>
                <xdr:row>3</xdr:row>
                <xdr:rowOff>7</xdr:rowOff>
              </xdr:from>
              <xdr:to>
                <xdr:col>24</xdr:col>
                <xdr:colOff>3</xdr:colOff>
                <xdr:row>9</xdr:row>
                <xdr:rowOff>8</xdr:rowOff>
              </xdr:to>
            </anchor>
          </commentPr>
        </mc:Choice>
        <mc:Fallback/>
      </mc:AlternateContent>
    </comment>
    <comment ref="AA5" authorId="0">
      <text>
        <r>
          <rPr>
            <sz val="12"/>
            <color rgb="FF000000"/>
            <rFont val="Tahoma"/>
            <family val="0"/>
          </rPr>
          <t xml:space="preserve">Oct 3/97 deal EF4175.  The term is Nov 97 to Oct 14.  Also related to Tarragon &amp; Morrison unwinds.</t>
        </r>
      </text>
      <mc:AlternateContent>
        <mc:Choice Requires="v2">
          <commentPr autoFill="true" autoScale="false" colHidden="false" locked="false" rowHidden="false" textHAlign="justify" textVAlign="top">
            <anchor moveWithCells="false" sizeWithCells="false">
              <xdr:from>
                <xdr:col>23</xdr:col>
                <xdr:colOff>57</xdr:colOff>
                <xdr:row>3</xdr:row>
                <xdr:rowOff>7</xdr:rowOff>
              </xdr:from>
              <xdr:to>
                <xdr:col>26</xdr:col>
                <xdr:colOff>18</xdr:colOff>
                <xdr:row>9</xdr:row>
                <xdr:rowOff>8</xdr:rowOff>
              </xdr:to>
            </anchor>
          </commentPr>
        </mc:Choice>
        <mc:Fallback/>
      </mc:AlternateContent>
    </comment>
    <comment ref="AB5" authorId="0">
      <text>
        <r>
          <rPr>
            <sz val="12"/>
            <color rgb="FF000000"/>
            <rFont val="Tahoma"/>
            <family val="0"/>
          </rPr>
          <t xml:space="preserve">Related to Humble Aquisition - June 29/98
</t>
        </r>
      </text>
      <mc:AlternateContent>
        <mc:Choice Requires="v2">
          <commentPr autoFill="true" autoScale="false" colHidden="false" locked="false" rowHidden="false" textHAlign="justify" textVAlign="top">
            <anchor moveWithCells="false" sizeWithCells="false">
              <xdr:from>
                <xdr:col>24</xdr:col>
                <xdr:colOff>57</xdr:colOff>
                <xdr:row>3</xdr:row>
                <xdr:rowOff>7</xdr:rowOff>
              </xdr:from>
              <xdr:to>
                <xdr:col>27</xdr:col>
                <xdr:colOff>35</xdr:colOff>
                <xdr:row>9</xdr:row>
                <xdr:rowOff>8</xdr:rowOff>
              </xdr:to>
            </anchor>
          </commentPr>
        </mc:Choice>
        <mc:Fallback/>
      </mc:AlternateContent>
    </comment>
    <comment ref="AC5" authorId="0">
      <text>
        <r>
          <rPr>
            <sz val="12"/>
            <color rgb="FF000000"/>
            <rFont val="Tahoma"/>
            <family val="0"/>
          </rPr>
          <t xml:space="preserve">Oct 2/98 deal EP6868 &amp; EP6856.  The term is Nov 98 to Oct 99.  We agree to Diversions</t>
        </r>
      </text>
      <mc:AlternateContent>
        <mc:Choice Requires="v2">
          <commentPr autoFill="true" autoScale="false" colHidden="false" locked="false" rowHidden="false" textHAlign="justify" textVAlign="top">
            <anchor moveWithCells="false" sizeWithCells="false">
              <xdr:from>
                <xdr:col>25</xdr:col>
                <xdr:colOff>32</xdr:colOff>
                <xdr:row>3</xdr:row>
                <xdr:rowOff>7</xdr:rowOff>
              </xdr:from>
              <xdr:to>
                <xdr:col>28</xdr:col>
                <xdr:colOff>25</xdr:colOff>
                <xdr:row>9</xdr:row>
                <xdr:rowOff>8</xdr:rowOff>
              </xdr:to>
            </anchor>
          </commentPr>
        </mc:Choice>
        <mc:Fallback/>
      </mc:AlternateContent>
    </comment>
    <comment ref="AD5" authorId="0">
      <text>
        <r>
          <rPr>
            <sz val="12"/>
            <color rgb="FF000000"/>
            <rFont val="Tahoma"/>
            <family val="0"/>
          </rPr>
          <t xml:space="preserve">Jan 28/98 EI4358 deal. Liquids deal.  The term is
 Nov 99 to Oct 08.</t>
        </r>
      </text>
      <mc:AlternateContent>
        <mc:Choice Requires="v2">
          <commentPr autoFill="true" autoScale="false" colHidden="false" locked="false" rowHidden="false" textHAlign="justify" textVAlign="top">
            <anchor moveWithCells="false" sizeWithCells="false">
              <xdr:from>
                <xdr:col>26</xdr:col>
                <xdr:colOff>45</xdr:colOff>
                <xdr:row>3</xdr:row>
                <xdr:rowOff>7</xdr:rowOff>
              </xdr:from>
              <xdr:to>
                <xdr:col>29</xdr:col>
                <xdr:colOff>40</xdr:colOff>
                <xdr:row>9</xdr:row>
                <xdr:rowOff>8</xdr:rowOff>
              </xdr:to>
            </anchor>
          </commentPr>
        </mc:Choice>
        <mc:Fallback/>
      </mc:AlternateContent>
    </comment>
    <comment ref="AL5" authorId="0">
      <text>
        <r>
          <rPr>
            <sz val="12"/>
            <color rgb="FF000000"/>
            <rFont val="Tahoma"/>
            <family val="0"/>
          </rPr>
          <t xml:space="preserve">June 23/99 - to reserve for mismark of Malin curve re:
curve re deals EY4503, EY4504 and EY4505</t>
        </r>
      </text>
      <mc:AlternateContent>
        <mc:Choice Requires="v2">
          <commentPr autoFill="true" autoScale="false" colHidden="false" locked="false" rowHidden="false" textHAlign="justify" textVAlign="top">
            <anchor moveWithCells="false" sizeWithCells="false">
              <xdr:from>
                <xdr:col>33</xdr:col>
                <xdr:colOff>92</xdr:colOff>
                <xdr:row>3</xdr:row>
                <xdr:rowOff>7</xdr:rowOff>
              </xdr:from>
              <xdr:to>
                <xdr:col>37</xdr:col>
                <xdr:colOff>31</xdr:colOff>
                <xdr:row>9</xdr:row>
                <xdr:rowOff>8</xdr:rowOff>
              </xdr:to>
            </anchor>
          </commentPr>
        </mc:Choice>
        <mc:Fallback/>
      </mc:AlternateContent>
    </comment>
  </commentList>
</comments>
</file>

<file path=xl/comments20.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7" authorId="0">
      <text>
        <r>
          <rPr>
            <sz val="10"/>
            <color rgb="FF000000"/>
            <rFont val="Arial"/>
            <family val="2"/>
          </rPr>
          <t xml:space="preserve">In order for Houston to correctly pick up origination the date must be entered in the format M/D/YR.
Do not backdate deals  ie.  If origination is recorded in the DPR on the 5th then it must be dated the 5th (even if the deal had been actually done and recorded in TAGG on an earlier date.)</t>
        </r>
      </text>
      <mc:AlternateContent>
        <mc:Choice Requires="v2">
          <commentPr autoFill="true" autoScale="false" colHidden="false" locked="false" rowHidden="false" textHAlign="justify" textVAlign="top">
            <anchor moveWithCells="false" sizeWithCells="false">
              <xdr:from>
                <xdr:col>3</xdr:col>
                <xdr:colOff>0</xdr:colOff>
                <xdr:row>5</xdr:row>
                <xdr:rowOff>7</xdr:rowOff>
              </xdr:from>
              <xdr:to>
                <xdr:col>6</xdr:col>
                <xdr:colOff>47</xdr:colOff>
                <xdr:row>15</xdr:row>
                <xdr:rowOff>3</xdr:rowOff>
              </xdr:to>
            </anchor>
          </commentPr>
        </mc:Choice>
        <mc:Fallback/>
      </mc:AlternateContent>
    </comment>
    <comment ref="E9" authorId="0">
      <text>
        <r>
          <rPr>
            <b val="true"/>
            <sz val="8"/>
            <color rgb="FF000000"/>
            <rFont val="Tahoma"/>
            <family val="0"/>
          </rPr>
          <t xml:space="preserve">nlaporte:
</t>
        </r>
        <r>
          <rPr>
            <sz val="8"/>
            <color rgb="FF000000"/>
            <rFont val="Tahoma"/>
            <family val="0"/>
          </rPr>
          <t xml:space="preserve">116,000 CAD transferred via an annuity to IM-WEST</t>
        </r>
      </text>
      <mc:AlternateContent>
        <mc:Choice Requires="v2">
          <commentPr autoFill="true" autoScale="false" colHidden="false" locked="false" rowHidden="false" textHAlign="justify" textVAlign="top">
            <anchor moveWithCells="false" sizeWithCells="false">
              <xdr:from>
                <xdr:col>5</xdr:col>
                <xdr:colOff>16</xdr:colOff>
                <xdr:row>7</xdr:row>
                <xdr:rowOff>7</xdr:rowOff>
              </xdr:from>
              <xdr:to>
                <xdr:col>6</xdr:col>
                <xdr:colOff>127</xdr:colOff>
                <xdr:row>11</xdr:row>
                <xdr:rowOff>12</xdr:rowOff>
              </xdr:to>
            </anchor>
          </commentPr>
        </mc:Choice>
        <mc:Fallback/>
      </mc:AlternateContent>
    </comment>
    <comment ref="E51" authorId="0">
      <text>
        <r>
          <rPr>
            <b val="true"/>
            <sz val="8"/>
            <color rgb="FF000000"/>
            <rFont val="Tahoma"/>
            <family val="0"/>
          </rPr>
          <t xml:space="preserve">nlaporte:
</t>
        </r>
        <r>
          <rPr>
            <sz val="8"/>
            <color rgb="FF000000"/>
            <rFont val="Tahoma"/>
            <family val="0"/>
          </rPr>
          <t xml:space="preserve">Annuity from Houston
</t>
        </r>
      </text>
      <mc:AlternateContent>
        <mc:Choice Requires="v2">
          <commentPr autoFill="true" autoScale="false" colHidden="false" locked="false" rowHidden="false" textHAlign="justify" textVAlign="top">
            <anchor moveWithCells="false" sizeWithCells="false">
              <xdr:from>
                <xdr:col>5</xdr:col>
                <xdr:colOff>16</xdr:colOff>
                <xdr:row>49</xdr:row>
                <xdr:rowOff>7</xdr:rowOff>
              </xdr:from>
              <xdr:to>
                <xdr:col>6</xdr:col>
                <xdr:colOff>127</xdr:colOff>
                <xdr:row>53</xdr:row>
                <xdr:rowOff>12</xdr:rowOff>
              </xdr:to>
            </anchor>
          </commentPr>
        </mc:Choice>
        <mc:Fallback/>
      </mc:AlternateContent>
    </comment>
    <comment ref="E57" authorId="0">
      <text>
        <r>
          <rPr>
            <b val="true"/>
            <sz val="8"/>
            <color rgb="FF000000"/>
            <rFont val="Tahoma"/>
            <family val="0"/>
          </rPr>
          <t xml:space="preserve">nlaporte:
</t>
        </r>
        <r>
          <rPr>
            <sz val="8"/>
            <color rgb="FF000000"/>
            <rFont val="Tahoma"/>
            <family val="0"/>
          </rPr>
          <t xml:space="preserve">Annuity from Houston</t>
        </r>
      </text>
      <mc:AlternateContent>
        <mc:Choice Requires="v2">
          <commentPr autoFill="true" autoScale="false" colHidden="false" locked="false" rowHidden="false" textHAlign="justify" textVAlign="top">
            <anchor moveWithCells="false" sizeWithCells="false">
              <xdr:from>
                <xdr:col>5</xdr:col>
                <xdr:colOff>16</xdr:colOff>
                <xdr:row>55</xdr:row>
                <xdr:rowOff>7</xdr:rowOff>
              </xdr:from>
              <xdr:to>
                <xdr:col>6</xdr:col>
                <xdr:colOff>127</xdr:colOff>
                <xdr:row>59</xdr:row>
                <xdr:rowOff>12</xdr:rowOff>
              </xdr:to>
            </anchor>
          </commentPr>
        </mc:Choice>
        <mc:Fallback/>
      </mc:AlternateContent>
    </comment>
    <comment ref="E129" authorId="0">
      <text>
        <r>
          <rPr>
            <b val="true"/>
            <sz val="8"/>
            <color rgb="FF000000"/>
            <rFont val="Tahoma"/>
            <family val="0"/>
          </rPr>
          <t xml:space="preserve">nlaporte:
</t>
        </r>
        <r>
          <rPr>
            <sz val="8"/>
            <color rgb="FF000000"/>
            <rFont val="Tahoma"/>
            <family val="0"/>
          </rPr>
          <t xml:space="preserve">Negative orig due to Grant writing the deal into the book incorrectly on 7/5/2000
</t>
        </r>
      </text>
      <mc:AlternateContent>
        <mc:Choice Requires="v2">
          <commentPr autoFill="true" autoScale="false" colHidden="false" locked="false" rowHidden="false" textHAlign="justify" textVAlign="top">
            <anchor moveWithCells="false" sizeWithCells="false">
              <xdr:from>
                <xdr:col>5</xdr:col>
                <xdr:colOff>16</xdr:colOff>
                <xdr:row>127</xdr:row>
                <xdr:rowOff>7</xdr:rowOff>
              </xdr:from>
              <xdr:to>
                <xdr:col>6</xdr:col>
                <xdr:colOff>127</xdr:colOff>
                <xdr:row>131</xdr:row>
                <xdr:rowOff>12</xdr:rowOff>
              </xdr:to>
            </anchor>
          </commentPr>
        </mc:Choice>
        <mc:Fallback/>
      </mc:AlternateContent>
    </comment>
    <comment ref="E135" authorId="0">
      <text>
        <r>
          <rPr>
            <b val="true"/>
            <sz val="8"/>
            <color rgb="FF000000"/>
            <rFont val="Tahoma"/>
            <family val="0"/>
          </rPr>
          <t xml:space="preserve">ctorres:
</t>
        </r>
        <r>
          <rPr>
            <sz val="8"/>
            <color rgb="FF000000"/>
            <rFont val="Tahoma"/>
            <family val="0"/>
          </rPr>
          <t xml:space="preserve">adjustment to origination petaining to months that were liquidated, causing a reduction in negative origination.
 </t>
        </r>
      </text>
      <mc:AlternateContent>
        <mc:Choice Requires="v2">
          <commentPr autoFill="true" autoScale="false" colHidden="false" locked="false" rowHidden="false" textHAlign="justify" textVAlign="top">
            <anchor moveWithCells="false" sizeWithCells="false">
              <xdr:from>
                <xdr:col>5</xdr:col>
                <xdr:colOff>16</xdr:colOff>
                <xdr:row>133</xdr:row>
                <xdr:rowOff>7</xdr:rowOff>
              </xdr:from>
              <xdr:to>
                <xdr:col>6</xdr:col>
                <xdr:colOff>127</xdr:colOff>
                <xdr:row>137</xdr:row>
                <xdr:rowOff>12</xdr:rowOff>
              </xdr:to>
            </anchor>
          </commentPr>
        </mc:Choice>
        <mc:Fallback/>
      </mc:AlternateContent>
    </comment>
    <comment ref="E144" authorId="0">
      <text>
        <r>
          <rPr>
            <b val="true"/>
            <sz val="8"/>
            <color rgb="FF000000"/>
            <rFont val="Tahoma"/>
            <family val="0"/>
          </rPr>
          <t xml:space="preserve">ctorres:
</t>
        </r>
        <r>
          <rPr>
            <sz val="8"/>
            <color rgb="FF000000"/>
            <rFont val="Tahoma"/>
            <family val="0"/>
          </rPr>
          <t xml:space="preserve">Total orig for Aberfoyle deal, includes Prompt month.</t>
        </r>
      </text>
      <mc:AlternateContent>
        <mc:Choice Requires="v2">
          <commentPr autoFill="true" autoScale="false" colHidden="false" locked="false" rowHidden="false" textHAlign="justify" textVAlign="top">
            <anchor moveWithCells="false" sizeWithCells="false">
              <xdr:from>
                <xdr:col>5</xdr:col>
                <xdr:colOff>16</xdr:colOff>
                <xdr:row>142</xdr:row>
                <xdr:rowOff>7</xdr:rowOff>
              </xdr:from>
              <xdr:to>
                <xdr:col>6</xdr:col>
                <xdr:colOff>127</xdr:colOff>
                <xdr:row>146</xdr:row>
                <xdr:rowOff>12</xdr:rowOff>
              </xdr:to>
            </anchor>
          </commentPr>
        </mc:Choice>
        <mc:Fallback/>
      </mc:AlternateContent>
    </comment>
    <comment ref="Q5" authorId="0">
      <text>
        <r>
          <rPr>
            <b val="true"/>
            <sz val="8"/>
            <color rgb="FF000000"/>
            <rFont val="Tahoma"/>
            <family val="0"/>
          </rPr>
          <t xml:space="preserve">nlaporte:
</t>
        </r>
        <r>
          <rPr>
            <sz val="8"/>
            <color rgb="FF000000"/>
            <rFont val="Tahoma"/>
            <family val="0"/>
          </rPr>
          <t xml:space="preserve">Remember to swith the formula back to $B$36 next month!!!!!!!!</t>
        </r>
      </text>
      <mc:AlternateContent>
        <mc:Choice Requires="v2">
          <commentPr autoFill="true" autoScale="false" colHidden="false" locked="false" rowHidden="false" textHAlign="justify" textVAlign="top">
            <anchor moveWithCells="false" sizeWithCells="false">
              <xdr:from>
                <xdr:col>17</xdr:col>
                <xdr:colOff>16</xdr:colOff>
                <xdr:row>3</xdr:row>
                <xdr:rowOff>7</xdr:rowOff>
              </xdr:from>
              <xdr:to>
                <xdr:col>18</xdr:col>
                <xdr:colOff>46</xdr:colOff>
                <xdr:row>7</xdr:row>
                <xdr:rowOff>12</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C103" authorId="0">
      <text>
        <r>
          <rPr>
            <b val="true"/>
            <sz val="8"/>
            <color rgb="FF000000"/>
            <rFont val="Tahoma"/>
            <family val="0"/>
          </rPr>
          <t xml:space="preserve">cclark5:
</t>
        </r>
        <r>
          <rPr>
            <sz val="8"/>
            <color rgb="FF000000"/>
            <rFont val="Tahoma"/>
            <family val="0"/>
          </rPr>
          <t xml:space="preserve">remember to hardcode value here and in US colum for LTD Income as macro does not take care of this.</t>
        </r>
      </text>
      <mc:AlternateContent>
        <mc:Choice Requires="v2">
          <commentPr autoFill="true" autoScale="false" colHidden="false" locked="false" rowHidden="false" textHAlign="justify" textVAlign="top">
            <anchor moveWithCells="false" sizeWithCells="false">
              <xdr:from>
                <xdr:col>28</xdr:col>
                <xdr:colOff>38</xdr:colOff>
                <xdr:row>97</xdr:row>
                <xdr:rowOff>15</xdr:rowOff>
              </xdr:from>
              <xdr:to>
                <xdr:col>30</xdr:col>
                <xdr:colOff>109</xdr:colOff>
                <xdr:row>105</xdr:row>
                <xdr:rowOff>3</xdr:rowOff>
              </xdr:to>
            </anchor>
          </commentPr>
        </mc:Choice>
        <mc:Fallback/>
      </mc:AlternateContent>
    </comment>
  </commentList>
</comments>
</file>

<file path=xl/comments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173" authorId="0">
      <text>
        <r>
          <rPr>
            <b val="true"/>
            <sz val="12"/>
            <color rgb="FF000000"/>
            <rFont val="Tahoma"/>
            <family val="0"/>
          </rPr>
          <t xml:space="preserve">kreeve1:
</t>
        </r>
        <r>
          <rPr>
            <sz val="12"/>
            <color rgb="FF000000"/>
            <rFont val="Tahoma"/>
            <family val="0"/>
          </rPr>
          <t xml:space="preserve">EM5701</t>
        </r>
      </text>
      <mc:AlternateContent>
        <mc:Choice Requires="v2">
          <commentPr autoFill="true" autoScale="false" colHidden="false" locked="false" rowHidden="false" textHAlign="justify" textVAlign="top">
            <anchor moveWithCells="false" sizeWithCells="false">
              <xdr:from>
                <xdr:col>2</xdr:col>
                <xdr:colOff>16</xdr:colOff>
                <xdr:row>168</xdr:row>
                <xdr:rowOff>13</xdr:rowOff>
              </xdr:from>
              <xdr:to>
                <xdr:col>4</xdr:col>
                <xdr:colOff>12</xdr:colOff>
                <xdr:row>174</xdr:row>
                <xdr:rowOff>15</xdr:rowOff>
              </xdr:to>
            </anchor>
          </commentPr>
        </mc:Choice>
        <mc:Fallback/>
      </mc:AlternateContent>
    </comment>
    <comment ref="H47" authorId="0">
      <text>
        <r>
          <rPr>
            <b val="true"/>
            <sz val="8"/>
            <color rgb="FF000000"/>
            <rFont val="Tahoma"/>
            <family val="0"/>
          </rPr>
          <t xml:space="preserve">nlaporte:
</t>
        </r>
        <r>
          <rPr>
            <sz val="8"/>
            <color rgb="FF000000"/>
            <rFont val="Tahoma"/>
            <family val="0"/>
          </rPr>
          <t xml:space="preserve">Diff due to curve shift between 
Day 1 -unwound APEA deal Q39112 
Day 2-Killed the unwinding
Done by Kathy Reeves</t>
        </r>
      </text>
      <mc:AlternateContent>
        <mc:Choice Requires="v2">
          <commentPr autoFill="true" autoScale="false" colHidden="false" locked="false" rowHidden="false" textHAlign="justify" textVAlign="top">
            <anchor moveWithCells="false" sizeWithCells="false">
              <xdr:from>
                <xdr:col>8</xdr:col>
                <xdr:colOff>16</xdr:colOff>
                <xdr:row>45</xdr:row>
                <xdr:rowOff>7</xdr:rowOff>
              </xdr:from>
              <xdr:to>
                <xdr:col>9</xdr:col>
                <xdr:colOff>41</xdr:colOff>
                <xdr:row>52</xdr:row>
                <xdr:rowOff>12</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173" authorId="0">
      <text>
        <r>
          <rPr>
            <b val="true"/>
            <sz val="12"/>
            <color rgb="FF000000"/>
            <rFont val="Tahoma"/>
            <family val="0"/>
          </rPr>
          <t xml:space="preserve">kreeve1:
</t>
        </r>
        <r>
          <rPr>
            <sz val="12"/>
            <color rgb="FF000000"/>
            <rFont val="Tahoma"/>
            <family val="0"/>
          </rPr>
          <t xml:space="preserve">EM5701</t>
        </r>
      </text>
      <mc:AlternateContent>
        <mc:Choice Requires="v2">
          <commentPr autoFill="true" autoScale="false" colHidden="false" locked="false" rowHidden="false" textHAlign="justify" textVAlign="top">
            <anchor moveWithCells="false" sizeWithCells="false">
              <xdr:from>
                <xdr:col>2</xdr:col>
                <xdr:colOff>16</xdr:colOff>
                <xdr:row>168</xdr:row>
                <xdr:rowOff>13</xdr:rowOff>
              </xdr:from>
              <xdr:to>
                <xdr:col>4</xdr:col>
                <xdr:colOff>12</xdr:colOff>
                <xdr:row>174</xdr:row>
                <xdr:rowOff>15</xdr:rowOff>
              </xdr:to>
            </anchor>
          </commentPr>
        </mc:Choice>
        <mc:Fallback/>
      </mc:AlternateContent>
    </comment>
  </commentList>
</comments>
</file>

<file path=xl/sharedStrings.xml><?xml version="1.0" encoding="utf-8"?>
<sst xmlns="http://schemas.openxmlformats.org/spreadsheetml/2006/main" count="3469" uniqueCount="579">
  <si>
    <t xml:space="preserve">Roll Forward Schedules</t>
  </si>
  <si>
    <t xml:space="preserve">Accounting Month:</t>
  </si>
  <si>
    <t xml:space="preserve">Date:</t>
  </si>
  <si>
    <t xml:space="preserve">Post Ids</t>
  </si>
  <si>
    <t xml:space="preserve">1.</t>
  </si>
  <si>
    <t xml:space="preserve">2. Check Report tab to ensure current day's numbers are zero</t>
  </si>
  <si>
    <t xml:space="preserve">3.</t>
  </si>
  <si>
    <t xml:space="preserve">4. Fill in dates and current day's Post Ids</t>
  </si>
  <si>
    <t xml:space="preserve">Enron Canada Corp.</t>
  </si>
  <si>
    <t xml:space="preserve">West Term</t>
  </si>
  <si>
    <t xml:space="preserve">EOL Book</t>
  </si>
  <si>
    <t xml:space="preserve">December new deals</t>
  </si>
  <si>
    <t xml:space="preserve">Price (733713)</t>
  </si>
  <si>
    <t xml:space="preserve">Index</t>
  </si>
  <si>
    <t xml:space="preserve">Annuity</t>
  </si>
  <si>
    <t xml:space="preserve">Winter new deals</t>
  </si>
  <si>
    <t xml:space="preserve">Price (733710)</t>
  </si>
  <si>
    <t xml:space="preserve">Houston FX</t>
  </si>
  <si>
    <t xml:space="preserve">Remainder</t>
  </si>
  <si>
    <t xml:space="preserve">Price</t>
  </si>
  <si>
    <t xml:space="preserve">Other</t>
  </si>
  <si>
    <t xml:space="preserve">Other origination adjustment</t>
  </si>
  <si>
    <t xml:space="preserve">TOTAL NEW DEALS - EOL and WEST TERM</t>
  </si>
  <si>
    <t xml:space="preserve">Check</t>
  </si>
  <si>
    <t xml:space="preserve">EOL</t>
  </si>
  <si>
    <t xml:space="preserve">Total new deals</t>
  </si>
  <si>
    <t xml:space="preserve">Price FX deals (options or EOL)</t>
  </si>
  <si>
    <t xml:space="preserve">ENRON CAPITAL AND TRADE RESOURCES</t>
  </si>
  <si>
    <t xml:space="preserve">DAILY POSITION STATEMENT</t>
  </si>
  <si>
    <t xml:space="preserve">                                                                                            </t>
  </si>
  <si>
    <t xml:space="preserve">Approval:</t>
  </si>
  <si>
    <t xml:space="preserve">RISK BOOKS</t>
  </si>
  <si>
    <t xml:space="preserve">Cdn Gas (C4) - Alberta &amp; BC</t>
  </si>
  <si>
    <t xml:space="preserve">Subtotal Alberta</t>
  </si>
  <si>
    <t xml:space="preserve">Subtotal EOL</t>
  </si>
  <si>
    <t xml:space="preserve">Cdn Gas (C4) -  BC</t>
  </si>
  <si>
    <t xml:space="preserve"> BC Index</t>
  </si>
  <si>
    <t xml:space="preserve">Subtotal BC</t>
  </si>
  <si>
    <t xml:space="preserve">Options C$ denominated</t>
  </si>
  <si>
    <t xml:space="preserve">Subtotal Options</t>
  </si>
  <si>
    <t xml:space="preserve">TOTAL</t>
  </si>
  <si>
    <t xml:space="preserve">and BC</t>
  </si>
  <si>
    <t xml:space="preserve">Canadian $</t>
  </si>
  <si>
    <t xml:space="preserve">CANADIAN GAS</t>
  </si>
  <si>
    <t xml:space="preserve">Post ID:</t>
  </si>
  <si>
    <t xml:space="preserve">Volumes  long/(short)  (Million MMbtu)</t>
  </si>
  <si>
    <t xml:space="preserve">     Volatility Factor (d)</t>
  </si>
  <si>
    <t xml:space="preserve">     Net NPV Position - Price</t>
  </si>
  <si>
    <t xml:space="preserve">     Net NPV Position - Basis</t>
  </si>
  <si>
    <t xml:space="preserve">     Net NPV Position - Foreign Currency (000s US$)</t>
  </si>
  <si>
    <t xml:space="preserve">     Net NPV Position - Index</t>
  </si>
  <si>
    <t xml:space="preserve">    Price Equivalent Net NPV Position</t>
  </si>
  <si>
    <t xml:space="preserve">     Gross Purchases Position</t>
  </si>
  <si>
    <t xml:space="preserve">     Gross Sales Position</t>
  </si>
  <si>
    <t xml:space="preserve">     Net Notional Position</t>
  </si>
  <si>
    <t xml:space="preserve"> </t>
  </si>
  <si>
    <t xml:space="preserve">PV Margins  (in thousands)</t>
  </si>
  <si>
    <t xml:space="preserve">LTD Through Prior Month</t>
  </si>
  <si>
    <t xml:space="preserve">     Gross Book Balance</t>
  </si>
  <si>
    <t xml:space="preserve">      Prudence</t>
  </si>
  <si>
    <t xml:space="preserve">      Liquidated</t>
  </si>
  <si>
    <t xml:space="preserve">      LTD Income</t>
  </si>
  <si>
    <r>
      <rPr>
        <sz val="10"/>
        <rFont val="Times New Roman"/>
        <family val="1"/>
      </rPr>
      <t xml:space="preserve">     Originated Transactions / </t>
    </r>
    <r>
      <rPr>
        <b val="true"/>
        <sz val="10"/>
        <rFont val="Times New Roman"/>
        <family val="0"/>
      </rPr>
      <t xml:space="preserve">CREDIT RESERVE</t>
    </r>
  </si>
  <si>
    <t xml:space="preserve">Comprised of:</t>
  </si>
  <si>
    <r>
      <rPr>
        <sz val="10"/>
        <rFont val="Times New Roman"/>
        <family val="1"/>
      </rPr>
      <t xml:space="preserve">     </t>
    </r>
    <r>
      <rPr>
        <u val="single"/>
        <sz val="10"/>
        <rFont val="Times New Roman"/>
        <family val="1"/>
      </rPr>
      <t xml:space="preserve">Hedge management</t>
    </r>
  </si>
  <si>
    <t xml:space="preserve">  Credit Reserve: (BR)</t>
  </si>
  <si>
    <t xml:space="preserve">         Change in New Deals</t>
  </si>
  <si>
    <t xml:space="preserve">         Change in Price</t>
  </si>
  <si>
    <t xml:space="preserve">         Change in Basis Price</t>
  </si>
  <si>
    <t xml:space="preserve">         Change in Index Price</t>
  </si>
  <si>
    <t xml:space="preserve">         Change in Foreign Currency</t>
  </si>
  <si>
    <t xml:space="preserve">         Gamma</t>
  </si>
  <si>
    <t xml:space="preserve">         Change in Implied Volatility (Vega)</t>
  </si>
  <si>
    <t xml:space="preserve">         Theta</t>
  </si>
  <si>
    <t xml:space="preserve">         Change in Time</t>
  </si>
  <si>
    <t xml:space="preserve">         Broker Fees</t>
  </si>
  <si>
    <t xml:space="preserve">     Total Hedge Management</t>
  </si>
  <si>
    <t xml:space="preserve">     Change in Price Prudence</t>
  </si>
  <si>
    <t xml:space="preserve">     Other Changes</t>
  </si>
  <si>
    <t xml:space="preserve">     MTD Income (Loss) - Canadian Dollars</t>
  </si>
  <si>
    <t xml:space="preserve">     MTD Income (Loss) - Canadian Dollars including origination and credit reserves</t>
  </si>
  <si>
    <t xml:space="preserve">     Translation Shift in US Dollars</t>
  </si>
  <si>
    <t xml:space="preserve">     Income (Loss) With Trans. Shift in US Dollars</t>
  </si>
  <si>
    <t xml:space="preserve">     Gross Book Balance (including Current Month Rho &amp; Drift)</t>
  </si>
  <si>
    <t xml:space="preserve">     Current Month: Rho</t>
  </si>
  <si>
    <t xml:space="preserve">                           Drift</t>
  </si>
  <si>
    <t xml:space="preserve">     Gross Book Balance (excluding Current Month Rho &amp; Drift)</t>
  </si>
  <si>
    <t xml:space="preserve">     Prudence</t>
  </si>
  <si>
    <t xml:space="preserve">     Liquidated</t>
  </si>
  <si>
    <t xml:space="preserve">LTD Through December 31, 1999</t>
  </si>
  <si>
    <t xml:space="preserve">     Prudence </t>
  </si>
  <si>
    <t xml:space="preserve">    YTD Income - Canadian Dollars</t>
  </si>
  <si>
    <t xml:space="preserve">     Gross Recognized Balance with Trans Shift in USD</t>
  </si>
  <si>
    <t xml:space="preserve">    YTD Income (USD)</t>
  </si>
  <si>
    <t xml:space="preserve">Income (Loss) from Today's....</t>
  </si>
  <si>
    <t xml:space="preserve">     Originated Transactions </t>
  </si>
  <si>
    <t xml:space="preserve">     Total Income (Loss) - Canadian Dollars</t>
  </si>
  <si>
    <t xml:space="preserve">     Income (Loss) with Translation Shift in US Dollars</t>
  </si>
  <si>
    <t xml:space="preserve">     Income (Loss) Without Trans. Shift in US Dollars</t>
  </si>
  <si>
    <t xml:space="preserve">     Total Income (Loss) - Canadian Dollars - WEST &amp; EOL</t>
  </si>
  <si>
    <t xml:space="preserve">  </t>
  </si>
  <si>
    <t xml:space="preserve">   LTD Gross recognized as of prior day</t>
  </si>
  <si>
    <t xml:space="preserve">                                                                                                                                                                                                                                                               </t>
  </si>
  <si>
    <t xml:space="preserve">   Prior Day Origination</t>
  </si>
  <si>
    <t xml:space="preserve">   Prior Day Hedge Management</t>
  </si>
  <si>
    <t xml:space="preserve">         Prior Day Change in new Deals</t>
  </si>
  <si>
    <t xml:space="preserve">         Prior Day Change in Price</t>
  </si>
  <si>
    <t xml:space="preserve">         Prior Day Change in Basis Price</t>
  </si>
  <si>
    <t xml:space="preserve">         Prior Day Change in Index Price</t>
  </si>
  <si>
    <t xml:space="preserve">         Prior Day Change in Foreign Currency</t>
  </si>
  <si>
    <t xml:space="preserve">         Prior Day Gamma</t>
  </si>
  <si>
    <t xml:space="preserve">         Prior Day Change in Implied Volatility</t>
  </si>
  <si>
    <t xml:space="preserve">         Prior Day Theta</t>
  </si>
  <si>
    <t xml:space="preserve">         Prior Day Change in Time</t>
  </si>
  <si>
    <t xml:space="preserve">         Prior Day  Broker Fees</t>
  </si>
  <si>
    <t xml:space="preserve">   Prior Day Hedge Management - Total</t>
  </si>
  <si>
    <t xml:space="preserve">   Prior Day Prudency</t>
  </si>
  <si>
    <t xml:space="preserve">   Prior Day Other</t>
  </si>
  <si>
    <t xml:space="preserve">DO NOT ERASE - USED TO ROLL AT MONTH END</t>
  </si>
  <si>
    <t xml:space="preserve">==&gt;&gt;</t>
  </si>
  <si>
    <t xml:space="preserve">Jon McKay</t>
  </si>
  <si>
    <t xml:space="preserve">Chris Lambie</t>
  </si>
  <si>
    <t xml:space="preserve">John Disturnal</t>
  </si>
  <si>
    <t xml:space="preserve">Total Canadian</t>
  </si>
  <si>
    <t xml:space="preserve">$US</t>
  </si>
  <si>
    <t xml:space="preserve">Gas ($US)</t>
  </si>
  <si>
    <t xml:space="preserve">95 Year End Bal:</t>
  </si>
  <si>
    <t xml:space="preserve">Roll Forward Schedule</t>
  </si>
  <si>
    <t xml:space="preserve">Book:</t>
  </si>
  <si>
    <t xml:space="preserve">Canadian Gas (C4) - AB &amp; BC</t>
  </si>
  <si>
    <t xml:space="preserve">Current Day Post ID:</t>
  </si>
  <si>
    <t xml:space="preserve">NOTIONAL VOLUMES</t>
  </si>
  <si>
    <t xml:space="preserve">CALCULATED LONG/SHORT</t>
  </si>
  <si>
    <t xml:space="preserve">Permanent Volume Adjustment</t>
  </si>
  <si>
    <t xml:space="preserve">Price Position</t>
  </si>
  <si>
    <t xml:space="preserve">Basis Position</t>
  </si>
  <si>
    <t xml:space="preserve">Currency Position</t>
  </si>
  <si>
    <t xml:space="preserve">               </t>
  </si>
  <si>
    <t xml:space="preserve">Long</t>
  </si>
  <si>
    <t xml:space="preserve">Short</t>
  </si>
  <si>
    <t xml:space="preserve">When system was changed over from Lotus to Oracle, a discrepancy</t>
  </si>
  <si>
    <t xml:space="preserve">I. Unrealized MTM Gain (Losses)</t>
  </si>
  <si>
    <t xml:space="preserve">Prior</t>
  </si>
  <si>
    <t xml:space="preserve">Today</t>
  </si>
  <si>
    <t xml:space="preserve">Source</t>
  </si>
  <si>
    <t xml:space="preserve">Current Day</t>
  </si>
  <si>
    <t xml:space="preserve">between the Oracle volumes and Lotus volumes was discovered</t>
  </si>
  <si>
    <t xml:space="preserve">     Mid P/L Swaps</t>
  </si>
  <si>
    <t xml:space="preserve">Man Input</t>
  </si>
  <si>
    <t xml:space="preserve">(Oracle  - P&amp;L Top Page)</t>
  </si>
  <si>
    <t xml:space="preserve">    Long</t>
  </si>
  <si>
    <t xml:space="preserve">     Mid P/L Options</t>
  </si>
  <si>
    <t xml:space="preserve">    Short</t>
  </si>
  <si>
    <t xml:space="preserve">An assumption was made the Lotus volumes (which were higher)  were more accurate;</t>
  </si>
  <si>
    <t xml:space="preserve">     NYMEX Options MTM Value</t>
  </si>
  <si>
    <t xml:space="preserve">(Oracle - Rpt RSX0280 - Options daily P/(L) Totl MTM)</t>
  </si>
  <si>
    <t xml:space="preserve">    Options</t>
  </si>
  <si>
    <t xml:space="preserve">therefore adjustment to Oracle volumes is as follows:</t>
  </si>
  <si>
    <t xml:space="preserve">     NYMEX Futures MTM Value</t>
  </si>
  <si>
    <t xml:space="preserve">(Oracle - NYMEX Accounting Summary Schedule)</t>
  </si>
  <si>
    <t xml:space="preserve">    Futures</t>
  </si>
  <si>
    <t xml:space="preserve">     Foreign Currency</t>
  </si>
  <si>
    <t xml:space="preserve">Use March 1995 as basis for adjustment</t>
  </si>
  <si>
    <t xml:space="preserve">PERMANENT</t>
  </si>
  <si>
    <t xml:space="preserve">     Rho/Drift  Adjustments - Schedule A</t>
  </si>
  <si>
    <t xml:space="preserve">Cell Ref </t>
  </si>
  <si>
    <t xml:space="preserve">Net Notional</t>
  </si>
  <si>
    <t xml:space="preserve">ADJUSTMENT</t>
  </si>
  <si>
    <t xml:space="preserve">     Transactions ex Oracle - Schedule B</t>
  </si>
  <si>
    <t xml:space="preserve">Volatility</t>
  </si>
  <si>
    <t xml:space="preserve">PER ORACLE</t>
  </si>
  <si>
    <t xml:space="preserve">PER ROLL </t>
  </si>
  <si>
    <t xml:space="preserve">(/1,000,000)</t>
  </si>
  <si>
    <t xml:space="preserve">     Perm Book Adjustments - Schedule C</t>
  </si>
  <si>
    <t xml:space="preserve">Net PV</t>
  </si>
  <si>
    <t xml:space="preserve">Purchase Position</t>
  </si>
  <si>
    <t xml:space="preserve">Sales Position</t>
  </si>
  <si>
    <t xml:space="preserve">Prior Month</t>
  </si>
  <si>
    <t xml:space="preserve">Net Position</t>
  </si>
  <si>
    <t xml:space="preserve">Current Month Gross Book Balance with Current Month Rho/Drift Impact)</t>
  </si>
  <si>
    <t xml:space="preserve">II. Prudency</t>
  </si>
  <si>
    <t xml:space="preserve">     Prior Month Prudency Balance</t>
  </si>
  <si>
    <t xml:space="preserve">     Current Month Prudency</t>
  </si>
  <si>
    <t xml:space="preserve">     Current Month Prudency Balance</t>
  </si>
  <si>
    <t xml:space="preserve">     Accounting Adjustments - Schedule D</t>
  </si>
  <si>
    <t xml:space="preserve">    Total Prudency</t>
  </si>
  <si>
    <t xml:space="preserve">III. Realized Gains (Losses)</t>
  </si>
  <si>
    <t xml:space="preserve">ROLL TESTS</t>
  </si>
  <si>
    <t xml:space="preserve">Book Balance</t>
  </si>
  <si>
    <t xml:space="preserve">Prudency</t>
  </si>
  <si>
    <t xml:space="preserve">     Prior Month LTD Liquidations</t>
  </si>
  <si>
    <t xml:space="preserve">Manual Input</t>
  </si>
  <si>
    <t xml:space="preserve">     Current Month Swap/Options Liquidations</t>
  </si>
  <si>
    <t xml:space="preserve">Cell Ref</t>
  </si>
  <si>
    <t xml:space="preserve">    Gross Book Balance</t>
  </si>
  <si>
    <t xml:space="preserve">     Current Month NYMEX Futures Liquidations</t>
  </si>
  <si>
    <t xml:space="preserve">    Prudency</t>
  </si>
  <si>
    <t xml:space="preserve">     Current Month NYMEX Option Premiums</t>
  </si>
  <si>
    <t xml:space="preserve">    LTD Liquidations</t>
  </si>
  <si>
    <t xml:space="preserve">     Current Month Broker Fees</t>
  </si>
  <si>
    <t xml:space="preserve">     Current Month Liquidation Adjustments (Book/Acct Recon)</t>
  </si>
  <si>
    <t xml:space="preserve">Current MTD Daily</t>
  </si>
  <si>
    <t xml:space="preserve">Daily Total Below</t>
  </si>
  <si>
    <t xml:space="preserve">     Prior Period Liquidations Adjustment - Sched E</t>
  </si>
  <si>
    <t xml:space="preserve">   Current Month LTD Liquidations</t>
  </si>
  <si>
    <t xml:space="preserve">Total</t>
  </si>
  <si>
    <t xml:space="preserve">IV. LTD Recognized</t>
  </si>
  <si>
    <t xml:space="preserve">Difference</t>
  </si>
  <si>
    <t xml:space="preserve">OTC</t>
  </si>
  <si>
    <t xml:space="preserve">DO NOT REMOVE</t>
  </si>
  <si>
    <t xml:space="preserve">Ttl Dly Chg =&gt;</t>
  </si>
  <si>
    <t xml:space="preserve">Value</t>
  </si>
  <si>
    <t xml:space="preserve">Day of the Week</t>
  </si>
  <si>
    <t xml:space="preserve">SENSITIVITY</t>
  </si>
  <si>
    <t xml:space="preserve">S</t>
  </si>
  <si>
    <t xml:space="preserve">M</t>
  </si>
  <si>
    <t xml:space="preserve">MTD Cumulative</t>
  </si>
  <si>
    <t xml:space="preserve">T</t>
  </si>
  <si>
    <t xml:space="preserve">Price Curve Shift</t>
  </si>
  <si>
    <t xml:space="preserve">W</t>
  </si>
  <si>
    <t xml:space="preserve">Basis Curve Shift</t>
  </si>
  <si>
    <t xml:space="preserve">R</t>
  </si>
  <si>
    <t xml:space="preserve">Index Curve Shift</t>
  </si>
  <si>
    <t xml:space="preserve">F</t>
  </si>
  <si>
    <t xml:space="preserve">Gas Daily Curve Shift</t>
  </si>
  <si>
    <t xml:space="preserve">FX Curve Shift</t>
  </si>
  <si>
    <t xml:space="preserve">Trans Ex Oracle Cve Sh</t>
  </si>
  <si>
    <t xml:space="preserve">New Deals</t>
  </si>
  <si>
    <t xml:space="preserve">Foreign Currency-FX Book</t>
  </si>
  <si>
    <t xml:space="preserve">Gamma</t>
  </si>
  <si>
    <t xml:space="preserve">Vega</t>
  </si>
  <si>
    <t xml:space="preserve">Theta</t>
  </si>
  <si>
    <t xml:space="preserve">Rho </t>
  </si>
  <si>
    <t xml:space="preserve">Drift</t>
  </si>
  <si>
    <t xml:space="preserve">Origination</t>
  </si>
  <si>
    <t xml:space="preserve">Liquidations - Book</t>
  </si>
  <si>
    <t xml:space="preserve">2nd Order</t>
  </si>
  <si>
    <t xml:space="preserve">FX Rho</t>
  </si>
  <si>
    <t xml:space="preserve">FX Drift</t>
  </si>
  <si>
    <t xml:space="preserve">Prepaid Amortization</t>
  </si>
  <si>
    <t xml:space="preserve">Broker Fees (s/b negative)</t>
  </si>
  <si>
    <t xml:space="preserve">Spot Liquidations</t>
  </si>
  <si>
    <t xml:space="preserve">Book/Act Recon Liquid</t>
  </si>
  <si>
    <t xml:space="preserve">Other (See schedule E)</t>
  </si>
  <si>
    <t xml:space="preserve">   "Other" Note reference</t>
  </si>
  <si>
    <t xml:space="preserve">Sched E Ref:</t>
  </si>
  <si>
    <t xml:space="preserve">Total Monthly Change</t>
  </si>
  <si>
    <t xml:space="preserve">EXCHANGE  (hidden)</t>
  </si>
  <si>
    <t xml:space="preserve">FUTURES</t>
  </si>
  <si>
    <t xml:space="preserve">2 Year Bonds</t>
  </si>
  <si>
    <t xml:space="preserve">5 Year Bonds</t>
  </si>
  <si>
    <t xml:space="preserve">10 Year Bonds</t>
  </si>
  <si>
    <t xml:space="preserve">30 Year Bonds</t>
  </si>
  <si>
    <t xml:space="preserve">Canadian Dollars</t>
  </si>
  <si>
    <t xml:space="preserve">Crude</t>
  </si>
  <si>
    <t xml:space="preserve">Eurodallars</t>
  </si>
  <si>
    <t xml:space="preserve">Gas</t>
  </si>
  <si>
    <t xml:space="preserve">Gas Crack</t>
  </si>
  <si>
    <t xml:space="preserve">Heat Crack</t>
  </si>
  <si>
    <t xml:space="preserve">Heat Oil</t>
  </si>
  <si>
    <t xml:space="preserve">Propane</t>
  </si>
  <si>
    <t xml:space="preserve">Unleaded</t>
  </si>
  <si>
    <t xml:space="preserve">Tot MTD Futures Liquid.</t>
  </si>
  <si>
    <t xml:space="preserve">OPTION PREMIUMS</t>
  </si>
  <si>
    <t xml:space="preserve">Tot MTD Opt.Prem Liquid.</t>
  </si>
  <si>
    <t xml:space="preserve">SUPPORTING SCHEDULES</t>
  </si>
  <si>
    <t xml:space="preserve">Schedule A: Rho &amp; Drift Adjustments</t>
  </si>
  <si>
    <t xml:space="preserve">Schedule B: Transactions Ex Oracle</t>
  </si>
  <si>
    <t xml:space="preserve">Date</t>
  </si>
  <si>
    <t xml:space="preserve">Description</t>
  </si>
  <si>
    <t xml:space="preserve">Amount</t>
  </si>
  <si>
    <t xml:space="preserve">LTD Through 1995</t>
  </si>
  <si>
    <t xml:space="preserve">LTD Rho/Drift Adjustment through December 1996</t>
  </si>
  <si>
    <t xml:space="preserve">1997</t>
  </si>
  <si>
    <t xml:space="preserve">Adj. Drift &amp; Rho-1997</t>
  </si>
  <si>
    <t xml:space="preserve">1998</t>
  </si>
  <si>
    <t xml:space="preserve">Adj. Drift &amp; Rho-1998</t>
  </si>
  <si>
    <t xml:space="preserve">Nov-17-2000</t>
  </si>
  <si>
    <t xml:space="preserve">Exotics Option P&amp;L</t>
  </si>
  <si>
    <t xml:space="preserve">Adj. Drift &amp; Rho-01/99</t>
  </si>
  <si>
    <t xml:space="preserve">Adj. Drift &amp; Rho-02/99</t>
  </si>
  <si>
    <t xml:space="preserve">Mar 11/99</t>
  </si>
  <si>
    <t xml:space="preserve">Cosolidation of East with Alberta</t>
  </si>
  <si>
    <t xml:space="preserve">Adj. Drift &amp; Rho-03/99</t>
  </si>
  <si>
    <t xml:space="preserve">Adj. Drift &amp; Rho-04/99</t>
  </si>
  <si>
    <t xml:space="preserve">Adj. Drift &amp; Rho-05/99</t>
  </si>
  <si>
    <t xml:space="preserve">Adj. Drift &amp; Rho-06/99</t>
  </si>
  <si>
    <t xml:space="preserve">Adj. Drift &amp; Rho-07/99</t>
  </si>
  <si>
    <t xml:space="preserve">Adj. Drift &amp; Rho-08/99</t>
  </si>
  <si>
    <t xml:space="preserve">Adj. Drift &amp; Rho-09/99</t>
  </si>
  <si>
    <t xml:space="preserve">Adj. Drift &amp; Rho-10/99</t>
  </si>
  <si>
    <t xml:space="preserve">Adj. Drift &amp; Rho-11/99</t>
  </si>
  <si>
    <t xml:space="preserve">Adj. Drift &amp; Rho-12/99</t>
  </si>
  <si>
    <t xml:space="preserve">Adj. Drift &amp; Rho-01/00</t>
  </si>
  <si>
    <t xml:space="preserve">Adj. Drift &amp; Rho-02/00</t>
  </si>
  <si>
    <t xml:space="preserve">Adj. Drift &amp; Rho-03/00</t>
  </si>
  <si>
    <t xml:space="preserve">BC MIGRATION</t>
  </si>
  <si>
    <t xml:space="preserve">Adj. Drift &amp; Rho-04/00</t>
  </si>
  <si>
    <t xml:space="preserve">Adj. Drift &amp; Rho-05/00</t>
  </si>
  <si>
    <t xml:space="preserve">Straddle Migration</t>
  </si>
  <si>
    <t xml:space="preserve">Adj. Drift &amp; Rho-06/00</t>
  </si>
  <si>
    <t xml:space="preserve">Adj. Drift &amp; Rho-07/00</t>
  </si>
  <si>
    <t xml:space="preserve">Adj. Drift &amp; Rho-08/00</t>
  </si>
  <si>
    <t xml:space="preserve">Adj. Drift &amp; Rho-09/00</t>
  </si>
  <si>
    <t xml:space="preserve">Adj. Drift &amp; Rho-10/00</t>
  </si>
  <si>
    <t xml:space="preserve">Total Transactions Ex Oracle</t>
  </si>
  <si>
    <t xml:space="preserve">Total Rho &amp; Drift Adjustments</t>
  </si>
  <si>
    <t xml:space="preserve">Schedule C: Perm Book Adjustments</t>
  </si>
  <si>
    <t xml:space="preserve">FX Adjustment - CNR Deal</t>
  </si>
  <si>
    <t xml:space="preserve">Prior (&lt;1/1/96) </t>
  </si>
  <si>
    <t xml:space="preserve">To be written off by Dec 2009</t>
  </si>
  <si>
    <t xml:space="preserve">FX Swap</t>
  </si>
  <si>
    <t xml:space="preserve">US$ Adjustmnts</t>
  </si>
  <si>
    <t xml:space="preserve">00/00/1994</t>
  </si>
  <si>
    <t xml:space="preserve">Options not valued in Oracle</t>
  </si>
  <si>
    <t xml:space="preserve">converted 12/31/</t>
  </si>
  <si>
    <t xml:space="preserve">Basis swap Adj</t>
  </si>
  <si>
    <t xml:space="preserve">94 spot-1.3645</t>
  </si>
  <si>
    <t xml:space="preserve">1995 Adj: (1)Rho/drift reclass 344,142 (2) NXProm correction 572,282 (3) '95 P7 P&amp;L 1,356,433.</t>
  </si>
  <si>
    <t xml:space="preserve">Write off (over 10 yrs) FX Adjustment CNR Deal (Dec98)</t>
  </si>
  <si>
    <t xml:space="preserve">1999</t>
  </si>
  <si>
    <t xml:space="preserve">Write off (over 10 yrs) FX Adjustment CNR Deal (Jan 99-Dec99)</t>
  </si>
  <si>
    <t xml:space="preserve">April 14/99</t>
  </si>
  <si>
    <t xml:space="preserve">Reversed  Annuity regarding Utility Bond Prepaid Deal deal (EV7251)</t>
  </si>
  <si>
    <t xml:space="preserve">Blue Range MSA - to reverse P&amp;L impact - amount to be set up as a separate receivable</t>
  </si>
  <si>
    <t xml:space="preserve">To Provide for changes in toll rates</t>
  </si>
  <si>
    <t xml:space="preserve">Back out MSA -Blue Range&amp; put into Orig. schedule</t>
  </si>
  <si>
    <t xml:space="preserve">To zero out P7 Book Schedule C adjustments</t>
  </si>
  <si>
    <t xml:space="preserve">For Gas Alberta storage deal -NJ9955</t>
  </si>
  <si>
    <t xml:space="preserve">To be written off my March 2001</t>
  </si>
  <si>
    <t xml:space="preserve">Total Perm Book Adjustments</t>
  </si>
  <si>
    <t xml:space="preserve">Schedule D: Accounting Adjustments (Prudency)</t>
  </si>
  <si>
    <t xml:space="preserve">Number</t>
  </si>
  <si>
    <t xml:space="preserve">Deal Number</t>
  </si>
  <si>
    <t xml:space="preserve">Counterparty</t>
  </si>
  <si>
    <t xml:space="preserve">Total Accounting Adjustments (Prudency)</t>
  </si>
  <si>
    <t xml:space="preserve">Scedule E: Prior Period Liquidation Adjustments</t>
  </si>
  <si>
    <t xml:space="preserve">Total Prior Period Liquidation Adjustments</t>
  </si>
  <si>
    <t xml:space="preserve">Alberta and BC Index</t>
  </si>
  <si>
    <t xml:space="preserve">C-1</t>
  </si>
  <si>
    <t xml:space="preserve">EXCHANGE</t>
  </si>
  <si>
    <t xml:space="preserve">LTD Through 1994</t>
  </si>
  <si>
    <t xml:space="preserve">Adj. Drift &amp; Rho-1/99</t>
  </si>
  <si>
    <t xml:space="preserve">Adj. Drift &amp; Rho-2/99</t>
  </si>
  <si>
    <t xml:space="preserve">Adj. Drift &amp; Rho-3/99</t>
  </si>
  <si>
    <t xml:space="preserve">Adj. Drift &amp; Rho-4/99</t>
  </si>
  <si>
    <t xml:space="preserve">Adj. Drift &amp; Rho-5/99</t>
  </si>
  <si>
    <t xml:space="preserve">Adj. Drift &amp; Rho-6/99</t>
  </si>
  <si>
    <t xml:space="preserve">Adj. Drift &amp; Rho-7/99</t>
  </si>
  <si>
    <t xml:space="preserve">Adj. Drift &amp; Rho-8/99</t>
  </si>
  <si>
    <t xml:space="preserve">Adj. Drift &amp; Rho-9/99</t>
  </si>
  <si>
    <t xml:space="preserve">Canadian Gas (C4) - BC Region</t>
  </si>
  <si>
    <t xml:space="preserve">Exotics options</t>
  </si>
  <si>
    <t xml:space="preserve">This amount has been entered due to the fact that stn2 is not a </t>
  </si>
  <si>
    <t xml:space="preserve">liquid market.</t>
  </si>
  <si>
    <t xml:space="preserve">Canadian Gas (C4) -EOL</t>
  </si>
  <si>
    <t xml:space="preserve">     GAS DAILY SWAPS</t>
  </si>
  <si>
    <t xml:space="preserve">     Current Month Spot Liquidations</t>
  </si>
  <si>
    <t xml:space="preserve">EOL Index</t>
  </si>
  <si>
    <t xml:space="preserve">Change in Existing Deals</t>
  </si>
  <si>
    <t xml:space="preserve">Canadian Gas (CD) Options</t>
  </si>
  <si>
    <t xml:space="preserve">     Options Gas Daily</t>
  </si>
  <si>
    <t xml:space="preserve">Prior Month Bal</t>
  </si>
  <si>
    <t xml:space="preserve">Total Prudency Balance</t>
  </si>
  <si>
    <t xml:space="preserve">Broker Fees (Intra Month)</t>
  </si>
  <si>
    <t xml:space="preserve">LTD Through 1997</t>
  </si>
  <si>
    <t xml:space="preserve">LTD Rho/Drift Adjustment through December 1997</t>
  </si>
  <si>
    <t xml:space="preserve">MTM of exotics portfolio as of month end:</t>
  </si>
  <si>
    <t xml:space="preserve">LTD Through 1998</t>
  </si>
  <si>
    <t xml:space="preserve">LTD Rho/Drift Adjustment through December 1998</t>
  </si>
  <si>
    <t xml:space="preserve">May 17th MidMonth trueup</t>
  </si>
  <si>
    <t xml:space="preserve">MTM and Liquidations</t>
  </si>
  <si>
    <t xml:space="preserve">Q38619</t>
  </si>
  <si>
    <t xml:space="preserve">Rio Alto</t>
  </si>
  <si>
    <t xml:space="preserve">Options Index</t>
  </si>
  <si>
    <t xml:space="preserve">Exotics Book</t>
  </si>
  <si>
    <t xml:space="preserve">Foreign Currency</t>
  </si>
  <si>
    <t xml:space="preserve">F/X on new deals</t>
  </si>
  <si>
    <t xml:space="preserve">EV5032</t>
  </si>
  <si>
    <t xml:space="preserve">CIBC</t>
  </si>
  <si>
    <t xml:space="preserve">EZ0320</t>
  </si>
  <si>
    <t xml:space="preserve">Dow</t>
  </si>
  <si>
    <t xml:space="preserve">Canadian Gas Options-Prop</t>
  </si>
  <si>
    <t xml:space="preserve">Amalgamated into Canadian Options Book</t>
  </si>
  <si>
    <t xml:space="preserve">Prior Year Ending Spot:</t>
  </si>
  <si>
    <t xml:space="preserve">Daily</t>
  </si>
  <si>
    <t xml:space="preserve">MTD</t>
  </si>
  <si>
    <t xml:space="preserve">Curr Day</t>
  </si>
  <si>
    <t xml:space="preserve">Prior Month Average Spot</t>
  </si>
  <si>
    <t xml:space="preserve">Spot</t>
  </si>
  <si>
    <t xml:space="preserve">Average</t>
  </si>
  <si>
    <t xml:space="preserve">Mon. Avg</t>
  </si>
  <si>
    <t xml:space="preserve">Oct 31/00</t>
  </si>
  <si>
    <t xml:space="preserve">TODAY'S SPOT</t>
  </si>
  <si>
    <t xml:space="preserve">SUMMARY OF TOLLS</t>
  </si>
  <si>
    <t xml:space="preserve">AS OF</t>
  </si>
  <si>
    <t xml:space="preserve">Toll Name</t>
  </si>
  <si>
    <t xml:space="preserve">Description of Toll</t>
  </si>
  <si>
    <t xml:space="preserve">Fuel %</t>
  </si>
  <si>
    <t xml:space="preserve">Position</t>
  </si>
  <si>
    <t xml:space="preserve">Curve</t>
  </si>
  <si>
    <t xml:space="preserve">Currency/UOM</t>
  </si>
  <si>
    <t xml:space="preserve">Comments</t>
  </si>
  <si>
    <t xml:space="preserve">TOLL:ABC/KING</t>
  </si>
  <si>
    <t xml:space="preserve">ANG tolls from ABC to Kingsgate</t>
  </si>
  <si>
    <t xml:space="preserve">yes</t>
  </si>
  <si>
    <t xml:space="preserve">Cad/GJ</t>
  </si>
  <si>
    <t xml:space="preserve">TOLL:AECO/ABC</t>
  </si>
  <si>
    <t xml:space="preserve">Nova tolls from Aeco to ABC</t>
  </si>
  <si>
    <t xml:space="preserve">N/A</t>
  </si>
  <si>
    <t xml:space="preserve">The curve is marked at $.12 for 31 day months and $.124 for 30 day months</t>
  </si>
  <si>
    <t xml:space="preserve">TOLL:AECO/EMP</t>
  </si>
  <si>
    <t xml:space="preserve">Nova tolls from Aeco to Empress</t>
  </si>
  <si>
    <t xml:space="preserve">TOLL:AECO/MCNEIL</t>
  </si>
  <si>
    <t xml:space="preserve">Nova tolls from Aeco to McNeil</t>
  </si>
  <si>
    <t xml:space="preserve">TOLL:EMER/ST.CL</t>
  </si>
  <si>
    <t xml:space="preserve">Great Lakes tolls from Emerson to St.Clair</t>
  </si>
  <si>
    <t xml:space="preserve">no</t>
  </si>
  <si>
    <t xml:space="preserve">Usd/MM</t>
  </si>
  <si>
    <t xml:space="preserve">TOLL:EMP/EAST.Z</t>
  </si>
  <si>
    <t xml:space="preserve">TCPL tolls from Empress to East Zone</t>
  </si>
  <si>
    <t xml:space="preserve">The curve is marked at $.936 till Oct 99; $.89 thereafter</t>
  </si>
  <si>
    <t xml:space="preserve">TOLL:EMP/EMER</t>
  </si>
  <si>
    <t xml:space="preserve">TCPL tolls from Empress to Emerson</t>
  </si>
  <si>
    <t xml:space="preserve">TOLL:EMP/WADD</t>
  </si>
  <si>
    <t xml:space="preserve">TCPL tolls from Empress to Waddington</t>
  </si>
  <si>
    <t xml:space="preserve">The curve is marked at $.992 till Oct 99; $.995 thereafter</t>
  </si>
  <si>
    <t xml:space="preserve">TOLL:KING/MALIN</t>
  </si>
  <si>
    <t xml:space="preserve">PGT tolls from Kingsgate to Malin</t>
  </si>
  <si>
    <t xml:space="preserve">We are aware of a scheduled decrease in tolls by $.05 for the year 2000 and thereafter but this is not reflected in the curve</t>
  </si>
  <si>
    <t xml:space="preserve">TOLL:MCNEIL/MON</t>
  </si>
  <si>
    <t xml:space="preserve">Foothills tolls from McNeil to Monchy</t>
  </si>
  <si>
    <t xml:space="preserve">TOLL:MONCH/CHI</t>
  </si>
  <si>
    <t xml:space="preserve">Northern Border tolls from Monchy to Chicago</t>
  </si>
  <si>
    <t xml:space="preserve">TOLL:MONCH/VEN</t>
  </si>
  <si>
    <t xml:space="preserve">Northern Border tolls from Monchy to Ventura</t>
  </si>
  <si>
    <t xml:space="preserve">TOLL:SUMAS/STN2</t>
  </si>
  <si>
    <t xml:space="preserve">Westcoast tolls from Sumas to Stn2</t>
  </si>
  <si>
    <t xml:space="preserve">TOLL:WADD/BOS</t>
  </si>
  <si>
    <t xml:space="preserve">IGT &amp; TGP tolls from Waddington to Boston Citygate</t>
  </si>
  <si>
    <t xml:space="preserve">Note:  The above curves were based on published rate schedules from the pipelines, and include all firm transportation charges.  Geri maintains a binder which supports how the </t>
  </si>
  <si>
    <t xml:space="preserve">  curves were arrived at. For the most part the curves are based on current toll rates and are not adjusted for any anticipated rate changes.  The toll curves therefore</t>
  </si>
  <si>
    <t xml:space="preserve">  need to continually monitored for any material changes.</t>
  </si>
  <si>
    <t xml:space="preserve">PRUDENCY SUMMARY</t>
  </si>
  <si>
    <t xml:space="preserve">PGT Toll Reserve</t>
  </si>
  <si>
    <t xml:space="preserve">The PGT toll curve is marked as a flat curve at the current toll rate.  This reserve is to provide for any escalation of the toll over the years.  We are short approx 20 contacts per month until Oct 05.</t>
  </si>
  <si>
    <t xml:space="preserve">Northern Border Toll Reserve</t>
  </si>
  <si>
    <t xml:space="preserve">The Northern Border toll curve is marked as a flat curve at the current toll rate.  This reserve is to provide for any escalation of the toll over the years.  We are short approx 36 contacts per month until Nov 08.</t>
  </si>
  <si>
    <t xml:space="preserve">Funding</t>
  </si>
  <si>
    <t xml:space="preserve">Relates to deals with the Prepaid book done Apr 14/99 - EV7251.  Included in the $2.1M is $353,764 which is in Schedule C.</t>
  </si>
  <si>
    <t xml:space="preserve">Utility Index Bond Deals</t>
  </si>
  <si>
    <t xml:space="preserve">CNRL Reserve (Milnthorp)</t>
  </si>
  <si>
    <t xml:space="preserve">Relates to CNRL liquids extraction deal done Jan 28/98.  The deals ends Oct 08.</t>
  </si>
  <si>
    <t xml:space="preserve">Additional Toll Prudency in Schedule C</t>
  </si>
  <si>
    <t xml:space="preserve">Additional toll prudency added to schedule C July 22/99</t>
  </si>
  <si>
    <t xml:space="preserve">Gas Alberta Reserve</t>
  </si>
  <si>
    <t xml:space="preserve">General Reserve</t>
  </si>
  <si>
    <t xml:space="preserve">To generally provide for the subjective nature of mark to market accounting.</t>
  </si>
  <si>
    <t xml:space="preserve">Total Prudency</t>
  </si>
  <si>
    <t xml:space="preserve">PRUDENCY CALCULATION</t>
  </si>
  <si>
    <t xml:space="preserve">INPUT</t>
  </si>
  <si>
    <t xml:space="preserve">US$ Prud</t>
  </si>
  <si>
    <t xml:space="preserve">Converted</t>
  </si>
  <si>
    <t xml:space="preserve">CAD $</t>
  </si>
  <si>
    <t xml:space="preserve">Adjusted</t>
  </si>
  <si>
    <t xml:space="preserve">Utility Index</t>
  </si>
  <si>
    <t xml:space="preserve">East</t>
  </si>
  <si>
    <t xml:space="preserve">Andersen</t>
  </si>
  <si>
    <t xml:space="preserve">BC</t>
  </si>
  <si>
    <t xml:space="preserve">Value per</t>
  </si>
  <si>
    <t xml:space="preserve">to CAN $$</t>
  </si>
  <si>
    <t xml:space="preserve">Offline</t>
  </si>
  <si>
    <t xml:space="preserve">HPL/CLC Adj</t>
  </si>
  <si>
    <t xml:space="preserve">Mid Market Reserve</t>
  </si>
  <si>
    <t xml:space="preserve">Note</t>
  </si>
  <si>
    <t xml:space="preserve">Beau Canada</t>
  </si>
  <si>
    <t xml:space="preserve">PGT Toll</t>
  </si>
  <si>
    <t xml:space="preserve">General</t>
  </si>
  <si>
    <t xml:space="preserve">Bond Deals</t>
  </si>
  <si>
    <t xml:space="preserve">NB Toll</t>
  </si>
  <si>
    <t xml:space="preserve">Petro-C</t>
  </si>
  <si>
    <t xml:space="preserve">Humble</t>
  </si>
  <si>
    <t xml:space="preserve">Diverision</t>
  </si>
  <si>
    <t xml:space="preserve">CNRL</t>
  </si>
  <si>
    <t xml:space="preserve">Malin</t>
  </si>
  <si>
    <t xml:space="preserve">EAST &amp;</t>
  </si>
  <si>
    <t xml:space="preserve">Summ Report</t>
  </si>
  <si>
    <t xml:space="preserve">Change</t>
  </si>
  <si>
    <t xml:space="preserve">(HPL/SHPCHAN)</t>
  </si>
  <si>
    <t xml:space="preserve">Open Position</t>
  </si>
  <si>
    <t xml:space="preserve">Reserve</t>
  </si>
  <si>
    <t xml:space="preserve">WEST</t>
  </si>
  <si>
    <t xml:space="preserve">(Deduction)</t>
  </si>
  <si>
    <t xml:space="preserve">PRUDENCY TOTAL PER REPORT</t>
  </si>
  <si>
    <t xml:space="preserve">DIFFERENCE - s/b zero</t>
  </si>
  <si>
    <t xml:space="preserve">Canadian Gas</t>
  </si>
  <si>
    <t xml:space="preserve">US$ Conversion</t>
  </si>
  <si>
    <t xml:space="preserve">Jun Liqu Adj</t>
  </si>
  <si>
    <t xml:space="preserve">Swap between books</t>
  </si>
  <si>
    <t xml:space="preserve">Basis Swap Adj</t>
  </si>
  <si>
    <t xml:space="preserve">Northern Border Hedge Unwind - see George Gilbert - approx  1160K USD</t>
  </si>
  <si>
    <t xml:space="preserve">Reverse Northern Border Hedge Unwind - see George Gilbert - approx  1160K USD</t>
  </si>
  <si>
    <t xml:space="preserve">To zero out Scheule C of Canada's P7 book</t>
  </si>
  <si>
    <t xml:space="preserve">ENRON CAPITAL &amp; TRADE RESOURCES CANADA CORP</t>
  </si>
  <si>
    <t xml:space="preserve">^ENRON RISK MANAGEMENT SERVICES CORP.</t>
  </si>
  <si>
    <t xml:space="preserve">Total Notional</t>
  </si>
  <si>
    <t xml:space="preserve">US Dollar</t>
  </si>
  <si>
    <t xml:space="preserve">Canadian Dollar</t>
  </si>
  <si>
    <t xml:space="preserve">Quantities (BBtu)</t>
  </si>
  <si>
    <t xml:space="preserve">Origination Value</t>
  </si>
  <si>
    <t xml:space="preserve">Original</t>
  </si>
  <si>
    <t xml:space="preserve">NOTE:  DATE AND CUSTOMER INFO MUST</t>
  </si>
  <si>
    <t xml:space="preserve">Deal #</t>
  </si>
  <si>
    <t xml:space="preserve">Customer</t>
  </si>
  <si>
    <t xml:space="preserve">ECT Origination</t>
  </si>
  <si>
    <t xml:space="preserve">Originator</t>
  </si>
  <si>
    <t xml:space="preserve">(Sales)</t>
  </si>
  <si>
    <t xml:space="preserve">Purchases</t>
  </si>
  <si>
    <t xml:space="preserve">(In Thousands)</t>
  </si>
  <si>
    <t xml:space="preserve">FX RATE</t>
  </si>
  <si>
    <t xml:space="preserve">FX GAIN/LOSS</t>
  </si>
  <si>
    <t xml:space="preserve">BE ON THE SAME LINE AS THE</t>
  </si>
  <si>
    <t xml:space="preserve">CREDIT OR ORIG NUMBER</t>
  </si>
  <si>
    <t xml:space="preserve">Originator Names</t>
  </si>
  <si>
    <t xml:space="preserve">Q75270</t>
  </si>
  <si>
    <t xml:space="preserve">EGS-Canada - Integrated Solutions</t>
  </si>
  <si>
    <t xml:space="preserve">Cyntia Pastega</t>
  </si>
  <si>
    <t xml:space="preserve">FOR HOUSTON TO PICK IT</t>
  </si>
  <si>
    <t xml:space="preserve">Barry Tycholiz</t>
  </si>
  <si>
    <t xml:space="preserve">Credit Reserve</t>
  </si>
  <si>
    <t xml:space="preserve">UP CORRECTLY.</t>
  </si>
  <si>
    <t xml:space="preserve">Grant Oh</t>
  </si>
  <si>
    <t xml:space="preserve">Derek Davies</t>
  </si>
  <si>
    <t xml:space="preserve">Q74966</t>
  </si>
  <si>
    <t xml:space="preserve">Andre Templeman</t>
  </si>
  <si>
    <t xml:space="preserve">Howard Sangwine</t>
  </si>
  <si>
    <t xml:space="preserve">Doug Paterson</t>
  </si>
  <si>
    <t xml:space="preserve">N97767</t>
  </si>
  <si>
    <t xml:space="preserve">Rob Milnthorp</t>
  </si>
  <si>
    <t xml:space="preserve">Paul Devries</t>
  </si>
  <si>
    <t xml:space="preserve">Q77885.1</t>
  </si>
  <si>
    <t xml:space="preserve">Dean Drozdiak</t>
  </si>
  <si>
    <t xml:space="preserve">Q79306</t>
  </si>
  <si>
    <t xml:space="preserve">Q81797</t>
  </si>
  <si>
    <t xml:space="preserve">Energy West</t>
  </si>
  <si>
    <t xml:space="preserve">Q81773</t>
  </si>
  <si>
    <t xml:space="preserve">Aberfoyle</t>
  </si>
  <si>
    <t xml:space="preserve">Q81934</t>
  </si>
  <si>
    <t xml:space="preserve">Omers</t>
  </si>
  <si>
    <t xml:space="preserve">Q81949</t>
  </si>
  <si>
    <t xml:space="preserve">Superman Resources</t>
  </si>
  <si>
    <t xml:space="preserve">ET3738</t>
  </si>
  <si>
    <t xml:space="preserve">CNR</t>
  </si>
  <si>
    <t xml:space="preserve">Beau Credit Restructuring</t>
  </si>
  <si>
    <t xml:space="preserve">E78994.7</t>
  </si>
  <si>
    <t xml:space="preserve">E78994.6</t>
  </si>
  <si>
    <t xml:space="preserve">Q85782</t>
  </si>
  <si>
    <t xml:space="preserve">FT-NEWYORK</t>
  </si>
  <si>
    <t xml:space="preserve">Q84802</t>
  </si>
  <si>
    <t xml:space="preserve">GRANTECH</t>
  </si>
  <si>
    <t xml:space="preserve">ET3738.Q</t>
  </si>
  <si>
    <t xml:space="preserve">ET3738.R</t>
  </si>
  <si>
    <t xml:space="preserve">Q92019</t>
  </si>
  <si>
    <t xml:space="preserve">Gas Alberta</t>
  </si>
  <si>
    <t xml:space="preserve">NJ0334</t>
  </si>
  <si>
    <t xml:space="preserve">Forte Energy</t>
  </si>
  <si>
    <t xml:space="preserve">Q99077</t>
  </si>
  <si>
    <t xml:space="preserve">Q92019.2</t>
  </si>
  <si>
    <t xml:space="preserve">QA4228.4</t>
  </si>
  <si>
    <t xml:space="preserve">FT-Northwest</t>
  </si>
  <si>
    <t xml:space="preserve">QA5180.3</t>
  </si>
  <si>
    <t xml:space="preserve">Q4608</t>
  </si>
  <si>
    <t xml:space="preserve">Murphy Oil</t>
  </si>
  <si>
    <t xml:space="preserve">QA9299</t>
  </si>
  <si>
    <t xml:space="preserve">QA9337</t>
  </si>
  <si>
    <t xml:space="preserve">QA9788</t>
  </si>
  <si>
    <t xml:space="preserve">PGE</t>
  </si>
  <si>
    <t xml:space="preserve">TOTAL ORIGINATION</t>
  </si>
  <si>
    <t xml:space="preserve">Canadian Gas (C4) -East</t>
  </si>
</sst>
</file>

<file path=xl/styles.xml><?xml version="1.0" encoding="utf-8"?>
<styleSheet xmlns="http://schemas.openxmlformats.org/spreadsheetml/2006/main">
  <numFmts count="55">
    <numFmt numFmtId="164" formatCode="General"/>
    <numFmt numFmtId="165" formatCode="General_)"/>
    <numFmt numFmtId="166" formatCode="[$-409]#,##0_);\(#,##0\)"/>
    <numFmt numFmtId="167" formatCode="[$-409]mmm\-yy"/>
    <numFmt numFmtId="168" formatCode="d\-mmm\-yyyy"/>
    <numFmt numFmtId="169" formatCode="###\ ###"/>
    <numFmt numFmtId="170" formatCode="[$-409]#,##0.00_);[RED]\(#,##0.00\)"/>
    <numFmt numFmtId="171" formatCode="[$-409]#,##0_);[RED]\(#,##0\)"/>
    <numFmt numFmtId="172" formatCode="mmmm\ d&quot;, &quot;yyyy"/>
    <numFmt numFmtId="173" formatCode="[$-409]m/d/yyyy"/>
    <numFmt numFmtId="174" formatCode="[$-409]m/d/yyyy\ h:mm"/>
    <numFmt numFmtId="175" formatCode="&quot;As of &quot;mmmm\ dd&quot;, &quot;yyyy"/>
    <numFmt numFmtId="176" formatCode="0"/>
    <numFmt numFmtId="177" formatCode="0.000"/>
    <numFmt numFmtId="178" formatCode="&quot;Through &quot;mmmm\ dd&quot;, &quot;yyyy"/>
    <numFmt numFmtId="179" formatCode="#,##0.000_);[RED]\(#,##0.000\)"/>
    <numFmt numFmtId="180" formatCode="#,##0.0_);\(#,##0.0\)"/>
    <numFmt numFmtId="181" formatCode="&quot;Change since &quot;mmmm\ dd&quot;, &quot;yyyy"/>
    <numFmt numFmtId="182" formatCode="&quot;LTD Through &quot;mmmm\ dd&quot;, &quot;yyyy"/>
    <numFmt numFmtId="183" formatCode="_(&quot;C$&quot;* #,##0_);_(&quot;C$&quot;* \(#,##0\);_(&quot;C$&quot;* \0_);_(@_)"/>
    <numFmt numFmtId="184" formatCode="\$#,##0_);&quot;($&quot;#,##0\)"/>
    <numFmt numFmtId="185" formatCode="\$#,##0.00_);&quot;($&quot;#,##0.00\)"/>
    <numFmt numFmtId="186" formatCode="&quot;MTD Through &quot;mmmm\ dd&quot;, &quot;yyyy"/>
    <numFmt numFmtId="187" formatCode="\$#,##0_);[RED]&quot;($&quot;#,##0\)"/>
    <numFmt numFmtId="188" formatCode="\$#,##0.000000_);&quot;($&quot;#,##0.000000\)"/>
    <numFmt numFmtId="189" formatCode="#,##0.0000_);[RED]\(#,##0.0000\)"/>
    <numFmt numFmtId="190" formatCode="&quot;C$&quot;#,##0_);&quot;(C$&quot;#,##0\)"/>
    <numFmt numFmtId="191" formatCode="#,##0.000000_);[RED]\(#,##0.000000\)"/>
    <numFmt numFmtId="192" formatCode=";;;"/>
    <numFmt numFmtId="193" formatCode="&quot;YTD Through &quot;mmmm\ dd&quot;, &quot;yyyy"/>
    <numFmt numFmtId="194" formatCode="\$#,##0.00_);[RED]&quot;($&quot;#,##0.00\)"/>
    <numFmt numFmtId="195" formatCode="dd\-mmm\-yy_)"/>
    <numFmt numFmtId="196" formatCode="_(&quot;U$&quot;* #,##0_);_(&quot;U$&quot;* \(#,##0\);_(&quot;U$&quot;* \0_);_(@_)"/>
    <numFmt numFmtId="197" formatCode="0.0000"/>
    <numFmt numFmtId="198" formatCode="[$-409]d\-mmm\-yy"/>
    <numFmt numFmtId="199" formatCode="#,##0.000_);\(#,##0.000\)"/>
    <numFmt numFmtId="200" formatCode="[$-409]#,##0.00_);\(#,##0.00\)"/>
    <numFmt numFmtId="201" formatCode="#,##0.0_);[RED]\(#,##0.0\)"/>
    <numFmt numFmtId="202" formatCode="#,##0.00000_);\(#,##0.00000\)"/>
    <numFmt numFmtId="203" formatCode="mm/dd"/>
    <numFmt numFmtId="204" formatCode="0.00"/>
    <numFmt numFmtId="205" formatCode="[$-409]0.00"/>
    <numFmt numFmtId="206" formatCode="#,##0.0000_);\(#,##0.0000\)"/>
    <numFmt numFmtId="207" formatCode="#,##0.0000000_);\(#,##0.0000000\)"/>
    <numFmt numFmtId="208" formatCode="0.00000"/>
    <numFmt numFmtId="209" formatCode="#,##0.00000_);[RED]\(#,##0.00000\)"/>
    <numFmt numFmtId="210" formatCode="[$-409]d\-mmm"/>
    <numFmt numFmtId="211" formatCode="#,##0.0000000000_);[RED]\(#,##0.0000000000\)"/>
    <numFmt numFmtId="212" formatCode="\$#,##0.000_);[RED]&quot;($&quot;#,##0.000\)"/>
    <numFmt numFmtId="213" formatCode="_(* #,##0_);_(* \(#,##0\);_(* \-_);_(@_)"/>
    <numFmt numFmtId="214" formatCode="\$#,##0.0_);[RED]&quot;($&quot;#,##0.0\)"/>
    <numFmt numFmtId="215" formatCode="_(\$* #,##0.0000_);_(\$* \(#,##0.0000\);_(\$* \-????_);_(@_)"/>
    <numFmt numFmtId="216" formatCode="0.000000000000"/>
    <numFmt numFmtId="217" formatCode="\$#,##0.0000_);[RED]&quot;($&quot;#,##0.0000\)"/>
    <numFmt numFmtId="218" formatCode="#,##0.00"/>
  </numFmts>
  <fonts count="67">
    <font>
      <sz val="10"/>
      <name val="Arial"/>
      <family val="0"/>
    </font>
    <font>
      <sz val="10"/>
      <name val="Arial"/>
      <family val="0"/>
    </font>
    <font>
      <sz val="10"/>
      <name val="Arial"/>
      <family val="0"/>
    </font>
    <font>
      <sz val="10"/>
      <name val="Arial"/>
      <family val="0"/>
    </font>
    <font>
      <sz val="10"/>
      <name val="Times New Roman"/>
      <family val="0"/>
    </font>
    <font>
      <sz val="10"/>
      <name val="Arial"/>
      <family val="2"/>
    </font>
    <font>
      <b val="true"/>
      <sz val="10"/>
      <name val="Arial"/>
      <family val="2"/>
    </font>
    <font>
      <b val="true"/>
      <sz val="14"/>
      <name val="Arial"/>
      <family val="2"/>
    </font>
    <font>
      <b val="true"/>
      <i val="true"/>
      <u val="single"/>
      <sz val="10"/>
      <name val="Arial"/>
      <family val="2"/>
    </font>
    <font>
      <b val="true"/>
      <sz val="10"/>
      <color rgb="FF0000FF"/>
      <name val="Arial"/>
      <family val="2"/>
    </font>
    <font>
      <b val="true"/>
      <sz val="10"/>
      <color rgb="FFFF0000"/>
      <name val="Arial"/>
      <family val="2"/>
    </font>
    <font>
      <b val="true"/>
      <sz val="16"/>
      <name val="Arial"/>
      <family val="2"/>
    </font>
    <font>
      <u val="single"/>
      <sz val="7.5"/>
      <color rgb="FF0000FF"/>
      <name val="Arial"/>
      <family val="0"/>
    </font>
    <font>
      <b val="true"/>
      <sz val="10"/>
      <color rgb="FFFFFFFF"/>
      <name val="Arial"/>
      <family val="2"/>
    </font>
    <font>
      <b val="true"/>
      <sz val="10"/>
      <color rgb="FF3333CC"/>
      <name val="Arial"/>
      <family val="2"/>
    </font>
    <font>
      <b val="true"/>
      <sz val="12"/>
      <name val="Arial"/>
      <family val="2"/>
    </font>
    <font>
      <sz val="10"/>
      <color rgb="FF3333CC"/>
      <name val="Arial"/>
      <family val="2"/>
    </font>
    <font>
      <b val="true"/>
      <sz val="18"/>
      <name val="Arial"/>
      <family val="2"/>
    </font>
    <font>
      <b val="true"/>
      <sz val="9"/>
      <name val="Arial"/>
      <family val="2"/>
    </font>
    <font>
      <sz val="7"/>
      <name val="Arial"/>
      <family val="2"/>
    </font>
    <font>
      <i val="true"/>
      <sz val="6"/>
      <name val="Arial"/>
      <family val="2"/>
    </font>
    <font>
      <sz val="6"/>
      <name val="Arial"/>
      <family val="2"/>
    </font>
    <font>
      <sz val="10"/>
      <name val="Times New Roman"/>
      <family val="1"/>
    </font>
    <font>
      <b val="true"/>
      <sz val="10"/>
      <name val="Times New Roman"/>
      <family val="1"/>
    </font>
    <font>
      <b val="true"/>
      <i val="true"/>
      <sz val="10"/>
      <name val="Times New Roman"/>
      <family val="1"/>
    </font>
    <font>
      <b val="true"/>
      <sz val="10"/>
      <name val="Times New Roman"/>
      <family val="0"/>
    </font>
    <font>
      <u val="single"/>
      <sz val="10"/>
      <name val="Times New Roman"/>
      <family val="1"/>
    </font>
    <font>
      <b val="true"/>
      <u val="single"/>
      <sz val="10"/>
      <name val="Times New Roman"/>
      <family val="1"/>
    </font>
    <font>
      <b val="true"/>
      <sz val="8"/>
      <name val="Times New Roman"/>
      <family val="1"/>
    </font>
    <font>
      <sz val="8"/>
      <name val="Times New Roman"/>
      <family val="1"/>
    </font>
    <font>
      <b val="true"/>
      <sz val="8"/>
      <color rgb="FF000000"/>
      <name val="Tahoma"/>
      <family val="0"/>
    </font>
    <font>
      <sz val="8"/>
      <color rgb="FF000000"/>
      <name val="Tahoma"/>
      <family val="0"/>
    </font>
    <font>
      <sz val="10"/>
      <color rgb="FFFF0000"/>
      <name val="Times New Roman"/>
      <family val="1"/>
    </font>
    <font>
      <b val="true"/>
      <i val="true"/>
      <u val="single"/>
      <sz val="10"/>
      <name val="Times New Roman"/>
      <family val="1"/>
    </font>
    <font>
      <b val="true"/>
      <i val="true"/>
      <sz val="10"/>
      <name val="Times New Roman"/>
      <family val="0"/>
    </font>
    <font>
      <sz val="10"/>
      <color rgb="FF000000"/>
      <name val="Times New Roman"/>
      <family val="1"/>
    </font>
    <font>
      <sz val="10"/>
      <color rgb="FF0000FF"/>
      <name val="Times New Roman"/>
      <family val="1"/>
    </font>
    <font>
      <b val="true"/>
      <sz val="10"/>
      <color rgb="FF000000"/>
      <name val="Times New Roman"/>
      <family val="1"/>
    </font>
    <font>
      <b val="true"/>
      <sz val="10"/>
      <color rgb="FF0000FF"/>
      <name val="Times New Roman"/>
      <family val="1"/>
    </font>
    <font>
      <b val="true"/>
      <sz val="9"/>
      <color rgb="FFFF0000"/>
      <name val="Times New Roman"/>
      <family val="1"/>
    </font>
    <font>
      <b val="true"/>
      <sz val="10"/>
      <color rgb="FFFF0000"/>
      <name val="Arial Black"/>
      <family val="2"/>
    </font>
    <font>
      <i val="true"/>
      <u val="single"/>
      <sz val="10"/>
      <name val="Times New Roman"/>
      <family val="1"/>
    </font>
    <font>
      <b val="true"/>
      <i val="true"/>
      <sz val="11"/>
      <color rgb="FF0000FF"/>
      <name val="Times New Roman"/>
      <family val="1"/>
    </font>
    <font>
      <b val="true"/>
      <sz val="10"/>
      <color rgb="FF800000"/>
      <name val="Times New Roman"/>
      <family val="1"/>
    </font>
    <font>
      <b val="true"/>
      <sz val="12"/>
      <color rgb="FF000000"/>
      <name val="Times New Roman"/>
      <family val="1"/>
    </font>
    <font>
      <b val="true"/>
      <sz val="8"/>
      <color rgb="FF800000"/>
      <name val="Times New Roman"/>
      <family val="1"/>
    </font>
    <font>
      <b val="true"/>
      <sz val="12"/>
      <color rgb="FF800000"/>
      <name val="Times New Roman"/>
      <family val="1"/>
    </font>
    <font>
      <sz val="10"/>
      <color rgb="FF800000"/>
      <name val="Times New Roman"/>
      <family val="1"/>
    </font>
    <font>
      <b val="true"/>
      <sz val="12"/>
      <color rgb="FF000000"/>
      <name val="Tahoma"/>
      <family val="0"/>
    </font>
    <font>
      <sz val="12"/>
      <color rgb="FF000000"/>
      <name val="Tahoma"/>
      <family val="0"/>
    </font>
    <font>
      <sz val="10"/>
      <color rgb="FF0000FF"/>
      <name val="Arial"/>
      <family val="2"/>
    </font>
    <font>
      <sz val="10"/>
      <color rgb="FF000080"/>
      <name val="Times New Roman"/>
      <family val="1"/>
    </font>
    <font>
      <b val="true"/>
      <i val="true"/>
      <sz val="10"/>
      <name val="Arial"/>
      <family val="2"/>
    </font>
    <font>
      <b val="true"/>
      <u val="single"/>
      <sz val="10"/>
      <name val="Arial"/>
      <family val="2"/>
    </font>
    <font>
      <u val="single"/>
      <sz val="10"/>
      <name val="Arial"/>
      <family val="2"/>
    </font>
    <font>
      <i val="true"/>
      <u val="single"/>
      <sz val="10"/>
      <name val="Arial"/>
      <family val="2"/>
    </font>
    <font>
      <sz val="10"/>
      <color rgb="FF000000"/>
      <name val="Arial"/>
      <family val="2"/>
    </font>
    <font>
      <b val="true"/>
      <i val="true"/>
      <sz val="11"/>
      <color rgb="FF0000FF"/>
      <name val="Arial"/>
      <family val="2"/>
    </font>
    <font>
      <b val="true"/>
      <sz val="10"/>
      <color rgb="FF800000"/>
      <name val="Arial"/>
      <family val="2"/>
    </font>
    <font>
      <b val="true"/>
      <sz val="10"/>
      <color rgb="FF000000"/>
      <name val="Arial"/>
      <family val="2"/>
    </font>
    <font>
      <b val="true"/>
      <sz val="12"/>
      <color rgb="FF000000"/>
      <name val="Arial"/>
      <family val="2"/>
    </font>
    <font>
      <b val="true"/>
      <sz val="12"/>
      <color rgb="FF800000"/>
      <name val="Arial"/>
      <family val="2"/>
    </font>
    <font>
      <b val="true"/>
      <u val="single"/>
      <sz val="10"/>
      <color rgb="FF800000"/>
      <name val="Times New Roman"/>
      <family val="1"/>
    </font>
    <font>
      <b val="true"/>
      <sz val="13"/>
      <name val="Arial"/>
      <family val="2"/>
    </font>
    <font>
      <i val="true"/>
      <sz val="10"/>
      <name val="Arial"/>
      <family val="2"/>
    </font>
    <font>
      <b val="true"/>
      <sz val="10"/>
      <name val="Arial"/>
      <family val="0"/>
    </font>
    <font>
      <sz val="10"/>
      <color rgb="FFFF00FF"/>
      <name val="Arial"/>
      <family val="2"/>
    </font>
  </fonts>
  <fills count="12">
    <fill>
      <patternFill patternType="none"/>
    </fill>
    <fill>
      <patternFill patternType="gray125"/>
    </fill>
    <fill>
      <patternFill patternType="solid">
        <fgColor rgb="FF33CCCC"/>
        <bgColor rgb="FF00CCFF"/>
      </patternFill>
    </fill>
    <fill>
      <patternFill patternType="solid">
        <fgColor rgb="FFFFFF00"/>
        <bgColor rgb="FFFFFF00"/>
      </patternFill>
    </fill>
    <fill>
      <patternFill patternType="solid">
        <fgColor rgb="FF000080"/>
        <bgColor rgb="FF000080"/>
      </patternFill>
    </fill>
    <fill>
      <patternFill patternType="solid">
        <fgColor rgb="FFC0C0C0"/>
        <bgColor rgb="FFDFDFDF"/>
      </patternFill>
    </fill>
    <fill>
      <patternFill patternType="solid">
        <fgColor rgb="FFCCFFCC"/>
        <bgColor rgb="FFCCFFFF"/>
      </patternFill>
    </fill>
    <fill>
      <patternFill patternType="solid">
        <fgColor rgb="FFFFFF99"/>
        <bgColor rgb="FFFFFFC0"/>
      </patternFill>
    </fill>
    <fill>
      <patternFill patternType="solid">
        <fgColor rgb="FFFFFFFF"/>
        <bgColor rgb="FFFFFFC0"/>
      </patternFill>
    </fill>
    <fill>
      <patternFill patternType="solid">
        <fgColor rgb="FF00FFFF"/>
        <bgColor rgb="FF00FFFF"/>
      </patternFill>
    </fill>
    <fill>
      <patternFill patternType="solid">
        <fgColor rgb="FFDFDFDF"/>
        <bgColor rgb="FFCCFFCC"/>
      </patternFill>
    </fill>
    <fill>
      <patternFill patternType="solid">
        <fgColor rgb="FFFFFFC0"/>
        <bgColor rgb="FFFFFF99"/>
      </patternFill>
    </fill>
  </fills>
  <borders count="64">
    <border diagonalUp="false" diagonalDown="false">
      <left/>
      <right/>
      <top/>
      <bottom/>
      <diagonal/>
    </border>
    <border diagonalUp="false" diagonalDown="false">
      <left/>
      <right/>
      <top/>
      <bottom style="thin"/>
      <diagonal/>
    </border>
    <border diagonalUp="false" diagonalDown="false">
      <left/>
      <right/>
      <top/>
      <bottom style="hair"/>
      <diagonal/>
    </border>
    <border diagonalUp="false" diagonalDown="false">
      <left/>
      <right/>
      <top style="thin"/>
      <bottom style="thin"/>
      <diagonal/>
    </border>
    <border diagonalUp="false" diagonalDown="false">
      <left/>
      <right/>
      <top style="thin"/>
      <bottom style="double"/>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right/>
      <top/>
      <bottom style="mediu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medium"/>
      <right style="medium"/>
      <top style="medium"/>
      <bottom/>
      <diagonal/>
    </border>
    <border diagonalUp="false" diagonalDown="false">
      <left style="medium"/>
      <right style="medium"/>
      <top/>
      <bottom style="mediu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diagonal/>
    </border>
    <border diagonalUp="false" diagonalDown="false">
      <left style="thin"/>
      <right style="thin"/>
      <top/>
      <bottom style="thin"/>
      <diagonal/>
    </border>
    <border diagonalUp="false" diagonalDown="false">
      <left/>
      <right style="medium"/>
      <top style="thin"/>
      <bottom style="double"/>
      <diagonal/>
    </border>
    <border diagonalUp="false" diagonalDown="false">
      <left style="medium"/>
      <right/>
      <top/>
      <bottom style="medium"/>
      <diagonal/>
    </border>
    <border diagonalUp="false" diagonalDown="false">
      <left/>
      <right style="medium"/>
      <top/>
      <bottom style="medium"/>
      <diagonal/>
    </border>
    <border diagonalUp="false" diagonalDown="false">
      <left style="thin"/>
      <right style="thin"/>
      <top style="thin"/>
      <bottom style="double"/>
      <diagonal/>
    </border>
    <border diagonalUp="false" diagonalDown="false">
      <left style="thin"/>
      <right style="thin"/>
      <top style="thin"/>
      <bottom/>
      <diagonal/>
    </border>
    <border diagonalUp="false" diagonalDown="false">
      <left style="thin"/>
      <right style="thin"/>
      <top/>
      <bottom style="thick"/>
      <diagonal/>
    </border>
    <border diagonalUp="false" diagonalDown="false">
      <left style="thin"/>
      <right style="thin"/>
      <top/>
      <bottom style="medium"/>
      <diagonal/>
    </border>
    <border diagonalUp="false" diagonalDown="false">
      <left style="thin"/>
      <right style="thin"/>
      <top style="medium"/>
      <bottom style="thin"/>
      <diagonal/>
    </border>
    <border diagonalUp="false" diagonalDown="false">
      <left style="thick"/>
      <right/>
      <top style="thick"/>
      <bottom style="thick"/>
      <diagonal/>
    </border>
    <border diagonalUp="false" diagonalDown="false">
      <left/>
      <right/>
      <top style="thick"/>
      <bottom style="thick"/>
      <diagonal/>
    </border>
    <border diagonalUp="false" diagonalDown="false">
      <left/>
      <right style="thick"/>
      <top style="thick"/>
      <bottom style="thick"/>
      <diagonal/>
    </border>
    <border diagonalUp="false" diagonalDown="false">
      <left style="thick"/>
      <right style="thin"/>
      <top/>
      <bottom style="thin"/>
      <diagonal/>
    </border>
    <border diagonalUp="false" diagonalDown="false">
      <left style="thin"/>
      <right style="thick"/>
      <top/>
      <bottom style="thin"/>
      <diagonal/>
    </border>
    <border diagonalUp="false" diagonalDown="false">
      <left/>
      <right style="thick"/>
      <top/>
      <bottom style="thin"/>
      <diagonal/>
    </border>
    <border diagonalUp="false" diagonalDown="false">
      <left style="thick"/>
      <right style="thin"/>
      <top/>
      <bottom/>
      <diagonal/>
    </border>
    <border diagonalUp="false" diagonalDown="false">
      <left/>
      <right style="thick"/>
      <top/>
      <bottom/>
      <diagonal/>
    </border>
    <border diagonalUp="false" diagonalDown="false">
      <left style="thick"/>
      <right/>
      <top/>
      <bottom/>
      <diagonal/>
    </border>
    <border diagonalUp="false" diagonalDown="false">
      <left/>
      <right style="thick"/>
      <top style="thin"/>
      <bottom style="double"/>
      <diagonal/>
    </border>
    <border diagonalUp="false" diagonalDown="false">
      <left style="thick"/>
      <right/>
      <top/>
      <bottom style="thick"/>
      <diagonal/>
    </border>
    <border diagonalUp="false" diagonalDown="false">
      <left/>
      <right/>
      <top/>
      <bottom style="thick"/>
      <diagonal/>
    </border>
    <border diagonalUp="false" diagonalDown="false">
      <left/>
      <right style="thick"/>
      <top/>
      <bottom style="thick"/>
      <diagonal/>
    </border>
    <border diagonalUp="false" diagonalDown="false">
      <left/>
      <right/>
      <top style="thick"/>
      <bottom/>
      <diagonal/>
    </border>
    <border diagonalUp="false" diagonalDown="false">
      <left/>
      <right style="thick"/>
      <top style="thick"/>
      <bottom/>
      <diagonal/>
    </border>
    <border diagonalUp="false" diagonalDown="false">
      <left style="thick"/>
      <right/>
      <top style="thick"/>
      <bottom/>
      <diagonal/>
    </border>
    <border diagonalUp="false" diagonalDown="false">
      <left style="thin"/>
      <right style="thick"/>
      <top style="thin"/>
      <bottom style="thin"/>
      <diagonal/>
    </border>
    <border diagonalUp="false" diagonalDown="false">
      <left style="thick"/>
      <right/>
      <top style="thin"/>
      <bottom style="thin"/>
      <diagonal/>
    </border>
    <border diagonalUp="false" diagonalDown="false">
      <left style="thin"/>
      <right style="thick"/>
      <top/>
      <bottom/>
      <diagonal/>
    </border>
    <border diagonalUp="false" diagonalDown="false">
      <left style="thin"/>
      <right style="thick"/>
      <top style="thin"/>
      <bottom style="double"/>
      <diagonal/>
    </border>
    <border diagonalUp="false" diagonalDown="false">
      <left style="thick"/>
      <right/>
      <top style="thick"/>
      <bottom style="medium"/>
      <diagonal/>
    </border>
    <border diagonalUp="false" diagonalDown="false">
      <left/>
      <right/>
      <top style="thick"/>
      <bottom style="medium"/>
      <diagonal/>
    </border>
    <border diagonalUp="false" diagonalDown="false">
      <left/>
      <right style="thick"/>
      <top style="thick"/>
      <bottom style="medium"/>
      <diagonal/>
    </border>
    <border diagonalUp="false" diagonalDown="false">
      <left style="thick"/>
      <right/>
      <top/>
      <bottom style="medium"/>
      <diagonal/>
    </border>
    <border diagonalUp="false" diagonalDown="false">
      <left style="thin"/>
      <right style="thin"/>
      <top style="thin"/>
      <bottom style="medium"/>
      <diagonal/>
    </border>
    <border diagonalUp="false" diagonalDown="false">
      <left/>
      <right style="thick"/>
      <top/>
      <bottom style="medium"/>
      <diagonal/>
    </border>
    <border diagonalUp="false" diagonalDown="false">
      <left style="medium"/>
      <right style="medium"/>
      <top/>
      <bottom/>
      <diagonal/>
    </border>
    <border diagonalUp="false" diagonalDown="false">
      <left style="medium"/>
      <right style="medium"/>
      <top style="thin"/>
      <bottom style="thin"/>
      <diagonal/>
    </border>
    <border diagonalUp="false" diagonalDown="false">
      <left/>
      <right style="double"/>
      <top style="thin"/>
      <bottom style="thin"/>
      <diagonal/>
    </border>
    <border diagonalUp="false" diagonalDown="false">
      <left/>
      <right style="thick"/>
      <top style="thin"/>
      <bottom style="thin"/>
      <diagonal/>
    </border>
    <border diagonalUp="false" diagonalDown="false">
      <left/>
      <right style="double"/>
      <top/>
      <bottom style="thin"/>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0" fontId="0" fillId="0" borderId="0" applyFont="true" applyBorder="false" applyAlignment="false" applyProtection="false"/>
    <xf numFmtId="41" fontId="1" fillId="0" borderId="0" applyFont="true" applyBorder="false" applyAlignment="false" applyProtection="false"/>
    <xf numFmtId="194" fontId="0"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2" fillId="0" borderId="0" applyFont="true" applyBorder="false" applyAlignment="false" applyProtection="false"/>
    <xf numFmtId="164" fontId="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cellStyleXfs>
  <cellXfs count="776">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6" fontId="5" fillId="0" borderId="0" xfId="0" applyFont="true" applyBorder="false" applyAlignment="false" applyProtection="false">
      <alignment horizontal="general" vertical="bottom" textRotation="0" wrapText="false" indent="0" shrinkToFit="false"/>
      <protection locked="true" hidden="false"/>
    </xf>
    <xf numFmtId="166" fontId="6" fillId="0" borderId="0" xfId="0" applyFont="true" applyBorder="false" applyAlignment="false" applyProtection="false">
      <alignment horizontal="general" vertical="bottom" textRotation="0" wrapText="false" indent="0" shrinkToFit="false"/>
      <protection locked="true" hidden="false"/>
    </xf>
    <xf numFmtId="166" fontId="7" fillId="2" borderId="0" xfId="0" applyFont="true" applyBorder="false" applyAlignment="false" applyProtection="false">
      <alignment horizontal="general" vertical="bottom" textRotation="0" wrapText="false" indent="0" shrinkToFit="false"/>
      <protection locked="true" hidden="false"/>
    </xf>
    <xf numFmtId="164" fontId="7" fillId="2" borderId="0" xfId="0" applyFont="true" applyBorder="false" applyAlignment="false" applyProtection="false">
      <alignment horizontal="general" vertical="bottom" textRotation="0" wrapText="false" indent="0" shrinkToFit="false"/>
      <protection locked="true" hidden="false"/>
    </xf>
    <xf numFmtId="166" fontId="8" fillId="0" borderId="0" xfId="0" applyFont="true" applyBorder="false" applyAlignment="false" applyProtection="false">
      <alignment horizontal="general" vertical="bottom" textRotation="0" wrapText="false" indent="0" shrinkToFit="false"/>
      <protection locked="true" hidden="false"/>
    </xf>
    <xf numFmtId="166" fontId="6" fillId="0" borderId="0" xfId="0" applyFont="true" applyBorder="false" applyAlignment="true" applyProtection="false">
      <alignment horizontal="right" vertical="bottom" textRotation="0" wrapText="false" indent="0" shrinkToFit="false"/>
      <protection locked="true" hidden="false"/>
    </xf>
    <xf numFmtId="167"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8" fontId="9" fillId="3" borderId="0" xfId="0" applyFont="true" applyBorder="false" applyAlignment="true" applyProtection="false">
      <alignment horizontal="left"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13" fillId="4" borderId="0" xfId="20" applyFont="true" applyBorder="true" applyAlignment="true" applyProtection="true">
      <alignment horizontal="center" vertical="bottom" textRotation="0" wrapText="true" indent="0" shrinkToFit="false"/>
      <protection locked="true" hidden="false"/>
    </xf>
    <xf numFmtId="169" fontId="14" fillId="0" borderId="0" xfId="0" applyFont="true" applyBorder="false" applyAlignment="true" applyProtection="false">
      <alignment horizontal="center" vertical="bottom" textRotation="0" wrapText="false" indent="0" shrinkToFit="false"/>
      <protection locked="true" hidden="false"/>
    </xf>
    <xf numFmtId="169" fontId="14" fillId="3"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6" fontId="1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71" fontId="0" fillId="0" borderId="0" xfId="15" applyFont="true" applyBorder="true" applyAlignment="true" applyProtection="true">
      <alignment horizontal="general" vertical="bottom" textRotation="0" wrapText="false" indent="0" shrinkToFit="false"/>
      <protection locked="true" hidden="false"/>
    </xf>
    <xf numFmtId="164" fontId="17" fillId="0" borderId="1" xfId="0" applyFont="true" applyBorder="true" applyAlignment="false" applyProtection="false">
      <alignment horizontal="general" vertical="bottom"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71" fontId="0" fillId="0" borderId="1" xfId="15" applyFont="true" applyBorder="true" applyAlignment="true" applyProtection="true">
      <alignment horizontal="general" vertical="bottom" textRotation="0" wrapText="false" indent="0" shrinkToFit="false"/>
      <protection locked="true" hidden="false"/>
    </xf>
    <xf numFmtId="172" fontId="18" fillId="0" borderId="0" xfId="0" applyFont="true" applyBorder="false" applyAlignment="true" applyProtection="false">
      <alignment horizontal="left" vertical="bottom" textRotation="0" wrapText="false" indent="0" shrinkToFit="false"/>
      <protection locked="true" hidden="false"/>
    </xf>
    <xf numFmtId="172" fontId="6" fillId="0" borderId="0" xfId="0" applyFont="true" applyBorder="false" applyAlignment="true" applyProtection="false">
      <alignment horizontal="left" vertical="bottom" textRotation="0" wrapText="false" indent="0" shrinkToFit="false"/>
      <protection locked="true" hidden="false"/>
    </xf>
    <xf numFmtId="164" fontId="15" fillId="5" borderId="0" xfId="0" applyFont="tru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71" fontId="0" fillId="5" borderId="0" xfId="15" applyFont="true" applyBorder="true" applyAlignment="true" applyProtection="true">
      <alignment horizontal="general" vertical="bottom" textRotation="0" wrapText="false" indent="0" shrinkToFit="false"/>
      <protection locked="true" hidden="false"/>
    </xf>
    <xf numFmtId="164" fontId="6" fillId="0" borderId="2" xfId="0" applyFont="true" applyBorder="true" applyAlignment="false" applyProtection="false">
      <alignment horizontal="general" vertical="bottom" textRotation="0" wrapText="false" indent="0" shrinkToFit="false"/>
      <protection locked="true" hidden="false"/>
    </xf>
    <xf numFmtId="171" fontId="6" fillId="0" borderId="2" xfId="15" applyFont="true" applyBorder="true" applyAlignment="true" applyProtection="true">
      <alignment horizontal="general" vertical="bottom" textRotation="0" wrapText="false" indent="0" shrinkToFit="false"/>
      <protection locked="true" hidden="false"/>
    </xf>
    <xf numFmtId="171" fontId="16" fillId="0" borderId="0" xfId="15" applyFont="true" applyBorder="true" applyAlignment="true" applyProtection="tru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71" fontId="0" fillId="6" borderId="0" xfId="15" applyFont="true" applyBorder="true" applyAlignment="true" applyProtection="true">
      <alignment horizontal="general" vertical="bottom" textRotation="0" wrapText="false" indent="0" shrinkToFit="false"/>
      <protection locked="true" hidden="false"/>
    </xf>
    <xf numFmtId="171" fontId="6" fillId="0" borderId="3" xfId="15" applyFont="true" applyBorder="true" applyAlignment="true" applyProtection="true">
      <alignment horizontal="general" vertical="bottom" textRotation="0" wrapText="false" indent="0" shrinkToFit="false"/>
      <protection locked="true" hidden="false"/>
    </xf>
    <xf numFmtId="171" fontId="19" fillId="0" borderId="0" xfId="15" applyFont="true" applyBorder="true" applyAlignment="true" applyProtection="true">
      <alignment horizontal="general" vertical="bottom" textRotation="0" wrapText="false" indent="0" shrinkToFit="false"/>
      <protection locked="true" hidden="false"/>
    </xf>
    <xf numFmtId="171" fontId="5" fillId="0" borderId="0" xfId="15" applyFont="true" applyBorder="true" applyAlignment="true" applyProtection="true">
      <alignment horizontal="general" vertical="bottom" textRotation="0" wrapText="false" indent="0" shrinkToFit="false"/>
      <protection locked="true" hidden="false"/>
    </xf>
    <xf numFmtId="171" fontId="6" fillId="0" borderId="0" xfId="15" applyFont="true" applyBorder="true" applyAlignment="true" applyProtection="true">
      <alignment horizontal="general" vertical="bottom" textRotation="0" wrapText="false" indent="0" shrinkToFit="false"/>
      <protection locked="true" hidden="false"/>
    </xf>
    <xf numFmtId="164" fontId="15"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71" fontId="0" fillId="7" borderId="0" xfId="15" applyFont="true" applyBorder="true" applyAlignment="true" applyProtection="true">
      <alignment horizontal="general" vertical="bottom" textRotation="0" wrapText="false" indent="0" shrinkToFit="false"/>
      <protection locked="true" hidden="false"/>
    </xf>
    <xf numFmtId="171" fontId="6" fillId="7" borderId="4" xfId="15" applyFont="true" applyBorder="true" applyAlignment="true" applyProtection="true">
      <alignment horizontal="general" vertical="bottom" textRotation="0" wrapText="false" indent="0" shrinkToFit="false"/>
      <protection locked="true" hidden="false"/>
    </xf>
    <xf numFmtId="171" fontId="20" fillId="0" borderId="0" xfId="15" applyFont="true" applyBorder="true" applyAlignment="true" applyProtection="true">
      <alignment horizontal="general" vertical="bottom" textRotation="0" wrapText="false" indent="0" shrinkToFit="false"/>
      <protection locked="true" hidden="false"/>
    </xf>
    <xf numFmtId="171" fontId="21" fillId="0" borderId="0" xfId="15" applyFont="true" applyBorder="true" applyAlignment="true" applyProtection="true">
      <alignment horizontal="left" vertical="bottom" textRotation="0" wrapText="false" indent="6" shrinkToFit="false"/>
      <protection locked="true" hidden="false"/>
    </xf>
    <xf numFmtId="164" fontId="0" fillId="7" borderId="5" xfId="0" applyFont="false" applyBorder="true" applyAlignment="false" applyProtection="false">
      <alignment horizontal="general" vertical="bottom" textRotation="0" wrapText="false" indent="0" shrinkToFit="false"/>
      <protection locked="true" hidden="false"/>
    </xf>
    <xf numFmtId="164" fontId="0" fillId="7" borderId="6" xfId="0" applyFont="false" applyBorder="true" applyAlignment="false" applyProtection="false">
      <alignment horizontal="general" vertical="bottom" textRotation="0" wrapText="false" indent="0" shrinkToFit="false"/>
      <protection locked="true" hidden="false"/>
    </xf>
    <xf numFmtId="171" fontId="0" fillId="7" borderId="6" xfId="15" applyFont="true" applyBorder="true" applyAlignment="true" applyProtection="true">
      <alignment horizontal="general" vertical="bottom" textRotation="0" wrapText="false" indent="0" shrinkToFit="false"/>
      <protection locked="true" hidden="false"/>
    </xf>
    <xf numFmtId="171" fontId="6" fillId="7" borderId="6" xfId="15" applyFont="true" applyBorder="true" applyAlignment="true" applyProtection="true">
      <alignment horizontal="right" vertical="bottom" textRotation="0" wrapText="false" indent="0" shrinkToFit="false"/>
      <protection locked="true" hidden="false"/>
    </xf>
    <xf numFmtId="164" fontId="6" fillId="7" borderId="7" xfId="0" applyFont="true" applyBorder="true" applyAlignment="true" applyProtection="false">
      <alignment horizontal="right" vertical="bottom" textRotation="0" wrapText="false" indent="0" shrinkToFit="false"/>
      <protection locked="true" hidden="false"/>
    </xf>
    <xf numFmtId="164" fontId="0" fillId="7" borderId="8" xfId="0" applyFont="false" applyBorder="true" applyAlignment="false" applyProtection="false">
      <alignment horizontal="general" vertical="bottom" textRotation="0" wrapText="false" indent="0" shrinkToFit="false"/>
      <protection locked="true" hidden="false"/>
    </xf>
    <xf numFmtId="164" fontId="0" fillId="7" borderId="0" xfId="0" applyFont="false" applyBorder="true" applyAlignment="false" applyProtection="false">
      <alignment horizontal="general" vertical="bottom" textRotation="0" wrapText="false" indent="0" shrinkToFit="false"/>
      <protection locked="true" hidden="false"/>
    </xf>
    <xf numFmtId="171" fontId="6" fillId="7" borderId="0" xfId="15" applyFont="true" applyBorder="true" applyAlignment="true" applyProtection="true">
      <alignment horizontal="right" vertical="bottom" textRotation="0" wrapText="false" indent="0" shrinkToFit="false"/>
      <protection locked="true" hidden="false"/>
    </xf>
    <xf numFmtId="171" fontId="0" fillId="7" borderId="9" xfId="15" applyFont="true" applyBorder="true" applyAlignment="true" applyProtection="true">
      <alignment horizontal="general" vertical="bottom" textRotation="0" wrapText="false" indent="0" shrinkToFit="false"/>
      <protection locked="true" hidden="false"/>
    </xf>
    <xf numFmtId="171" fontId="6" fillId="7" borderId="0" xfId="15" applyFont="true" applyBorder="true" applyAlignment="true" applyProtection="true">
      <alignment horizontal="general" vertical="bottom" textRotation="0" wrapText="false" indent="0" shrinkToFit="false"/>
      <protection locked="true" hidden="false"/>
    </xf>
    <xf numFmtId="164" fontId="0" fillId="7" borderId="10" xfId="0" applyFont="false" applyBorder="true" applyAlignment="false" applyProtection="false">
      <alignment horizontal="general" vertical="bottom" textRotation="0" wrapText="false" indent="0" shrinkToFit="false"/>
      <protection locked="true" hidden="false"/>
    </xf>
    <xf numFmtId="164" fontId="0" fillId="7" borderId="1" xfId="0" applyFont="false" applyBorder="true" applyAlignment="false" applyProtection="false">
      <alignment horizontal="general" vertical="bottom" textRotation="0" wrapText="false" indent="0" shrinkToFit="false"/>
      <protection locked="true" hidden="false"/>
    </xf>
    <xf numFmtId="171" fontId="6" fillId="7" borderId="1" xfId="15" applyFont="true" applyBorder="true" applyAlignment="true" applyProtection="true">
      <alignment horizontal="right" vertical="bottom" textRotation="0" wrapText="false" indent="0" shrinkToFit="false"/>
      <protection locked="true" hidden="false"/>
    </xf>
    <xf numFmtId="171" fontId="0" fillId="7" borderId="1" xfId="15" applyFont="true" applyBorder="true" applyAlignment="true" applyProtection="true">
      <alignment horizontal="general" vertical="bottom" textRotation="0" wrapText="false" indent="0" shrinkToFit="false"/>
      <protection locked="true" hidden="false"/>
    </xf>
    <xf numFmtId="164" fontId="0" fillId="7" borderId="11" xfId="0" applyFont="false" applyBorder="true" applyAlignment="false" applyProtection="false">
      <alignment horizontal="general"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71" fontId="22" fillId="0" borderId="0" xfId="15" applyFont="true" applyBorder="true" applyAlignment="true" applyProtection="true">
      <alignment horizontal="general"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tru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73" fontId="22"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71" fontId="22" fillId="0" borderId="0" xfId="15" applyFont="true" applyBorder="true" applyAlignment="true" applyProtection="true">
      <alignment horizontal="right" vertical="bottom" textRotation="0" wrapText="false" indent="0" shrinkToFit="false"/>
      <protection locked="true" hidden="false"/>
    </xf>
    <xf numFmtId="171" fontId="22" fillId="0" borderId="12" xfId="15" applyFont="true" applyBorder="true" applyAlignment="true" applyProtection="true">
      <alignment horizontal="general" vertical="bottom" textRotation="0" wrapText="false" indent="0" shrinkToFit="false"/>
      <protection locked="true" hidden="false"/>
    </xf>
    <xf numFmtId="164" fontId="0" fillId="0" borderId="12" xfId="0" applyFont="false" applyBorder="true" applyAlignment="false" applyProtection="false">
      <alignment horizontal="general" vertical="bottom" textRotation="0" wrapText="false" indent="0" shrinkToFit="false"/>
      <protection locked="true" hidden="false"/>
    </xf>
    <xf numFmtId="174" fontId="22"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75" fontId="24" fillId="0" borderId="0" xfId="0" applyFont="true" applyBorder="false" applyAlignment="true" applyProtection="false">
      <alignment horizontal="left" vertical="bottom" textRotation="0" wrapText="false" indent="0" shrinkToFit="false"/>
      <protection locked="true" hidden="false"/>
    </xf>
    <xf numFmtId="164" fontId="22" fillId="0" borderId="1" xfId="0" applyFont="true" applyBorder="true" applyAlignment="true" applyProtection="false">
      <alignment horizontal="left" vertical="bottom" textRotation="0" wrapText="false" indent="0" shrinkToFit="false"/>
      <protection locked="true" hidden="false"/>
    </xf>
    <xf numFmtId="164" fontId="22" fillId="0" borderId="1"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6" fontId="22" fillId="0" borderId="0" xfId="0" applyFont="true" applyBorder="true" applyAlignment="true" applyProtection="false">
      <alignment horizontal="center" vertical="bottom" textRotation="0" wrapText="false" indent="0" shrinkToFit="false"/>
      <protection locked="true" hidden="false"/>
    </xf>
    <xf numFmtId="166" fontId="22" fillId="0" borderId="0" xfId="0" applyFont="true" applyBorder="true" applyAlignment="true" applyProtection="false">
      <alignment horizontal="center" vertical="bottom" textRotation="0" wrapText="false" indent="0" shrinkToFit="false"/>
      <protection locked="true" hidden="false"/>
    </xf>
    <xf numFmtId="166" fontId="25" fillId="0" borderId="0" xfId="0" applyFont="true" applyBorder="true" applyAlignment="true" applyProtection="false">
      <alignment horizontal="center" vertical="bottom" textRotation="0" wrapText="false" indent="0" shrinkToFit="false"/>
      <protection locked="true" hidden="false"/>
    </xf>
    <xf numFmtId="166" fontId="23" fillId="0" borderId="0" xfId="0" applyFont="true" applyBorder="true" applyAlignment="true" applyProtection="false">
      <alignment horizontal="center" vertical="bottom" textRotation="0" wrapText="false" indent="0" shrinkToFit="false"/>
      <protection locked="true" hidden="false"/>
    </xf>
    <xf numFmtId="166" fontId="22" fillId="0" borderId="1" xfId="0" applyFont="true" applyBorder="true" applyAlignment="true" applyProtection="false">
      <alignment horizontal="center" vertical="bottom" textRotation="0" wrapText="false" indent="0" shrinkToFit="false"/>
      <protection locked="true" hidden="false"/>
    </xf>
    <xf numFmtId="166" fontId="22" fillId="0" borderId="1" xfId="0" applyFont="true" applyBorder="true" applyAlignment="true" applyProtection="false">
      <alignment horizontal="center" vertical="bottom" textRotation="0" wrapText="false" indent="0" shrinkToFit="false"/>
      <protection locked="true" hidden="false"/>
    </xf>
    <xf numFmtId="166" fontId="23" fillId="0" borderId="1" xfId="0" applyFont="true" applyBorder="true" applyAlignment="true" applyProtection="false">
      <alignment horizontal="center" vertical="bottom" textRotation="0" wrapText="false" indent="0" shrinkToFit="false"/>
      <protection locked="true" hidden="false"/>
    </xf>
    <xf numFmtId="166" fontId="23" fillId="0" borderId="0" xfId="0" applyFont="true" applyBorder="true" applyAlignment="true" applyProtection="false">
      <alignment horizontal="center" vertical="bottom" textRotation="0" wrapText="false" indent="0" shrinkToFit="false"/>
      <protection locked="true" hidden="false"/>
    </xf>
    <xf numFmtId="166" fontId="25" fillId="0" borderId="1"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76" fontId="23" fillId="0" borderId="0" xfId="0" applyFont="true" applyBorder="true" applyAlignment="true" applyProtection="false">
      <alignment horizontal="center" vertical="bottom" textRotation="0" wrapText="false" indent="0" shrinkToFit="false"/>
      <protection locked="true" hidden="false"/>
    </xf>
    <xf numFmtId="176" fontId="23" fillId="0" borderId="0" xfId="0" applyFont="true" applyBorder="true" applyAlignment="true" applyProtection="false">
      <alignment horizontal="center" vertical="bottom" textRotation="0" wrapText="false" indent="0" shrinkToFit="false"/>
      <protection locked="true" hidden="false"/>
    </xf>
    <xf numFmtId="177" fontId="23"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78" fontId="24" fillId="0" borderId="0" xfId="0" applyFont="true" applyBorder="false" applyAlignment="true" applyProtection="false">
      <alignment horizontal="left" vertical="bottom" textRotation="0" wrapText="false" indent="0" shrinkToFit="false"/>
      <protection locked="true" hidden="false"/>
    </xf>
    <xf numFmtId="164" fontId="22" fillId="0" borderId="0" xfId="0" applyFont="true" applyBorder="false" applyAlignment="true" applyProtection="false">
      <alignment horizontal="left" vertical="bottom" textRotation="0" wrapText="false" indent="0" shrinkToFit="false"/>
      <protection locked="true" hidden="false"/>
    </xf>
    <xf numFmtId="179" fontId="22" fillId="0" borderId="13" xfId="15" applyFont="true" applyBorder="true" applyAlignment="true" applyProtection="true">
      <alignment horizontal="general" vertical="bottom" textRotation="0" wrapText="false" indent="0" shrinkToFit="false"/>
      <protection locked="true" hidden="false"/>
    </xf>
    <xf numFmtId="179" fontId="22" fillId="0" borderId="0" xfId="15" applyFont="true" applyBorder="true" applyAlignment="true" applyProtection="true">
      <alignment horizontal="general" vertical="bottom" textRotation="0" wrapText="false" indent="0" shrinkToFit="false"/>
      <protection locked="true" hidden="false"/>
    </xf>
    <xf numFmtId="164" fontId="22" fillId="0" borderId="0" xfId="0" applyFont="true" applyBorder="false" applyAlignment="true" applyProtection="false">
      <alignment horizontal="left" vertical="bottom" textRotation="0" wrapText="false" indent="0" shrinkToFit="false"/>
      <protection locked="true" hidden="false"/>
    </xf>
    <xf numFmtId="180" fontId="22" fillId="0" borderId="13" xfId="0" applyFont="true" applyBorder="true" applyAlignment="false" applyProtection="true">
      <alignment horizontal="general" vertical="bottom" textRotation="0" wrapText="false" indent="0" shrinkToFit="false"/>
      <protection locked="true" hidden="false"/>
    </xf>
    <xf numFmtId="180" fontId="22" fillId="0" borderId="0" xfId="0" applyFont="true" applyBorder="true" applyAlignment="false" applyProtection="true">
      <alignment horizontal="general" vertical="bottom" textRotation="0" wrapText="false" indent="0" shrinkToFit="false"/>
      <protection locked="true" hidden="false"/>
    </xf>
    <xf numFmtId="171" fontId="22" fillId="0" borderId="0" xfId="0" applyFont="true" applyBorder="false" applyAlignment="false" applyProtection="false">
      <alignment horizontal="general" vertical="bottom" textRotation="0" wrapText="false" indent="0" shrinkToFit="false"/>
      <protection locked="true" hidden="false"/>
    </xf>
    <xf numFmtId="164" fontId="23" fillId="8" borderId="0" xfId="0" applyFont="true" applyBorder="false" applyAlignment="true" applyProtection="false">
      <alignment horizontal="left" vertical="bottom" textRotation="0" wrapText="false" indent="0" shrinkToFit="false"/>
      <protection locked="true" hidden="false"/>
    </xf>
    <xf numFmtId="171" fontId="23" fillId="8" borderId="0" xfId="15" applyFont="true" applyBorder="true" applyAlignment="true" applyProtection="true">
      <alignment horizontal="general" vertical="bottom" textRotation="0" wrapText="false" indent="0" shrinkToFit="false"/>
      <protection locked="true" hidden="false"/>
    </xf>
    <xf numFmtId="180" fontId="23" fillId="0" borderId="13" xfId="0" applyFont="true" applyBorder="true" applyAlignment="false" applyProtection="true">
      <alignment horizontal="general" vertical="bottom" textRotation="0" wrapText="false" indent="0" shrinkToFit="false"/>
      <protection locked="true" hidden="false"/>
    </xf>
    <xf numFmtId="180" fontId="23" fillId="8" borderId="13" xfId="0" applyFont="true" applyBorder="true" applyAlignment="false" applyProtection="true">
      <alignment horizontal="general" vertical="bottom" textRotation="0" wrapText="false" indent="0" shrinkToFit="false"/>
      <protection locked="true" hidden="false"/>
    </xf>
    <xf numFmtId="180" fontId="23" fillId="8" borderId="0" xfId="0" applyFont="true" applyBorder="true" applyAlignment="false" applyProtection="true">
      <alignment horizontal="general" vertical="bottom" textRotation="0" wrapText="false" indent="0" shrinkToFit="false"/>
      <protection locked="true" hidden="false"/>
    </xf>
    <xf numFmtId="180" fontId="22" fillId="8" borderId="13" xfId="0" applyFont="true" applyBorder="true" applyAlignment="false" applyProtection="true">
      <alignment horizontal="general" vertical="bottom" textRotation="0" wrapText="false" indent="0" shrinkToFit="false"/>
      <protection locked="true" hidden="false"/>
    </xf>
    <xf numFmtId="180" fontId="22" fillId="0" borderId="0" xfId="0" applyFont="true" applyBorder="false" applyAlignment="false" applyProtection="true">
      <alignment horizontal="general" vertical="bottom" textRotation="0" wrapText="false" indent="0" shrinkToFit="false"/>
      <protection locked="true" hidden="false"/>
    </xf>
    <xf numFmtId="180" fontId="22" fillId="0" borderId="0" xfId="0" applyFont="true" applyBorder="false" applyAlignment="false" applyProtection="true">
      <alignment horizontal="general" vertical="bottom" textRotation="0" wrapText="false" indent="0" shrinkToFit="false"/>
      <protection locked="true" hidden="false"/>
    </xf>
    <xf numFmtId="180" fontId="22" fillId="0" borderId="0" xfId="0" applyFont="true" applyBorder="true" applyAlignment="false" applyProtection="true">
      <alignment horizontal="general" vertical="bottom" textRotation="0" wrapText="false" indent="0" shrinkToFit="false"/>
      <protection locked="true" hidden="false"/>
    </xf>
    <xf numFmtId="180" fontId="22" fillId="0" borderId="13" xfId="0" applyFont="true" applyBorder="true" applyAlignment="false" applyProtection="true">
      <alignment horizontal="general" vertical="bottom" textRotation="0" wrapText="false" indent="0" shrinkToFit="false"/>
      <protection locked="true" hidden="false"/>
    </xf>
    <xf numFmtId="181" fontId="22" fillId="0" borderId="0" xfId="0" applyFont="true" applyBorder="false" applyAlignment="true" applyProtection="false">
      <alignment horizontal="left" vertical="bottom" textRotation="0" wrapText="false" indent="0" shrinkToFit="false"/>
      <protection locked="true" hidden="false"/>
    </xf>
    <xf numFmtId="164" fontId="27" fillId="0" borderId="0" xfId="0" applyFont="true" applyBorder="false" applyAlignment="true" applyProtection="false">
      <alignment horizontal="left" vertical="bottom" textRotation="0" wrapText="false" indent="0" shrinkToFit="false"/>
      <protection locked="true" hidden="false"/>
    </xf>
    <xf numFmtId="182" fontId="24" fillId="0" borderId="0" xfId="0" applyFont="true" applyBorder="false" applyAlignment="true" applyProtection="false">
      <alignment horizontal="left" vertical="bottom" textRotation="0" wrapText="false" indent="0" shrinkToFit="false"/>
      <protection locked="true" hidden="false"/>
    </xf>
    <xf numFmtId="183" fontId="22" fillId="0" borderId="13" xfId="0" applyFont="true" applyBorder="true" applyAlignment="false" applyProtection="true">
      <alignment horizontal="general" vertical="bottom" textRotation="0" wrapText="false" indent="0" shrinkToFit="false"/>
      <protection locked="true" hidden="false"/>
    </xf>
    <xf numFmtId="183" fontId="22" fillId="0" borderId="13" xfId="0" applyFont="true" applyBorder="true" applyAlignment="false" applyProtection="true">
      <alignment horizontal="general" vertical="bottom" textRotation="0" wrapText="false" indent="0" shrinkToFit="false"/>
      <protection locked="true" hidden="false"/>
    </xf>
    <xf numFmtId="183" fontId="22" fillId="0" borderId="0" xfId="0" applyFont="true" applyBorder="true" applyAlignment="false" applyProtection="true">
      <alignment horizontal="general" vertical="bottom" textRotation="0" wrapText="false" indent="0" shrinkToFit="false"/>
      <protection locked="true" hidden="false"/>
    </xf>
    <xf numFmtId="184" fontId="22" fillId="0" borderId="0" xfId="0" applyFont="true" applyBorder="true" applyAlignment="false" applyProtection="true">
      <alignment horizontal="general" vertical="bottom" textRotation="0" wrapText="false" indent="0" shrinkToFit="false"/>
      <protection locked="true" hidden="false"/>
    </xf>
    <xf numFmtId="184" fontId="22" fillId="0" borderId="13" xfId="0" applyFont="true" applyBorder="true" applyAlignment="false" applyProtection="true">
      <alignment horizontal="general" vertical="bottom" textRotation="0" wrapText="false" indent="0" shrinkToFit="false"/>
      <protection locked="true" hidden="false"/>
    </xf>
    <xf numFmtId="185" fontId="22" fillId="0" borderId="0" xfId="0" applyFont="true" applyBorder="true" applyAlignment="false" applyProtection="true">
      <alignment horizontal="general" vertical="bottom" textRotation="0" wrapText="false" indent="0" shrinkToFit="false"/>
      <protection locked="true" hidden="false"/>
    </xf>
    <xf numFmtId="170" fontId="22" fillId="0" borderId="0" xfId="15" applyFont="true" applyBorder="true" applyAlignment="true" applyProtection="true">
      <alignment horizontal="general" vertical="bottom" textRotation="0" wrapText="false" indent="0" shrinkToFit="false"/>
      <protection locked="true" hidden="false"/>
    </xf>
    <xf numFmtId="184" fontId="22" fillId="0" borderId="0" xfId="0" applyFont="true" applyBorder="false" applyAlignment="false" applyProtection="true">
      <alignment horizontal="general" vertical="bottom" textRotation="0" wrapText="false" indent="0" shrinkToFit="false"/>
      <protection locked="true" hidden="false"/>
    </xf>
    <xf numFmtId="184" fontId="22" fillId="0" borderId="0" xfId="0" applyFont="true" applyBorder="false" applyAlignment="false" applyProtection="true">
      <alignment horizontal="general" vertical="bottom" textRotation="0" wrapText="false" indent="0" shrinkToFit="false"/>
      <protection locked="true" hidden="false"/>
    </xf>
    <xf numFmtId="186" fontId="24" fillId="0" borderId="0" xfId="0" applyFont="true" applyBorder="false" applyAlignment="true" applyProtection="false">
      <alignment horizontal="left" vertical="bottom" textRotation="0" wrapText="false" indent="0" shrinkToFit="false"/>
      <protection locked="true" hidden="false"/>
    </xf>
    <xf numFmtId="171" fontId="28" fillId="6" borderId="0" xfId="15" applyFont="true" applyBorder="true" applyAlignment="true" applyProtection="true">
      <alignment horizontal="general" vertical="bottom" textRotation="0" wrapText="false" indent="0" shrinkToFit="false"/>
      <protection locked="true" hidden="false"/>
    </xf>
    <xf numFmtId="171" fontId="28" fillId="0" borderId="0" xfId="15" applyFont="true" applyBorder="true" applyAlignment="true" applyProtection="true">
      <alignment horizontal="general" vertical="bottom" textRotation="0" wrapText="false" indent="0" shrinkToFit="false"/>
      <protection locked="true" hidden="false"/>
    </xf>
    <xf numFmtId="171" fontId="23" fillId="0" borderId="0" xfId="15" applyFont="true" applyBorder="true" applyAlignment="true" applyProtection="tru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83" fontId="22" fillId="0" borderId="0" xfId="0" applyFont="true" applyBorder="true" applyAlignment="false" applyProtection="true">
      <alignment horizontal="general" vertical="bottom" textRotation="0" wrapText="false" indent="0" shrinkToFit="false"/>
      <protection locked="true" hidden="false"/>
    </xf>
    <xf numFmtId="184" fontId="22" fillId="0" borderId="0" xfId="0" applyFont="true" applyBorder="true" applyAlignment="false" applyProtection="true">
      <alignment horizontal="general" vertical="bottom" textRotation="0" wrapText="false" indent="0" shrinkToFit="false"/>
      <protection locked="true" hidden="false"/>
    </xf>
    <xf numFmtId="187" fontId="0" fillId="0" borderId="1" xfId="0" applyFont="false" applyBorder="true" applyAlignment="false" applyProtection="false">
      <alignment horizontal="general" vertical="bottom" textRotation="0" wrapText="false" indent="0" shrinkToFit="false"/>
      <protection locked="true" hidden="false"/>
    </xf>
    <xf numFmtId="171" fontId="29" fillId="0" borderId="0" xfId="15" applyFont="true" applyBorder="true" applyAlignment="true" applyProtection="true">
      <alignment horizontal="general" vertical="bottom" textRotation="0" wrapText="false" indent="0" shrinkToFit="false"/>
      <protection locked="true" hidden="false"/>
    </xf>
    <xf numFmtId="184" fontId="23" fillId="8" borderId="0" xfId="0" applyFont="true" applyBorder="true" applyAlignment="false" applyProtection="false">
      <alignment horizontal="general" vertical="bottom" textRotation="0" wrapText="false" indent="0" shrinkToFit="false"/>
      <protection locked="true" hidden="false"/>
    </xf>
    <xf numFmtId="184" fontId="4" fillId="8" borderId="13" xfId="0" applyFont="true" applyBorder="true" applyAlignment="false" applyProtection="false">
      <alignment horizontal="general" vertical="bottom" textRotation="0" wrapText="false" indent="0" shrinkToFit="false"/>
      <protection locked="true" hidden="false"/>
    </xf>
    <xf numFmtId="184" fontId="23" fillId="8" borderId="13" xfId="0" applyFont="true" applyBorder="true" applyAlignment="false" applyProtection="true">
      <alignment horizontal="general" vertical="bottom" textRotation="0" wrapText="false" indent="0" shrinkToFit="false"/>
      <protection locked="true" hidden="false"/>
    </xf>
    <xf numFmtId="188" fontId="0" fillId="0" borderId="0" xfId="0" applyFont="false" applyBorder="false" applyAlignment="false" applyProtection="false">
      <alignment horizontal="general" vertical="bottom" textRotation="0" wrapText="false" indent="0" shrinkToFit="false"/>
      <protection locked="true" hidden="false"/>
    </xf>
    <xf numFmtId="189" fontId="23" fillId="8" borderId="0" xfId="15" applyFont="true" applyBorder="true" applyAlignment="true" applyProtection="true">
      <alignment horizontal="general" vertical="bottom" textRotation="0" wrapText="false" indent="0" shrinkToFit="false"/>
      <protection locked="true" hidden="false"/>
    </xf>
    <xf numFmtId="183" fontId="23" fillId="0" borderId="13" xfId="0" applyFont="true" applyBorder="true" applyAlignment="false" applyProtection="true">
      <alignment horizontal="general" vertical="bottom" textRotation="0" wrapText="false" indent="0" shrinkToFit="false"/>
      <protection locked="true" hidden="false"/>
    </xf>
    <xf numFmtId="184" fontId="23" fillId="8" borderId="13" xfId="0" applyFont="true" applyBorder="true" applyAlignment="false" applyProtection="false">
      <alignment horizontal="general" vertical="bottom" textRotation="0" wrapText="false" indent="0" shrinkToFit="false"/>
      <protection locked="true" hidden="false"/>
    </xf>
    <xf numFmtId="184" fontId="23" fillId="8" borderId="0" xfId="0" applyFont="true" applyBorder="true" applyAlignment="false" applyProtection="true">
      <alignment horizontal="general" vertical="bottom" textRotation="0" wrapText="false" indent="0" shrinkToFit="false"/>
      <protection locked="true" hidden="false"/>
    </xf>
    <xf numFmtId="184" fontId="4" fillId="0" borderId="13" xfId="0" applyFont="true" applyBorder="true" applyAlignment="false" applyProtection="false">
      <alignment horizontal="general" vertical="bottom" textRotation="0" wrapText="false" indent="0" shrinkToFit="false"/>
      <protection locked="true" hidden="false"/>
    </xf>
    <xf numFmtId="190" fontId="22" fillId="0" borderId="0" xfId="0" applyFont="true" applyBorder="true" applyAlignment="false" applyProtection="true">
      <alignment horizontal="general" vertical="bottom" textRotation="0" wrapText="false" indent="0" shrinkToFit="false"/>
      <protection locked="true" hidden="false"/>
    </xf>
    <xf numFmtId="190" fontId="22" fillId="0" borderId="0" xfId="0" applyFont="true" applyBorder="true" applyAlignment="false" applyProtection="true">
      <alignment horizontal="general" vertical="bottom" textRotation="0" wrapText="false" indent="0" shrinkToFit="false"/>
      <protection locked="true" hidden="false"/>
    </xf>
    <xf numFmtId="184" fontId="22" fillId="0" borderId="13" xfId="0" applyFont="true" applyBorder="true" applyAlignment="false" applyProtection="true">
      <alignment horizontal="general" vertical="bottom" textRotation="0" wrapText="false" indent="0" shrinkToFit="false"/>
      <protection locked="true" hidden="false"/>
    </xf>
    <xf numFmtId="191" fontId="0" fillId="0" borderId="0" xfId="15" applyFont="true" applyBorder="true" applyAlignment="true" applyProtection="true">
      <alignment horizontal="general" vertical="bottom" textRotation="0" wrapText="false" indent="0" shrinkToFit="false"/>
      <protection locked="true" hidden="false"/>
    </xf>
    <xf numFmtId="164" fontId="24" fillId="0" borderId="0" xfId="0" applyFont="true" applyBorder="false" applyAlignment="true" applyProtection="false">
      <alignment horizontal="left" vertical="bottom" textRotation="0" wrapText="false" indent="0" shrinkToFit="false"/>
      <protection locked="true" hidden="false"/>
    </xf>
    <xf numFmtId="184" fontId="22" fillId="0" borderId="0" xfId="0" applyFont="true" applyBorder="false" applyAlignment="false" applyProtection="false">
      <alignment horizontal="general" vertical="bottom" textRotation="0" wrapText="false" indent="0" shrinkToFit="false"/>
      <protection locked="true" hidden="false"/>
    </xf>
    <xf numFmtId="192" fontId="22" fillId="0" borderId="0" xfId="0" applyFont="true" applyBorder="false" applyAlignment="false" applyProtection="true">
      <alignment horizontal="general" vertical="bottom" textRotation="0" wrapText="false" indent="0" shrinkToFit="false"/>
      <protection locked="true" hidden="false"/>
    </xf>
    <xf numFmtId="192" fontId="22" fillId="0" borderId="0" xfId="0" applyFont="true" applyBorder="true" applyAlignment="false" applyProtection="true">
      <alignment horizontal="general" vertical="bottom" textRotation="0" wrapText="false" indent="0" shrinkToFit="false"/>
      <protection locked="true" hidden="false"/>
    </xf>
    <xf numFmtId="193" fontId="24" fillId="0" borderId="0" xfId="0" applyFont="true" applyBorder="false" applyAlignment="true" applyProtection="false">
      <alignment horizontal="left" vertical="bottom" textRotation="0" wrapText="false" indent="0" shrinkToFit="false"/>
      <protection locked="true" hidden="false"/>
    </xf>
    <xf numFmtId="184" fontId="22" fillId="8" borderId="0" xfId="0" applyFont="true" applyBorder="true" applyAlignment="false" applyProtection="false">
      <alignment horizontal="general" vertical="bottom" textRotation="0" wrapText="false" indent="0" shrinkToFit="false"/>
      <protection locked="true" hidden="false"/>
    </xf>
    <xf numFmtId="187" fontId="22" fillId="0" borderId="0" xfId="17" applyFont="true" applyBorder="true" applyAlignment="true" applyProtection="true">
      <alignment horizontal="general" vertical="bottom"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84" fontId="22" fillId="0" borderId="13" xfId="0" applyFont="true" applyBorder="true" applyAlignment="false" applyProtection="false">
      <alignment horizontal="general" vertical="bottom" textRotation="0" wrapText="false" indent="0" shrinkToFit="false"/>
      <protection locked="true" hidden="false"/>
    </xf>
    <xf numFmtId="184" fontId="25" fillId="0" borderId="0" xfId="0" applyFont="true" applyBorder="true" applyAlignment="false" applyProtection="false">
      <alignment horizontal="general" vertical="bottom" textRotation="0" wrapText="false" indent="0" shrinkToFit="false"/>
      <protection locked="true" hidden="false"/>
    </xf>
    <xf numFmtId="166" fontId="22" fillId="0" borderId="0" xfId="0" applyFont="true" applyBorder="true" applyAlignment="false" applyProtection="false">
      <alignment horizontal="general" vertical="bottom" textRotation="0" wrapText="false" indent="0" shrinkToFit="false"/>
      <protection locked="true" hidden="false"/>
    </xf>
    <xf numFmtId="170" fontId="22" fillId="0" borderId="0" xfId="15" applyFont="true" applyBorder="true" applyAlignment="true" applyProtection="true">
      <alignment horizontal="general" vertical="bottom" textRotation="0" wrapText="false" indent="0" shrinkToFit="false"/>
      <protection locked="true" hidden="false"/>
    </xf>
    <xf numFmtId="164" fontId="22" fillId="0" borderId="0" xfId="0" applyFont="true" applyBorder="true" applyAlignment="false" applyProtection="false">
      <alignment horizontal="general" vertical="bottom" textRotation="0" wrapText="false" indent="0" shrinkToFit="false"/>
      <protection locked="true" hidden="false"/>
    </xf>
    <xf numFmtId="184" fontId="22" fillId="0" borderId="0" xfId="0" applyFont="true" applyBorder="true" applyAlignment="false" applyProtection="false">
      <alignment horizontal="general" vertical="bottom" textRotation="0" wrapText="false" indent="0" shrinkToFit="false"/>
      <protection locked="true" hidden="false"/>
    </xf>
    <xf numFmtId="184" fontId="22" fillId="0" borderId="0" xfId="0" applyFont="true" applyBorder="true" applyAlignment="false" applyProtection="false">
      <alignment horizontal="general" vertical="bottom" textRotation="0" wrapText="false" indent="0" shrinkToFit="false"/>
      <protection locked="true" hidden="false"/>
    </xf>
    <xf numFmtId="183" fontId="22" fillId="8" borderId="13" xfId="0" applyFont="true" applyBorder="true" applyAlignment="false" applyProtection="false">
      <alignment horizontal="general" vertical="bottom" textRotation="0" wrapText="false" indent="0" shrinkToFit="false"/>
      <protection locked="true" hidden="false"/>
    </xf>
    <xf numFmtId="171" fontId="28" fillId="8" borderId="0" xfId="15" applyFont="true" applyBorder="true" applyAlignment="true" applyProtection="true">
      <alignment horizontal="general" vertical="bottom" textRotation="0" wrapText="false" indent="0" shrinkToFit="false"/>
      <protection locked="true" hidden="false"/>
    </xf>
    <xf numFmtId="190" fontId="22" fillId="7" borderId="0" xfId="0" applyFont="true" applyBorder="false" applyAlignment="false" applyProtection="true">
      <alignment horizontal="general" vertical="bottom" textRotation="0" wrapText="false" indent="0" shrinkToFit="false"/>
      <protection locked="true" hidden="false"/>
    </xf>
    <xf numFmtId="190" fontId="22" fillId="0" borderId="0" xfId="0" applyFont="true" applyBorder="false" applyAlignment="false" applyProtection="true">
      <alignment horizontal="general" vertical="bottom" textRotation="0" wrapText="false" indent="0" shrinkToFit="false"/>
      <protection locked="true" hidden="false"/>
    </xf>
    <xf numFmtId="184" fontId="22" fillId="7" borderId="0" xfId="0" applyFont="true" applyBorder="false" applyAlignment="false" applyProtection="true">
      <alignment horizontal="general" vertical="bottom" textRotation="0" wrapText="false" indent="0" shrinkToFit="false"/>
      <protection locked="true" hidden="false"/>
    </xf>
    <xf numFmtId="184" fontId="22" fillId="7" borderId="0" xfId="0" applyFont="true" applyBorder="true" applyAlignment="false" applyProtection="true">
      <alignment horizontal="general" vertical="bottom" textRotation="0" wrapText="false" indent="0" shrinkToFit="false"/>
      <protection locked="true" hidden="false"/>
    </xf>
    <xf numFmtId="171" fontId="22" fillId="9" borderId="0" xfId="15" applyFont="true" applyBorder="true" applyAlignment="true" applyProtection="true">
      <alignment horizontal="general" vertical="bottom" textRotation="0" wrapText="false" indent="0" shrinkToFit="false"/>
      <protection locked="true" hidden="false"/>
    </xf>
    <xf numFmtId="184" fontId="22" fillId="9" borderId="13" xfId="0" applyFont="true" applyBorder="true" applyAlignment="false" applyProtection="true">
      <alignment horizontal="general" vertical="bottom" textRotation="0" wrapText="false" indent="0" shrinkToFit="false"/>
      <protection locked="true" hidden="false"/>
    </xf>
    <xf numFmtId="190" fontId="23" fillId="0" borderId="0" xfId="0" applyFont="true" applyBorder="false" applyAlignment="false" applyProtection="false">
      <alignment horizontal="general" vertical="bottom" textRotation="0" wrapText="false" indent="0" shrinkToFit="false"/>
      <protection locked="true" hidden="false"/>
    </xf>
    <xf numFmtId="190" fontId="23"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3" fillId="9" borderId="0" xfId="0" applyFont="true" applyBorder="false" applyAlignment="false" applyProtection="false">
      <alignment horizontal="general" vertical="bottom" textRotation="0" wrapText="false" indent="0" shrinkToFit="false"/>
      <protection locked="true" hidden="false"/>
    </xf>
    <xf numFmtId="190" fontId="22" fillId="0" borderId="13" xfId="0" applyFont="true" applyBorder="true" applyAlignment="false" applyProtection="true">
      <alignment horizontal="general" vertical="bottom" textRotation="0" wrapText="false" indent="0" shrinkToFit="false"/>
      <protection locked="true" hidden="false"/>
    </xf>
    <xf numFmtId="190" fontId="22" fillId="7" borderId="13" xfId="0" applyFont="true" applyBorder="true" applyAlignment="false" applyProtection="true">
      <alignment horizontal="general" vertical="bottom" textRotation="0" wrapText="false" indent="0" shrinkToFit="false"/>
      <protection locked="true" hidden="false"/>
    </xf>
    <xf numFmtId="184" fontId="22" fillId="7" borderId="13" xfId="0" applyFont="true" applyBorder="true" applyAlignment="false" applyProtection="true">
      <alignment horizontal="general" vertical="bottom" textRotation="0" wrapText="false" indent="0" shrinkToFit="false"/>
      <protection locked="true" hidden="false"/>
    </xf>
    <xf numFmtId="190" fontId="22" fillId="7" borderId="0" xfId="0" applyFont="true" applyBorder="true" applyAlignment="false" applyProtection="true">
      <alignment horizontal="general" vertical="bottom" textRotation="0" wrapText="false" indent="0" shrinkToFit="false"/>
      <protection locked="true" hidden="false"/>
    </xf>
    <xf numFmtId="184" fontId="22" fillId="9" borderId="0" xfId="0" applyFont="true" applyBorder="false" applyAlignment="false" applyProtection="true">
      <alignment horizontal="general" vertical="bottom" textRotation="0" wrapText="false" indent="0" shrinkToFit="false"/>
      <protection locked="true" hidden="false"/>
    </xf>
    <xf numFmtId="171" fontId="22" fillId="5" borderId="0" xfId="15" applyFont="true" applyBorder="true" applyAlignment="true" applyProtection="true">
      <alignment horizontal="general" vertical="bottom" textRotation="0" wrapText="false" indent="0" shrinkToFit="false"/>
      <protection locked="true" hidden="false"/>
    </xf>
    <xf numFmtId="184" fontId="22" fillId="9" borderId="0" xfId="0" applyFont="true" applyBorder="true" applyAlignment="false" applyProtection="true">
      <alignment horizontal="general" vertical="bottom" textRotation="0" wrapText="false" indent="0" shrinkToFit="false"/>
      <protection locked="true" hidden="false"/>
    </xf>
    <xf numFmtId="164" fontId="22" fillId="5" borderId="0" xfId="0" applyFont="true" applyBorder="false" applyAlignment="false" applyProtection="false">
      <alignment horizontal="general" vertical="bottom" textRotation="0" wrapText="false" indent="0" shrinkToFit="false"/>
      <protection locked="true" hidden="false"/>
    </xf>
    <xf numFmtId="184" fontId="22" fillId="5" borderId="0" xfId="0" applyFont="true" applyBorder="false" applyAlignment="false" applyProtection="true">
      <alignment horizontal="general" vertical="bottom" textRotation="0" wrapText="false" indent="0" shrinkToFit="false"/>
      <protection locked="true" hidden="false"/>
    </xf>
    <xf numFmtId="184" fontId="4" fillId="7" borderId="13" xfId="0" applyFont="true" applyBorder="true" applyAlignment="false" applyProtection="true">
      <alignment horizontal="general" vertical="bottom" textRotation="0" wrapText="false" indent="0" shrinkToFit="false"/>
      <protection locked="true" hidden="false"/>
    </xf>
    <xf numFmtId="184" fontId="4" fillId="7" borderId="0" xfId="0" applyFont="true" applyBorder="true" applyAlignment="false" applyProtection="true">
      <alignment horizontal="general" vertical="bottom" textRotation="0" wrapText="false" indent="0" shrinkToFit="false"/>
      <protection locked="true" hidden="false"/>
    </xf>
    <xf numFmtId="184" fontId="4" fillId="9" borderId="13" xfId="0" applyFont="true" applyBorder="true" applyAlignment="false" applyProtection="true">
      <alignment horizontal="general" vertical="bottom" textRotation="0" wrapText="false" indent="0" shrinkToFit="false"/>
      <protection locked="true" hidden="false"/>
    </xf>
    <xf numFmtId="184" fontId="22" fillId="8" borderId="0" xfId="0" applyFont="true" applyBorder="true" applyAlignment="false" applyProtection="true">
      <alignment horizontal="general" vertical="bottom" textRotation="0" wrapText="false" indent="0" shrinkToFit="false"/>
      <protection locked="true" hidden="false"/>
    </xf>
    <xf numFmtId="195" fontId="22" fillId="0" borderId="0" xfId="0" applyFont="true" applyBorder="false" applyAlignment="false" applyProtection="true">
      <alignment horizontal="general" vertical="bottom" textRotation="0" wrapText="false" indent="0" shrinkToFit="false"/>
      <protection locked="true" hidden="false"/>
    </xf>
    <xf numFmtId="164" fontId="0" fillId="9"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right" vertical="bottom" textRotation="0" wrapText="false" indent="0" shrinkToFit="false"/>
      <protection locked="true" hidden="false"/>
    </xf>
    <xf numFmtId="184" fontId="22" fillId="7" borderId="14" xfId="0" applyFont="true" applyBorder="true" applyAlignment="false" applyProtection="true">
      <alignment horizontal="general" vertical="bottom" textRotation="0" wrapText="false" indent="0" shrinkToFit="false"/>
      <protection locked="true" hidden="false"/>
    </xf>
    <xf numFmtId="190" fontId="22" fillId="7" borderId="15" xfId="0" applyFont="true" applyBorder="true" applyAlignment="false" applyProtection="true">
      <alignment horizontal="general" vertical="bottom" textRotation="0" wrapText="false" indent="0" shrinkToFit="false"/>
      <protection locked="true" hidden="false"/>
    </xf>
    <xf numFmtId="190" fontId="22" fillId="0" borderId="15" xfId="0" applyFont="true" applyBorder="true" applyAlignment="false" applyProtection="true">
      <alignment horizontal="general" vertical="bottom" textRotation="0" wrapText="false" indent="0" shrinkToFit="false"/>
      <protection locked="true" hidden="false"/>
    </xf>
    <xf numFmtId="184" fontId="4" fillId="7" borderId="14" xfId="0" applyFont="true" applyBorder="true" applyAlignment="false" applyProtection="true">
      <alignment horizontal="general" vertical="bottom" textRotation="0" wrapText="false" indent="0" shrinkToFit="false"/>
      <protection locked="true" hidden="false"/>
    </xf>
    <xf numFmtId="196" fontId="22" fillId="0" borderId="13" xfId="0" applyFont="true" applyBorder="true" applyAlignment="false" applyProtection="true">
      <alignment horizontal="general" vertical="bottom" textRotation="0" wrapText="false" indent="0" shrinkToFit="false"/>
      <protection locked="true" hidden="false"/>
    </xf>
    <xf numFmtId="196" fontId="22" fillId="0" borderId="0" xfId="0" applyFont="true" applyBorder="true" applyAlignment="false" applyProtection="true">
      <alignment horizontal="general" vertical="bottom" textRotation="0" wrapText="false" indent="0" shrinkToFit="false"/>
      <protection locked="true" hidden="false"/>
    </xf>
    <xf numFmtId="166" fontId="22" fillId="0" borderId="0" xfId="0" applyFont="true" applyBorder="false" applyAlignment="false" applyProtection="false">
      <alignment horizontal="general" vertical="bottom" textRotation="0" wrapText="false" indent="0" shrinkToFit="false"/>
      <protection locked="true" hidden="false"/>
    </xf>
    <xf numFmtId="166" fontId="23" fillId="6" borderId="0" xfId="0" applyFont="tru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true" applyProtection="false">
      <alignment horizontal="right" vertical="bottom" textRotation="0" wrapText="false" indent="0" shrinkToFit="false"/>
      <protection locked="true" hidden="false"/>
    </xf>
    <xf numFmtId="197" fontId="32" fillId="0" borderId="0" xfId="0" applyFont="true" applyBorder="false" applyAlignment="true" applyProtection="false">
      <alignment horizontal="left" vertical="bottom" textRotation="0" wrapText="false" indent="0" shrinkToFit="false"/>
      <protection locked="true" hidden="false"/>
    </xf>
    <xf numFmtId="164" fontId="22" fillId="7" borderId="16" xfId="0" applyFont="true" applyBorder="true" applyAlignment="false" applyProtection="false">
      <alignment horizontal="general" vertical="bottom" textRotation="0" wrapText="false" indent="0" shrinkToFit="false"/>
      <protection locked="true" hidden="false"/>
    </xf>
    <xf numFmtId="166" fontId="33" fillId="0" borderId="0" xfId="0" applyFont="true" applyBorder="false" applyAlignment="false" applyProtection="false">
      <alignment horizontal="general" vertical="bottom" textRotation="0" wrapText="false" indent="0" shrinkToFit="false"/>
      <protection locked="true" hidden="false"/>
    </xf>
    <xf numFmtId="166" fontId="22" fillId="0" borderId="0" xfId="0" applyFont="true" applyBorder="false" applyAlignment="false" applyProtection="false">
      <alignment horizontal="general" vertical="bottom" textRotation="0" wrapText="false" indent="0" shrinkToFit="false"/>
      <protection locked="true" hidden="false"/>
    </xf>
    <xf numFmtId="171" fontId="22" fillId="7" borderId="17" xfId="15" applyFont="true" applyBorder="true" applyAlignment="true" applyProtection="true">
      <alignment horizontal="center" vertical="bottom" textRotation="0" wrapText="false" indent="0" shrinkToFit="false"/>
      <protection locked="true" hidden="false"/>
    </xf>
    <xf numFmtId="166" fontId="34" fillId="0" borderId="0" xfId="0" applyFont="true" applyBorder="false" applyAlignment="true" applyProtection="false">
      <alignment horizontal="right" vertical="bottom" textRotation="0" wrapText="false" indent="0" shrinkToFit="false"/>
      <protection locked="true" hidden="false"/>
    </xf>
    <xf numFmtId="166" fontId="35" fillId="0" borderId="0" xfId="0" applyFont="true" applyBorder="false" applyAlignment="false" applyProtection="false">
      <alignment horizontal="general" vertical="bottom" textRotation="0" wrapText="false" indent="0" shrinkToFit="false"/>
      <protection locked="true" hidden="false"/>
    </xf>
    <xf numFmtId="166" fontId="35" fillId="0" borderId="0" xfId="0" applyFont="true" applyBorder="false" applyAlignment="false" applyProtection="false">
      <alignment horizontal="general" vertical="bottom" textRotation="0" wrapText="false" indent="0" shrinkToFit="false"/>
      <protection locked="true" hidden="false"/>
    </xf>
    <xf numFmtId="167" fontId="32" fillId="0" borderId="0" xfId="0" applyFont="tru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true" applyProtection="false">
      <alignment horizontal="right" vertical="bottom" textRotation="0" wrapText="false" indent="0" shrinkToFit="false"/>
      <protection locked="true" hidden="false"/>
    </xf>
    <xf numFmtId="197" fontId="36" fillId="0" borderId="0" xfId="0" applyFont="true" applyBorder="false" applyAlignment="true" applyProtection="false">
      <alignment horizontal="left" vertical="bottom" textRotation="0" wrapText="false" indent="0" shrinkToFit="false"/>
      <protection locked="true" hidden="false"/>
    </xf>
    <xf numFmtId="167" fontId="37" fillId="0" borderId="0" xfId="0" applyFont="true" applyBorder="false" applyAlignment="true" applyProtection="false">
      <alignment horizontal="left" vertical="bottom" textRotation="0" wrapText="false" indent="0" shrinkToFit="false"/>
      <protection locked="true" hidden="false"/>
    </xf>
    <xf numFmtId="168" fontId="23" fillId="0" borderId="0" xfId="0" applyFont="true" applyBorder="false" applyAlignment="true" applyProtection="false">
      <alignment horizontal="left" vertical="bottom" textRotation="0" wrapText="false" indent="0" shrinkToFit="false"/>
      <protection locked="true" hidden="false"/>
    </xf>
    <xf numFmtId="198" fontId="23" fillId="0" borderId="0" xfId="0" applyFont="true" applyBorder="false" applyAlignment="false" applyProtection="false">
      <alignment horizontal="general" vertical="bottom" textRotation="0" wrapText="false" indent="0" shrinkToFit="false"/>
      <protection locked="true" hidden="false"/>
    </xf>
    <xf numFmtId="176" fontId="23" fillId="0" borderId="13" xfId="0" applyFont="true" applyBorder="true" applyAlignment="true" applyProtection="false">
      <alignment horizontal="center" vertical="bottom" textRotation="0" wrapText="false" indent="0" shrinkToFit="false"/>
      <protection locked="true" hidden="false"/>
    </xf>
    <xf numFmtId="166" fontId="33" fillId="0" borderId="18" xfId="0" applyFont="true" applyBorder="true" applyAlignment="false" applyProtection="false">
      <alignment horizontal="general" vertical="bottom" textRotation="0" wrapText="false" indent="0" shrinkToFit="false"/>
      <protection locked="true" hidden="false"/>
    </xf>
    <xf numFmtId="166" fontId="22" fillId="0" borderId="19" xfId="0" applyFont="true" applyBorder="true" applyAlignment="false" applyProtection="false">
      <alignment horizontal="general" vertical="bottom" textRotation="0" wrapText="false" indent="0" shrinkToFit="false"/>
      <protection locked="true" hidden="false"/>
    </xf>
    <xf numFmtId="166" fontId="22" fillId="0" borderId="20" xfId="0" applyFont="true" applyBorder="true" applyAlignment="false" applyProtection="false">
      <alignment horizontal="general" vertical="bottom" textRotation="0" wrapText="false" indent="0" shrinkToFit="false"/>
      <protection locked="true" hidden="false"/>
    </xf>
    <xf numFmtId="166" fontId="27" fillId="0" borderId="21" xfId="0" applyFont="true" applyBorder="true" applyAlignment="false" applyProtection="false">
      <alignment horizontal="general" vertical="bottom" textRotation="0" wrapText="false" indent="0" shrinkToFit="false"/>
      <protection locked="true" hidden="false"/>
    </xf>
    <xf numFmtId="166" fontId="27" fillId="0" borderId="0" xfId="0" applyFont="true" applyBorder="true" applyAlignment="true" applyProtection="false">
      <alignment horizontal="right" vertical="bottom" textRotation="0" wrapText="false" indent="0" shrinkToFit="false"/>
      <protection locked="true" hidden="false"/>
    </xf>
    <xf numFmtId="166" fontId="27" fillId="0" borderId="0" xfId="0" applyFont="true" applyBorder="true" applyAlignment="true" applyProtection="false">
      <alignment horizontal="left" vertical="bottom" textRotation="0" wrapText="false" indent="0" shrinkToFit="false"/>
      <protection locked="true" hidden="false"/>
    </xf>
    <xf numFmtId="166" fontId="27" fillId="0" borderId="22" xfId="0" applyFont="true" applyBorder="true" applyAlignment="true" applyProtection="false">
      <alignment horizontal="right" vertical="bottom" textRotation="0" wrapText="false" indent="0" shrinkToFit="false"/>
      <protection locked="true" hidden="false"/>
    </xf>
    <xf numFmtId="166" fontId="22" fillId="0" borderId="0" xfId="0" applyFont="true" applyBorder="false" applyAlignment="true" applyProtection="false">
      <alignment horizontal="center" vertical="bottom" textRotation="0" wrapText="false" indent="0" shrinkToFit="false"/>
      <protection locked="true" hidden="false"/>
    </xf>
    <xf numFmtId="166" fontId="22" fillId="0" borderId="21" xfId="0" applyFont="true" applyBorder="true" applyAlignment="false" applyProtection="false">
      <alignment horizontal="general" vertical="bottom" textRotation="0" wrapText="false" indent="0" shrinkToFit="false"/>
      <protection locked="true" hidden="false"/>
    </xf>
    <xf numFmtId="166" fontId="22" fillId="0" borderId="22" xfId="0" applyFont="true" applyBorder="true" applyAlignment="false" applyProtection="false">
      <alignment horizontal="general" vertical="bottom" textRotation="0" wrapText="false" indent="0" shrinkToFit="false"/>
      <protection locked="true" hidden="false"/>
    </xf>
    <xf numFmtId="166" fontId="38" fillId="0" borderId="0" xfId="0" applyFont="true" applyBorder="false" applyAlignment="false" applyProtection="false">
      <alignment horizontal="general" vertical="bottom" textRotation="0" wrapText="false" indent="0" shrinkToFit="false"/>
      <protection locked="true" hidden="false"/>
    </xf>
    <xf numFmtId="166" fontId="27" fillId="0" borderId="0" xfId="0" applyFont="true" applyBorder="false" applyAlignment="true" applyProtection="false">
      <alignment horizontal="center" vertical="bottom" textRotation="0" wrapText="false" indent="0" shrinkToFit="false"/>
      <protection locked="true" hidden="false"/>
    </xf>
    <xf numFmtId="166" fontId="23" fillId="0" borderId="0" xfId="0" applyFont="true" applyBorder="false" applyAlignment="false" applyProtection="false">
      <alignment horizontal="general" vertical="bottom" textRotation="0" wrapText="false" indent="0" shrinkToFit="false"/>
      <protection locked="true" hidden="false"/>
    </xf>
    <xf numFmtId="166" fontId="26" fillId="0" borderId="21" xfId="0" applyFont="true" applyBorder="true" applyAlignment="false" applyProtection="false">
      <alignment horizontal="general" vertical="bottom" textRotation="0" wrapText="false" indent="0" shrinkToFit="false"/>
      <protection locked="true" hidden="false"/>
    </xf>
    <xf numFmtId="166" fontId="36" fillId="0" borderId="23" xfId="0" applyFont="true" applyBorder="true" applyAlignment="false" applyProtection="false">
      <alignment horizontal="general" vertical="bottom" textRotation="0" wrapText="false" indent="0" shrinkToFit="false"/>
      <protection locked="true" hidden="false"/>
    </xf>
    <xf numFmtId="171" fontId="36" fillId="0" borderId="0" xfId="15" applyFont="true" applyBorder="true" applyAlignment="true" applyProtection="true">
      <alignment horizontal="general" vertical="bottom" textRotation="0" wrapText="false" indent="0" shrinkToFit="false"/>
      <protection locked="true" hidden="false"/>
    </xf>
    <xf numFmtId="171" fontId="36" fillId="0" borderId="22" xfId="15" applyFont="true" applyBorder="true" applyAlignment="true" applyProtection="true">
      <alignment horizontal="general" vertical="bottom" textRotation="0" wrapText="false" indent="0" shrinkToFit="false"/>
      <protection locked="true" hidden="false"/>
    </xf>
    <xf numFmtId="180" fontId="22" fillId="0" borderId="0" xfId="0" applyFont="true" applyBorder="false" applyAlignment="false" applyProtection="false">
      <alignment horizontal="general" vertical="bottom" textRotation="0" wrapText="false" indent="0" shrinkToFit="false"/>
      <protection locked="true" hidden="false"/>
    </xf>
    <xf numFmtId="166" fontId="36" fillId="0" borderId="24" xfId="0" applyFont="true" applyBorder="true" applyAlignment="false" applyProtection="false">
      <alignment horizontal="general" vertical="bottom" textRotation="0" wrapText="false" indent="0" shrinkToFit="false"/>
      <protection locked="true" hidden="false"/>
    </xf>
    <xf numFmtId="180" fontId="22" fillId="0" borderId="0" xfId="0" applyFont="true" applyBorder="true" applyAlignment="false" applyProtection="false">
      <alignment horizontal="general" vertical="bottom" textRotation="0" wrapText="false" indent="0" shrinkToFit="false"/>
      <protection locked="true" hidden="false"/>
    </xf>
    <xf numFmtId="166" fontId="22" fillId="0" borderId="23" xfId="0" applyFont="true" applyBorder="true" applyAlignment="false" applyProtection="false">
      <alignment horizontal="general" vertical="bottom" textRotation="0" wrapText="false" indent="0" shrinkToFit="false"/>
      <protection locked="true" hidden="false"/>
    </xf>
    <xf numFmtId="180" fontId="22" fillId="0" borderId="4" xfId="0" applyFont="true" applyBorder="true" applyAlignment="false" applyProtection="false">
      <alignment horizontal="general" vertical="bottom" textRotation="0" wrapText="false" indent="0" shrinkToFit="false"/>
      <protection locked="true" hidden="false"/>
    </xf>
    <xf numFmtId="180" fontId="22" fillId="0" borderId="25" xfId="0" applyFont="true" applyBorder="true" applyAlignment="false" applyProtection="false">
      <alignment horizontal="general" vertical="bottom" textRotation="0" wrapText="false" indent="0" shrinkToFit="false"/>
      <protection locked="true" hidden="false"/>
    </xf>
    <xf numFmtId="166" fontId="39" fillId="0" borderId="0" xfId="0" applyFont="true" applyBorder="false" applyAlignment="true" applyProtection="false">
      <alignment horizontal="right" vertical="bottom" textRotation="0" wrapText="false" indent="0" shrinkToFit="false"/>
      <protection locked="true" hidden="false"/>
    </xf>
    <xf numFmtId="199" fontId="22" fillId="0" borderId="22" xfId="0" applyFont="true" applyBorder="true" applyAlignment="false" applyProtection="false">
      <alignment horizontal="general" vertical="bottom" textRotation="0" wrapText="false" indent="0" shrinkToFit="false"/>
      <protection locked="true" hidden="false"/>
    </xf>
    <xf numFmtId="180" fontId="22" fillId="0" borderId="0" xfId="15" applyFont="true" applyBorder="true" applyAlignment="true" applyProtection="true">
      <alignment horizontal="center" vertical="bottom" textRotation="0" wrapText="false" indent="0" shrinkToFit="false"/>
      <protection locked="true" hidden="false"/>
    </xf>
    <xf numFmtId="164" fontId="40" fillId="0" borderId="0" xfId="0" applyFont="true" applyBorder="false" applyAlignment="true" applyProtection="false">
      <alignment horizontal="right" vertical="bottom" textRotation="0" wrapText="false" indent="0" shrinkToFit="false"/>
      <protection locked="true" hidden="false"/>
    </xf>
    <xf numFmtId="166" fontId="27" fillId="0" borderId="0" xfId="0" applyFont="true" applyBorder="true" applyAlignment="false" applyProtection="false">
      <alignment horizontal="general" vertical="bottom" textRotation="0" wrapText="false" indent="0" shrinkToFit="false"/>
      <protection locked="true" hidden="false"/>
    </xf>
    <xf numFmtId="200" fontId="0" fillId="0" borderId="0" xfId="0" applyFont="false" applyBorder="false" applyAlignment="false" applyProtection="true">
      <alignment horizontal="general" vertical="bottom" textRotation="0" wrapText="false" indent="0" shrinkToFit="false"/>
      <protection locked="true" hidden="false"/>
    </xf>
    <xf numFmtId="166" fontId="0" fillId="0" borderId="0" xfId="0" applyFont="false" applyBorder="false" applyAlignment="false" applyProtection="true">
      <alignment horizontal="general" vertical="bottom" textRotation="0" wrapText="false" indent="0" shrinkToFit="false"/>
      <protection locked="true" hidden="false"/>
    </xf>
    <xf numFmtId="201" fontId="22" fillId="0" borderId="0" xfId="15" applyFont="true" applyBorder="true" applyAlignment="true" applyProtection="true">
      <alignment horizontal="general" vertical="bottom" textRotation="0" wrapText="false" indent="0" shrinkToFit="false"/>
      <protection locked="true" hidden="false"/>
    </xf>
    <xf numFmtId="201" fontId="35" fillId="0" borderId="22" xfId="15" applyFont="true" applyBorder="true" applyAlignment="true" applyProtection="true">
      <alignment horizontal="general" vertical="bottom" textRotation="0" wrapText="false" indent="0" shrinkToFit="false"/>
      <protection locked="true" hidden="false"/>
    </xf>
    <xf numFmtId="180" fontId="22" fillId="0" borderId="0" xfId="0" applyFont="true" applyBorder="true" applyAlignment="true" applyProtection="false">
      <alignment horizontal="center" vertical="bottom" textRotation="0" wrapText="false" indent="0" shrinkToFit="false"/>
      <protection locked="true" hidden="false"/>
    </xf>
    <xf numFmtId="164" fontId="10" fillId="0" borderId="0" xfId="0" applyFont="true" applyBorder="false" applyAlignment="true" applyProtection="false">
      <alignment horizontal="right"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201" fontId="22" fillId="0" borderId="12" xfId="15" applyFont="true" applyBorder="true" applyAlignment="true" applyProtection="true">
      <alignment horizontal="general" vertical="bottom" textRotation="0" wrapText="false" indent="0" shrinkToFit="false"/>
      <protection locked="true" hidden="false"/>
    </xf>
    <xf numFmtId="201" fontId="22" fillId="0" borderId="27" xfId="0" applyFont="true" applyBorder="true" applyAlignment="false" applyProtection="false">
      <alignment horizontal="general" vertical="bottom" textRotation="0" wrapText="false" indent="0" shrinkToFit="false"/>
      <protection locked="true" hidden="false"/>
    </xf>
    <xf numFmtId="166" fontId="23" fillId="0" borderId="28" xfId="0" applyFont="true" applyBorder="true" applyAlignment="false" applyProtection="false">
      <alignment horizontal="general" vertical="bottom" textRotation="0" wrapText="false" indent="0" shrinkToFit="false"/>
      <protection locked="true" hidden="false"/>
    </xf>
    <xf numFmtId="202" fontId="22" fillId="0" borderId="0" xfId="0" applyFont="true" applyBorder="true" applyAlignment="false" applyProtection="false">
      <alignment horizontal="general" vertical="bottom" textRotation="0" wrapText="false" indent="0" shrinkToFit="false"/>
      <protection locked="true" hidden="false"/>
    </xf>
    <xf numFmtId="164" fontId="22" fillId="0" borderId="26" xfId="0" applyFont="true" applyBorder="true" applyAlignment="false" applyProtection="false">
      <alignment horizontal="general" vertical="bottom" textRotation="0" wrapText="false" indent="0" shrinkToFit="false"/>
      <protection locked="true" hidden="false"/>
    </xf>
    <xf numFmtId="164" fontId="22" fillId="0" borderId="12" xfId="0" applyFont="true" applyBorder="true" applyAlignment="false" applyProtection="false">
      <alignment horizontal="general" vertical="bottom" textRotation="0" wrapText="false" indent="0" shrinkToFit="false"/>
      <protection locked="true" hidden="false"/>
    </xf>
    <xf numFmtId="164" fontId="22" fillId="0" borderId="27"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fals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2" fillId="0" borderId="28" xfId="0" applyFont="true" applyBorder="true" applyAlignment="false" applyProtection="false">
      <alignment horizontal="general" vertical="bottom" textRotation="0" wrapText="false" indent="0" shrinkToFit="false"/>
      <protection locked="true" hidden="false"/>
    </xf>
    <xf numFmtId="166" fontId="23" fillId="0" borderId="13" xfId="0" applyFont="true" applyBorder="true" applyAlignment="false" applyProtection="false">
      <alignment horizontal="general" vertical="bottom" textRotation="0" wrapText="false" indent="0" shrinkToFit="false"/>
      <protection locked="true" hidden="false"/>
    </xf>
    <xf numFmtId="166" fontId="22" fillId="0" borderId="18" xfId="0" applyFont="true" applyBorder="true" applyAlignment="false" applyProtection="false">
      <alignment horizontal="general" vertical="bottom" textRotation="0" wrapText="false" indent="0" shrinkToFit="false"/>
      <protection locked="true" hidden="false"/>
    </xf>
    <xf numFmtId="164" fontId="22" fillId="0" borderId="19" xfId="0" applyFont="true" applyBorder="true" applyAlignment="false" applyProtection="false">
      <alignment horizontal="general" vertical="bottom" textRotation="0" wrapText="false" indent="0" shrinkToFit="false"/>
      <protection locked="true" hidden="false"/>
    </xf>
    <xf numFmtId="164" fontId="22" fillId="0" borderId="20" xfId="0" applyFont="true" applyBorder="true" applyAlignment="false" applyProtection="false">
      <alignment horizontal="general" vertical="bottom" textRotation="0" wrapText="false" indent="0" shrinkToFit="false"/>
      <protection locked="true" hidden="false"/>
    </xf>
    <xf numFmtId="166" fontId="33" fillId="0" borderId="21" xfId="0" applyFont="true" applyBorder="true" applyAlignment="true" applyProtection="false">
      <alignment horizontal="center" vertical="bottom" textRotation="0" wrapText="false" indent="0" shrinkToFit="false"/>
      <protection locked="true" hidden="false"/>
    </xf>
    <xf numFmtId="166" fontId="41" fillId="0" borderId="0" xfId="0" applyFont="true" applyBorder="true" applyAlignment="true" applyProtection="false">
      <alignment horizontal="center" vertical="bottom" textRotation="0" wrapText="false" indent="0" shrinkToFit="false"/>
      <protection locked="true" hidden="false"/>
    </xf>
    <xf numFmtId="166" fontId="36" fillId="0" borderId="29" xfId="0" applyFont="true" applyBorder="true" applyAlignment="false" applyProtection="false">
      <alignment horizontal="general" vertical="bottom" textRotation="0" wrapText="false" indent="0" shrinkToFit="false"/>
      <protection locked="true" hidden="false"/>
    </xf>
    <xf numFmtId="164" fontId="22" fillId="0" borderId="22" xfId="0" applyFont="true" applyBorder="true" applyAlignment="false" applyProtection="false">
      <alignment horizontal="general" vertical="bottom" textRotation="0" wrapText="false" indent="0" shrinkToFit="false"/>
      <protection locked="true" hidden="false"/>
    </xf>
    <xf numFmtId="166" fontId="35" fillId="0" borderId="23" xfId="0" applyFont="true" applyBorder="true" applyAlignment="false" applyProtection="false">
      <alignment horizontal="general" vertical="bottom" textRotation="0" wrapText="false" indent="0" shrinkToFit="false"/>
      <protection locked="true" hidden="false"/>
    </xf>
    <xf numFmtId="164" fontId="22" fillId="0" borderId="21"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6" fontId="22" fillId="0" borderId="26" xfId="0" applyFont="true" applyBorder="true" applyAlignment="false" applyProtection="false">
      <alignment horizontal="general" vertical="bottom" textRotation="0" wrapText="false" indent="0" shrinkToFit="false"/>
      <protection locked="true" hidden="false"/>
    </xf>
    <xf numFmtId="166" fontId="22" fillId="0" borderId="12" xfId="0" applyFont="true" applyBorder="true" applyAlignment="false" applyProtection="false">
      <alignment horizontal="general" vertical="bottom" textRotation="0" wrapText="false" indent="0" shrinkToFit="false"/>
      <protection locked="true" hidden="false"/>
    </xf>
    <xf numFmtId="166" fontId="36" fillId="0" borderId="12" xfId="0" applyFont="true" applyBorder="true" applyAlignment="false" applyProtection="false">
      <alignment horizontal="general" vertical="bottom" textRotation="0" wrapText="false" indent="0" shrinkToFit="false"/>
      <protection locked="true" hidden="false"/>
    </xf>
    <xf numFmtId="166" fontId="22" fillId="0" borderId="27" xfId="0" applyFont="true" applyBorder="true" applyAlignment="false" applyProtection="false">
      <alignment horizontal="general" vertical="bottom" textRotation="0" wrapText="false" indent="0" shrinkToFit="false"/>
      <protection locked="true" hidden="false"/>
    </xf>
    <xf numFmtId="166" fontId="42" fillId="5" borderId="13" xfId="0" applyFont="true" applyBorder="true" applyAlignment="true" applyProtection="false">
      <alignment horizontal="center" vertical="bottom" textRotation="0" wrapText="false" indent="0" shrinkToFit="false"/>
      <protection locked="true" hidden="false"/>
    </xf>
    <xf numFmtId="166" fontId="22" fillId="10" borderId="0" xfId="0" applyFont="true" applyBorder="true" applyAlignment="true" applyProtection="false">
      <alignment horizontal="center" vertical="bottom" textRotation="0" wrapText="false" indent="0" shrinkToFit="false"/>
      <protection locked="true" hidden="false"/>
    </xf>
    <xf numFmtId="166" fontId="43" fillId="0" borderId="29" xfId="0" applyFont="true" applyBorder="true" applyAlignment="true" applyProtection="false">
      <alignment horizontal="center" vertical="bottom" textRotation="0" wrapText="false" indent="0" shrinkToFit="false"/>
      <protection locked="true" hidden="false"/>
    </xf>
    <xf numFmtId="166" fontId="43" fillId="0" borderId="13" xfId="0" applyFont="true" applyBorder="true" applyAlignment="true" applyProtection="false">
      <alignment horizontal="center" vertical="bottom" textRotation="0" wrapText="false" indent="0" shrinkToFit="false"/>
      <protection locked="true" hidden="false"/>
    </xf>
    <xf numFmtId="166" fontId="43" fillId="0" borderId="13" xfId="0" applyFont="true" applyBorder="true" applyAlignment="true" applyProtection="false">
      <alignment horizontal="right" vertical="bottom" textRotation="0" wrapText="false" indent="0" shrinkToFit="false"/>
      <protection locked="true" hidden="false"/>
    </xf>
    <xf numFmtId="166" fontId="22" fillId="10" borderId="14" xfId="0" applyFont="true" applyBorder="true" applyAlignment="true" applyProtection="false">
      <alignment horizontal="center" vertical="bottom" textRotation="0" wrapText="false" indent="0" shrinkToFit="false"/>
      <protection locked="true" hidden="false"/>
    </xf>
    <xf numFmtId="164" fontId="22" fillId="10" borderId="15" xfId="0" applyFont="true" applyBorder="true" applyAlignment="true" applyProtection="false">
      <alignment horizontal="center" vertical="bottom" textRotation="0" wrapText="false" indent="0" shrinkToFit="false"/>
      <protection locked="true" hidden="false"/>
    </xf>
    <xf numFmtId="166" fontId="43" fillId="0" borderId="8" xfId="0" applyFont="true" applyBorder="true" applyAlignment="true" applyProtection="false">
      <alignment horizontal="center" vertical="bottom" textRotation="0" wrapText="false" indent="0" shrinkToFit="false"/>
      <protection locked="true" hidden="false"/>
    </xf>
    <xf numFmtId="167" fontId="37" fillId="0" borderId="29" xfId="0" applyFont="true" applyBorder="true" applyAlignment="true" applyProtection="false">
      <alignment horizontal="center" vertical="bottom" textRotation="0" wrapText="false" indent="0" shrinkToFit="false"/>
      <protection locked="true" hidden="false"/>
    </xf>
    <xf numFmtId="203" fontId="44" fillId="0" borderId="29" xfId="0" applyFont="true" applyBorder="true" applyAlignment="true" applyProtection="false">
      <alignment horizontal="center" vertical="bottom" textRotation="0" wrapText="false" indent="0" shrinkToFit="false"/>
      <protection locked="true" hidden="false"/>
    </xf>
    <xf numFmtId="203" fontId="22" fillId="0" borderId="0" xfId="0" applyFont="true" applyBorder="false" applyAlignment="false" applyProtection="false">
      <alignment horizontal="general" vertical="bottom" textRotation="0" wrapText="false" indent="0" shrinkToFit="false"/>
      <protection locked="true" hidden="false"/>
    </xf>
    <xf numFmtId="166" fontId="22" fillId="10" borderId="29" xfId="0" applyFont="true" applyBorder="true" applyAlignment="true" applyProtection="false">
      <alignment horizontal="center" vertical="bottom" textRotation="0" wrapText="false" indent="0" shrinkToFit="false"/>
      <protection locked="true" hidden="false"/>
    </xf>
    <xf numFmtId="203" fontId="22" fillId="10" borderId="29" xfId="0" applyFont="true" applyBorder="true" applyAlignment="true" applyProtection="false">
      <alignment horizontal="center" vertical="bottom" textRotation="0" wrapText="false" indent="0" shrinkToFit="false"/>
      <protection locked="true" hidden="false"/>
    </xf>
    <xf numFmtId="203" fontId="22" fillId="0" borderId="0" xfId="0" applyFont="true" applyBorder="true" applyAlignment="false" applyProtection="false">
      <alignment horizontal="general" vertical="bottom" textRotation="0" wrapText="false" indent="0" shrinkToFit="false"/>
      <protection locked="true" hidden="false"/>
    </xf>
    <xf numFmtId="166" fontId="43" fillId="0" borderId="24" xfId="0" applyFont="true" applyBorder="true" applyAlignment="true" applyProtection="false">
      <alignment horizontal="center" vertical="bottom" textRotation="0" wrapText="false" indent="0" shrinkToFit="false"/>
      <protection locked="true" hidden="false"/>
    </xf>
    <xf numFmtId="166" fontId="44" fillId="10" borderId="24" xfId="0" applyFont="true" applyBorder="true" applyAlignment="true" applyProtection="false">
      <alignment horizontal="center" vertical="bottom" textRotation="0" wrapText="false" indent="0" shrinkToFit="false"/>
      <protection locked="true" hidden="false"/>
    </xf>
    <xf numFmtId="166" fontId="22" fillId="10" borderId="23" xfId="0" applyFont="true" applyBorder="true" applyAlignment="true" applyProtection="false">
      <alignment horizontal="center" vertical="bottom" textRotation="0" wrapText="false" indent="0" shrinkToFit="false"/>
      <protection locked="true" hidden="false"/>
    </xf>
    <xf numFmtId="164" fontId="22" fillId="10" borderId="23" xfId="0" applyFont="true" applyBorder="true" applyAlignment="true" applyProtection="false">
      <alignment horizontal="center" vertical="bottom" textRotation="0" wrapText="false" indent="0" shrinkToFit="false"/>
      <protection locked="true" hidden="false"/>
    </xf>
    <xf numFmtId="166" fontId="43" fillId="0" borderId="23" xfId="0" applyFont="true" applyBorder="true" applyAlignment="true" applyProtection="false">
      <alignment horizontal="center" vertical="bottom" textRotation="0" wrapText="false" indent="0" shrinkToFit="false"/>
      <protection locked="true" hidden="false"/>
    </xf>
    <xf numFmtId="166" fontId="43" fillId="0" borderId="30" xfId="0" applyFont="true" applyBorder="true" applyAlignment="true" applyProtection="false">
      <alignment horizontal="center" vertical="bottom" textRotation="0" wrapText="false" indent="0" shrinkToFit="false"/>
      <protection locked="true" hidden="false"/>
    </xf>
    <xf numFmtId="166" fontId="43" fillId="0" borderId="0" xfId="0" applyFont="true" applyBorder="true" applyAlignment="true" applyProtection="false">
      <alignment horizontal="center" vertical="bottom" textRotation="0" wrapText="false" indent="0" shrinkToFit="false"/>
      <protection locked="true" hidden="false"/>
    </xf>
    <xf numFmtId="166" fontId="43" fillId="0" borderId="0" xfId="0" applyFont="true" applyBorder="true" applyAlignment="true" applyProtection="false">
      <alignment horizontal="center" vertical="bottom" textRotation="0" wrapText="false" indent="0" shrinkToFit="false"/>
      <protection locked="true" hidden="false"/>
    </xf>
    <xf numFmtId="166" fontId="45" fillId="0" borderId="0" xfId="0" applyFont="true" applyBorder="true" applyAlignment="true" applyProtection="false">
      <alignment horizontal="center" vertical="bottom" textRotation="0" wrapText="false" indent="0" shrinkToFit="false"/>
      <protection locked="true" hidden="false"/>
    </xf>
    <xf numFmtId="166" fontId="43" fillId="0" borderId="23" xfId="0" applyFont="true" applyBorder="true" applyAlignment="true" applyProtection="false">
      <alignment horizontal="right" vertical="bottom" textRotation="0" wrapText="false" indent="0" shrinkToFit="false"/>
      <protection locked="true" hidden="false"/>
    </xf>
    <xf numFmtId="166" fontId="22" fillId="0" borderId="23" xfId="0" applyFont="true" applyBorder="true" applyAlignment="false" applyProtection="false">
      <alignment horizontal="general" vertical="bottom" textRotation="0" wrapText="false" indent="0" shrinkToFit="false"/>
      <protection locked="true" hidden="false"/>
    </xf>
    <xf numFmtId="171" fontId="22" fillId="0" borderId="0" xfId="0" applyFont="true" applyBorder="false" applyAlignment="false" applyProtection="false">
      <alignment horizontal="general" vertical="bottom" textRotation="0" wrapText="false" indent="0" shrinkToFit="false"/>
      <protection locked="true" hidden="false"/>
    </xf>
    <xf numFmtId="166" fontId="22" fillId="10" borderId="24" xfId="0" applyFont="true" applyBorder="true" applyAlignment="true" applyProtection="false">
      <alignment horizontal="center" vertical="bottom" textRotation="0" wrapText="false" indent="0" shrinkToFit="false"/>
      <protection locked="true" hidden="false"/>
    </xf>
    <xf numFmtId="164" fontId="22" fillId="10" borderId="24" xfId="0" applyFont="true" applyBorder="true" applyAlignment="true" applyProtection="false">
      <alignment horizontal="center" vertical="bottom" textRotation="0" wrapText="false" indent="0" shrinkToFit="false"/>
      <protection locked="true" hidden="false"/>
    </xf>
    <xf numFmtId="200" fontId="43" fillId="0" borderId="23" xfId="0" applyFont="true" applyBorder="true" applyAlignment="true" applyProtection="false">
      <alignment horizontal="right" vertical="bottom" textRotation="0" wrapText="false" indent="0" shrinkToFit="false"/>
      <protection locked="true" hidden="false"/>
    </xf>
    <xf numFmtId="171" fontId="36" fillId="0" borderId="9" xfId="15" applyFont="true" applyBorder="true" applyAlignment="true" applyProtection="true">
      <alignment horizontal="general" vertical="bottom" textRotation="0" wrapText="false" indent="0" shrinkToFit="false"/>
      <protection locked="true" hidden="false"/>
    </xf>
    <xf numFmtId="171" fontId="22" fillId="0" borderId="9" xfId="15" applyFont="true" applyBorder="true" applyAlignment="true" applyProtection="true">
      <alignment horizontal="general" vertical="bottom" textRotation="0" wrapText="false" indent="0" shrinkToFit="false"/>
      <protection locked="true" hidden="false"/>
    </xf>
    <xf numFmtId="166" fontId="43" fillId="0" borderId="31" xfId="0" applyFont="true" applyBorder="true" applyAlignment="true" applyProtection="false">
      <alignment horizontal="right" vertical="bottom" textRotation="0" wrapText="false" indent="0" shrinkToFit="false"/>
      <protection locked="true" hidden="false"/>
    </xf>
    <xf numFmtId="166" fontId="43" fillId="0" borderId="32" xfId="0" applyFont="true" applyBorder="true" applyAlignment="true" applyProtection="false">
      <alignment horizontal="right" vertical="bottom" textRotation="0" wrapText="false" indent="0" shrinkToFit="false"/>
      <protection locked="true" hidden="false"/>
    </xf>
    <xf numFmtId="166" fontId="43" fillId="0" borderId="24" xfId="0" applyFont="true" applyBorder="true" applyAlignment="true" applyProtection="false">
      <alignment horizontal="right" vertical="bottom" textRotation="0" wrapText="false" indent="0" shrinkToFit="false"/>
      <protection locked="true" hidden="false"/>
    </xf>
    <xf numFmtId="171" fontId="22" fillId="0" borderId="1" xfId="15" applyFont="true" applyBorder="true" applyAlignment="true" applyProtection="true">
      <alignment horizontal="general" vertical="bottom" textRotation="0" wrapText="false" indent="0" shrinkToFit="false"/>
      <protection locked="true" hidden="false"/>
    </xf>
    <xf numFmtId="171" fontId="22" fillId="0" borderId="11" xfId="15" applyFont="true" applyBorder="true" applyAlignment="true" applyProtection="true">
      <alignment horizontal="general" vertical="bottom" textRotation="0" wrapText="false" indent="0" shrinkToFit="false"/>
      <protection locked="true" hidden="false"/>
    </xf>
    <xf numFmtId="166" fontId="43" fillId="0" borderId="0" xfId="0" applyFont="true" applyBorder="true" applyAlignment="true" applyProtection="false">
      <alignment horizontal="right" vertical="bottom" textRotation="0" wrapText="false" indent="0" shrinkToFit="false"/>
      <protection locked="true" hidden="false"/>
    </xf>
    <xf numFmtId="166" fontId="42" fillId="5" borderId="14" xfId="0" applyFont="true" applyBorder="true" applyAlignment="true" applyProtection="false">
      <alignment horizontal="center" vertical="bottom" textRotation="0" wrapText="false" indent="0" shrinkToFit="false"/>
      <protection locked="true" hidden="false"/>
    </xf>
    <xf numFmtId="203" fontId="22" fillId="0" borderId="0" xfId="0" applyFont="true" applyBorder="true" applyAlignment="true" applyProtection="false">
      <alignment horizontal="center" vertical="bottom" textRotation="0" wrapText="false" indent="0" shrinkToFit="false"/>
      <protection locked="true" hidden="false"/>
    </xf>
    <xf numFmtId="166" fontId="46" fillId="0" borderId="0" xfId="0" applyFont="true" applyBorder="true" applyAlignment="true" applyProtection="false">
      <alignment horizontal="center" vertical="bottom" textRotation="0" wrapText="false" indent="0" shrinkToFit="false"/>
      <protection locked="true" hidden="false"/>
    </xf>
    <xf numFmtId="166" fontId="46" fillId="0" borderId="9" xfId="0" applyFont="true" applyBorder="true" applyAlignment="true" applyProtection="false">
      <alignment horizontal="center" vertical="bottom" textRotation="0" wrapText="false" indent="0" shrinkToFit="false"/>
      <protection locked="true" hidden="false"/>
    </xf>
    <xf numFmtId="166" fontId="22" fillId="0" borderId="0" xfId="0" applyFont="true" applyBorder="true" applyAlignment="false" applyProtection="false">
      <alignment horizontal="general" vertical="bottom" textRotation="0" wrapText="false" indent="0" shrinkToFit="false"/>
      <protection locked="true" hidden="false"/>
    </xf>
    <xf numFmtId="166" fontId="22" fillId="0" borderId="32" xfId="0" applyFont="true" applyBorder="true" applyAlignment="false" applyProtection="false">
      <alignment horizontal="general" vertical="bottom" textRotation="0" wrapText="false" indent="0" shrinkToFit="false"/>
      <protection locked="true" hidden="false"/>
    </xf>
    <xf numFmtId="171" fontId="36" fillId="0" borderId="1" xfId="15" applyFont="true" applyBorder="true" applyAlignment="true" applyProtection="true">
      <alignment horizontal="general" vertical="bottom" textRotation="0" wrapText="false" indent="0" shrinkToFit="false"/>
      <protection locked="true" hidden="false"/>
    </xf>
    <xf numFmtId="171" fontId="36" fillId="0" borderId="11" xfId="15" applyFont="true" applyBorder="true" applyAlignment="true" applyProtection="true">
      <alignment horizontal="general" vertical="bottom" textRotation="0" wrapText="false" indent="0" shrinkToFit="false"/>
      <protection locked="true" hidden="false"/>
    </xf>
    <xf numFmtId="166" fontId="23" fillId="0" borderId="33" xfId="0" applyFont="true" applyBorder="true" applyAlignment="false" applyProtection="false">
      <alignment horizontal="general" vertical="bottom" textRotation="0" wrapText="false" indent="0" shrinkToFit="false"/>
      <protection locked="true" hidden="false"/>
    </xf>
    <xf numFmtId="166" fontId="22" fillId="0" borderId="33" xfId="0" applyFont="true" applyBorder="true" applyAlignment="false" applyProtection="false">
      <alignment horizontal="general" vertical="bottom" textRotation="0" wrapText="false" indent="0" shrinkToFit="false"/>
      <protection locked="true" hidden="false"/>
    </xf>
    <xf numFmtId="166" fontId="22" fillId="0" borderId="34" xfId="0" applyFont="true" applyBorder="true" applyAlignment="false" applyProtection="false">
      <alignment horizontal="general" vertical="bottom" textRotation="0" wrapText="false" indent="0" shrinkToFit="false"/>
      <protection locked="true" hidden="false"/>
    </xf>
    <xf numFmtId="166" fontId="22" fillId="0" borderId="35" xfId="0" applyFont="true" applyBorder="true" applyAlignment="false" applyProtection="false">
      <alignment horizontal="general" vertical="bottom" textRotation="0" wrapText="false" indent="0" shrinkToFit="false"/>
      <protection locked="true" hidden="false"/>
    </xf>
    <xf numFmtId="166" fontId="43" fillId="0" borderId="36" xfId="0" applyFont="true" applyBorder="true" applyAlignment="true" applyProtection="false">
      <alignment horizontal="center" vertical="bottom" textRotation="0" wrapText="false" indent="0" shrinkToFit="false"/>
      <protection locked="true" hidden="false"/>
    </xf>
    <xf numFmtId="171" fontId="43" fillId="0" borderId="37" xfId="15" applyFont="true" applyBorder="true" applyAlignment="true" applyProtection="true">
      <alignment horizontal="center" vertical="bottom" textRotation="0" wrapText="false" indent="0" shrinkToFit="false"/>
      <protection locked="true" hidden="false"/>
    </xf>
    <xf numFmtId="171" fontId="43" fillId="0" borderId="38" xfId="15" applyFont="true" applyBorder="true" applyAlignment="true" applyProtection="true">
      <alignment horizontal="center" vertical="bottom" textRotation="0" wrapText="false" indent="0" shrinkToFit="false"/>
      <protection locked="true" hidden="false"/>
    </xf>
    <xf numFmtId="166" fontId="22" fillId="0" borderId="39" xfId="0" applyFont="true" applyBorder="true" applyAlignment="true" applyProtection="false">
      <alignment horizontal="center" vertical="bottom" textRotation="0" wrapText="false" indent="0" shrinkToFit="false"/>
      <protection locked="true" hidden="false"/>
    </xf>
    <xf numFmtId="166" fontId="22" fillId="0" borderId="9" xfId="0" applyFont="true" applyBorder="true" applyAlignment="false" applyProtection="false">
      <alignment horizontal="general" vertical="bottom" textRotation="0" wrapText="false" indent="0" shrinkToFit="false"/>
      <protection locked="true" hidden="false"/>
    </xf>
    <xf numFmtId="187" fontId="35" fillId="0" borderId="40" xfId="0" applyFont="true" applyBorder="true" applyAlignment="false" applyProtection="false">
      <alignment horizontal="general" vertical="bottom" textRotation="0" wrapText="false" indent="0" shrinkToFit="false"/>
      <protection locked="true" hidden="false"/>
    </xf>
    <xf numFmtId="198" fontId="22" fillId="0" borderId="41" xfId="0" applyFont="true" applyBorder="true" applyAlignment="false" applyProtection="false">
      <alignment horizontal="general" vertical="bottom" textRotation="0" wrapText="false" indent="0" shrinkToFit="false"/>
      <protection locked="true" hidden="false"/>
    </xf>
    <xf numFmtId="166" fontId="22" fillId="0" borderId="0" xfId="0" applyFont="true" applyBorder="true" applyAlignment="true" applyProtection="false">
      <alignment horizontal="left" vertical="bottom" textRotation="0" wrapText="false" indent="0" shrinkToFit="false"/>
      <protection locked="true" hidden="false"/>
    </xf>
    <xf numFmtId="164" fontId="22" fillId="0" borderId="9" xfId="0" applyFont="true" applyBorder="true" applyAlignment="false" applyProtection="false">
      <alignment horizontal="general" vertical="bottom" textRotation="0" wrapText="false" indent="0" shrinkToFit="false"/>
      <protection locked="true" hidden="false"/>
    </xf>
    <xf numFmtId="167" fontId="22" fillId="0" borderId="39" xfId="0" applyFont="true" applyBorder="true" applyAlignment="true" applyProtection="false">
      <alignment horizontal="center" vertical="bottom" textRotation="0" wrapText="false" indent="0" shrinkToFit="false"/>
      <protection locked="true" hidden="false"/>
    </xf>
    <xf numFmtId="187" fontId="35" fillId="0" borderId="40" xfId="15" applyFont="true" applyBorder="true" applyAlignment="true" applyProtection="true">
      <alignment horizontal="general" vertical="bottom" textRotation="0" wrapText="false" indent="0" shrinkToFit="false"/>
      <protection locked="true" hidden="false"/>
    </xf>
    <xf numFmtId="198" fontId="26" fillId="0" borderId="41" xfId="0" applyFont="true" applyBorder="true" applyAlignment="false" applyProtection="false">
      <alignment horizontal="general" vertical="bottom" textRotation="0" wrapText="false" indent="0" shrinkToFit="false"/>
      <protection locked="true" hidden="false"/>
    </xf>
    <xf numFmtId="166" fontId="22" fillId="0" borderId="0" xfId="0" applyFont="true" applyBorder="true" applyAlignment="false" applyProtection="true">
      <alignment horizontal="general" vertical="bottom" textRotation="0" wrapText="false" indent="0" shrinkToFit="false"/>
      <protection locked="true" hidden="false"/>
    </xf>
    <xf numFmtId="166" fontId="22" fillId="0" borderId="0" xfId="0" applyFont="true" applyBorder="true" applyAlignment="true" applyProtection="false">
      <alignment horizontal="fill" vertical="bottom" textRotation="0" wrapText="true" indent="0" shrinkToFit="false"/>
      <protection locked="true" hidden="false"/>
    </xf>
    <xf numFmtId="187" fontId="22" fillId="0" borderId="40" xfId="0" applyFont="true" applyBorder="true" applyAlignment="false" applyProtection="false">
      <alignment horizontal="general" vertical="bottom" textRotation="0" wrapText="false" indent="0" shrinkToFit="false"/>
      <protection locked="true" hidden="false"/>
    </xf>
    <xf numFmtId="166" fontId="22" fillId="0" borderId="41" xfId="0" applyFont="true" applyBorder="true" applyAlignment="false" applyProtection="false">
      <alignment horizontal="general" vertical="bottom" textRotation="0" wrapText="false" indent="0" shrinkToFit="false"/>
      <protection locked="true" hidden="false"/>
    </xf>
    <xf numFmtId="166" fontId="22" fillId="0" borderId="0" xfId="0" applyFont="true" applyBorder="true" applyAlignment="true" applyProtection="false">
      <alignment horizontal="right" vertical="bottom" textRotation="0" wrapText="false" indent="0" shrinkToFit="false"/>
      <protection locked="true" hidden="false"/>
    </xf>
    <xf numFmtId="187" fontId="22" fillId="0" borderId="42" xfId="0" applyFont="true" applyBorder="true" applyAlignment="false" applyProtection="false">
      <alignment horizontal="general" vertical="bottom" textRotation="0" wrapText="false" indent="0" shrinkToFit="false"/>
      <protection locked="true" hidden="false"/>
    </xf>
    <xf numFmtId="187" fontId="22" fillId="0" borderId="42" xfId="0" applyFont="true" applyBorder="true" applyAlignment="false" applyProtection="false">
      <alignment horizontal="general" vertical="bottom" textRotation="0" wrapText="false" indent="0" shrinkToFit="false"/>
      <protection locked="true" hidden="false"/>
    </xf>
    <xf numFmtId="166" fontId="22" fillId="0" borderId="43" xfId="0" applyFont="true" applyBorder="true" applyAlignment="false" applyProtection="false">
      <alignment horizontal="general" vertical="bottom" textRotation="0" wrapText="false" indent="0" shrinkToFit="false"/>
      <protection locked="true" hidden="false"/>
    </xf>
    <xf numFmtId="166" fontId="22" fillId="0" borderId="44" xfId="0" applyFont="true" applyBorder="true" applyAlignment="false" applyProtection="false">
      <alignment horizontal="general" vertical="bottom" textRotation="0" wrapText="false" indent="0" shrinkToFit="false"/>
      <protection locked="true" hidden="false"/>
    </xf>
    <xf numFmtId="166" fontId="22" fillId="0" borderId="45" xfId="0" applyFont="true" applyBorder="true" applyAlignment="false" applyProtection="false">
      <alignment horizontal="general" vertical="bottom" textRotation="0" wrapText="false" indent="0" shrinkToFit="false"/>
      <protection locked="true" hidden="false"/>
    </xf>
    <xf numFmtId="173" fontId="22" fillId="0" borderId="39" xfId="0" applyFont="true" applyBorder="true" applyAlignment="true" applyProtection="false">
      <alignment horizontal="center" vertical="bottom" textRotation="0" wrapText="false" indent="0" shrinkToFit="false"/>
      <protection locked="true" hidden="false"/>
    </xf>
    <xf numFmtId="187" fontId="35" fillId="7" borderId="40" xfId="0" applyFont="true" applyBorder="true" applyAlignment="false" applyProtection="false">
      <alignment horizontal="general" vertical="bottom" textRotation="0" wrapText="false" indent="0" shrinkToFit="false"/>
      <protection locked="true" hidden="false"/>
    </xf>
    <xf numFmtId="200" fontId="22" fillId="0" borderId="0" xfId="0" applyFont="true" applyBorder="false" applyAlignment="false" applyProtection="false">
      <alignment horizontal="general" vertical="bottom" textRotation="0" wrapText="false" indent="0" shrinkToFit="false"/>
      <protection locked="true" hidden="false"/>
    </xf>
    <xf numFmtId="187" fontId="35" fillId="0" borderId="40" xfId="0" applyFont="true" applyBorder="true" applyAlignment="false" applyProtection="false">
      <alignment horizontal="general" vertical="bottom" textRotation="0" wrapText="false" indent="0" shrinkToFit="false"/>
      <protection locked="true" hidden="false"/>
    </xf>
    <xf numFmtId="166" fontId="22" fillId="0" borderId="9" xfId="0" applyFont="true" applyBorder="true" applyAlignment="false" applyProtection="true">
      <alignment horizontal="general" vertical="bottom" textRotation="0" wrapText="false" indent="0" shrinkToFit="false"/>
      <protection locked="true" hidden="false"/>
    </xf>
    <xf numFmtId="187" fontId="35" fillId="7" borderId="40" xfId="15" applyFont="true" applyBorder="true" applyAlignment="true" applyProtection="true">
      <alignment horizontal="general" vertical="bottom" textRotation="0" wrapText="false" indent="0" shrinkToFit="false"/>
      <protection locked="true" hidden="false"/>
    </xf>
    <xf numFmtId="173" fontId="22" fillId="0" borderId="41" xfId="0" applyFont="true" applyBorder="true" applyAlignment="true" applyProtection="false">
      <alignment horizontal="center" vertical="bottom" textRotation="0" wrapText="false" indent="0" shrinkToFit="false"/>
      <protection locked="true" hidden="false"/>
    </xf>
    <xf numFmtId="173" fontId="22" fillId="0" borderId="43" xfId="0" applyFont="true" applyBorder="true" applyAlignment="false" applyProtection="false">
      <alignment horizontal="general" vertical="bottom" textRotation="0" wrapText="false" indent="0" shrinkToFit="false"/>
      <protection locked="true" hidden="false"/>
    </xf>
    <xf numFmtId="166" fontId="22" fillId="0" borderId="46" xfId="0" applyFont="true" applyBorder="true" applyAlignment="false" applyProtection="false">
      <alignment horizontal="general" vertical="bottom" textRotation="0" wrapText="false" indent="0" shrinkToFit="false"/>
      <protection locked="true" hidden="false"/>
    </xf>
    <xf numFmtId="166" fontId="22" fillId="0" borderId="47" xfId="0" applyFont="true" applyBorder="true" applyAlignment="false" applyProtection="false">
      <alignment horizontal="general" vertical="bottom" textRotation="0" wrapText="false" indent="0" shrinkToFit="false"/>
      <protection locked="true" hidden="false"/>
    </xf>
    <xf numFmtId="166" fontId="23" fillId="0" borderId="48" xfId="0" applyFont="true" applyBorder="true" applyAlignment="false" applyProtection="false">
      <alignment horizontal="general" vertical="bottom" textRotation="0" wrapText="false" indent="0" shrinkToFit="false"/>
      <protection locked="true" hidden="false"/>
    </xf>
    <xf numFmtId="164" fontId="47" fillId="0" borderId="3" xfId="0" applyFont="true" applyBorder="true" applyAlignment="true" applyProtection="false">
      <alignment horizontal="center" vertical="bottom" textRotation="0" wrapText="false" indent="0" shrinkToFit="false"/>
      <protection locked="true" hidden="false"/>
    </xf>
    <xf numFmtId="166" fontId="43" fillId="0" borderId="49" xfId="0" applyFont="true" applyBorder="true" applyAlignment="true" applyProtection="false">
      <alignment horizontal="center" vertical="bottom" textRotation="0" wrapText="false" indent="0" shrinkToFit="false"/>
      <protection locked="true" hidden="false"/>
    </xf>
    <xf numFmtId="164" fontId="43" fillId="0" borderId="50" xfId="0" applyFont="true" applyBorder="true" applyAlignment="true" applyProtection="false">
      <alignment horizontal="center" vertical="bottom" textRotation="0" wrapText="false" indent="0" shrinkToFit="false"/>
      <protection locked="true" hidden="false"/>
    </xf>
    <xf numFmtId="164" fontId="43" fillId="0" borderId="13" xfId="0" applyFont="true" applyBorder="true" applyAlignment="true" applyProtection="false">
      <alignment horizontal="center" vertical="bottom" textRotation="0" wrapText="false" indent="0" shrinkToFit="false"/>
      <protection locked="true" hidden="false"/>
    </xf>
    <xf numFmtId="166" fontId="43" fillId="0" borderId="15" xfId="0" applyFont="true" applyBorder="true" applyAlignment="true" applyProtection="false">
      <alignment horizontal="center" vertical="bottom" textRotation="0" wrapText="false" indent="0" shrinkToFit="false"/>
      <protection locked="true" hidden="false"/>
    </xf>
    <xf numFmtId="166" fontId="43" fillId="0" borderId="15" xfId="0" applyFont="true" applyBorder="true" applyAlignment="true" applyProtection="false">
      <alignment horizontal="left" vertical="bottom" textRotation="0" wrapText="false" indent="0" shrinkToFit="false"/>
      <protection locked="true" hidden="false"/>
    </xf>
    <xf numFmtId="171" fontId="22" fillId="0" borderId="51" xfId="0" applyFont="true" applyBorder="true" applyAlignment="false" applyProtection="false">
      <alignment horizontal="general" vertical="bottom" textRotation="0" wrapText="false" indent="0" shrinkToFit="false"/>
      <protection locked="true" hidden="false"/>
    </xf>
    <xf numFmtId="164" fontId="22" fillId="0" borderId="41" xfId="0" applyFont="true" applyBorder="true" applyAlignment="true" applyProtection="false">
      <alignment horizontal="center" vertical="bottom" textRotation="0" wrapText="false" indent="0" shrinkToFit="false"/>
      <protection locked="true" hidden="false"/>
    </xf>
    <xf numFmtId="173" fontId="22" fillId="0" borderId="23" xfId="0" applyFont="true" applyBorder="true" applyAlignment="true" applyProtection="false">
      <alignment horizontal="center" vertical="bottom" textRotation="0" wrapText="false" indent="0" shrinkToFit="false"/>
      <protection locked="true" hidden="false"/>
    </xf>
    <xf numFmtId="204" fontId="22" fillId="0" borderId="9" xfId="0" applyFont="true" applyBorder="true" applyAlignment="true" applyProtection="false">
      <alignment horizontal="center" vertical="bottom" textRotation="0" wrapText="false" indent="0" shrinkToFit="false"/>
      <protection locked="true" hidden="false"/>
    </xf>
    <xf numFmtId="164" fontId="22" fillId="0" borderId="41" xfId="0" applyFont="true" applyBorder="true" applyAlignment="false" applyProtection="false">
      <alignment horizontal="general" vertical="bottom" textRotation="0" wrapText="false" indent="0" shrinkToFit="false"/>
      <protection locked="true" hidden="false"/>
    </xf>
    <xf numFmtId="205" fontId="22" fillId="0" borderId="9" xfId="15" applyFont="true" applyBorder="true" applyAlignment="true" applyProtection="true">
      <alignment horizontal="center" vertical="bottom" textRotation="0" wrapText="false" indent="0" shrinkToFit="false"/>
      <protection locked="true" hidden="false"/>
    </xf>
    <xf numFmtId="205" fontId="22" fillId="0" borderId="9" xfId="15" applyFont="true" applyBorder="true" applyAlignment="true" applyProtection="true">
      <alignment horizontal="general" vertical="bottom" textRotation="0" wrapText="false" indent="0" shrinkToFit="false"/>
      <protection locked="true" hidden="false"/>
    </xf>
    <xf numFmtId="171" fontId="22" fillId="0" borderId="52" xfId="0" applyFont="true" applyBorder="true" applyAlignment="false" applyProtection="false">
      <alignment horizontal="general" vertical="bottom" textRotation="0" wrapText="false" indent="0" shrinkToFit="false"/>
      <protection locked="true" hidden="false"/>
    </xf>
    <xf numFmtId="204" fontId="22" fillId="0" borderId="9" xfId="0" applyFont="true" applyBorder="true" applyAlignment="false" applyProtection="false">
      <alignment horizontal="general" vertical="bottom" textRotation="0" wrapText="false" indent="0" shrinkToFit="false"/>
      <protection locked="true" hidden="false"/>
    </xf>
    <xf numFmtId="164" fontId="22" fillId="0" borderId="43" xfId="0" applyFont="true" applyBorder="true" applyAlignment="false" applyProtection="false">
      <alignment horizontal="general" vertical="bottom" textRotation="0" wrapText="false" indent="0" shrinkToFit="false"/>
      <protection locked="true" hidden="false"/>
    </xf>
    <xf numFmtId="164" fontId="22" fillId="0" borderId="44" xfId="0" applyFont="true" applyBorder="true" applyAlignment="false" applyProtection="false">
      <alignment horizontal="general" vertical="bottom" textRotation="0" wrapText="false" indent="0" shrinkToFit="false"/>
      <protection locked="true" hidden="false"/>
    </xf>
    <xf numFmtId="166" fontId="23" fillId="0" borderId="0" xfId="0" applyFont="true" applyBorder="true" applyAlignment="false" applyProtection="false">
      <alignment horizontal="general" vertical="bottom" textRotation="0" wrapText="false" indent="0" shrinkToFit="false"/>
      <protection locked="true" hidden="false"/>
    </xf>
    <xf numFmtId="166" fontId="23" fillId="0" borderId="53" xfId="0" applyFont="true" applyBorder="true" applyAlignment="false" applyProtection="false">
      <alignment horizontal="general" vertical="bottom" textRotation="0" wrapText="false" indent="0" shrinkToFit="false"/>
      <protection locked="true" hidden="false"/>
    </xf>
    <xf numFmtId="166" fontId="23" fillId="0" borderId="54" xfId="0" applyFont="true" applyBorder="true" applyAlignment="false" applyProtection="false">
      <alignment horizontal="general" vertical="bottom" textRotation="0" wrapText="false" indent="0" shrinkToFit="false"/>
      <protection locked="true" hidden="false"/>
    </xf>
    <xf numFmtId="166" fontId="23" fillId="0" borderId="55" xfId="0" applyFont="true" applyBorder="true" applyAlignment="false" applyProtection="false">
      <alignment horizontal="general" vertical="bottom" textRotation="0" wrapText="false" indent="0" shrinkToFit="false"/>
      <protection locked="true" hidden="false"/>
    </xf>
    <xf numFmtId="166" fontId="43" fillId="0" borderId="56" xfId="0" applyFont="true" applyBorder="true" applyAlignment="true" applyProtection="false">
      <alignment horizontal="center" vertical="bottom" textRotation="0" wrapText="false" indent="0" shrinkToFit="false"/>
      <protection locked="true" hidden="false"/>
    </xf>
    <xf numFmtId="173" fontId="43" fillId="0" borderId="57" xfId="0" applyFont="true" applyBorder="true" applyAlignment="true" applyProtection="false">
      <alignment horizontal="center" vertical="bottom" textRotation="0" wrapText="false" indent="0" shrinkToFit="false"/>
      <protection locked="true" hidden="false"/>
    </xf>
    <xf numFmtId="166" fontId="43" fillId="0" borderId="12" xfId="0" applyFont="true" applyBorder="true" applyAlignment="false" applyProtection="false">
      <alignment horizontal="general" vertical="bottom" textRotation="0" wrapText="false" indent="0" shrinkToFit="false"/>
      <protection locked="true" hidden="false"/>
    </xf>
    <xf numFmtId="166" fontId="43" fillId="0" borderId="31" xfId="0" applyFont="true" applyBorder="true" applyAlignment="true" applyProtection="false">
      <alignment horizontal="center" vertical="bottom" textRotation="0" wrapText="false" indent="0" shrinkToFit="false"/>
      <protection locked="true" hidden="false"/>
    </xf>
    <xf numFmtId="166" fontId="43" fillId="0" borderId="58" xfId="0" applyFont="true" applyBorder="true" applyAlignment="true" applyProtection="false">
      <alignment horizontal="center" vertical="bottom" textRotation="0" wrapText="false" indent="0" shrinkToFit="false"/>
      <protection locked="true" hidden="false"/>
    </xf>
    <xf numFmtId="187" fontId="23" fillId="0" borderId="0" xfId="17" applyFont="true" applyBorder="true" applyAlignment="true" applyProtection="true">
      <alignment horizontal="general" vertical="bottom" textRotation="0" wrapText="false" indent="0" shrinkToFit="false"/>
      <protection locked="true" hidden="false"/>
    </xf>
    <xf numFmtId="166" fontId="22" fillId="0" borderId="41" xfId="0" applyFont="true" applyBorder="true" applyAlignment="true" applyProtection="false">
      <alignment horizontal="center" vertical="bottom" textRotation="0" wrapText="false" indent="0" shrinkToFit="false"/>
      <protection locked="true" hidden="false"/>
    </xf>
    <xf numFmtId="173" fontId="23" fillId="0" borderId="23" xfId="0" applyFont="true" applyBorder="true" applyAlignment="false" applyProtection="false">
      <alignment horizontal="general" vertical="bottom" textRotation="0" wrapText="false" indent="0" shrinkToFit="false"/>
      <protection locked="true" hidden="false"/>
    </xf>
    <xf numFmtId="166" fontId="23" fillId="0" borderId="9" xfId="0" applyFont="true" applyBorder="true" applyAlignment="false" applyProtection="false">
      <alignment horizontal="general" vertical="bottom" textRotation="0" wrapText="false" indent="0" shrinkToFit="false"/>
      <protection locked="true" hidden="false"/>
    </xf>
    <xf numFmtId="171" fontId="22" fillId="0" borderId="40" xfId="17" applyFont="true" applyBorder="true" applyAlignment="true" applyProtection="true">
      <alignment horizontal="general" vertical="bottom" textRotation="0" wrapText="false" indent="0" shrinkToFit="false"/>
      <protection locked="true" hidden="false"/>
    </xf>
    <xf numFmtId="171" fontId="23" fillId="0" borderId="40" xfId="0" applyFont="true" applyBorder="true" applyAlignment="false" applyProtection="false">
      <alignment horizontal="general" vertical="bottom" textRotation="0" wrapText="false" indent="0" shrinkToFit="false"/>
      <protection locked="true" hidden="false"/>
    </xf>
    <xf numFmtId="166" fontId="22" fillId="0" borderId="8" xfId="0" applyFont="true" applyBorder="true" applyAlignment="false" applyProtection="false">
      <alignment horizontal="general" vertical="bottom" textRotation="0" wrapText="false" indent="0" shrinkToFit="false"/>
      <protection locked="true" hidden="false"/>
    </xf>
    <xf numFmtId="166" fontId="23" fillId="0" borderId="42" xfId="0" applyFont="true" applyBorder="true" applyAlignment="false" applyProtection="false">
      <alignment horizontal="general" vertical="bottom" textRotation="0" wrapText="false" indent="0" shrinkToFit="false"/>
      <protection locked="true" hidden="false"/>
    </xf>
    <xf numFmtId="166" fontId="23" fillId="0" borderId="45" xfId="0" applyFont="true" applyBorder="true" applyAlignment="false" applyProtection="false">
      <alignment horizontal="general" vertical="bottom" textRotation="0" wrapText="false" indent="0" shrinkToFit="false"/>
      <protection locked="true" hidden="false"/>
    </xf>
    <xf numFmtId="166" fontId="23" fillId="0" borderId="43" xfId="0" applyFont="true" applyBorder="true" applyAlignment="true" applyProtection="false">
      <alignment horizontal="center" vertical="bottom" textRotation="0" wrapText="false" indent="0" shrinkToFit="false"/>
      <protection locked="true" hidden="false"/>
    </xf>
    <xf numFmtId="173" fontId="23" fillId="0" borderId="44" xfId="0" applyFont="true" applyBorder="true" applyAlignment="false" applyProtection="false">
      <alignment horizontal="general" vertical="bottom" textRotation="0" wrapText="false" indent="0" shrinkToFit="false"/>
      <protection locked="true" hidden="false"/>
    </xf>
    <xf numFmtId="166" fontId="23" fillId="0" borderId="44" xfId="0" applyFont="true" applyBorder="true" applyAlignment="false" applyProtection="false">
      <alignment horizontal="general" vertical="bottom" textRotation="0" wrapText="false" indent="0" shrinkToFit="false"/>
      <protection locked="true" hidden="false"/>
    </xf>
    <xf numFmtId="166" fontId="22" fillId="0" borderId="44" xfId="0" applyFont="true" applyBorder="true" applyAlignment="true" applyProtection="false">
      <alignment horizontal="right" vertical="bottom" textRotation="0" wrapText="false" indent="0" shrinkToFit="false"/>
      <protection locked="true" hidden="false"/>
    </xf>
    <xf numFmtId="166" fontId="22" fillId="6" borderId="0" xfId="0" applyFont="true" applyBorder="false" applyAlignment="false" applyProtection="false">
      <alignment horizontal="general" vertical="bottom" textRotation="0" wrapText="false" indent="0" shrinkToFit="false"/>
      <protection locked="true" hidden="false"/>
    </xf>
    <xf numFmtId="198" fontId="22" fillId="0" borderId="0" xfId="0" applyFont="true" applyBorder="false" applyAlignment="false" applyProtection="false">
      <alignment horizontal="general" vertical="bottom" textRotation="0" wrapText="false" indent="0" shrinkToFit="false"/>
      <protection locked="true" hidden="false"/>
    </xf>
    <xf numFmtId="198" fontId="23" fillId="0" borderId="0" xfId="0" applyFont="true" applyBorder="false" applyAlignment="false" applyProtection="false">
      <alignment horizontal="general" vertical="bottom" textRotation="0" wrapText="false" indent="0" shrinkToFit="false"/>
      <protection locked="true" hidden="false"/>
    </xf>
    <xf numFmtId="166" fontId="50" fillId="0" borderId="29" xfId="0" applyFont="true" applyBorder="true" applyAlignment="false" applyProtection="false">
      <alignment horizontal="general" vertical="bottom" textRotation="0" wrapText="false" indent="0" shrinkToFit="false"/>
      <protection locked="true" hidden="false"/>
    </xf>
    <xf numFmtId="166" fontId="50" fillId="0" borderId="23" xfId="0" applyFont="true" applyBorder="true" applyAlignment="false" applyProtection="false">
      <alignment horizontal="general" vertical="bottom" textRotation="0" wrapText="false" indent="0" shrinkToFit="false"/>
      <protection locked="true" hidden="false"/>
    </xf>
    <xf numFmtId="166" fontId="5" fillId="0" borderId="23" xfId="0" applyFont="true" applyBorder="true" applyAlignment="false" applyProtection="false">
      <alignment horizontal="general" vertical="bottom" textRotation="0" wrapText="false" indent="0" shrinkToFit="false"/>
      <protection locked="true" hidden="false"/>
    </xf>
    <xf numFmtId="201" fontId="36" fillId="0" borderId="22" xfId="15" applyFont="true" applyBorder="true" applyAlignment="true" applyProtection="true">
      <alignment horizontal="general" vertical="bottom" textRotation="0" wrapText="false" indent="0" shrinkToFit="false"/>
      <protection locked="true" hidden="false"/>
    </xf>
    <xf numFmtId="166" fontId="51" fillId="0" borderId="0" xfId="0" applyFont="true" applyBorder="false" applyAlignment="true" applyProtection="false">
      <alignment horizontal="right" vertical="bottom" textRotation="0" wrapText="false" indent="0" shrinkToFit="false"/>
      <protection locked="true" hidden="false"/>
    </xf>
    <xf numFmtId="206" fontId="51" fillId="0" borderId="0" xfId="0" applyFont="true" applyBorder="false" applyAlignment="false" applyProtection="false">
      <alignment horizontal="general" vertical="bottom" textRotation="0" wrapText="false" indent="0" shrinkToFit="false"/>
      <protection locked="true" hidden="false"/>
    </xf>
    <xf numFmtId="206" fontId="51" fillId="0" borderId="0" xfId="0" applyFont="true" applyBorder="false" applyAlignment="false" applyProtection="false">
      <alignment horizontal="general" vertical="bottom" textRotation="0" wrapText="false" indent="0" shrinkToFit="false"/>
      <protection locked="true" hidden="false"/>
    </xf>
    <xf numFmtId="206" fontId="51" fillId="0" borderId="0" xfId="0" applyFont="true" applyBorder="true" applyAlignment="false" applyProtection="false">
      <alignment horizontal="general" vertical="bottom" textRotation="0" wrapText="false" indent="0" shrinkToFit="false"/>
      <protection locked="true" hidden="false"/>
    </xf>
    <xf numFmtId="198" fontId="22" fillId="0" borderId="41" xfId="0" applyFont="true" applyBorder="true" applyAlignment="true" applyProtection="false">
      <alignment horizontal="left" vertical="bottom" textRotation="0" wrapText="false" indent="0" shrinkToFit="false"/>
      <protection locked="true" hidden="false"/>
    </xf>
    <xf numFmtId="164" fontId="43" fillId="0" borderId="14" xfId="0" applyFont="true" applyBorder="true" applyAlignment="true" applyProtection="false">
      <alignment horizontal="center" vertical="bottom" textRotation="0" wrapText="false" indent="0" shrinkToFit="false"/>
      <protection locked="true" hidden="false"/>
    </xf>
    <xf numFmtId="171" fontId="23" fillId="0" borderId="40" xfId="17" applyFont="true" applyBorder="true" applyAlignment="true" applyProtection="true">
      <alignment horizontal="general" vertical="bottom" textRotation="0" wrapText="false" indent="0" shrinkToFit="false"/>
      <protection locked="true" hidden="false"/>
    </xf>
    <xf numFmtId="166" fontId="32" fillId="0" borderId="0" xfId="0" applyFont="true" applyBorder="false" applyAlignment="true" applyProtection="false">
      <alignment horizontal="right" vertical="bottom" textRotation="0" wrapText="false" indent="0" shrinkToFit="false"/>
      <protection locked="true" hidden="false"/>
    </xf>
    <xf numFmtId="176" fontId="38" fillId="0" borderId="0" xfId="0" applyFont="true" applyBorder="true" applyAlignment="true" applyProtection="false">
      <alignment horizontal="center" vertical="bottom" textRotation="0" wrapText="false" indent="0" shrinkToFit="false"/>
      <protection locked="true" hidden="false"/>
    </xf>
    <xf numFmtId="207" fontId="22" fillId="0" borderId="0" xfId="0" applyFont="true" applyBorder="true" applyAlignment="false" applyProtection="false">
      <alignment horizontal="general" vertical="bottom" textRotation="0" wrapText="false" indent="0" shrinkToFit="false"/>
      <protection locked="true" hidden="false"/>
    </xf>
    <xf numFmtId="206" fontId="22" fillId="0" borderId="0" xfId="0" applyFont="true" applyBorder="false" applyAlignment="false" applyProtection="false">
      <alignment horizontal="general" vertical="bottom" textRotation="0" wrapText="false" indent="0" shrinkToFit="false"/>
      <protection locked="true" hidden="false"/>
    </xf>
    <xf numFmtId="166" fontId="5" fillId="6" borderId="0" xfId="0" applyFont="true" applyBorder="false" applyAlignment="false" applyProtection="false">
      <alignment horizontal="general" vertical="bottom" textRotation="0" wrapText="false" indent="0" shrinkToFit="false"/>
      <protection locked="true" hidden="false"/>
    </xf>
    <xf numFmtId="166" fontId="52" fillId="0" borderId="0" xfId="0" applyFont="true" applyBorder="false" applyAlignment="true" applyProtection="false">
      <alignment horizontal="right" vertical="bottom" textRotation="0" wrapText="false" indent="0" shrinkToFit="false"/>
      <protection locked="true" hidden="false"/>
    </xf>
    <xf numFmtId="166" fontId="50" fillId="0" borderId="0" xfId="0" applyFont="true" applyBorder="false" applyAlignment="false" applyProtection="false">
      <alignment horizontal="general" vertical="bottom" textRotation="0" wrapText="false" indent="0" shrinkToFit="false"/>
      <protection locked="true" hidden="false"/>
    </xf>
    <xf numFmtId="198" fontId="6" fillId="0" borderId="0" xfId="0" applyFont="true" applyBorder="false" applyAlignment="false" applyProtection="false">
      <alignment horizontal="general" vertical="bottom" textRotation="0" wrapText="false" indent="0" shrinkToFit="false"/>
      <protection locked="true" hidden="false"/>
    </xf>
    <xf numFmtId="166" fontId="5" fillId="0" borderId="0" xfId="0" applyFont="true" applyBorder="true" applyAlignment="false" applyProtection="false">
      <alignment horizontal="general" vertical="bottom" textRotation="0" wrapText="false" indent="0" shrinkToFit="false"/>
      <protection locked="true" hidden="false"/>
    </xf>
    <xf numFmtId="176" fontId="6" fillId="0" borderId="13" xfId="0" applyFont="true" applyBorder="true" applyAlignment="true" applyProtection="false">
      <alignment horizontal="center" vertical="bottom" textRotation="0" wrapText="false" indent="0" shrinkToFit="false"/>
      <protection locked="true" hidden="false"/>
    </xf>
    <xf numFmtId="166" fontId="8" fillId="0" borderId="18" xfId="0" applyFont="true" applyBorder="true" applyAlignment="false" applyProtection="false">
      <alignment horizontal="general" vertical="bottom" textRotation="0" wrapText="false" indent="0" shrinkToFit="false"/>
      <protection locked="true" hidden="false"/>
    </xf>
    <xf numFmtId="166" fontId="5" fillId="0" borderId="19" xfId="0" applyFont="true" applyBorder="true" applyAlignment="false" applyProtection="false">
      <alignment horizontal="general" vertical="bottom" textRotation="0" wrapText="false" indent="0" shrinkToFit="false"/>
      <protection locked="true" hidden="false"/>
    </xf>
    <xf numFmtId="166" fontId="5" fillId="0" borderId="20" xfId="0" applyFont="true" applyBorder="true" applyAlignment="false" applyProtection="false">
      <alignment horizontal="general" vertical="bottom" textRotation="0" wrapText="false" indent="0" shrinkToFit="false"/>
      <protection locked="true" hidden="false"/>
    </xf>
    <xf numFmtId="166" fontId="5" fillId="0" borderId="0" xfId="0" applyFont="true" applyBorder="true" applyAlignment="true" applyProtection="false">
      <alignment horizontal="center" vertical="bottom" textRotation="0" wrapText="false" indent="0" shrinkToFit="false"/>
      <protection locked="true" hidden="false"/>
    </xf>
    <xf numFmtId="166" fontId="5" fillId="0" borderId="0" xfId="0" applyFont="true" applyBorder="false" applyAlignment="true" applyProtection="false">
      <alignment horizontal="center" vertical="bottom" textRotation="0" wrapText="false" indent="0" shrinkToFit="false"/>
      <protection locked="true" hidden="false"/>
    </xf>
    <xf numFmtId="166" fontId="53" fillId="0" borderId="21" xfId="0" applyFont="true" applyBorder="true" applyAlignment="false" applyProtection="false">
      <alignment horizontal="general" vertical="bottom" textRotation="0" wrapText="false" indent="0" shrinkToFit="false"/>
      <protection locked="true" hidden="false"/>
    </xf>
    <xf numFmtId="166" fontId="53" fillId="0" borderId="0" xfId="0" applyFont="true" applyBorder="true" applyAlignment="true" applyProtection="false">
      <alignment horizontal="right" vertical="bottom" textRotation="0" wrapText="false" indent="0" shrinkToFit="false"/>
      <protection locked="true" hidden="false"/>
    </xf>
    <xf numFmtId="166" fontId="53" fillId="0" borderId="22" xfId="0" applyFont="true" applyBorder="true" applyAlignment="true" applyProtection="false">
      <alignment horizontal="right" vertical="bottom" textRotation="0" wrapText="false" indent="0" shrinkToFit="false"/>
      <protection locked="true" hidden="false"/>
    </xf>
    <xf numFmtId="166" fontId="5" fillId="0" borderId="21" xfId="0" applyFont="true" applyBorder="true" applyAlignment="false" applyProtection="false">
      <alignment horizontal="general" vertical="bottom" textRotation="0" wrapText="false" indent="0" shrinkToFit="false"/>
      <protection locked="true" hidden="false"/>
    </xf>
    <xf numFmtId="166" fontId="5" fillId="0" borderId="22" xfId="0" applyFont="true" applyBorder="true" applyAlignment="false" applyProtection="false">
      <alignment horizontal="general" vertical="bottom" textRotation="0" wrapText="false" indent="0" shrinkToFit="false"/>
      <protection locked="true" hidden="false"/>
    </xf>
    <xf numFmtId="166" fontId="9" fillId="0" borderId="0" xfId="0" applyFont="true" applyBorder="false" applyAlignment="false" applyProtection="false">
      <alignment horizontal="general" vertical="bottom" textRotation="0" wrapText="false" indent="0" shrinkToFit="false"/>
      <protection locked="true" hidden="false"/>
    </xf>
    <xf numFmtId="166" fontId="54" fillId="0" borderId="21"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6" fontId="50" fillId="0" borderId="29" xfId="0" applyFont="true" applyBorder="true" applyAlignment="false" applyProtection="false">
      <alignment horizontal="general" vertical="bottom" textRotation="0" wrapText="false" indent="0" shrinkToFit="false"/>
      <protection locked="true" hidden="false"/>
    </xf>
    <xf numFmtId="171" fontId="50" fillId="0" borderId="0" xfId="15" applyFont="true" applyBorder="true" applyAlignment="true" applyProtection="true">
      <alignment horizontal="general" vertical="bottom" textRotation="0" wrapText="false" indent="0" shrinkToFit="false"/>
      <protection locked="true" hidden="false"/>
    </xf>
    <xf numFmtId="171" fontId="50" fillId="0" borderId="22" xfId="15" applyFont="true" applyBorder="true" applyAlignment="true" applyProtection="true">
      <alignment horizontal="general" vertical="bottom" textRotation="0" wrapText="false" indent="0" shrinkToFit="false"/>
      <protection locked="true" hidden="false"/>
    </xf>
    <xf numFmtId="180" fontId="5" fillId="0" borderId="0" xfId="0" applyFont="true" applyBorder="false" applyAlignment="false" applyProtection="false">
      <alignment horizontal="general" vertical="bottom" textRotation="0" wrapText="false" indent="0" shrinkToFit="false"/>
      <protection locked="true" hidden="false"/>
    </xf>
    <xf numFmtId="180" fontId="5" fillId="0" borderId="0" xfId="0" applyFont="true" applyBorder="true" applyAlignment="false" applyProtection="false">
      <alignment horizontal="general" vertical="bottom" textRotation="0" wrapText="false" indent="0" shrinkToFit="false"/>
      <protection locked="true" hidden="false"/>
    </xf>
    <xf numFmtId="180" fontId="5" fillId="0" borderId="4" xfId="0" applyFont="true" applyBorder="true" applyAlignment="false" applyProtection="false">
      <alignment horizontal="general" vertical="bottom" textRotation="0" wrapText="false" indent="0" shrinkToFit="false"/>
      <protection locked="true" hidden="false"/>
    </xf>
    <xf numFmtId="180" fontId="5" fillId="0" borderId="25" xfId="0" applyFont="true" applyBorder="true" applyAlignment="false" applyProtection="false">
      <alignment horizontal="general" vertical="bottom" textRotation="0" wrapText="false" indent="0" shrinkToFit="false"/>
      <protection locked="true" hidden="false"/>
    </xf>
    <xf numFmtId="179" fontId="5" fillId="0" borderId="0" xfId="15" applyFont="true" applyBorder="true" applyAlignment="true" applyProtection="true">
      <alignment horizontal="general" vertical="bottom" textRotation="0" wrapText="false" indent="0" shrinkToFit="false"/>
      <protection locked="true" hidden="false"/>
    </xf>
    <xf numFmtId="199" fontId="5" fillId="0" borderId="22" xfId="0" applyFont="true" applyBorder="true" applyAlignment="false" applyProtection="false">
      <alignment horizontal="general" vertical="bottom" textRotation="0" wrapText="false" indent="0" shrinkToFit="false"/>
      <protection locked="true" hidden="false"/>
    </xf>
    <xf numFmtId="180" fontId="5" fillId="0" borderId="0" xfId="15" applyFont="true" applyBorder="true" applyAlignment="true" applyProtection="true">
      <alignment horizontal="center"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6" fontId="53" fillId="0" borderId="0" xfId="0" applyFont="true" applyBorder="true" applyAlignment="false" applyProtection="false">
      <alignment horizontal="general" vertical="bottom" textRotation="0" wrapText="false" indent="0" shrinkToFit="false"/>
      <protection locked="true" hidden="false"/>
    </xf>
    <xf numFmtId="201" fontId="5" fillId="0" borderId="0" xfId="15" applyFont="true" applyBorder="true" applyAlignment="true" applyProtection="true">
      <alignment horizontal="general" vertical="bottom" textRotation="0" wrapText="false" indent="0" shrinkToFit="false"/>
      <protection locked="true" hidden="false"/>
    </xf>
    <xf numFmtId="201" fontId="50" fillId="0" borderId="22" xfId="15" applyFont="true" applyBorder="true" applyAlignment="true" applyProtection="true">
      <alignment horizontal="general" vertical="bottom" textRotation="0" wrapText="false" indent="0" shrinkToFit="false"/>
      <protection locked="true" hidden="false"/>
    </xf>
    <xf numFmtId="180" fontId="5" fillId="0" borderId="0" xfId="0" applyFont="true" applyBorder="true" applyAlignment="true" applyProtection="false">
      <alignment horizontal="center" vertical="bottom" textRotation="0" wrapText="false" indent="0" shrinkToFit="false"/>
      <protection locked="true" hidden="false"/>
    </xf>
    <xf numFmtId="164" fontId="5" fillId="0" borderId="26" xfId="0" applyFont="true" applyBorder="true" applyAlignment="false" applyProtection="false">
      <alignment horizontal="general" vertical="bottom" textRotation="0" wrapText="false" indent="0" shrinkToFit="false"/>
      <protection locked="true" hidden="false"/>
    </xf>
    <xf numFmtId="201" fontId="5" fillId="0" borderId="12" xfId="15" applyFont="true" applyBorder="true" applyAlignment="true" applyProtection="true">
      <alignment horizontal="general" vertical="bottom" textRotation="0" wrapText="false" indent="0" shrinkToFit="false"/>
      <protection locked="true" hidden="false"/>
    </xf>
    <xf numFmtId="201" fontId="5" fillId="0" borderId="27" xfId="0" applyFont="true" applyBorder="true" applyAlignment="false" applyProtection="false">
      <alignment horizontal="general" vertical="bottom" textRotation="0" wrapText="false" indent="0" shrinkToFit="false"/>
      <protection locked="true" hidden="false"/>
    </xf>
    <xf numFmtId="166" fontId="6" fillId="0" borderId="28" xfId="0" applyFont="true" applyBorder="true" applyAlignment="false" applyProtection="false">
      <alignment horizontal="general" vertical="bottom" textRotation="0" wrapText="false" indent="0" shrinkToFit="false"/>
      <protection locked="true" hidden="false"/>
    </xf>
    <xf numFmtId="164" fontId="5" fillId="0" borderId="12" xfId="0" applyFont="true" applyBorder="true" applyAlignment="false" applyProtection="false">
      <alignment horizontal="general" vertical="bottom" textRotation="0" wrapText="false" indent="0" shrinkToFit="false"/>
      <protection locked="true" hidden="false"/>
    </xf>
    <xf numFmtId="164" fontId="5" fillId="0" borderId="27" xfId="0" applyFont="true" applyBorder="true" applyAlignment="false" applyProtection="false">
      <alignment horizontal="general" vertical="bottom" textRotation="0" wrapText="false" indent="0" shrinkToFit="false"/>
      <protection locked="true" hidden="false"/>
    </xf>
    <xf numFmtId="166" fontId="5" fillId="0" borderId="28" xfId="0" applyFont="true" applyBorder="true" applyAlignment="false" applyProtection="false">
      <alignment horizontal="general" vertical="bottom" textRotation="0" wrapText="false" indent="0" shrinkToFit="false"/>
      <protection locked="true" hidden="false"/>
    </xf>
    <xf numFmtId="166" fontId="6" fillId="0" borderId="13" xfId="0" applyFont="true" applyBorder="true" applyAlignment="false" applyProtection="false">
      <alignment horizontal="general" vertical="bottom" textRotation="0" wrapText="false" indent="0" shrinkToFit="false"/>
      <protection locked="true" hidden="false"/>
    </xf>
    <xf numFmtId="166" fontId="5" fillId="0" borderId="18" xfId="0" applyFont="true" applyBorder="true" applyAlignment="false" applyProtection="false">
      <alignment horizontal="general" vertical="bottom" textRotation="0" wrapText="false" indent="0" shrinkToFit="false"/>
      <protection locked="true" hidden="false"/>
    </xf>
    <xf numFmtId="164" fontId="5" fillId="0" borderId="19" xfId="0" applyFont="true" applyBorder="true" applyAlignment="false" applyProtection="false">
      <alignment horizontal="general" vertical="bottom" textRotation="0" wrapText="false" indent="0" shrinkToFit="false"/>
      <protection locked="true" hidden="false"/>
    </xf>
    <xf numFmtId="164" fontId="5" fillId="0" borderId="20" xfId="0" applyFont="true" applyBorder="true" applyAlignment="false" applyProtection="false">
      <alignment horizontal="general" vertical="bottom" textRotation="0" wrapText="false" indent="0" shrinkToFit="false"/>
      <protection locked="true" hidden="false"/>
    </xf>
    <xf numFmtId="166" fontId="8" fillId="0" borderId="21" xfId="0" applyFont="true" applyBorder="true" applyAlignment="true" applyProtection="false">
      <alignment horizontal="center" vertical="bottom" textRotation="0" wrapText="false" indent="0" shrinkToFit="false"/>
      <protection locked="true" hidden="false"/>
    </xf>
    <xf numFmtId="166" fontId="55" fillId="0" borderId="0" xfId="0" applyFont="true" applyBorder="true" applyAlignment="true" applyProtection="false">
      <alignment horizontal="center" vertical="bottom" textRotation="0" wrapText="false" indent="0" shrinkToFit="false"/>
      <protection locked="true" hidden="false"/>
    </xf>
    <xf numFmtId="164" fontId="5" fillId="0" borderId="22" xfId="0" applyFont="true" applyBorder="true" applyAlignment="false" applyProtection="false">
      <alignment horizontal="general" vertical="bottom" textRotation="0" wrapText="false" indent="0" shrinkToFit="false"/>
      <protection locked="true" hidden="false"/>
    </xf>
    <xf numFmtId="166" fontId="56" fillId="0" borderId="23" xfId="0" applyFont="true" applyBorder="true" applyAlignment="false" applyProtection="false">
      <alignment horizontal="general" vertical="bottom" textRotation="0" wrapText="false" indent="0" shrinkToFit="false"/>
      <protection locked="true" hidden="false"/>
    </xf>
    <xf numFmtId="164" fontId="5" fillId="0" borderId="21" xfId="0" applyFont="true" applyBorder="true" applyAlignment="false" applyProtection="false">
      <alignment horizontal="general" vertical="bottom" textRotation="0" wrapText="false" indent="0" shrinkToFit="false"/>
      <protection locked="true" hidden="false"/>
    </xf>
    <xf numFmtId="166" fontId="52" fillId="0" borderId="0" xfId="0" applyFont="true" applyBorder="true" applyAlignment="false" applyProtection="false">
      <alignment horizontal="general" vertical="bottom" textRotation="0" wrapText="false" indent="0" shrinkToFit="false"/>
      <protection locked="true" hidden="false"/>
    </xf>
    <xf numFmtId="166" fontId="5" fillId="0" borderId="26" xfId="0" applyFont="true" applyBorder="true" applyAlignment="false" applyProtection="false">
      <alignment horizontal="general" vertical="bottom" textRotation="0" wrapText="false" indent="0" shrinkToFit="false"/>
      <protection locked="true" hidden="false"/>
    </xf>
    <xf numFmtId="166" fontId="5" fillId="0" borderId="12" xfId="0" applyFont="true" applyBorder="true" applyAlignment="false" applyProtection="false">
      <alignment horizontal="general" vertical="bottom" textRotation="0" wrapText="false" indent="0" shrinkToFit="false"/>
      <protection locked="true" hidden="false"/>
    </xf>
    <xf numFmtId="166" fontId="50" fillId="0" borderId="12" xfId="0" applyFont="true" applyBorder="true" applyAlignment="false" applyProtection="false">
      <alignment horizontal="general" vertical="bottom" textRotation="0" wrapText="false" indent="0" shrinkToFit="false"/>
      <protection locked="true" hidden="false"/>
    </xf>
    <xf numFmtId="166" fontId="5" fillId="0" borderId="27" xfId="0" applyFont="true" applyBorder="true" applyAlignment="false" applyProtection="false">
      <alignment horizontal="general" vertical="bottom" textRotation="0" wrapText="false" indent="0" shrinkToFit="false"/>
      <protection locked="true" hidden="false"/>
    </xf>
    <xf numFmtId="166" fontId="57" fillId="5" borderId="13" xfId="0" applyFont="true" applyBorder="true" applyAlignment="true" applyProtection="false">
      <alignment horizontal="center" vertical="bottom" textRotation="0" wrapText="false" indent="0" shrinkToFit="false"/>
      <protection locked="true" hidden="false"/>
    </xf>
    <xf numFmtId="171" fontId="5" fillId="0" borderId="0" xfId="0" applyFont="true" applyBorder="false" applyAlignment="false" applyProtection="false">
      <alignment horizontal="general" vertical="bottom" textRotation="0" wrapText="false" indent="0" shrinkToFit="false"/>
      <protection locked="true" hidden="false"/>
    </xf>
    <xf numFmtId="166" fontId="5" fillId="10" borderId="0" xfId="0" applyFont="true" applyBorder="true" applyAlignment="true" applyProtection="false">
      <alignment horizontal="center" vertical="bottom" textRotation="0" wrapText="false" indent="0" shrinkToFit="false"/>
      <protection locked="true" hidden="false"/>
    </xf>
    <xf numFmtId="166" fontId="58" fillId="0" borderId="29" xfId="0" applyFont="true" applyBorder="true" applyAlignment="true" applyProtection="false">
      <alignment horizontal="center" vertical="bottom" textRotation="0" wrapText="false" indent="0" shrinkToFit="false"/>
      <protection locked="true" hidden="false"/>
    </xf>
    <xf numFmtId="166" fontId="58" fillId="0" borderId="13" xfId="0" applyFont="true" applyBorder="true" applyAlignment="true" applyProtection="false">
      <alignment horizontal="center" vertical="bottom" textRotation="0" wrapText="false" indent="0" shrinkToFit="false"/>
      <protection locked="true" hidden="false"/>
    </xf>
    <xf numFmtId="166" fontId="58" fillId="0" borderId="13" xfId="0" applyFont="true" applyBorder="true" applyAlignment="true" applyProtection="false">
      <alignment horizontal="right" vertical="bottom" textRotation="0" wrapText="false" indent="0" shrinkToFit="false"/>
      <protection locked="true" hidden="false"/>
    </xf>
    <xf numFmtId="166" fontId="5" fillId="10" borderId="14" xfId="0" applyFont="true" applyBorder="true" applyAlignment="true" applyProtection="false">
      <alignment horizontal="center" vertical="bottom" textRotation="0" wrapText="false" indent="0" shrinkToFit="false"/>
      <protection locked="true" hidden="false"/>
    </xf>
    <xf numFmtId="164" fontId="5" fillId="10" borderId="15" xfId="0" applyFont="true" applyBorder="true" applyAlignment="true" applyProtection="false">
      <alignment horizontal="center" vertical="bottom" textRotation="0" wrapText="false" indent="0" shrinkToFit="false"/>
      <protection locked="true" hidden="false"/>
    </xf>
    <xf numFmtId="166" fontId="58" fillId="0" borderId="8" xfId="0" applyFont="true" applyBorder="true" applyAlignment="true" applyProtection="false">
      <alignment horizontal="center" vertical="bottom" textRotation="0" wrapText="false" indent="0" shrinkToFit="false"/>
      <protection locked="true" hidden="false"/>
    </xf>
    <xf numFmtId="167" fontId="59" fillId="0" borderId="29" xfId="0" applyFont="true" applyBorder="true" applyAlignment="true" applyProtection="false">
      <alignment horizontal="center" vertical="bottom" textRotation="0" wrapText="false" indent="0" shrinkToFit="false"/>
      <protection locked="true" hidden="false"/>
    </xf>
    <xf numFmtId="203" fontId="60" fillId="0" borderId="29" xfId="0" applyFont="true" applyBorder="true" applyAlignment="true" applyProtection="false">
      <alignment horizontal="center" vertical="bottom" textRotation="0" wrapText="false" indent="0" shrinkToFit="false"/>
      <protection locked="true" hidden="false"/>
    </xf>
    <xf numFmtId="203" fontId="5" fillId="0" borderId="0" xfId="0" applyFont="true" applyBorder="false" applyAlignment="false" applyProtection="false">
      <alignment horizontal="general" vertical="bottom" textRotation="0" wrapText="false" indent="0" shrinkToFit="false"/>
      <protection locked="true" hidden="false"/>
    </xf>
    <xf numFmtId="166" fontId="5" fillId="10" borderId="29" xfId="0" applyFont="true" applyBorder="true" applyAlignment="true" applyProtection="false">
      <alignment horizontal="center" vertical="bottom" textRotation="0" wrapText="false" indent="0" shrinkToFit="false"/>
      <protection locked="true" hidden="false"/>
    </xf>
    <xf numFmtId="203" fontId="5" fillId="10" borderId="29" xfId="0" applyFont="true" applyBorder="true" applyAlignment="true" applyProtection="false">
      <alignment horizontal="center" vertical="bottom" textRotation="0" wrapText="false" indent="0" shrinkToFit="false"/>
      <protection locked="true" hidden="false"/>
    </xf>
    <xf numFmtId="203" fontId="5" fillId="0" borderId="0" xfId="0" applyFont="true" applyBorder="true" applyAlignment="false" applyProtection="false">
      <alignment horizontal="general" vertical="bottom" textRotation="0" wrapText="false" indent="0" shrinkToFit="false"/>
      <protection locked="true" hidden="false"/>
    </xf>
    <xf numFmtId="166" fontId="58" fillId="0" borderId="24" xfId="0" applyFont="true" applyBorder="true" applyAlignment="true" applyProtection="false">
      <alignment horizontal="center" vertical="bottom" textRotation="0" wrapText="false" indent="0" shrinkToFit="false"/>
      <protection locked="true" hidden="false"/>
    </xf>
    <xf numFmtId="166" fontId="60" fillId="10" borderId="24" xfId="0" applyFont="true" applyBorder="true" applyAlignment="true" applyProtection="false">
      <alignment horizontal="center" vertical="bottom" textRotation="0" wrapText="false" indent="0" shrinkToFit="false"/>
      <protection locked="true" hidden="false"/>
    </xf>
    <xf numFmtId="166" fontId="5" fillId="10" borderId="23" xfId="0" applyFont="true" applyBorder="true" applyAlignment="true" applyProtection="false">
      <alignment horizontal="center" vertical="bottom" textRotation="0" wrapText="false" indent="0" shrinkToFit="false"/>
      <protection locked="true" hidden="false"/>
    </xf>
    <xf numFmtId="164" fontId="5" fillId="10" borderId="23" xfId="0" applyFont="true" applyBorder="true" applyAlignment="true" applyProtection="false">
      <alignment horizontal="center" vertical="bottom" textRotation="0" wrapText="false" indent="0" shrinkToFit="false"/>
      <protection locked="true" hidden="false"/>
    </xf>
    <xf numFmtId="166" fontId="58" fillId="0" borderId="23" xfId="0" applyFont="true" applyBorder="true" applyAlignment="true" applyProtection="false">
      <alignment horizontal="center" vertical="bottom" textRotation="0" wrapText="false" indent="0" shrinkToFit="false"/>
      <protection locked="true" hidden="false"/>
    </xf>
    <xf numFmtId="166" fontId="58" fillId="0" borderId="30" xfId="0" applyFont="true" applyBorder="true" applyAlignment="true" applyProtection="false">
      <alignment horizontal="center" vertical="bottom" textRotation="0" wrapText="false" indent="0" shrinkToFit="false"/>
      <protection locked="true" hidden="false"/>
    </xf>
    <xf numFmtId="166" fontId="61" fillId="0" borderId="0" xfId="0" applyFont="true" applyBorder="true" applyAlignment="true" applyProtection="false">
      <alignment horizontal="center" vertical="bottom" textRotation="0" wrapText="false" indent="0" shrinkToFit="false"/>
      <protection locked="true" hidden="false"/>
    </xf>
    <xf numFmtId="166" fontId="61" fillId="0" borderId="9" xfId="0" applyFont="true" applyBorder="true" applyAlignment="true" applyProtection="false">
      <alignment horizontal="center" vertical="bottom" textRotation="0" wrapText="false" indent="0" shrinkToFit="false"/>
      <protection locked="true" hidden="false"/>
    </xf>
    <xf numFmtId="166" fontId="58" fillId="0" borderId="23" xfId="0" applyFont="true" applyBorder="true" applyAlignment="true" applyProtection="false">
      <alignment horizontal="right" vertical="bottom" textRotation="0" wrapText="false" indent="0" shrinkToFit="false"/>
      <protection locked="true" hidden="false"/>
    </xf>
    <xf numFmtId="171" fontId="50" fillId="0" borderId="9" xfId="15" applyFont="true" applyBorder="true" applyAlignment="true" applyProtection="true">
      <alignment horizontal="general" vertical="bottom" textRotation="0" wrapText="false" indent="0" shrinkToFit="false"/>
      <protection locked="true" hidden="false"/>
    </xf>
    <xf numFmtId="166" fontId="5" fillId="0" borderId="23" xfId="0" applyFont="true" applyBorder="true" applyAlignment="false" applyProtection="false">
      <alignment horizontal="general" vertical="bottom" textRotation="0" wrapText="false" indent="0" shrinkToFit="false"/>
      <protection locked="true" hidden="false"/>
    </xf>
    <xf numFmtId="171" fontId="5" fillId="0" borderId="0" xfId="0" applyFont="true" applyBorder="false" applyAlignment="false" applyProtection="false">
      <alignment horizontal="general" vertical="bottom" textRotation="0" wrapText="false" indent="0" shrinkToFit="false"/>
      <protection locked="true" hidden="false"/>
    </xf>
    <xf numFmtId="166" fontId="5" fillId="0" borderId="0" xfId="0" applyFont="true" applyBorder="false" applyAlignment="false" applyProtection="false">
      <alignment horizontal="general" vertical="bottom" textRotation="0" wrapText="false" indent="0" shrinkToFit="false"/>
      <protection locked="true" hidden="false"/>
    </xf>
    <xf numFmtId="166" fontId="5" fillId="10" borderId="24" xfId="0" applyFont="true" applyBorder="true" applyAlignment="true" applyProtection="false">
      <alignment horizontal="center" vertical="bottom" textRotation="0" wrapText="false" indent="0" shrinkToFit="false"/>
      <protection locked="true" hidden="false"/>
    </xf>
    <xf numFmtId="164" fontId="5" fillId="10" borderId="24" xfId="0" applyFont="true" applyBorder="true" applyAlignment="true" applyProtection="false">
      <alignment horizontal="center" vertical="bottom" textRotation="0" wrapText="false" indent="0" shrinkToFit="false"/>
      <protection locked="true" hidden="false"/>
    </xf>
    <xf numFmtId="171" fontId="5" fillId="0" borderId="9" xfId="15" applyFont="true" applyBorder="true" applyAlignment="true" applyProtection="true">
      <alignment horizontal="general" vertical="bottom" textRotation="0" wrapText="false" indent="0" shrinkToFit="false"/>
      <protection locked="true" hidden="false"/>
    </xf>
    <xf numFmtId="166" fontId="58" fillId="0" borderId="31" xfId="0" applyFont="true" applyBorder="true" applyAlignment="true" applyProtection="false">
      <alignment horizontal="right" vertical="bottom" textRotation="0" wrapText="false" indent="0" shrinkToFit="false"/>
      <protection locked="true" hidden="false"/>
    </xf>
    <xf numFmtId="166" fontId="58" fillId="0" borderId="32" xfId="0" applyFont="true" applyBorder="true" applyAlignment="true" applyProtection="false">
      <alignment horizontal="right" vertical="bottom" textRotation="0" wrapText="false" indent="0" shrinkToFit="false"/>
      <protection locked="true" hidden="false"/>
    </xf>
    <xf numFmtId="166" fontId="58" fillId="0" borderId="24" xfId="0" applyFont="true" applyBorder="true" applyAlignment="true" applyProtection="false">
      <alignment horizontal="right" vertical="bottom" textRotation="0" wrapText="false" indent="0" shrinkToFit="false"/>
      <protection locked="true" hidden="false"/>
    </xf>
    <xf numFmtId="171" fontId="5" fillId="0" borderId="1" xfId="15" applyFont="true" applyBorder="true" applyAlignment="true" applyProtection="true">
      <alignment horizontal="general" vertical="bottom" textRotation="0" wrapText="false" indent="0" shrinkToFit="false"/>
      <protection locked="true" hidden="false"/>
    </xf>
    <xf numFmtId="171" fontId="5" fillId="0" borderId="11" xfId="15" applyFont="true" applyBorder="true" applyAlignment="true" applyProtection="true">
      <alignment horizontal="general" vertical="bottom" textRotation="0" wrapText="false" indent="0" shrinkToFit="false"/>
      <protection locked="true" hidden="false"/>
    </xf>
    <xf numFmtId="166" fontId="58" fillId="0" borderId="0" xfId="0" applyFont="true" applyBorder="true" applyAlignment="true" applyProtection="false">
      <alignment horizontal="right" vertical="bottom" textRotation="0" wrapText="false" indent="0" shrinkToFit="false"/>
      <protection locked="true" hidden="false"/>
    </xf>
    <xf numFmtId="166" fontId="5" fillId="0" borderId="0"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203" fontId="5" fillId="0" borderId="0" xfId="0" applyFont="true" applyBorder="true" applyAlignment="true" applyProtection="false">
      <alignment horizontal="center" vertical="bottom" textRotation="0" wrapText="false" indent="0" shrinkToFit="false"/>
      <protection locked="true" hidden="false"/>
    </xf>
    <xf numFmtId="166" fontId="5" fillId="0" borderId="0" xfId="0" applyFont="true" applyBorder="true" applyAlignment="false" applyProtection="false">
      <alignment horizontal="general" vertical="bottom" textRotation="0" wrapText="false" indent="0" shrinkToFit="false"/>
      <protection locked="true" hidden="false"/>
    </xf>
    <xf numFmtId="166" fontId="5" fillId="0" borderId="32" xfId="0" applyFont="true" applyBorder="true" applyAlignment="false" applyProtection="false">
      <alignment horizontal="general" vertical="bottom" textRotation="0" wrapText="false" indent="0" shrinkToFit="false"/>
      <protection locked="true" hidden="false"/>
    </xf>
    <xf numFmtId="171" fontId="50" fillId="0" borderId="1" xfId="15" applyFont="true" applyBorder="true" applyAlignment="true" applyProtection="true">
      <alignment horizontal="general" vertical="bottom" textRotation="0" wrapText="false" indent="0" shrinkToFit="false"/>
      <protection locked="true" hidden="false"/>
    </xf>
    <xf numFmtId="171" fontId="50" fillId="0" borderId="11" xfId="15" applyFont="true" applyBorder="true" applyAlignment="true" applyProtection="true">
      <alignment horizontal="general" vertical="bottom" textRotation="0" wrapText="false" indent="0" shrinkToFit="false"/>
      <protection locked="true" hidden="false"/>
    </xf>
    <xf numFmtId="166" fontId="6" fillId="0" borderId="33" xfId="0" applyFont="true" applyBorder="true" applyAlignment="false" applyProtection="false">
      <alignment horizontal="general" vertical="bottom" textRotation="0" wrapText="false" indent="0" shrinkToFit="false"/>
      <protection locked="true" hidden="false"/>
    </xf>
    <xf numFmtId="166" fontId="5" fillId="0" borderId="33" xfId="0" applyFont="true" applyBorder="true" applyAlignment="false" applyProtection="false">
      <alignment horizontal="general" vertical="bottom" textRotation="0" wrapText="false" indent="0" shrinkToFit="false"/>
      <protection locked="true" hidden="false"/>
    </xf>
    <xf numFmtId="166" fontId="5" fillId="0" borderId="34" xfId="0" applyFont="true" applyBorder="true" applyAlignment="false" applyProtection="false">
      <alignment horizontal="general" vertical="bottom" textRotation="0" wrapText="false" indent="0" shrinkToFit="false"/>
      <protection locked="true" hidden="false"/>
    </xf>
    <xf numFmtId="166" fontId="5" fillId="0" borderId="35" xfId="0" applyFont="true" applyBorder="true" applyAlignment="false" applyProtection="false">
      <alignment horizontal="general" vertical="bottom" textRotation="0" wrapText="false" indent="0" shrinkToFit="false"/>
      <protection locked="true" hidden="false"/>
    </xf>
    <xf numFmtId="166" fontId="58" fillId="0" borderId="36" xfId="0" applyFont="true" applyBorder="true" applyAlignment="true" applyProtection="false">
      <alignment horizontal="center" vertical="bottom" textRotation="0" wrapText="false" indent="0" shrinkToFit="false"/>
      <protection locked="true" hidden="false"/>
    </xf>
    <xf numFmtId="171" fontId="58" fillId="0" borderId="37" xfId="15" applyFont="true" applyBorder="true" applyAlignment="true" applyProtection="true">
      <alignment horizontal="center" vertical="bottom" textRotation="0" wrapText="false" indent="0" shrinkToFit="false"/>
      <protection locked="true" hidden="false"/>
    </xf>
    <xf numFmtId="171" fontId="58" fillId="0" borderId="38" xfId="15" applyFont="true" applyBorder="true" applyAlignment="true" applyProtection="true">
      <alignment horizontal="center" vertical="bottom" textRotation="0" wrapText="false" indent="0" shrinkToFit="false"/>
      <protection locked="true" hidden="false"/>
    </xf>
    <xf numFmtId="166" fontId="5" fillId="0" borderId="39" xfId="0" applyFont="true" applyBorder="true" applyAlignment="true" applyProtection="false">
      <alignment horizontal="center" vertical="bottom" textRotation="0" wrapText="false" indent="0" shrinkToFit="false"/>
      <protection locked="true" hidden="false"/>
    </xf>
    <xf numFmtId="166" fontId="5" fillId="0" borderId="9" xfId="0" applyFont="true" applyBorder="true" applyAlignment="false" applyProtection="false">
      <alignment horizontal="general" vertical="bottom" textRotation="0" wrapText="false" indent="0" shrinkToFit="false"/>
      <protection locked="true" hidden="false"/>
    </xf>
    <xf numFmtId="187" fontId="56" fillId="0" borderId="40" xfId="0" applyFont="true" applyBorder="true" applyAlignment="false" applyProtection="false">
      <alignment horizontal="general" vertical="bottom" textRotation="0" wrapText="false" indent="0" shrinkToFit="false"/>
      <protection locked="true" hidden="false"/>
    </xf>
    <xf numFmtId="198" fontId="5" fillId="0" borderId="41" xfId="0" applyFont="true" applyBorder="true" applyAlignment="true" applyProtection="false">
      <alignment horizontal="left" vertical="bottom" textRotation="0" wrapText="false" indent="0" shrinkToFit="false"/>
      <protection locked="true" hidden="false"/>
    </xf>
    <xf numFmtId="166" fontId="5" fillId="0" borderId="0" xfId="0" applyFont="true" applyBorder="true" applyAlignment="true" applyProtection="false">
      <alignment horizontal="left" vertical="bottom" textRotation="0" wrapText="false" indent="0" shrinkToFit="false"/>
      <protection locked="true" hidden="false"/>
    </xf>
    <xf numFmtId="164" fontId="5" fillId="0" borderId="9" xfId="0" applyFont="true" applyBorder="true" applyAlignment="false" applyProtection="false">
      <alignment horizontal="general" vertical="bottom" textRotation="0" wrapText="false" indent="0" shrinkToFit="false"/>
      <protection locked="true" hidden="false"/>
    </xf>
    <xf numFmtId="198" fontId="5" fillId="0" borderId="41" xfId="0" applyFont="true" applyBorder="true" applyAlignment="false" applyProtection="false">
      <alignment horizontal="general" vertical="bottom" textRotation="0" wrapText="false" indent="0" shrinkToFit="false"/>
      <protection locked="true" hidden="false"/>
    </xf>
    <xf numFmtId="166" fontId="5" fillId="0" borderId="0" xfId="0" applyFont="true" applyBorder="true" applyAlignment="false" applyProtection="true">
      <alignment horizontal="general" vertical="bottom" textRotation="0" wrapText="false" indent="0" shrinkToFit="false"/>
      <protection locked="true" hidden="false"/>
    </xf>
    <xf numFmtId="187" fontId="56" fillId="0" borderId="40" xfId="15" applyFont="true" applyBorder="true" applyAlignment="true" applyProtection="true">
      <alignment horizontal="general" vertical="bottom" textRotation="0" wrapText="false" indent="0" shrinkToFit="false"/>
      <protection locked="true" hidden="false"/>
    </xf>
    <xf numFmtId="167" fontId="5" fillId="0" borderId="39" xfId="0" applyFont="true" applyBorder="true" applyAlignment="true" applyProtection="false">
      <alignment horizontal="center" vertical="bottom" textRotation="0" wrapText="false" indent="0" shrinkToFit="false"/>
      <protection locked="true" hidden="false"/>
    </xf>
    <xf numFmtId="166" fontId="5" fillId="0" borderId="9" xfId="0" applyFont="true" applyBorder="true" applyAlignment="false" applyProtection="true">
      <alignment horizontal="general" vertical="bottom" textRotation="0" wrapText="false" indent="0" shrinkToFit="false"/>
      <protection locked="true" hidden="false"/>
    </xf>
    <xf numFmtId="166" fontId="5" fillId="0" borderId="0" xfId="0" applyFont="true" applyBorder="true" applyAlignment="true" applyProtection="false">
      <alignment horizontal="fill" vertical="bottom" textRotation="0" wrapText="true" indent="0" shrinkToFit="false"/>
      <protection locked="true" hidden="false"/>
    </xf>
    <xf numFmtId="187" fontId="5" fillId="0" borderId="40" xfId="0" applyFont="true" applyBorder="true" applyAlignment="false" applyProtection="false">
      <alignment horizontal="general" vertical="bottom" textRotation="0" wrapText="false" indent="0" shrinkToFit="false"/>
      <protection locked="true" hidden="false"/>
    </xf>
    <xf numFmtId="166" fontId="5" fillId="0" borderId="41" xfId="0" applyFont="true" applyBorder="true" applyAlignment="false" applyProtection="false">
      <alignment horizontal="general" vertical="bottom" textRotation="0" wrapText="false" indent="0" shrinkToFit="false"/>
      <protection locked="true" hidden="false"/>
    </xf>
    <xf numFmtId="166" fontId="5" fillId="0" borderId="0" xfId="0" applyFont="true" applyBorder="true" applyAlignment="true" applyProtection="false">
      <alignment horizontal="right" vertical="bottom" textRotation="0" wrapText="false" indent="0" shrinkToFit="false"/>
      <protection locked="true" hidden="false"/>
    </xf>
    <xf numFmtId="187" fontId="5" fillId="0" borderId="42" xfId="0" applyFont="true" applyBorder="true" applyAlignment="false" applyProtection="false">
      <alignment horizontal="general" vertical="bottom" textRotation="0" wrapText="false" indent="0" shrinkToFit="false"/>
      <protection locked="true" hidden="false"/>
    </xf>
    <xf numFmtId="166" fontId="5" fillId="0" borderId="43" xfId="0" applyFont="true" applyBorder="true" applyAlignment="false" applyProtection="false">
      <alignment horizontal="general" vertical="bottom" textRotation="0" wrapText="false" indent="0" shrinkToFit="false"/>
      <protection locked="true" hidden="false"/>
    </xf>
    <xf numFmtId="166" fontId="5" fillId="0" borderId="44" xfId="0" applyFont="true" applyBorder="true" applyAlignment="false" applyProtection="false">
      <alignment horizontal="general" vertical="bottom" textRotation="0" wrapText="false" indent="0" shrinkToFit="false"/>
      <protection locked="true" hidden="false"/>
    </xf>
    <xf numFmtId="166" fontId="5" fillId="0" borderId="45" xfId="0" applyFont="true" applyBorder="true" applyAlignment="false" applyProtection="false">
      <alignment horizontal="general" vertical="bottom" textRotation="0" wrapText="false" indent="0" shrinkToFit="false"/>
      <protection locked="true" hidden="false"/>
    </xf>
    <xf numFmtId="173" fontId="5" fillId="0" borderId="39" xfId="0" applyFont="true" applyBorder="true" applyAlignment="true" applyProtection="false">
      <alignment horizontal="center" vertical="bottom" textRotation="0" wrapText="false" indent="0" shrinkToFit="false"/>
      <protection locked="true" hidden="false"/>
    </xf>
    <xf numFmtId="173" fontId="5" fillId="0" borderId="41" xfId="0" applyFont="true" applyBorder="true" applyAlignment="true" applyProtection="false">
      <alignment horizontal="center" vertical="bottom" textRotation="0" wrapText="false" indent="0" shrinkToFit="false"/>
      <protection locked="true" hidden="false"/>
    </xf>
    <xf numFmtId="173" fontId="5" fillId="0" borderId="43" xfId="0" applyFont="true" applyBorder="true" applyAlignment="false" applyProtection="false">
      <alignment horizontal="general" vertical="bottom" textRotation="0" wrapText="false" indent="0" shrinkToFit="false"/>
      <protection locked="true" hidden="false"/>
    </xf>
    <xf numFmtId="166" fontId="6" fillId="0" borderId="48" xfId="0" applyFont="true" applyBorder="true" applyAlignment="false" applyProtection="false">
      <alignment horizontal="general" vertical="bottom" textRotation="0" wrapText="false" indent="0" shrinkToFit="false"/>
      <protection locked="true" hidden="false"/>
    </xf>
    <xf numFmtId="166" fontId="5" fillId="0" borderId="46" xfId="0" applyFont="true" applyBorder="true" applyAlignment="false" applyProtection="false">
      <alignment horizontal="general" vertical="bottom" textRotation="0" wrapText="false" indent="0" shrinkToFit="false"/>
      <protection locked="true" hidden="false"/>
    </xf>
    <xf numFmtId="166" fontId="5" fillId="0" borderId="47" xfId="0" applyFont="true" applyBorder="true" applyAlignment="false" applyProtection="false">
      <alignment horizontal="general" vertical="bottom" textRotation="0" wrapText="false" indent="0" shrinkToFit="false"/>
      <protection locked="true" hidden="false"/>
    </xf>
    <xf numFmtId="164" fontId="58" fillId="0" borderId="50" xfId="0" applyFont="true" applyBorder="true" applyAlignment="true" applyProtection="false">
      <alignment horizontal="center" vertical="bottom" textRotation="0" wrapText="false" indent="0" shrinkToFit="false"/>
      <protection locked="true" hidden="false"/>
    </xf>
    <xf numFmtId="164" fontId="58" fillId="0" borderId="13" xfId="0" applyFont="true" applyBorder="true" applyAlignment="true" applyProtection="false">
      <alignment horizontal="center" vertical="bottom" textRotation="0" wrapText="false" indent="0" shrinkToFit="false"/>
      <protection locked="true" hidden="false"/>
    </xf>
    <xf numFmtId="166" fontId="58" fillId="0" borderId="15" xfId="0" applyFont="true" applyBorder="true" applyAlignment="true" applyProtection="false">
      <alignment horizontal="center" vertical="bottom" textRotation="0" wrapText="false" indent="0" shrinkToFit="false"/>
      <protection locked="true" hidden="false"/>
    </xf>
    <xf numFmtId="166" fontId="58" fillId="0" borderId="15" xfId="0" applyFont="true" applyBorder="true" applyAlignment="true" applyProtection="false">
      <alignment horizontal="left" vertical="bottom" textRotation="0" wrapText="false" indent="0" shrinkToFit="false"/>
      <protection locked="true" hidden="false"/>
    </xf>
    <xf numFmtId="164" fontId="58" fillId="0" borderId="14" xfId="0" applyFont="true" applyBorder="true" applyAlignment="true" applyProtection="false">
      <alignment horizontal="center" vertical="bottom" textRotation="0" wrapText="false" indent="0" shrinkToFit="false"/>
      <protection locked="true" hidden="false"/>
    </xf>
    <xf numFmtId="166" fontId="58" fillId="0" borderId="49" xfId="0" applyFont="true" applyBorder="true" applyAlignment="true" applyProtection="false">
      <alignment horizontal="center" vertical="bottom" textRotation="0" wrapText="false" indent="0" shrinkToFit="false"/>
      <protection locked="true" hidden="false"/>
    </xf>
    <xf numFmtId="164" fontId="5" fillId="0" borderId="41" xfId="0" applyFont="true" applyBorder="true" applyAlignment="true" applyProtection="false">
      <alignment horizontal="center" vertical="bottom" textRotation="0" wrapText="false" indent="0" shrinkToFit="false"/>
      <protection locked="true" hidden="false"/>
    </xf>
    <xf numFmtId="173" fontId="5" fillId="0" borderId="23" xfId="0" applyFont="true" applyBorder="true" applyAlignment="true" applyProtection="false">
      <alignment horizontal="center" vertical="bottom" textRotation="0" wrapText="false" indent="0" shrinkToFit="false"/>
      <protection locked="true" hidden="false"/>
    </xf>
    <xf numFmtId="204" fontId="5" fillId="0" borderId="9" xfId="0" applyFont="true" applyBorder="true" applyAlignment="true" applyProtection="false">
      <alignment horizontal="center" vertical="bottom" textRotation="0" wrapText="false" indent="0" shrinkToFit="false"/>
      <protection locked="true" hidden="false"/>
    </xf>
    <xf numFmtId="171" fontId="5" fillId="0" borderId="51" xfId="0" applyFont="true" applyBorder="true" applyAlignment="false" applyProtection="false">
      <alignment horizontal="general" vertical="bottom" textRotation="0" wrapText="false" indent="0" shrinkToFit="false"/>
      <protection locked="true" hidden="false"/>
    </xf>
    <xf numFmtId="164" fontId="5" fillId="0" borderId="41" xfId="0" applyFont="true" applyBorder="true" applyAlignment="false" applyProtection="false">
      <alignment horizontal="general" vertical="bottom" textRotation="0" wrapText="false" indent="0" shrinkToFit="false"/>
      <protection locked="true" hidden="false"/>
    </xf>
    <xf numFmtId="205" fontId="5" fillId="0" borderId="9" xfId="15" applyFont="true" applyBorder="true" applyAlignment="true" applyProtection="true">
      <alignment horizontal="center" vertical="bottom" textRotation="0" wrapText="false" indent="0" shrinkToFit="false"/>
      <protection locked="true" hidden="false"/>
    </xf>
    <xf numFmtId="205" fontId="5" fillId="0" borderId="9" xfId="15" applyFont="true" applyBorder="true" applyAlignment="true" applyProtection="true">
      <alignment horizontal="general" vertical="bottom" textRotation="0" wrapText="false" indent="0" shrinkToFit="false"/>
      <protection locked="true" hidden="false"/>
    </xf>
    <xf numFmtId="204" fontId="5" fillId="0" borderId="9" xfId="0" applyFont="true" applyBorder="true" applyAlignment="false" applyProtection="false">
      <alignment horizontal="general" vertical="bottom" textRotation="0" wrapText="false" indent="0" shrinkToFit="false"/>
      <protection locked="true" hidden="false"/>
    </xf>
    <xf numFmtId="171" fontId="5" fillId="0" borderId="52" xfId="0" applyFont="true" applyBorder="true" applyAlignment="false" applyProtection="false">
      <alignment horizontal="general" vertical="bottom" textRotation="0" wrapText="false" indent="0" shrinkToFit="false"/>
      <protection locked="true" hidden="false"/>
    </xf>
    <xf numFmtId="164" fontId="5" fillId="0" borderId="43" xfId="0" applyFont="true" applyBorder="true" applyAlignment="false" applyProtection="false">
      <alignment horizontal="general" vertical="bottom" textRotation="0" wrapText="false" indent="0" shrinkToFit="false"/>
      <protection locked="true" hidden="false"/>
    </xf>
    <xf numFmtId="164" fontId="5" fillId="0" borderId="44" xfId="0" applyFont="true" applyBorder="true" applyAlignment="false" applyProtection="false">
      <alignment horizontal="general" vertical="bottom" textRotation="0" wrapText="false" indent="0" shrinkToFit="false"/>
      <protection locked="true" hidden="false"/>
    </xf>
    <xf numFmtId="166" fontId="6" fillId="0" borderId="53" xfId="0" applyFont="true" applyBorder="true" applyAlignment="false" applyProtection="false">
      <alignment horizontal="general" vertical="bottom" textRotation="0" wrapText="false" indent="0" shrinkToFit="false"/>
      <protection locked="true" hidden="false"/>
    </xf>
    <xf numFmtId="166" fontId="6" fillId="0" borderId="54" xfId="0" applyFont="true" applyBorder="true" applyAlignment="false" applyProtection="false">
      <alignment horizontal="general" vertical="bottom" textRotation="0" wrapText="false" indent="0" shrinkToFit="false"/>
      <protection locked="true" hidden="false"/>
    </xf>
    <xf numFmtId="166" fontId="6" fillId="0" borderId="55" xfId="0" applyFont="true" applyBorder="true" applyAlignment="false" applyProtection="false">
      <alignment horizontal="general" vertical="bottom" textRotation="0" wrapText="false" indent="0" shrinkToFit="false"/>
      <protection locked="true" hidden="false"/>
    </xf>
    <xf numFmtId="166" fontId="6" fillId="0" borderId="0" xfId="0" applyFont="true" applyBorder="true" applyAlignment="false" applyProtection="false">
      <alignment horizontal="general" vertical="bottom" textRotation="0" wrapText="false" indent="0" shrinkToFit="false"/>
      <protection locked="true" hidden="false"/>
    </xf>
    <xf numFmtId="166" fontId="58" fillId="0" borderId="56" xfId="0" applyFont="true" applyBorder="true" applyAlignment="true" applyProtection="false">
      <alignment horizontal="center" vertical="bottom" textRotation="0" wrapText="false" indent="0" shrinkToFit="false"/>
      <protection locked="true" hidden="false"/>
    </xf>
    <xf numFmtId="173" fontId="58" fillId="0" borderId="57" xfId="0" applyFont="true" applyBorder="true" applyAlignment="true" applyProtection="false">
      <alignment horizontal="center" vertical="bottom" textRotation="0" wrapText="false" indent="0" shrinkToFit="false"/>
      <protection locked="true" hidden="false"/>
    </xf>
    <xf numFmtId="166" fontId="58" fillId="0" borderId="12" xfId="0" applyFont="true" applyBorder="true" applyAlignment="false" applyProtection="false">
      <alignment horizontal="general" vertical="bottom" textRotation="0" wrapText="false" indent="0" shrinkToFit="false"/>
      <protection locked="true" hidden="false"/>
    </xf>
    <xf numFmtId="166" fontId="58" fillId="0" borderId="31" xfId="0" applyFont="true" applyBorder="true" applyAlignment="true" applyProtection="false">
      <alignment horizontal="center" vertical="bottom" textRotation="0" wrapText="false" indent="0" shrinkToFit="false"/>
      <protection locked="true" hidden="false"/>
    </xf>
    <xf numFmtId="166" fontId="58" fillId="0" borderId="58" xfId="0" applyFont="true" applyBorder="true" applyAlignment="true" applyProtection="false">
      <alignment horizontal="center" vertical="bottom" textRotation="0" wrapText="false" indent="0" shrinkToFit="false"/>
      <protection locked="true" hidden="false"/>
    </xf>
    <xf numFmtId="166" fontId="5" fillId="0" borderId="41" xfId="0" applyFont="true" applyBorder="true" applyAlignment="true" applyProtection="false">
      <alignment horizontal="center" vertical="bottom" textRotation="0" wrapText="false" indent="0" shrinkToFit="false"/>
      <protection locked="true" hidden="false"/>
    </xf>
    <xf numFmtId="173" fontId="6" fillId="0" borderId="23" xfId="0" applyFont="true" applyBorder="true" applyAlignment="false" applyProtection="false">
      <alignment horizontal="general" vertical="bottom" textRotation="0" wrapText="false" indent="0" shrinkToFit="false"/>
      <protection locked="true" hidden="false"/>
    </xf>
    <xf numFmtId="166" fontId="6" fillId="0" borderId="9" xfId="0" applyFont="true" applyBorder="true" applyAlignment="false" applyProtection="false">
      <alignment horizontal="general" vertical="bottom" textRotation="0" wrapText="false" indent="0" shrinkToFit="false"/>
      <protection locked="true" hidden="false"/>
    </xf>
    <xf numFmtId="171" fontId="5" fillId="0" borderId="40" xfId="17" applyFont="true" applyBorder="true" applyAlignment="true" applyProtection="true">
      <alignment horizontal="general" vertical="bottom" textRotation="0" wrapText="false" indent="0" shrinkToFit="false"/>
      <protection locked="true" hidden="false"/>
    </xf>
    <xf numFmtId="187" fontId="6" fillId="0" borderId="0" xfId="17" applyFont="true" applyBorder="true" applyAlignment="true" applyProtection="true">
      <alignment horizontal="general" vertical="bottom" textRotation="0" wrapText="false" indent="0" shrinkToFit="false"/>
      <protection locked="true" hidden="false"/>
    </xf>
    <xf numFmtId="166" fontId="5" fillId="0" borderId="8" xfId="0" applyFont="true" applyBorder="true" applyAlignment="false" applyProtection="false">
      <alignment horizontal="general" vertical="bottom" textRotation="0" wrapText="false" indent="0" shrinkToFit="false"/>
      <protection locked="true" hidden="false"/>
    </xf>
    <xf numFmtId="171" fontId="6" fillId="0" borderId="40" xfId="17" applyFont="true" applyBorder="true" applyAlignment="true" applyProtection="true">
      <alignment horizontal="general" vertical="bottom" textRotation="0" wrapText="false" indent="0" shrinkToFit="false"/>
      <protection locked="true" hidden="false"/>
    </xf>
    <xf numFmtId="171" fontId="6" fillId="0" borderId="40" xfId="0" applyFont="true" applyBorder="true" applyAlignment="false" applyProtection="false">
      <alignment horizontal="general" vertical="bottom" textRotation="0" wrapText="false" indent="0" shrinkToFit="false"/>
      <protection locked="true" hidden="false"/>
    </xf>
    <xf numFmtId="166" fontId="6" fillId="0" borderId="42" xfId="0" applyFont="true" applyBorder="true" applyAlignment="false" applyProtection="false">
      <alignment horizontal="general" vertical="bottom" textRotation="0" wrapText="false" indent="0" shrinkToFit="false"/>
      <protection locked="true" hidden="false"/>
    </xf>
    <xf numFmtId="166" fontId="6" fillId="0" borderId="43" xfId="0" applyFont="true" applyBorder="true" applyAlignment="true" applyProtection="false">
      <alignment horizontal="center" vertical="bottom" textRotation="0" wrapText="false" indent="0" shrinkToFit="false"/>
      <protection locked="true" hidden="false"/>
    </xf>
    <xf numFmtId="173" fontId="6" fillId="0" borderId="44" xfId="0" applyFont="true" applyBorder="true" applyAlignment="false" applyProtection="false">
      <alignment horizontal="general" vertical="bottom" textRotation="0" wrapText="false" indent="0" shrinkToFit="false"/>
      <protection locked="true" hidden="false"/>
    </xf>
    <xf numFmtId="166" fontId="6" fillId="0" borderId="44" xfId="0" applyFont="true" applyBorder="true" applyAlignment="false" applyProtection="false">
      <alignment horizontal="general" vertical="bottom" textRotation="0" wrapText="false" indent="0" shrinkToFit="false"/>
      <protection locked="true" hidden="false"/>
    </xf>
    <xf numFmtId="166" fontId="5" fillId="0" borderId="44" xfId="0" applyFont="true" applyBorder="true" applyAlignment="true" applyProtection="false">
      <alignment horizontal="right" vertical="bottom" textRotation="0" wrapText="false" indent="0" shrinkToFit="false"/>
      <protection locked="true" hidden="false"/>
    </xf>
    <xf numFmtId="166" fontId="6" fillId="0" borderId="45" xfId="0" applyFont="true" applyBorder="true" applyAlignment="false" applyProtection="false">
      <alignment horizontal="general" vertical="bottom" textRotation="0" wrapText="false" indent="0" shrinkToFit="false"/>
      <protection locked="true" hidden="false"/>
    </xf>
    <xf numFmtId="166" fontId="36" fillId="0" borderId="0" xfId="0" applyFont="true" applyBorder="false" applyAlignment="false" applyProtection="false">
      <alignment horizontal="general" vertical="bottom" textRotation="0" wrapText="false" indent="0" shrinkToFit="false"/>
      <protection locked="true" hidden="false"/>
    </xf>
    <xf numFmtId="171" fontId="36" fillId="7" borderId="0" xfId="15" applyFont="true" applyBorder="true" applyAlignment="true" applyProtection="true">
      <alignment horizontal="general" vertical="bottom" textRotation="0" wrapText="false" indent="0" shrinkToFit="false"/>
      <protection locked="true" hidden="false"/>
    </xf>
    <xf numFmtId="166" fontId="22" fillId="7" borderId="0" xfId="0" applyFont="true" applyBorder="false" applyAlignment="false" applyProtection="false">
      <alignment horizontal="general" vertical="bottom" textRotation="0" wrapText="false" indent="0" shrinkToFit="false"/>
      <protection locked="true" hidden="false"/>
    </xf>
    <xf numFmtId="166" fontId="62" fillId="0" borderId="23" xfId="0" applyFont="true" applyBorder="true" applyAlignment="true" applyProtection="false">
      <alignment horizontal="right" vertical="bottom" textRotation="0" wrapText="false" indent="0" shrinkToFit="false"/>
      <protection locked="true" hidden="false"/>
    </xf>
    <xf numFmtId="171" fontId="22" fillId="7" borderId="0" xfId="15" applyFont="true" applyBorder="true" applyAlignment="true" applyProtection="tru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87" fontId="35" fillId="0" borderId="0" xfId="15" applyFont="true" applyBorder="true" applyAlignment="true" applyProtection="true">
      <alignment horizontal="general" vertical="bottom" textRotation="0" wrapText="false" indent="0" shrinkToFit="false"/>
      <protection locked="true" hidden="false"/>
    </xf>
    <xf numFmtId="187" fontId="35" fillId="0" borderId="0" xfId="0" applyFont="true" applyBorder="true" applyAlignment="false" applyProtection="false">
      <alignment horizontal="general" vertical="bottom" textRotation="0" wrapText="false" indent="0" shrinkToFit="false"/>
      <protection locked="true" hidden="false"/>
    </xf>
    <xf numFmtId="187" fontId="22" fillId="0" borderId="0" xfId="0" applyFont="true" applyBorder="true" applyAlignment="false" applyProtection="false">
      <alignment horizontal="general" vertical="bottom" textRotation="0" wrapText="false" indent="0" shrinkToFit="false"/>
      <protection locked="true" hidden="false"/>
    </xf>
    <xf numFmtId="168" fontId="22" fillId="0" borderId="41" xfId="0" applyFont="true" applyBorder="true" applyAlignment="false" applyProtection="false">
      <alignment horizontal="general" vertical="bottom" textRotation="0" wrapText="false" indent="0" shrinkToFit="false"/>
      <protection locked="true" hidden="false"/>
    </xf>
    <xf numFmtId="171" fontId="36" fillId="3" borderId="0" xfId="15" applyFont="true" applyBorder="true" applyAlignment="true" applyProtection="true">
      <alignment horizontal="general" vertical="bottom" textRotation="0" wrapText="false" indent="0" shrinkToFit="false"/>
      <protection locked="true" hidden="false"/>
    </xf>
    <xf numFmtId="187" fontId="35" fillId="6" borderId="40" xfId="0" applyFont="true" applyBorder="true" applyAlignment="false" applyProtection="false">
      <alignment horizontal="general" vertical="bottom" textRotation="0" wrapText="false" indent="0" shrinkToFit="false"/>
      <protection locked="true" hidden="false"/>
    </xf>
    <xf numFmtId="187" fontId="22" fillId="3" borderId="42" xfId="0" applyFont="true" applyBorder="true" applyAlignment="false" applyProtection="false">
      <alignment horizontal="general" vertical="bottom" textRotation="0" wrapText="false" indent="0" shrinkToFit="false"/>
      <protection locked="true" hidden="false"/>
    </xf>
    <xf numFmtId="171" fontId="23" fillId="3" borderId="0" xfId="15" applyFont="true" applyBorder="true" applyAlignment="true" applyProtection="true">
      <alignment horizontal="general" vertical="bottom" textRotation="0" wrapText="false" indent="0" shrinkToFit="false"/>
      <protection locked="true" hidden="false"/>
    </xf>
    <xf numFmtId="166" fontId="46" fillId="3" borderId="0" xfId="0" applyFont="true" applyBorder="true" applyAlignment="true" applyProtection="false">
      <alignment horizontal="center" vertical="bottom" textRotation="0" wrapText="false" indent="0" shrinkToFit="false"/>
      <protection locked="true" hidden="false"/>
    </xf>
    <xf numFmtId="198" fontId="23" fillId="0" borderId="41" xfId="0" applyFont="true" applyBorder="true" applyAlignment="false" applyProtection="false">
      <alignment horizontal="general" vertical="bottom" textRotation="0" wrapText="false" indent="0" shrinkToFit="false"/>
      <protection locked="true" hidden="false"/>
    </xf>
    <xf numFmtId="187" fontId="37" fillId="0" borderId="40" xfId="0" applyFont="true" applyBorder="true" applyAlignment="false" applyProtection="false">
      <alignment horizontal="general" vertical="bottom" textRotation="0" wrapText="false" indent="0" shrinkToFit="false"/>
      <protection locked="true" hidden="false"/>
    </xf>
    <xf numFmtId="166" fontId="22" fillId="0" borderId="3" xfId="0" applyFont="true" applyBorder="true" applyAlignment="true" applyProtection="false">
      <alignment horizontal="center" vertical="bottom" textRotation="0" wrapText="false" indent="0" shrinkToFit="false"/>
      <protection locked="true" hidden="false"/>
    </xf>
    <xf numFmtId="166" fontId="22" fillId="0" borderId="15"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89" fontId="22" fillId="0" borderId="0" xfId="15" applyFont="true" applyBorder="true" applyAlignment="true" applyProtection="true">
      <alignment horizontal="general" vertical="bottom" textRotation="0" wrapText="false" indent="0" shrinkToFit="false"/>
      <protection locked="true" hidden="false"/>
    </xf>
    <xf numFmtId="164" fontId="22" fillId="5" borderId="5" xfId="0" applyFont="true" applyBorder="true" applyAlignment="false" applyProtection="false">
      <alignment horizontal="general" vertical="bottom" textRotation="0" wrapText="false" indent="0" shrinkToFit="false"/>
      <protection locked="true" hidden="false"/>
    </xf>
    <xf numFmtId="164" fontId="22" fillId="5" borderId="6" xfId="0" applyFont="true" applyBorder="true" applyAlignment="false" applyProtection="false">
      <alignment horizontal="general" vertical="bottom" textRotation="0" wrapText="false" indent="0" shrinkToFit="false"/>
      <protection locked="true" hidden="false"/>
    </xf>
    <xf numFmtId="208" fontId="35" fillId="5" borderId="9"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false" applyAlignment="true" applyProtection="false">
      <alignment horizontal="center" vertical="bottom" textRotation="0" wrapText="false" indent="0" shrinkToFit="false"/>
      <protection locked="true" hidden="false"/>
    </xf>
    <xf numFmtId="189" fontId="25" fillId="0" borderId="0" xfId="15" applyFont="true" applyBorder="true" applyAlignment="true" applyProtection="true">
      <alignment horizontal="center" vertical="bottom" textRotation="0" wrapText="false" indent="0" shrinkToFit="false"/>
      <protection locked="true" hidden="false"/>
    </xf>
    <xf numFmtId="164" fontId="22" fillId="5" borderId="10" xfId="0" applyFont="true" applyBorder="true" applyAlignment="false" applyProtection="false">
      <alignment horizontal="general" vertical="bottom" textRotation="0" wrapText="false" indent="0" shrinkToFit="false"/>
      <protection locked="true" hidden="false"/>
    </xf>
    <xf numFmtId="164" fontId="22" fillId="5" borderId="1" xfId="0" applyFont="true" applyBorder="true" applyAlignment="false" applyProtection="false">
      <alignment horizontal="general" vertical="bottom" textRotation="0" wrapText="false" indent="0" shrinkToFit="false"/>
      <protection locked="true" hidden="false"/>
    </xf>
    <xf numFmtId="208" fontId="22" fillId="5" borderId="11" xfId="0" applyFont="true" applyBorder="true" applyAlignment="false" applyProtection="false">
      <alignment horizontal="general" vertical="bottom" textRotation="0" wrapText="false" indent="0" shrinkToFit="false"/>
      <protection locked="true" hidden="false"/>
    </xf>
    <xf numFmtId="198" fontId="23" fillId="0" borderId="12" xfId="0" applyFont="true" applyBorder="true" applyAlignment="false" applyProtection="false">
      <alignment horizontal="general" vertical="bottom" textRotation="0" wrapText="false" indent="0" shrinkToFit="false"/>
      <protection locked="true" hidden="false"/>
    </xf>
    <xf numFmtId="164" fontId="22" fillId="0" borderId="12" xfId="0" applyFont="true" applyBorder="true" applyAlignment="true" applyProtection="false">
      <alignment horizontal="center"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89" fontId="25" fillId="0" borderId="12" xfId="15" applyFont="true" applyBorder="true" applyAlignment="true" applyProtection="true">
      <alignment horizontal="center" vertical="bottom" textRotation="0" wrapText="false" indent="0" shrinkToFit="false"/>
      <protection locked="true" hidden="false"/>
    </xf>
    <xf numFmtId="198" fontId="22" fillId="0" borderId="0" xfId="0" applyFont="true" applyBorder="false" applyAlignment="true" applyProtection="false">
      <alignment horizontal="center" vertical="bottom" textRotation="0" wrapText="false" indent="0" shrinkToFit="false"/>
      <protection locked="true" hidden="false"/>
    </xf>
    <xf numFmtId="208" fontId="32" fillId="0" borderId="0" xfId="0" applyFont="true" applyBorder="true" applyAlignment="false" applyProtection="false">
      <alignment horizontal="general" vertical="bottom" textRotation="0" wrapText="false" indent="0" shrinkToFit="false"/>
      <protection locked="true" hidden="false"/>
    </xf>
    <xf numFmtId="209" fontId="22" fillId="0" borderId="0" xfId="15" applyFont="true" applyBorder="true" applyAlignment="true" applyProtection="true">
      <alignment horizontal="general" vertical="bottom" textRotation="0" wrapText="false" indent="0" shrinkToFit="false"/>
      <protection locked="true" hidden="false"/>
    </xf>
    <xf numFmtId="164" fontId="25" fillId="0" borderId="0" xfId="0" applyFont="true" applyBorder="true" applyAlignment="false" applyProtection="false">
      <alignment horizontal="general" vertical="bottom" textRotation="0" wrapText="false" indent="0" shrinkToFit="false"/>
      <protection locked="true" hidden="false"/>
    </xf>
    <xf numFmtId="208" fontId="32" fillId="0" borderId="0" xfId="0" applyFont="true" applyBorder="false" applyAlignment="false" applyProtection="false">
      <alignment horizontal="general" vertical="bottom" textRotation="0" wrapText="false" indent="0" shrinkToFit="false"/>
      <protection locked="true" hidden="false"/>
    </xf>
    <xf numFmtId="210" fontId="22" fillId="0" borderId="0" xfId="0" applyFont="true" applyBorder="false" applyAlignment="false" applyProtection="false">
      <alignment horizontal="general" vertical="bottom" textRotation="0" wrapText="false" indent="0" shrinkToFit="false"/>
      <protection locked="true" hidden="false"/>
    </xf>
    <xf numFmtId="208" fontId="22" fillId="0" borderId="0" xfId="0" applyFont="true" applyBorder="false" applyAlignment="false" applyProtection="false">
      <alignment horizontal="general" vertical="bottom" textRotation="0" wrapText="false" indent="0" shrinkToFit="false"/>
      <protection locked="true" hidden="false"/>
    </xf>
    <xf numFmtId="211" fontId="22" fillId="0" borderId="0" xfId="15" applyFont="true" applyBorder="true" applyAlignment="true" applyProtection="true">
      <alignment horizontal="general" vertical="bottom" textRotation="0" wrapText="false" indent="0" shrinkToFit="false"/>
      <protection locked="true" hidden="false"/>
    </xf>
    <xf numFmtId="197" fontId="22" fillId="0" borderId="0" xfId="0" applyFont="true" applyBorder="false" applyAlignment="false" applyProtection="false">
      <alignment horizontal="general" vertical="bottom" textRotation="0" wrapText="false" indent="0" shrinkToFit="false"/>
      <protection locked="true" hidden="false"/>
    </xf>
    <xf numFmtId="209" fontId="22"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center" vertical="top" textRotation="0" wrapText="false" indent="0" shrinkToFit="false"/>
      <protection locked="true" hidden="false"/>
    </xf>
    <xf numFmtId="212" fontId="0" fillId="0" borderId="0" xfId="17" applyFont="true" applyBorder="true" applyAlignment="true" applyProtection="tru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63" fillId="0" borderId="0" xfId="0" applyFont="true" applyBorder="false" applyAlignment="true" applyProtection="false">
      <alignment horizontal="general" vertical="top" textRotation="0" wrapText="false" indent="0" shrinkToFit="false"/>
      <protection locked="true" hidden="false"/>
    </xf>
    <xf numFmtId="164" fontId="52" fillId="0" borderId="0" xfId="0" applyFont="true" applyBorder="false" applyAlignment="true" applyProtection="false">
      <alignment horizontal="general" vertical="top" textRotation="0" wrapText="false" indent="0" shrinkToFit="false"/>
      <protection locked="true" hidden="false"/>
    </xf>
    <xf numFmtId="198" fontId="52" fillId="0" borderId="0" xfId="0" applyFont="true" applyBorder="false" applyAlignment="true" applyProtection="false">
      <alignment horizontal="left" vertical="top" textRotation="0" wrapText="false" indent="0" shrinkToFit="false"/>
      <protection locked="true" hidden="false"/>
    </xf>
    <xf numFmtId="198" fontId="52" fillId="0" borderId="0" xfId="0" applyFont="true" applyBorder="false" applyAlignment="true" applyProtection="false">
      <alignment horizontal="center" vertical="top" textRotation="0" wrapText="false" indent="0" shrinkToFit="false"/>
      <protection locked="true" hidden="false"/>
    </xf>
    <xf numFmtId="164" fontId="8"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false" indent="0" shrinkToFit="false"/>
      <protection locked="true" hidden="false"/>
    </xf>
    <xf numFmtId="212" fontId="8" fillId="0" borderId="0" xfId="17" applyFont="true" applyBorder="true" applyAlignment="true" applyProtection="true">
      <alignment horizontal="center" vertical="top" textRotation="0" wrapText="false" indent="0" shrinkToFit="false"/>
      <protection locked="true" hidden="false"/>
    </xf>
    <xf numFmtId="164" fontId="8" fillId="0" borderId="0" xfId="0" applyFont="true" applyBorder="false" applyAlignment="true" applyProtection="false">
      <alignment horizontal="center" vertical="bottom" textRotation="0" wrapText="true" indent="0" shrinkToFit="false"/>
      <protection locked="true" hidden="false"/>
    </xf>
    <xf numFmtId="187" fontId="0" fillId="0" borderId="0" xfId="17" applyFont="true" applyBorder="true" applyAlignment="true" applyProtection="true">
      <alignment horizontal="general" vertical="top" textRotation="0" wrapText="false" indent="0" shrinkToFit="false"/>
      <protection locked="true" hidden="false"/>
    </xf>
    <xf numFmtId="164" fontId="64" fillId="0" borderId="0" xfId="0" applyFont="true" applyBorder="false" applyAlignment="true" applyProtection="false">
      <alignment horizontal="general" vertical="bottom" textRotation="0" wrapText="true" indent="0" shrinkToFit="false"/>
      <protection locked="true" hidden="false"/>
    </xf>
    <xf numFmtId="198" fontId="52" fillId="0" borderId="0" xfId="0" applyFont="tru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87" fontId="64" fillId="0" borderId="0" xfId="17" applyFont="true" applyBorder="true" applyAlignment="true" applyProtection="true">
      <alignment horizontal="general" vertical="top" textRotation="0" wrapText="false" indent="0" shrinkToFit="false"/>
      <protection locked="true" hidden="false"/>
    </xf>
    <xf numFmtId="164" fontId="6" fillId="0" borderId="3" xfId="0" applyFont="true" applyBorder="true" applyAlignment="true" applyProtection="false">
      <alignment horizontal="general" vertical="top" textRotation="0" wrapText="false" indent="0" shrinkToFit="false"/>
      <protection locked="true" hidden="false"/>
    </xf>
    <xf numFmtId="164" fontId="6" fillId="0" borderId="3" xfId="0" applyFont="true" applyBorder="true" applyAlignment="false" applyProtection="false">
      <alignment horizontal="general" vertical="bottom" textRotation="0" wrapText="false" indent="0" shrinkToFit="false"/>
      <protection locked="true" hidden="false"/>
    </xf>
    <xf numFmtId="187" fontId="6" fillId="0" borderId="3" xfId="17" applyFont="true" applyBorder="true" applyAlignment="true" applyProtection="true">
      <alignment horizontal="general" vertical="top" textRotation="0" wrapText="false" indent="0" shrinkToFit="false"/>
      <protection locked="true" hidden="false"/>
    </xf>
    <xf numFmtId="164" fontId="20" fillId="0" borderId="0" xfId="0" applyFont="true" applyBorder="false" applyAlignment="true" applyProtection="false">
      <alignment horizontal="general" vertical="top"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87" fontId="20" fillId="0" borderId="0" xfId="17" applyFont="true" applyBorder="true" applyAlignment="true" applyProtection="true">
      <alignment horizontal="general" vertical="top"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center" vertical="bottom" textRotation="0" wrapText="false" indent="0" shrinkToFit="false"/>
      <protection locked="true" hidden="false"/>
    </xf>
    <xf numFmtId="213" fontId="6"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71" fontId="5" fillId="0" borderId="0" xfId="0" applyFont="true" applyBorder="false" applyAlignment="true" applyProtection="false">
      <alignment horizontal="center" vertical="bottom" textRotation="0" wrapText="false" indent="0" shrinkToFit="false"/>
      <protection locked="true" hidden="false"/>
    </xf>
    <xf numFmtId="164" fontId="65"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71" fontId="10" fillId="11" borderId="16" xfId="0" applyFont="true" applyBorder="true" applyAlignment="true" applyProtection="false">
      <alignment horizontal="center" vertical="bottom" textRotation="0" wrapText="false" indent="0" shrinkToFit="false"/>
      <protection locked="true" hidden="false"/>
    </xf>
    <xf numFmtId="171" fontId="0" fillId="0" borderId="0" xfId="0" applyFont="false" applyBorder="false" applyAlignment="true" applyProtection="false">
      <alignment horizontal="center" vertical="bottom" textRotation="0" wrapText="false" indent="0" shrinkToFit="false"/>
      <protection locked="true" hidden="false"/>
    </xf>
    <xf numFmtId="166" fontId="0" fillId="0" borderId="0" xfId="0" applyFont="false" applyBorder="false" applyAlignment="true" applyProtection="false">
      <alignment horizontal="center" vertical="bottom" textRotation="0" wrapText="false" indent="0" shrinkToFit="false"/>
      <protection locked="true" hidden="false"/>
    </xf>
    <xf numFmtId="166" fontId="50" fillId="0" borderId="0" xfId="0" applyFont="true" applyBorder="false" applyAlignment="true" applyProtection="false">
      <alignment horizontal="center" vertical="bottom" textRotation="0" wrapText="false" indent="0" shrinkToFit="false"/>
      <protection locked="true" hidden="false"/>
    </xf>
    <xf numFmtId="171" fontId="65" fillId="11" borderId="59" xfId="0" applyFont="true" applyBorder="true" applyAlignment="true" applyProtection="false">
      <alignment horizontal="center" vertical="bottom" textRotation="0" wrapText="false" indent="0" shrinkToFit="false"/>
      <protection locked="true" hidden="false"/>
    </xf>
    <xf numFmtId="171" fontId="65" fillId="0" borderId="0" xfId="0" applyFont="true" applyBorder="false" applyAlignment="true" applyProtection="false">
      <alignment horizontal="center" vertical="bottom" textRotation="0" wrapText="false" indent="0" shrinkToFit="false"/>
      <protection locked="true" hidden="false"/>
    </xf>
    <xf numFmtId="171" fontId="65" fillId="0" borderId="0" xfId="0" applyFont="true" applyBorder="false" applyAlignment="false" applyProtection="false">
      <alignment horizontal="general" vertical="bottom" textRotation="0" wrapText="false" indent="0" shrinkToFit="false"/>
      <protection locked="true" hidden="false"/>
    </xf>
    <xf numFmtId="166" fontId="65" fillId="0" borderId="0" xfId="0" applyFont="true" applyBorder="false" applyAlignment="false" applyProtection="false">
      <alignment horizontal="general" vertical="bottom" textRotation="0" wrapText="false" indent="0" shrinkToFit="false"/>
      <protection locked="true" hidden="false"/>
    </xf>
    <xf numFmtId="171" fontId="65" fillId="11" borderId="17" xfId="0" applyFont="true" applyBorder="true" applyAlignment="true" applyProtection="false">
      <alignment horizontal="center" vertical="bottom" textRotation="0" wrapText="false" indent="0" shrinkToFit="false"/>
      <protection locked="true" hidden="false"/>
    </xf>
    <xf numFmtId="171" fontId="6" fillId="0" borderId="0" xfId="0" applyFont="true" applyBorder="false" applyAlignment="true" applyProtection="false">
      <alignment horizontal="center" vertical="bottom" textRotation="0" wrapText="false" indent="0" shrinkToFit="false"/>
      <protection locked="true" hidden="false"/>
    </xf>
    <xf numFmtId="171" fontId="0" fillId="0" borderId="59" xfId="0" applyFont="false" applyBorder="true" applyAlignment="false" applyProtection="false">
      <alignment horizontal="general" vertical="bottom" textRotation="0" wrapText="false" indent="0" shrinkToFit="false"/>
      <protection locked="true" hidden="false"/>
    </xf>
    <xf numFmtId="168" fontId="65" fillId="0" borderId="0" xfId="0" applyFont="true" applyBorder="false" applyAlignment="false" applyProtection="false">
      <alignment horizontal="general" vertical="bottom" textRotation="0" wrapText="false" indent="0" shrinkToFit="false"/>
      <protection locked="true" hidden="false"/>
    </xf>
    <xf numFmtId="171" fontId="0" fillId="0" borderId="60" xfId="0" applyFont="false" applyBorder="true" applyAlignment="false" applyProtection="false">
      <alignment horizontal="general" vertical="bottom" textRotation="0" wrapText="false" indent="0" shrinkToFit="false"/>
      <protection locked="true" hidden="false"/>
    </xf>
    <xf numFmtId="171" fontId="0" fillId="0" borderId="3" xfId="0" applyFont="false" applyBorder="true" applyAlignment="false" applyProtection="false">
      <alignment horizontal="general" vertical="bottom" textRotation="0" wrapText="false" indent="0" shrinkToFit="false"/>
      <protection locked="true" hidden="false"/>
    </xf>
    <xf numFmtId="171" fontId="0" fillId="0" borderId="1" xfId="0" applyFont="false" applyBorder="true" applyAlignment="false" applyProtection="false">
      <alignment horizontal="general" vertical="bottom" textRotation="0" wrapText="false" indent="0" shrinkToFit="false"/>
      <protection locked="true" hidden="false"/>
    </xf>
    <xf numFmtId="164" fontId="0" fillId="0" borderId="61" xfId="0" applyFont="false" applyBorder="true" applyAlignment="false" applyProtection="false">
      <alignment horizontal="general" vertical="bottom" textRotation="0" wrapText="false" indent="0" shrinkToFit="false"/>
      <protection locked="true" hidden="false"/>
    </xf>
    <xf numFmtId="198" fontId="0" fillId="0" borderId="3" xfId="0" applyFont="fals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71" fontId="0" fillId="0" borderId="14" xfId="0" applyFont="false" applyBorder="true" applyAlignment="false" applyProtection="false">
      <alignment horizontal="general" vertical="bottom" textRotation="0" wrapText="false" indent="0" shrinkToFit="false"/>
      <protection locked="true" hidden="false"/>
    </xf>
    <xf numFmtId="166" fontId="0" fillId="0" borderId="3" xfId="0" applyFont="false" applyBorder="true" applyAlignment="false" applyProtection="false">
      <alignment horizontal="general" vertical="bottom" textRotation="0" wrapText="false" indent="0" shrinkToFit="false"/>
      <protection locked="true" hidden="false"/>
    </xf>
    <xf numFmtId="166" fontId="50" fillId="0" borderId="3" xfId="0" applyFont="true" applyBorder="true" applyAlignment="true" applyProtection="false">
      <alignment horizontal="left" vertical="bottom" textRotation="0" wrapText="false" indent="0" shrinkToFit="false"/>
      <protection locked="true" hidden="false"/>
    </xf>
    <xf numFmtId="171" fontId="0" fillId="0" borderId="62" xfId="0" applyFont="false" applyBorder="true" applyAlignment="false" applyProtection="false">
      <alignment horizontal="general" vertical="bottom" textRotation="0" wrapText="false" indent="0" shrinkToFit="false"/>
      <protection locked="true" hidden="false"/>
    </xf>
    <xf numFmtId="171" fontId="0" fillId="0" borderId="15" xfId="0" applyFont="false" applyBorder="true" applyAlignment="false" applyProtection="false">
      <alignment horizontal="general" vertical="bottom" textRotation="0" wrapText="false" indent="0" shrinkToFit="false"/>
      <protection locked="true" hidden="false"/>
    </xf>
    <xf numFmtId="187" fontId="0" fillId="0" borderId="0" xfId="17" applyFont="true" applyBorder="true" applyAlignment="true" applyProtection="true">
      <alignment horizontal="general" vertical="bottom" textRotation="0" wrapText="false" indent="0" shrinkToFit="false"/>
      <protection locked="true" hidden="false"/>
    </xf>
    <xf numFmtId="198" fontId="65" fillId="0" borderId="0" xfId="0" applyFont="true" applyBorder="false" applyAlignment="false" applyProtection="false">
      <alignment horizontal="general" vertical="bottom" textRotation="0" wrapText="false" indent="0" shrinkToFit="false"/>
      <protection locked="true" hidden="false"/>
    </xf>
    <xf numFmtId="171" fontId="0" fillId="5" borderId="1" xfId="0" applyFont="false" applyBorder="true" applyAlignment="false" applyProtection="false">
      <alignment horizontal="general" vertical="bottom" textRotation="0" wrapText="false" indent="0" shrinkToFit="false"/>
      <protection locked="true" hidden="false"/>
    </xf>
    <xf numFmtId="164" fontId="0" fillId="0" borderId="63" xfId="0" applyFont="false" applyBorder="true" applyAlignment="false" applyProtection="false">
      <alignment horizontal="general" vertical="bottom" textRotation="0" wrapText="false" indent="0" shrinkToFit="false"/>
      <protection locked="true" hidden="false"/>
    </xf>
    <xf numFmtId="198" fontId="0" fillId="0" borderId="1" xfId="0" applyFont="false" applyBorder="true" applyAlignment="false" applyProtection="false">
      <alignment horizontal="general" vertical="bottom" textRotation="0" wrapText="false" indent="0" shrinkToFit="false"/>
      <protection locked="true" hidden="false"/>
    </xf>
    <xf numFmtId="166" fontId="0" fillId="0" borderId="1" xfId="0" applyFont="false" applyBorder="true" applyAlignment="false" applyProtection="false">
      <alignment horizontal="general" vertical="bottom" textRotation="0" wrapText="false" indent="0" shrinkToFit="false"/>
      <protection locked="true" hidden="false"/>
    </xf>
    <xf numFmtId="166" fontId="50" fillId="0" borderId="1" xfId="0" applyFont="true" applyBorder="true" applyAlignment="true" applyProtection="false">
      <alignment horizontal="left" vertical="bottom" textRotation="0" wrapText="false" indent="0" shrinkToFit="false"/>
      <protection locked="true" hidden="false"/>
    </xf>
    <xf numFmtId="171" fontId="0" fillId="0" borderId="38" xfId="0" applyFont="false" applyBorder="true" applyAlignment="false" applyProtection="false">
      <alignment horizontal="general" vertical="bottom" textRotation="0" wrapText="false" indent="0" shrinkToFit="false"/>
      <protection locked="true" hidden="false"/>
    </xf>
    <xf numFmtId="171" fontId="66" fillId="5" borderId="11" xfId="0" applyFont="true" applyBorder="true" applyAlignment="false" applyProtection="false">
      <alignment horizontal="general" vertical="bottom" textRotation="0" wrapText="false" indent="0" shrinkToFit="false"/>
      <protection locked="true" hidden="false"/>
    </xf>
    <xf numFmtId="171" fontId="0" fillId="0" borderId="1" xfId="0" applyFont="false" applyBorder="true" applyAlignment="false" applyProtection="false">
      <alignment horizontal="general" vertical="bottom" textRotation="0" wrapText="false" indent="0" shrinkToFit="false"/>
      <protection locked="true" hidden="false"/>
    </xf>
    <xf numFmtId="198" fontId="65"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71" fontId="0" fillId="3" borderId="60" xfId="0" applyFont="false" applyBorder="true" applyAlignment="false" applyProtection="false">
      <alignment horizontal="general" vertical="bottom" textRotation="0" wrapText="false" indent="0" shrinkToFit="false"/>
      <protection locked="true" hidden="false"/>
    </xf>
    <xf numFmtId="171" fontId="0" fillId="3" borderId="1" xfId="0" applyFont="false" applyBorder="true" applyAlignment="false" applyProtection="false">
      <alignment horizontal="general" vertical="bottom" textRotation="0" wrapText="false" indent="0" shrinkToFit="false"/>
      <protection locked="true" hidden="false"/>
    </xf>
    <xf numFmtId="164" fontId="0" fillId="3" borderId="63" xfId="0" applyFont="false" applyBorder="true" applyAlignment="false" applyProtection="false">
      <alignment horizontal="general" vertical="bottom" textRotation="0" wrapText="false" indent="0" shrinkToFit="false"/>
      <protection locked="true" hidden="false"/>
    </xf>
    <xf numFmtId="198" fontId="0" fillId="3" borderId="1" xfId="0" applyFont="false" applyBorder="true" applyAlignment="false" applyProtection="false">
      <alignment horizontal="general" vertical="bottom" textRotation="0" wrapText="false" indent="0" shrinkToFit="false"/>
      <protection locked="true" hidden="false"/>
    </xf>
    <xf numFmtId="164" fontId="0" fillId="3" borderId="1" xfId="0" applyFont="false" applyBorder="true" applyAlignment="false" applyProtection="false">
      <alignment horizontal="general" vertical="bottom" textRotation="0" wrapText="false" indent="0" shrinkToFit="false"/>
      <protection locked="true" hidden="false"/>
    </xf>
    <xf numFmtId="171" fontId="0" fillId="3" borderId="14" xfId="0" applyFont="false" applyBorder="true" applyAlignment="false" applyProtection="false">
      <alignment horizontal="general" vertical="bottom" textRotation="0" wrapText="false" indent="0" shrinkToFit="false"/>
      <protection locked="true" hidden="false"/>
    </xf>
    <xf numFmtId="166" fontId="0" fillId="3" borderId="1" xfId="0" applyFont="false" applyBorder="true" applyAlignment="false" applyProtection="false">
      <alignment horizontal="general" vertical="bottom" textRotation="0" wrapText="false" indent="0" shrinkToFit="false"/>
      <protection locked="true" hidden="false"/>
    </xf>
    <xf numFmtId="171" fontId="0" fillId="3" borderId="3" xfId="0" applyFont="false" applyBorder="true" applyAlignment="false" applyProtection="false">
      <alignment horizontal="general" vertical="bottom" textRotation="0" wrapText="false" indent="0" shrinkToFit="false"/>
      <protection locked="true" hidden="false"/>
    </xf>
    <xf numFmtId="166" fontId="50" fillId="3" borderId="1" xfId="0" applyFont="true" applyBorder="true" applyAlignment="true" applyProtection="false">
      <alignment horizontal="left" vertical="bottom" textRotation="0" wrapText="false" indent="0" shrinkToFit="false"/>
      <protection locked="true" hidden="false"/>
    </xf>
    <xf numFmtId="171" fontId="0" fillId="3" borderId="38"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71" fontId="66" fillId="3" borderId="11" xfId="0" applyFont="true" applyBorder="true" applyAlignment="false" applyProtection="false">
      <alignment horizontal="general" vertical="bottom" textRotation="0" wrapText="false" indent="0" shrinkToFit="false"/>
      <protection locked="true" hidden="false"/>
    </xf>
    <xf numFmtId="187" fontId="0" fillId="3" borderId="0" xfId="17" applyFont="true" applyBorder="true" applyAlignment="true" applyProtection="true">
      <alignment horizontal="general" vertical="bottom" textRotation="0" wrapText="false" indent="0" shrinkToFit="false"/>
      <protection locked="true" hidden="false"/>
    </xf>
    <xf numFmtId="187" fontId="65" fillId="0" borderId="0" xfId="17" applyFont="true" applyBorder="true" applyAlignment="true" applyProtection="true">
      <alignment horizontal="general" vertical="bottom" textRotation="0" wrapText="false" indent="0" shrinkToFit="false"/>
      <protection locked="true" hidden="false"/>
    </xf>
    <xf numFmtId="171" fontId="53" fillId="0" borderId="0" xfId="0" applyFont="true" applyBorder="false" applyAlignment="false" applyProtection="false">
      <alignment horizontal="general" vertical="bottom" textRotation="0" wrapText="false" indent="0" shrinkToFit="false"/>
      <protection locked="true" hidden="false"/>
    </xf>
    <xf numFmtId="171" fontId="65" fillId="0" borderId="3" xfId="0" applyFont="true" applyBorder="true" applyAlignment="false" applyProtection="false">
      <alignment horizontal="general" vertical="bottom" textRotation="0" wrapText="false" indent="0" shrinkToFit="false"/>
      <protection locked="true" hidden="false"/>
    </xf>
    <xf numFmtId="166" fontId="65" fillId="0" borderId="3" xfId="0" applyFont="true" applyBorder="true" applyAlignment="false" applyProtection="false">
      <alignment horizontal="general" vertical="bottom" textRotation="0" wrapText="false" indent="0" shrinkToFit="false"/>
      <protection locked="true" hidden="false"/>
    </xf>
    <xf numFmtId="164" fontId="65" fillId="0" borderId="3" xfId="0" applyFont="true" applyBorder="true" applyAlignment="false" applyProtection="false">
      <alignment horizontal="general" vertical="bottom" textRotation="0" wrapText="false" indent="0" shrinkToFit="false"/>
      <protection locked="true" hidden="false"/>
    </xf>
    <xf numFmtId="171" fontId="55" fillId="0" borderId="0" xfId="0" applyFont="true" applyBorder="false" applyAlignment="true" applyProtection="false">
      <alignment horizontal="center" vertical="bottom" textRotation="0" wrapText="false" indent="0" shrinkToFit="false"/>
      <protection locked="true" hidden="false"/>
    </xf>
    <xf numFmtId="171" fontId="54" fillId="0" borderId="0" xfId="0" applyFont="true" applyBorder="false" applyAlignment="true" applyProtection="false">
      <alignment horizontal="center" vertical="bottom" textRotation="0" wrapText="false" indent="0" shrinkToFit="false"/>
      <protection locked="true" hidden="false"/>
    </xf>
    <xf numFmtId="167" fontId="23" fillId="0" borderId="0" xfId="0" applyFont="true" applyBorder="false" applyAlignment="true" applyProtection="false">
      <alignment horizontal="left" vertical="bottom" textRotation="0" wrapText="false" indent="0" shrinkToFit="false"/>
      <protection locked="true" hidden="false"/>
    </xf>
    <xf numFmtId="198" fontId="23" fillId="0" borderId="0" xfId="0" applyFont="true" applyBorder="false" applyAlignment="true" applyProtection="false">
      <alignment horizontal="left" vertical="bottom" textRotation="0" wrapText="false" indent="0" shrinkToFit="false"/>
      <protection locked="true" hidden="false"/>
    </xf>
    <xf numFmtId="176" fontId="38" fillId="3" borderId="13" xfId="0" applyFont="true" applyBorder="true" applyAlignment="true" applyProtection="false">
      <alignment horizontal="center" vertical="bottom" textRotation="0" wrapText="false" indent="0" shrinkToFit="false"/>
      <protection locked="true" hidden="false"/>
    </xf>
    <xf numFmtId="165" fontId="22" fillId="0" borderId="0" xfId="22" applyFont="true" applyBorder="false" applyAlignment="false" applyProtection="false">
      <alignment horizontal="general" vertical="bottom" textRotation="0" wrapText="false" indent="0" shrinkToFit="false"/>
      <protection locked="true" hidden="false"/>
    </xf>
    <xf numFmtId="173" fontId="22" fillId="0" borderId="0" xfId="22" applyFont="true" applyBorder="false" applyAlignment="true" applyProtection="false">
      <alignment horizontal="center" vertical="bottom" textRotation="0" wrapText="false" indent="0" shrinkToFit="false"/>
      <protection locked="true" hidden="false"/>
    </xf>
    <xf numFmtId="171" fontId="22" fillId="0" borderId="0" xfId="22" applyFont="true" applyBorder="false" applyAlignment="false" applyProtection="false">
      <alignment horizontal="general" vertical="bottom" textRotation="0" wrapText="false" indent="0" shrinkToFit="false"/>
      <protection locked="true" hidden="false"/>
    </xf>
    <xf numFmtId="214" fontId="22" fillId="0" borderId="0" xfId="22" applyFont="true" applyBorder="false" applyAlignment="false" applyProtection="false">
      <alignment horizontal="general" vertical="bottom" textRotation="0" wrapText="false" indent="0" shrinkToFit="false"/>
      <protection locked="true" hidden="false"/>
    </xf>
    <xf numFmtId="165" fontId="36" fillId="0" borderId="0" xfId="22" applyFont="true" applyBorder="false" applyAlignment="false" applyProtection="false">
      <alignment horizontal="general" vertical="bottom" textRotation="0" wrapText="false" indent="0" shrinkToFit="false"/>
      <protection locked="true" hidden="false"/>
    </xf>
    <xf numFmtId="165" fontId="22" fillId="0" borderId="0" xfId="22" applyFont="true" applyBorder="false" applyAlignment="true" applyProtection="false">
      <alignment horizontal="general" vertical="bottom" textRotation="0" wrapText="false" indent="0" shrinkToFit="false"/>
      <protection locked="true" hidden="false"/>
    </xf>
    <xf numFmtId="165" fontId="22" fillId="0" borderId="0" xfId="22" applyFont="true" applyBorder="false" applyAlignment="true" applyProtection="false">
      <alignment horizontal="center" vertical="bottom" textRotation="0" wrapText="false" indent="0" shrinkToFit="false"/>
      <protection locked="true" hidden="false"/>
    </xf>
    <xf numFmtId="165" fontId="27" fillId="0" borderId="0" xfId="22" applyFont="true" applyBorder="false" applyAlignment="true" applyProtection="false">
      <alignment horizontal="center" vertical="bottom" textRotation="0" wrapText="false" indent="0" shrinkToFit="false"/>
      <protection locked="true" hidden="false"/>
    </xf>
    <xf numFmtId="165" fontId="23" fillId="0" borderId="0" xfId="22" applyFont="true" applyBorder="false" applyAlignment="true" applyProtection="false">
      <alignment horizontal="center" vertical="bottom" textRotation="0" wrapText="false" indent="0" shrinkToFit="false"/>
      <protection locked="true" hidden="false"/>
    </xf>
    <xf numFmtId="171" fontId="22" fillId="0" borderId="0" xfId="22" applyFont="true" applyBorder="false" applyAlignment="true" applyProtection="false">
      <alignment horizontal="center" vertical="bottom" textRotation="0" wrapText="false" indent="0" shrinkToFit="false"/>
      <protection locked="true" hidden="false"/>
    </xf>
    <xf numFmtId="214" fontId="22" fillId="0" borderId="0" xfId="22" applyFont="true" applyBorder="false" applyAlignment="true" applyProtection="false">
      <alignment horizontal="general" vertical="bottom" textRotation="0" wrapText="false" indent="0" shrinkToFit="false"/>
      <protection locked="true" hidden="false"/>
    </xf>
    <xf numFmtId="165" fontId="23" fillId="0" borderId="0" xfId="22" applyFont="true" applyBorder="false" applyAlignment="false" applyProtection="false">
      <alignment horizontal="general" vertical="bottom" textRotation="0" wrapText="false" indent="0" shrinkToFit="false"/>
      <protection locked="true" hidden="false"/>
    </xf>
    <xf numFmtId="175" fontId="34" fillId="0" borderId="0" xfId="22" applyFont="true" applyBorder="false" applyAlignment="true" applyProtection="false">
      <alignment horizontal="center" vertical="bottom" textRotation="0" wrapText="false" indent="0" shrinkToFit="false"/>
      <protection locked="true" hidden="false"/>
    </xf>
    <xf numFmtId="173" fontId="25" fillId="0" borderId="0" xfId="22" applyFont="true" applyBorder="false" applyAlignment="true" applyProtection="false">
      <alignment horizontal="center" vertical="bottom" textRotation="0" wrapText="false" indent="0" shrinkToFit="false"/>
      <protection locked="true" hidden="false"/>
    </xf>
    <xf numFmtId="171" fontId="22" fillId="0" borderId="0" xfId="22" applyFont="true" applyBorder="true" applyAlignment="true" applyProtection="false">
      <alignment horizontal="center" vertical="bottom" textRotation="0" wrapText="false" indent="0" shrinkToFit="false"/>
      <protection locked="true" hidden="false"/>
    </xf>
    <xf numFmtId="173" fontId="25" fillId="0" borderId="0" xfId="0" applyFont="true" applyBorder="false" applyAlignment="true" applyProtection="false">
      <alignment horizontal="center" vertical="bottom" textRotation="0" wrapText="false" indent="0" shrinkToFit="false"/>
      <protection locked="true" hidden="false"/>
    </xf>
    <xf numFmtId="171" fontId="22" fillId="0" borderId="0" xfId="22" applyFont="true" applyBorder="true" applyAlignment="false" applyProtection="false">
      <alignment horizontal="general" vertical="bottom" textRotation="0" wrapText="false" indent="0" shrinkToFit="false"/>
      <protection locked="true" hidden="false"/>
    </xf>
    <xf numFmtId="214" fontId="22" fillId="0" borderId="0" xfId="22" applyFont="true" applyBorder="false" applyAlignment="true" applyProtection="false">
      <alignment horizontal="center" vertical="bottom" textRotation="0" wrapText="false" indent="0" shrinkToFit="false"/>
      <protection locked="true" hidden="false"/>
    </xf>
    <xf numFmtId="165" fontId="22" fillId="0" borderId="1" xfId="22" applyFont="true" applyBorder="true" applyAlignment="true" applyProtection="false">
      <alignment horizontal="center" vertical="bottom" textRotation="0" wrapText="false" indent="0" shrinkToFit="false"/>
      <protection locked="true" hidden="false"/>
    </xf>
    <xf numFmtId="171" fontId="22" fillId="0" borderId="1" xfId="22" applyFont="true" applyBorder="true" applyAlignment="true" applyProtection="false">
      <alignment horizontal="center" vertical="bottom" textRotation="0" wrapText="false" indent="0" shrinkToFit="false"/>
      <protection locked="true" hidden="false"/>
    </xf>
    <xf numFmtId="214" fontId="22" fillId="0" borderId="1" xfId="22" applyFont="true" applyBorder="true" applyAlignment="true" applyProtection="false">
      <alignment horizontal="center" vertical="bottom" textRotation="0" wrapText="false" indent="0" shrinkToFit="false"/>
      <protection locked="true" hidden="false"/>
    </xf>
    <xf numFmtId="171" fontId="23" fillId="0" borderId="0" xfId="15" applyFont="true" applyBorder="true" applyAlignment="true" applyProtection="true">
      <alignment horizontal="left" vertical="bottom" textRotation="0" wrapText="false" indent="0" shrinkToFit="false"/>
      <protection locked="true" hidden="false"/>
    </xf>
    <xf numFmtId="212" fontId="22" fillId="0" borderId="0" xfId="17" applyFont="true" applyBorder="true" applyAlignment="true" applyProtection="true">
      <alignment horizontal="general" vertical="bottom" textRotation="0" wrapText="false" indent="0" shrinkToFit="false"/>
      <protection locked="true" hidden="false"/>
    </xf>
    <xf numFmtId="173" fontId="22" fillId="0" borderId="0" xfId="22" applyFont="true" applyBorder="false" applyAlignment="false" applyProtection="false">
      <alignment horizontal="general" vertical="bottom" textRotation="0" wrapText="false" indent="0" shrinkToFit="false"/>
      <protection locked="true" hidden="false"/>
    </xf>
    <xf numFmtId="173" fontId="4" fillId="0" borderId="0" xfId="22" applyFont="true" applyBorder="false" applyAlignment="true" applyProtection="false">
      <alignment horizontal="left" vertical="bottom" textRotation="0" wrapText="false" indent="0" shrinkToFit="false"/>
      <protection locked="true" hidden="false"/>
    </xf>
    <xf numFmtId="212" fontId="0" fillId="0" borderId="0" xfId="0" applyFont="false" applyBorder="false" applyAlignment="false" applyProtection="false">
      <alignment horizontal="general" vertical="bottom" textRotation="0" wrapText="false" indent="0" shrinkToFit="false"/>
      <protection locked="true" hidden="false"/>
    </xf>
    <xf numFmtId="194" fontId="22" fillId="0" borderId="0" xfId="17" applyFont="true" applyBorder="true" applyAlignment="true" applyProtection="true">
      <alignment horizontal="general" vertical="bottom" textRotation="0" wrapText="false" indent="0" shrinkToFit="false"/>
      <protection locked="true" hidden="false"/>
    </xf>
    <xf numFmtId="215" fontId="0" fillId="0" borderId="0" xfId="0" applyFont="false" applyBorder="false" applyAlignment="false" applyProtection="false">
      <alignment horizontal="general" vertical="bottom" textRotation="0" wrapText="false" indent="0" shrinkToFit="false"/>
      <protection locked="true" hidden="false"/>
    </xf>
    <xf numFmtId="165" fontId="22" fillId="0" borderId="29" xfId="22" applyFont="true" applyBorder="true" applyAlignment="false" applyProtection="false">
      <alignment horizontal="general" vertical="bottom" textRotation="0" wrapText="false" indent="0" shrinkToFit="false"/>
      <protection locked="true" hidden="false"/>
    </xf>
    <xf numFmtId="212" fontId="22" fillId="0" borderId="0" xfId="0" applyFont="true" applyBorder="false" applyAlignment="false" applyProtection="false">
      <alignment horizontal="general" vertical="bottom" textRotation="0" wrapText="false" indent="0" shrinkToFit="false"/>
      <protection locked="true" hidden="false"/>
    </xf>
    <xf numFmtId="165" fontId="22" fillId="0" borderId="23" xfId="22" applyFont="true" applyBorder="true" applyAlignment="false" applyProtection="false">
      <alignment horizontal="general" vertical="bottom" textRotation="0" wrapText="false" indent="0" shrinkToFit="false"/>
      <protection locked="true" hidden="false"/>
    </xf>
    <xf numFmtId="173" fontId="4" fillId="0" borderId="0" xfId="22" applyFont="true" applyBorder="false" applyAlignment="true" applyProtection="false">
      <alignment horizontal="center" vertical="bottom" textRotation="0" wrapText="false" indent="0" shrinkToFit="false"/>
      <protection locked="true" hidden="false"/>
    </xf>
    <xf numFmtId="164" fontId="0" fillId="0" borderId="23" xfId="0" applyFont="false" applyBorder="true" applyAlignment="false" applyProtection="false">
      <alignment horizontal="general" vertical="bottom" textRotation="0" wrapText="false" indent="0" shrinkToFit="false"/>
      <protection locked="true" hidden="false"/>
    </xf>
    <xf numFmtId="165" fontId="22" fillId="0" borderId="0" xfId="22" applyFont="true" applyBorder="false" applyAlignment="false" applyProtection="false">
      <alignment horizontal="general" vertical="bottom" textRotation="0" wrapText="false" indent="0" shrinkToFit="false"/>
      <protection locked="true" hidden="false"/>
    </xf>
    <xf numFmtId="165" fontId="22" fillId="0" borderId="24" xfId="22" applyFont="true" applyBorder="true" applyAlignment="false" applyProtection="false">
      <alignment horizontal="general" vertical="bottom" textRotation="0" wrapText="false" indent="0" shrinkToFit="false"/>
      <protection locked="true" hidden="false"/>
    </xf>
    <xf numFmtId="216" fontId="0" fillId="0" borderId="0" xfId="0" applyFont="false" applyBorder="false" applyAlignment="false" applyProtection="false">
      <alignment horizontal="general" vertical="bottom" textRotation="0" wrapText="false" indent="0" shrinkToFit="false"/>
      <protection locked="true" hidden="false"/>
    </xf>
    <xf numFmtId="212" fontId="22" fillId="3" borderId="0" xfId="17" applyFont="true" applyBorder="true" applyAlignment="true" applyProtection="true">
      <alignment horizontal="general" vertical="bottom" textRotation="0" wrapText="false" indent="0" shrinkToFit="false"/>
      <protection locked="true" hidden="false"/>
    </xf>
    <xf numFmtId="165" fontId="29" fillId="0" borderId="0" xfId="22" applyFont="true" applyBorder="false" applyAlignment="false" applyProtection="false">
      <alignment horizontal="general" vertical="bottom" textRotation="0" wrapText="false" indent="0" shrinkToFit="false"/>
      <protection locked="true" hidden="false"/>
    </xf>
    <xf numFmtId="165" fontId="23" fillId="11" borderId="0" xfId="22" applyFont="true" applyBorder="false" applyAlignment="true" applyProtection="false">
      <alignment horizontal="left" vertical="bottom" textRotation="0" wrapText="false" indent="0" shrinkToFit="false"/>
      <protection locked="true" hidden="false"/>
    </xf>
    <xf numFmtId="165" fontId="22" fillId="11" borderId="0" xfId="22" applyFont="true" applyBorder="false" applyAlignment="true" applyProtection="false">
      <alignment horizontal="left" vertical="bottom" textRotation="0" wrapText="false" indent="0" shrinkToFit="false"/>
      <protection locked="true" hidden="false"/>
    </xf>
    <xf numFmtId="173" fontId="22" fillId="11" borderId="0" xfId="22" applyFont="true" applyBorder="false" applyAlignment="true" applyProtection="false">
      <alignment horizontal="center" vertical="bottom" textRotation="0" wrapText="false" indent="0" shrinkToFit="false"/>
      <protection locked="true" hidden="false"/>
    </xf>
    <xf numFmtId="165" fontId="22" fillId="11" borderId="0" xfId="22" applyFont="true" applyBorder="false" applyAlignment="false" applyProtection="false">
      <alignment horizontal="general" vertical="bottom" textRotation="0" wrapText="false" indent="0" shrinkToFit="false"/>
      <protection locked="true" hidden="false"/>
    </xf>
    <xf numFmtId="166" fontId="22" fillId="11" borderId="0" xfId="22" applyFont="true" applyBorder="false" applyAlignment="false" applyProtection="true">
      <alignment horizontal="general" vertical="bottom" textRotation="0" wrapText="false" indent="0" shrinkToFit="false"/>
      <protection locked="true" hidden="false"/>
    </xf>
    <xf numFmtId="171" fontId="22" fillId="11" borderId="3" xfId="15" applyFont="true" applyBorder="true" applyAlignment="true" applyProtection="true">
      <alignment horizontal="general" vertical="bottom" textRotation="0" wrapText="false" indent="0" shrinkToFit="false"/>
      <protection locked="true" hidden="false"/>
    </xf>
    <xf numFmtId="212" fontId="22" fillId="11" borderId="3" xfId="15" applyFont="true" applyBorder="true" applyAlignment="true" applyProtection="true">
      <alignment horizontal="general" vertical="bottom" textRotation="0" wrapText="false" indent="0" shrinkToFit="false"/>
      <protection locked="true" hidden="false"/>
    </xf>
    <xf numFmtId="212" fontId="22" fillId="0" borderId="3" xfId="17" applyFont="true" applyBorder="true" applyAlignment="true" applyProtection="true">
      <alignment horizontal="general" vertical="bottom" textRotation="0" wrapText="false" indent="0" shrinkToFit="false"/>
      <protection locked="true" hidden="false"/>
    </xf>
    <xf numFmtId="166" fontId="22" fillId="0" borderId="0" xfId="22" applyFont="true" applyBorder="false" applyAlignment="false" applyProtection="true">
      <alignment horizontal="general" vertical="bottom" textRotation="0" wrapText="false" indent="0" shrinkToFit="false"/>
      <protection locked="true" hidden="false"/>
    </xf>
    <xf numFmtId="214" fontId="22" fillId="0" borderId="0" xfId="22" applyFont="true" applyBorder="false" applyAlignment="false" applyProtection="true">
      <alignment horizontal="general" vertical="bottom" textRotation="0" wrapText="false" indent="0" shrinkToFit="false"/>
      <protection locked="true" hidden="false"/>
    </xf>
    <xf numFmtId="165" fontId="23" fillId="0" borderId="0" xfId="22" applyFont="true" applyBorder="false" applyAlignment="true" applyProtection="false">
      <alignment horizontal="left" vertical="bottom" textRotation="0" wrapText="false" indent="0" shrinkToFit="false"/>
      <protection locked="true" hidden="false"/>
    </xf>
    <xf numFmtId="171" fontId="22" fillId="0" borderId="0" xfId="22" applyFont="true" applyBorder="false" applyAlignment="false" applyProtection="true">
      <alignment horizontal="general" vertical="bottom" textRotation="0" wrapText="false" indent="0" shrinkToFit="false"/>
      <protection locked="true" hidden="false"/>
    </xf>
    <xf numFmtId="217" fontId="0" fillId="0" borderId="0" xfId="0" applyFont="false" applyBorder="false" applyAlignment="false" applyProtection="false">
      <alignment horizontal="general" vertical="bottom" textRotation="0" wrapText="false" indent="0" shrinkToFit="false"/>
      <protection locked="true" hidden="false"/>
    </xf>
    <xf numFmtId="165" fontId="22" fillId="0" borderId="0" xfId="22" applyFont="true" applyBorder="false" applyAlignment="true" applyProtection="false">
      <alignment horizontal="left" vertical="bottom" textRotation="0" wrapText="false" indent="0" shrinkToFit="false"/>
      <protection locked="true" hidden="false"/>
    </xf>
    <xf numFmtId="171" fontId="22" fillId="0" borderId="0" xfId="22" applyFont="true" applyBorder="false" applyAlignment="true" applyProtection="true">
      <alignment horizontal="right" vertical="bottom" textRotation="0" wrapText="false" indent="0" shrinkToFit="false"/>
      <protection locked="true" hidden="false"/>
    </xf>
    <xf numFmtId="214" fontId="22" fillId="0" borderId="0" xfId="22" applyFont="true" applyBorder="true" applyAlignment="false" applyProtection="true">
      <alignment horizontal="general" vertical="bottom" textRotation="0" wrapText="false" indent="0" shrinkToFit="false"/>
      <protection locked="true" hidden="false"/>
    </xf>
    <xf numFmtId="166" fontId="22" fillId="0" borderId="0" xfId="22" applyFont="true" applyBorder="false" applyAlignment="false" applyProtection="false">
      <alignment horizontal="general" vertical="bottom" textRotation="0" wrapText="false" indent="0" shrinkToFit="false"/>
      <protection locked="true" hidden="false"/>
    </xf>
    <xf numFmtId="199" fontId="22" fillId="0" borderId="0" xfId="22" applyFont="true" applyBorder="true" applyAlignment="false" applyProtection="false">
      <alignment horizontal="general" vertical="bottom" textRotation="0" wrapText="false" indent="0" shrinkToFit="false"/>
      <protection locked="true" hidden="false"/>
    </xf>
    <xf numFmtId="176" fontId="22" fillId="0" borderId="0" xfId="22" applyFont="true" applyBorder="false" applyAlignment="true" applyProtection="false">
      <alignment horizontal="center" vertical="bottom" textRotation="0" wrapText="false" indent="0" shrinkToFit="false"/>
      <protection locked="true" hidden="false"/>
    </xf>
    <xf numFmtId="212" fontId="22" fillId="0" borderId="0" xfId="22" applyFont="true" applyBorder="true" applyAlignment="false" applyProtection="true">
      <alignment horizontal="general" vertical="bottom" textRotation="0" wrapText="false" indent="0" shrinkToFit="false"/>
      <protection locked="true" hidden="false"/>
    </xf>
    <xf numFmtId="166" fontId="22" fillId="0" borderId="0" xfId="22" applyFont="true" applyBorder="true" applyAlignment="false" applyProtection="false">
      <alignment horizontal="general" vertical="bottom" textRotation="0" wrapText="false" indent="0" shrinkToFit="false"/>
      <protection locked="true" hidden="false"/>
    </xf>
    <xf numFmtId="197" fontId="36" fillId="0" borderId="0" xfId="0" applyFont="true" applyBorder="false" applyAlignment="true" applyProtection="false">
      <alignment horizontal="left" vertical="bottom" textRotation="0" wrapText="false" indent="0" shrinkToFit="false"/>
      <protection locked="true" hidden="false"/>
    </xf>
    <xf numFmtId="198" fontId="38" fillId="0" borderId="0" xfId="0" applyFont="true" applyBorder="false" applyAlignment="true" applyProtection="false">
      <alignment horizontal="left" vertical="bottom" textRotation="0" wrapText="false" indent="0" shrinkToFit="false"/>
      <protection locked="true" hidden="false"/>
    </xf>
    <xf numFmtId="218" fontId="0" fillId="0" borderId="0" xfId="0" applyFont="false" applyBorder="false" applyAlignment="false" applyProtection="tru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Comma_Report" xfId="21"/>
    <cellStyle name="Normal_0694ORG" xfId="22"/>
    <cellStyle name="*unknown*" xfId="20" builtinId="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8080FF"/>
      <rgbColor rgb="FF993366"/>
      <rgbColor rgb="FFFFFFC0"/>
      <rgbColor rgb="FFCCFFFF"/>
      <rgbColor rgb="FF660066"/>
      <rgbColor rgb="FFFF8080"/>
      <rgbColor rgb="FF0066CC"/>
      <rgbColor rgb="FFDFDFD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CC"/>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externalLink" Target="externalLinks/externalLink1.xml"/><Relationship Id="rId28"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808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val>
            <c:numRef>
              <c:f>Report!$Y$107:$Y$120</c:f>
              <c:numCache>
                <c:formatCode>\$#,##0_);"($"#,##0\)</c:formatCode>
                <c:ptCount val="14"/>
                <c:pt idx="0">
                  <c:v>234617</c:v>
                </c:pt>
                <c:pt idx="1">
                  <c:v>-1959254</c:v>
                </c:pt>
                <c:pt idx="2">
                  <c:v>1926732</c:v>
                </c:pt>
                <c:pt idx="3">
                  <c:v>0</c:v>
                </c:pt>
                <c:pt idx="4">
                  <c:v>32136</c:v>
                </c:pt>
                <c:pt idx="5">
                  <c:v>0</c:v>
                </c:pt>
                <c:pt idx="6">
                  <c:v>0</c:v>
                </c:pt>
                <c:pt idx="7">
                  <c:v>0</c:v>
                </c:pt>
                <c:pt idx="8">
                  <c:v>0</c:v>
                </c:pt>
                <c:pt idx="9">
                  <c:v>0</c:v>
                </c:pt>
                <c:pt idx="10">
                  <c:v>234231</c:v>
                </c:pt>
                <c:pt idx="11">
                  <c:v>0</c:v>
                </c:pt>
                <c:pt idx="12">
                  <c:v>-1426</c:v>
                </c:pt>
                <c:pt idx="13">
                  <c:v>232805</c:v>
                </c:pt>
              </c:numCache>
            </c:numRef>
          </c:val>
        </c:ser>
        <c:gapWidth val="150"/>
        <c:overlap val="0"/>
        <c:axId val="11418731"/>
        <c:axId val="65754916"/>
      </c:barChart>
      <c:catAx>
        <c:axId val="11418731"/>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65754916"/>
        <c:crossesAt val="0"/>
        <c:auto val="1"/>
        <c:lblAlgn val="ctr"/>
        <c:lblOffset val="100"/>
        <c:noMultiLvlLbl val="0"/>
      </c:catAx>
      <c:valAx>
        <c:axId val="65754916"/>
        <c:scaling>
          <c:orientation val="minMax"/>
        </c:scaling>
        <c:delete val="0"/>
        <c:axPos val="l"/>
        <c:majorGridlines>
          <c:spPr>
            <a:ln w="0">
              <a:solidFill>
                <a:srgbClr val="000000"/>
              </a:solidFill>
            </a:ln>
          </c:spPr>
        </c:majorGridlines>
        <c:numFmt formatCode="\$#,##0_);&quot;($&quot;#,##0\)"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11418731"/>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trlProps/ctrlProps10.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_rels/drawing25.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standalone="yes"?>
<xdr:wsDr xmlns:xdr="http://schemas.openxmlformats.org/drawingml/2006/spreadsheetDrawing" xmlns:a="http://schemas.openxmlformats.org/drawingml/2006/main" xmlns:r="http://schemas.openxmlformats.org/officeDocument/2006/relationships"><mc:AlternateContent xmlns:mc="http://schemas.openxmlformats.org/markup-compatibility/2006"><mc:Choice xmlns:a14="http://schemas.microsoft.com/office/drawing/2010/main" Requires="a14"><xdr:twoCellAnchor editAs="oneCell"><xdr:from><xdr:col>1</xdr:col><xdr:colOff>341640</xdr:colOff><xdr:row>16</xdr:row><xdr:rowOff>104760</xdr:rowOff></xdr:from><xdr:to><xdr:col>3</xdr:col><xdr:colOff>151560</xdr:colOff><xdr:row>17</xdr:row><xdr:rowOff>19440</xdr:rowOff></xdr:to><xdr:sp><xdr:nvSpPr><xdr:cNvPr id="1001" name="Button 1" descr="Clear Daily P&amp;L" hidden="0"/><xdr:cNvSpPr/></xdr:nvSpPr><xdr:spPr><a:xfrm><a:off x="0" y="0"/><a:ext cx="0" cy="0"/></a:xfrm><a:prstGeom prst="rect"><a:avLst/></a:prstGeom></xdr:spPr><xdr:txBody><a:bodyPr anchor="ctr"><a:noAutofit/></a:bodyPr><a:p><a:r><a:t>Clear Daily P&L</a:t></a:r></a:p></xdr:txBody></xdr:sp><xdr:clientData/></xdr:twoCellAnchor></mc:Choice></mc:AlternateContent><mc:AlternateContent xmlns:mc="http://schemas.openxmlformats.org/markup-compatibility/2006"><mc:Choice xmlns:a14="http://schemas.microsoft.com/office/drawing/2010/main" Requires="a14"><xdr:twoCellAnchor editAs="oneCell"><xdr:from><xdr:col>1</xdr:col><xdr:colOff>322200</xdr:colOff><xdr:row>18</xdr:row><xdr:rowOff>95040</xdr:rowOff></xdr:from><xdr:to><xdr:col>3</xdr:col><xdr:colOff>513720</xdr:colOff><xdr:row>19</xdr:row><xdr:rowOff>190080</xdr:rowOff></xdr:to><xdr:sp><xdr:nvSpPr><xdr:cNvPr id="1002" name="Button 5" descr="Copy Prior Day &amp; Clear New Deals" hidden="0"/><xdr:cNvSpPr/></xdr:nvSpPr><xdr:spPr><a:xfrm><a:off x="0" y="0"/><a:ext cx="0" cy="0"/></a:xfrm><a:prstGeom prst="rect"><a:avLst/></a:prstGeom></xdr:spPr><xdr:txBody><a:bodyPr anchor="ctr"><a:noAutofit/></a:bodyPr><a:p><a:r><a:t>Copy Prior Day & Clear New Deals</a:t></a:r></a:p></xdr:txBody></xdr:sp><xdr:clientData/></xdr:twoCellAnchor></mc:Choice></mc:AlternateContent></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161640</xdr:rowOff>
    </xdr:to>
    <xdr:sp>
      <xdr:nvSpPr>
        <xdr:cNvPr id="0" name="Rectangle 1"/>
        <xdr:cNvSpPr/>
      </xdr:nvSpPr>
      <xdr:spPr>
        <a:xfrm>
          <a:off x="36012600" y="6705720"/>
          <a:ext cx="2205360" cy="16164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mc:AlternateContent xmlns:mc="http://schemas.openxmlformats.org/markup-compatibility/2006">
    <mc:Choice xmlns:a14="http://schemas.microsoft.com/office/drawing/2010/main" Requires="a14">
      <xdr:twoCellAnchor editAs="oneCell">
        <xdr:from>
          <xdr:col>7</xdr:col>
          <xdr:colOff>50040</xdr:colOff>
          <xdr:row>0</xdr:row>
          <xdr:rowOff>105120</xdr:rowOff>
        </xdr:from>
        <xdr:to>
          <xdr:col>9</xdr:col>
          <xdr:colOff>816480</xdr:colOff>
          <xdr:row>7</xdr:row>
          <xdr:rowOff>37800</xdr:rowOff>
        </xdr:to>
        <xdr:sp>
          <xdr:nvSpPr>
            <xdr:cNvPr id="1001" name="Button 4" descr="ROLL BALANCE&#10;!!Make sure new month is saved first!!&#10;Manually update Schedule A with Rho/Drift and Zero Out OTC/Exchange DailyValues" hidden="0"/>
            <xdr:cNvSpPr/>
          </xdr:nvSpPr>
          <xdr:spPr>
            <a:xfrm>
              <a:off x="0" y="0"/>
              <a:ext cx="0" cy="0"/>
            </a:xfrm>
            <a:prstGeom prst="rect">
              <a:avLst/>
            </a:prstGeom>
          </xdr:spPr>
          <xdr:txBody>
            <a:bodyPr anchor="ctr">
              <a:noAutofit/>
            </a:bodyPr>
            <a:p>
              <a:r>
                <a:t>ROLL BALANCE
!!Make sure new month is saved first!!
Manually update Schedule A with Rho/Drift and Zero Out OTC/Exchange DailyValues</a:t>
              </a:r>
            </a:p>
          </xdr:txBody>
        </xdr:sp>
        <xdr:clientData/>
      </xdr:twoCellAnchor>
    </mc:Choice>
  </mc:AlternateContent>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162000</xdr:rowOff>
    </xdr:to>
    <xdr:sp>
      <xdr:nvSpPr>
        <xdr:cNvPr id="1" name="Rectangle 1"/>
        <xdr:cNvSpPr/>
      </xdr:nvSpPr>
      <xdr:spPr>
        <a:xfrm>
          <a:off x="35388720" y="66351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161640</xdr:rowOff>
    </xdr:to>
    <xdr:sp>
      <xdr:nvSpPr>
        <xdr:cNvPr id="2" name="Rectangle 1"/>
        <xdr:cNvSpPr/>
      </xdr:nvSpPr>
      <xdr:spPr>
        <a:xfrm>
          <a:off x="36012600" y="6705720"/>
          <a:ext cx="2205360" cy="16164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mc:AlternateContent xmlns:mc="http://schemas.openxmlformats.org/markup-compatibility/2006">
    <mc:Choice xmlns:a14="http://schemas.microsoft.com/office/drawing/2010/main" Requires="a14">
      <xdr:twoCellAnchor editAs="oneCell">
        <xdr:from>
          <xdr:col>7</xdr:col>
          <xdr:colOff>50040</xdr:colOff>
          <xdr:row>0</xdr:row>
          <xdr:rowOff>105120</xdr:rowOff>
        </xdr:from>
        <xdr:to>
          <xdr:col>9</xdr:col>
          <xdr:colOff>816480</xdr:colOff>
          <xdr:row>7</xdr:row>
          <xdr:rowOff>37800</xdr:rowOff>
        </xdr:to>
        <xdr:sp>
          <xdr:nvSpPr>
            <xdr:cNvPr id="1001" name="Button 2" descr="ROLL BALANCE&#10;!!Make sure new month is saved first!!&#10;Manually update Schedule A with Rho/Drift and Zero Out OTC/Exchange DailyValues" hidden="0"/>
            <xdr:cNvSpPr/>
          </xdr:nvSpPr>
          <xdr:spPr>
            <a:xfrm>
              <a:off x="0" y="0"/>
              <a:ext cx="0" cy="0"/>
            </a:xfrm>
            <a:prstGeom prst="rect">
              <a:avLst/>
            </a:prstGeom>
          </xdr:spPr>
          <xdr:txBody>
            <a:bodyPr anchor="ctr">
              <a:noAutofit/>
            </a:bodyPr>
            <a:p>
              <a:r>
                <a:t>ROLL BALANCE
!!Make sure new month is saved first!!
Manually update Schedule A with Rho/Drift and Zero Out OTC/Exchange DailyValues</a:t>
              </a:r>
            </a:p>
          </xdr:txBody>
        </xdr:sp>
        <xdr:clientData/>
      </xdr:twoCellAnchor>
    </mc:Choice>
  </mc:AlternateContent>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162000</xdr:rowOff>
    </xdr:to>
    <xdr:sp>
      <xdr:nvSpPr>
        <xdr:cNvPr id="3" name="Rectangle 1"/>
        <xdr:cNvSpPr/>
      </xdr:nvSpPr>
      <xdr:spPr>
        <a:xfrm>
          <a:off x="35388720" y="66351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720</xdr:colOff>
      <xdr:row>41</xdr:row>
      <xdr:rowOff>162000</xdr:rowOff>
    </xdr:to>
    <xdr:sp>
      <xdr:nvSpPr>
        <xdr:cNvPr id="4" name="Rectangle 1"/>
        <xdr:cNvSpPr/>
      </xdr:nvSpPr>
      <xdr:spPr>
        <a:xfrm>
          <a:off x="36043200" y="66387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162000</xdr:rowOff>
    </xdr:to>
    <xdr:sp>
      <xdr:nvSpPr>
        <xdr:cNvPr id="5" name="Rectangle 1"/>
        <xdr:cNvSpPr/>
      </xdr:nvSpPr>
      <xdr:spPr>
        <a:xfrm>
          <a:off x="35650800" y="66387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162000</xdr:rowOff>
    </xdr:to>
    <xdr:sp>
      <xdr:nvSpPr>
        <xdr:cNvPr id="6" name="Rectangle 1"/>
        <xdr:cNvSpPr/>
      </xdr:nvSpPr>
      <xdr:spPr>
        <a:xfrm>
          <a:off x="36275040" y="66387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720</xdr:colOff>
      <xdr:row>41</xdr:row>
      <xdr:rowOff>162000</xdr:rowOff>
    </xdr:to>
    <xdr:sp>
      <xdr:nvSpPr>
        <xdr:cNvPr id="7" name="Rectangle 1"/>
        <xdr:cNvSpPr/>
      </xdr:nvSpPr>
      <xdr:spPr>
        <a:xfrm>
          <a:off x="35812080" y="66387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162000</xdr:rowOff>
    </xdr:to>
    <xdr:sp>
      <xdr:nvSpPr>
        <xdr:cNvPr id="8" name="Rectangle 1"/>
        <xdr:cNvSpPr/>
      </xdr:nvSpPr>
      <xdr:spPr>
        <a:xfrm>
          <a:off x="35650800" y="66387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162000</xdr:rowOff>
    </xdr:to>
    <xdr:sp>
      <xdr:nvSpPr>
        <xdr:cNvPr id="9" name="Rectangle 1"/>
        <xdr:cNvSpPr/>
      </xdr:nvSpPr>
      <xdr:spPr>
        <a:xfrm>
          <a:off x="36275040" y="66387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162000</xdr:rowOff>
    </xdr:to>
    <xdr:sp>
      <xdr:nvSpPr>
        <xdr:cNvPr id="10" name="Rectangle 1"/>
        <xdr:cNvSpPr/>
      </xdr:nvSpPr>
      <xdr:spPr>
        <a:xfrm>
          <a:off x="35388720" y="66387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twoCellAnchor editAs="oneCell">
    <xdr:from>
      <xdr:col>34</xdr:col>
      <xdr:colOff>0</xdr:colOff>
      <xdr:row>41</xdr:row>
      <xdr:rowOff>0</xdr:rowOff>
    </xdr:from>
    <xdr:to>
      <xdr:col>36</xdr:col>
      <xdr:colOff>1080</xdr:colOff>
      <xdr:row>41</xdr:row>
      <xdr:rowOff>162000</xdr:rowOff>
    </xdr:to>
    <xdr:sp>
      <xdr:nvSpPr>
        <xdr:cNvPr id="11" name="Rectangle 2"/>
        <xdr:cNvSpPr/>
      </xdr:nvSpPr>
      <xdr:spPr>
        <a:xfrm>
          <a:off x="35388720" y="6638760"/>
          <a:ext cx="220500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editAs="oneCell">
    <xdr:from>
      <xdr:col>34</xdr:col>
      <xdr:colOff>0</xdr:colOff>
      <xdr:row>41</xdr:row>
      <xdr:rowOff>0</xdr:rowOff>
    </xdr:from>
    <xdr:to>
      <xdr:col>36</xdr:col>
      <xdr:colOff>1080</xdr:colOff>
      <xdr:row>41</xdr:row>
      <xdr:rowOff>162000</xdr:rowOff>
    </xdr:to>
    <xdr:sp>
      <xdr:nvSpPr>
        <xdr:cNvPr id="12" name="Rectangle 1"/>
        <xdr:cNvSpPr/>
      </xdr:nvSpPr>
      <xdr:spPr>
        <a:xfrm>
          <a:off x="35740800" y="6638760"/>
          <a:ext cx="2205360" cy="162000"/>
        </a:xfrm>
        <a:prstGeom prst="rect">
          <a:avLst/>
        </a:prstGeom>
        <a:noFill/>
        <a:ln w="9360">
          <a:solidFill>
            <a:srgbClr val="000000"/>
          </a:solidFill>
          <a:miter/>
        </a:ln>
        <a:effectLst>
          <a:outerShdw dist="17819" dir="2700000" blurRad="0" rotWithShape="0">
            <a:srgbClr val="000000"/>
          </a:outerShdw>
        </a:effectLst>
      </xdr:spPr>
      <xdr:style>
        <a:lnRef idx="0"/>
        <a:fillRef idx="0"/>
        <a:effectRef idx="0"/>
        <a:fontRef idx="minor"/>
      </xdr:style>
    </xdr: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3"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118</xdr:col>
          <xdr:colOff>281520</xdr:colOff>
          <xdr:row>1</xdr:row>
          <xdr:rowOff>47520</xdr:rowOff>
        </xdr:from>
        <xdr:to>
          <xdr:col>119</xdr:col>
          <xdr:colOff>91080</xdr:colOff>
          <xdr:row>2</xdr:row>
          <xdr:rowOff>66600</xdr:rowOff>
        </xdr:to>
        <xdr:sp>
          <xdr:nvSpPr>
            <xdr:cNvPr id="1001" name="Button 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8</xdr:col>
          <xdr:colOff>1005840</xdr:colOff>
          <xdr:row>0</xdr:row>
          <xdr:rowOff>0</xdr:rowOff>
        </xdr:from>
        <xdr:to>
          <xdr:col>9</xdr:col>
          <xdr:colOff>432720</xdr:colOff>
          <xdr:row>1</xdr:row>
          <xdr:rowOff>66960</xdr:rowOff>
        </xdr:to>
        <xdr:sp>
          <xdr:nvSpPr>
            <xdr:cNvPr id="1002" name="Button 4" descr="Button 4" hidden="0"/>
            <xdr:cNvSpPr/>
          </xdr:nvSpPr>
          <xdr:spPr>
            <a:xfrm>
              <a:off x="0" y="0"/>
              <a:ext cx="0" cy="0"/>
            </a:xfrm>
            <a:prstGeom prst="rect">
              <a:avLst/>
            </a:prstGeom>
          </xdr:spPr>
          <xdr:txBody>
            <a:bodyPr anchor="ctr">
              <a:noAutofit/>
            </a:bodyPr>
            <a:p>
              <a:r>
                <a:t>Button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160920</xdr:colOff>
          <xdr:row>0</xdr:row>
          <xdr:rowOff>75960</xdr:rowOff>
        </xdr:from>
        <xdr:to>
          <xdr:col>5</xdr:col>
          <xdr:colOff>30600</xdr:colOff>
          <xdr:row>3</xdr:row>
          <xdr:rowOff>38160</xdr:rowOff>
        </xdr:to>
        <xdr:sp>
          <xdr:nvSpPr>
            <xdr:cNvPr id="1003" name="Button 5" descr="Print Reports" hidden="0"/>
            <xdr:cNvSpPr/>
          </xdr:nvSpPr>
          <xdr:spPr>
            <a:xfrm>
              <a:off x="0" y="0"/>
              <a:ext cx="0" cy="0"/>
            </a:xfrm>
            <a:prstGeom prst="rect">
              <a:avLst/>
            </a:prstGeom>
          </xdr:spPr>
          <xdr:txBody>
            <a:bodyPr anchor="ctr">
              <a:noAutofit/>
            </a:bodyPr>
            <a:p>
              <a:r>
                <a:t>Print Reports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150840</xdr:colOff>
          <xdr:row>0</xdr:row>
          <xdr:rowOff>105120</xdr:rowOff>
        </xdr:from>
        <xdr:to>
          <xdr:col>6</xdr:col>
          <xdr:colOff>1027080</xdr:colOff>
          <xdr:row>3</xdr:row>
          <xdr:rowOff>66960</xdr:rowOff>
        </xdr:to>
        <xdr:sp>
          <xdr:nvSpPr>
            <xdr:cNvPr id="1004" name="Button 13" descr="Upload to Options" hidden="0"/>
            <xdr:cNvSpPr/>
          </xdr:nvSpPr>
          <xdr:spPr>
            <a:xfrm>
              <a:off x="0" y="0"/>
              <a:ext cx="0" cy="0"/>
            </a:xfrm>
            <a:prstGeom prst="rect">
              <a:avLst/>
            </a:prstGeom>
          </xdr:spPr>
          <xdr:txBody>
            <a:bodyPr anchor="ctr">
              <a:noAutofit/>
            </a:bodyPr>
            <a:p>
              <a:r>
                <a:t>Upload to Options</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98</xdr:col>
          <xdr:colOff>281520</xdr:colOff>
          <xdr:row>1</xdr:row>
          <xdr:rowOff>47520</xdr:rowOff>
        </xdr:from>
        <xdr:to>
          <xdr:col>99</xdr:col>
          <xdr:colOff>91440</xdr:colOff>
          <xdr:row>2</xdr:row>
          <xdr:rowOff>66600</xdr:rowOff>
        </xdr:to>
        <xdr:sp>
          <xdr:nvSpPr>
            <xdr:cNvPr id="1001" name="Button 1"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TEMP/CAN$1000-Tes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ront"/>
      <sheetName val="NewDeals"/>
      <sheetName val="Report"/>
      <sheetName val="PriceAlberta"/>
      <sheetName val="AlbertaIndex"/>
      <sheetName val="PriceBC"/>
      <sheetName val="BCIndex"/>
      <sheetName val="PriceEOL"/>
      <sheetName val="EOLIndex"/>
      <sheetName val="Options"/>
      <sheetName val="OptionsIndex"/>
      <sheetName val="OptionsProp"/>
      <sheetName val="Straddle"/>
      <sheetName val="SpotRates"/>
      <sheetName val="TollExpl"/>
      <sheetName val="PrudExpl"/>
      <sheetName val="PrudCalc"/>
      <sheetName val="US $"/>
      <sheetName val="Orig Sched"/>
      <sheetName val="Price - East "/>
      <sheetName val="Chart1"/>
      <sheetName val="PrintModule"/>
      <sheetName val="Module1"/>
    </sheetNames>
    <sheetDataSet>
      <sheetData sheetId="0"/>
      <sheetData sheetId="1"/>
      <sheetData sheetId="2"/>
      <sheetData sheetId="3"/>
      <sheetData sheetId="4"/>
      <sheetData sheetId="5">
        <row r="6">
          <cell r="B6">
            <v>906323</v>
          </cell>
        </row>
        <row r="26">
          <cell r="E26">
            <v>0</v>
          </cell>
        </row>
      </sheetData>
      <sheetData sheetId="6">
        <row r="6">
          <cell r="B6">
            <v>906539</v>
          </cell>
        </row>
      </sheetData>
      <sheetData sheetId="7"/>
      <sheetData sheetId="8"/>
      <sheetData sheetId="9"/>
      <sheetData sheetId="10"/>
      <sheetData sheetId="11"/>
      <sheetData sheetId="12"/>
      <sheetData sheetId="13">
        <row r="1">
          <cell r="J1">
            <v>1.4539</v>
          </cell>
        </row>
        <row r="36">
          <cell r="F36">
            <v>1.50058017241379</v>
          </cell>
        </row>
      </sheetData>
      <sheetData sheetId="14"/>
      <sheetData sheetId="15"/>
      <sheetData sheetId="16"/>
      <sheetData sheetId="17"/>
      <sheetData sheetId="18"/>
      <sheetData sheetId="19">
        <row r="51">
          <cell r="B51">
            <v>0</v>
          </cell>
        </row>
        <row r="58">
          <cell r="B58">
            <v>0</v>
          </cell>
        </row>
        <row r="59">
          <cell r="B59">
            <v>0</v>
          </cell>
        </row>
        <row r="62">
          <cell r="B62">
            <v>0</v>
          </cell>
        </row>
      </sheetData>
      <sheetData sheetId="20"/>
      <sheetData sheetId="21"/>
      <sheetData sheetId="22"/>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0.xml.rels><?xml version="1.0" encoding="UTF-8"?>
<Relationships xmlns="http://schemas.openxmlformats.org/package/2006/relationships"><Relationship Id="rId1" Type="http://schemas.openxmlformats.org/officeDocument/2006/relationships/drawing" Target="../drawings/drawing18.xml"/>
</Relationships>
</file>

<file path=xl/worksheets/_rels/sheet11.xml.rels><?xml version="1.0" encoding="UTF-8"?>
<Relationships xmlns="http://schemas.openxmlformats.org/package/2006/relationships"><Relationship Id="rId1" Type="http://schemas.openxmlformats.org/officeDocument/2006/relationships/drawing" Target="../drawings/drawing19.xml"/>
</Relationships>
</file>

<file path=xl/worksheets/_rels/sheet12.xml.rels><?xml version="1.0" encoding="UTF-8"?>
<Relationships xmlns="http://schemas.openxmlformats.org/package/2006/relationships"><Relationship Id="rId1" Type="http://schemas.openxmlformats.org/officeDocument/2006/relationships/drawing" Target="../drawings/drawing20.xml"/>
</Relationships>
</file>

<file path=xl/worksheets/_rels/sheet13.xml.rels><?xml version="1.0" encoding="UTF-8"?>
<Relationships xmlns="http://schemas.openxmlformats.org/package/2006/relationships"><Relationship Id="rId1" Type="http://schemas.openxmlformats.org/officeDocument/2006/relationships/drawing" Target="../drawings/drawing21.xml"/>
</Relationships>
</file>

<file path=xl/worksheets/_rels/sheet14.xml.rels><?xml version="1.0" encoding="UTF-8"?>
<Relationships xmlns="http://schemas.openxmlformats.org/package/2006/relationships"><Relationship Id="rId1" Type="http://schemas.openxmlformats.org/officeDocument/2006/relationships/drawing" Target="../drawings/drawing22.xml"/>
</Relationships>
</file>

<file path=xl/worksheets/_rels/sheet18.xml.rels><?xml version="1.0" encoding="UTF-8"?>
<Relationships xmlns="http://schemas.openxmlformats.org/package/2006/relationships"><Relationship Id="rId1" Type="http://schemas.openxmlformats.org/officeDocument/2006/relationships/comments" Target="../comments18.xml"/><Relationship Id="rId2" Type="http://schemas.openxmlformats.org/officeDocument/2006/relationships/vmlDrawing" Target="../drawings/vmlDrawing6.vml"/>
</Relationships>
</file>

<file path=xl/worksheets/_rels/sheet19.xml.rels><?xml version="1.0" encoding="UTF-8"?>
<Relationships xmlns="http://schemas.openxmlformats.org/package/2006/relationships"><Relationship Id="rId1" Type="http://schemas.openxmlformats.org/officeDocument/2006/relationships/drawing" Target="../drawings/drawing23.xml"/>
</Relationships>
</file>

<file path=xl/worksheets/_rels/sheet20.xml.rels><?xml version="1.0" encoding="UTF-8"?>
<Relationships xmlns="http://schemas.openxmlformats.org/package/2006/relationships"><Relationship Id="rId1" Type="http://schemas.openxmlformats.org/officeDocument/2006/relationships/comments" Target="../comments20.xml"/><Relationship Id="rId2" Type="http://schemas.openxmlformats.org/officeDocument/2006/relationships/vmlDrawing" Target="../drawings/vmlDrawing7.vml"/>
</Relationships>
</file>

<file path=xl/worksheets/_rels/sheet21.xml.rels><?xml version="1.0" encoding="UTF-8"?>
<Relationships xmlns="http://schemas.openxmlformats.org/package/2006/relationships"><Relationship Id="rId1" Type="http://schemas.openxmlformats.org/officeDocument/2006/relationships/drawing" Target="../drawings/drawing24.xml"/>
</Relationships>
</file>

<file path=xl/worksheets/_rels/sheet22.xml.rels><?xml version="1.0" encoding="UTF-8"?>
<Relationships xmlns="http://schemas.openxmlformats.org/package/2006/relationships"><Relationship Id="rId1" Type="http://schemas.openxmlformats.org/officeDocument/2006/relationships/drawing" Target="../drawings/drawing25.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Relationship Id="rId7" Type="http://schemas.openxmlformats.org/officeDocument/2006/relationships/ctrlProp" Target="../ctrlProps/ctrlProps8.xml"/>
</Relationships>
</file>

<file path=xl/worksheets/_rels/sheet4.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3.vml"/><Relationship Id="rId3" Type="http://schemas.openxmlformats.org/officeDocument/2006/relationships/ctrlProp" Target="../ctrlProps/ctrlProps10.x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1.xml"/><Relationship Id="rId3" Type="http://schemas.openxmlformats.org/officeDocument/2006/relationships/vmlDrawing" Target="../drawings/vmlDrawing4.vml"/><Relationship Id="rId4" Type="http://schemas.openxmlformats.org/officeDocument/2006/relationships/ctrlProp" Target="../ctrlProps/ctrlProps12.xml"/>
</Relationships>
</file>

<file path=xl/worksheets/_rels/sheet6.xml.rels><?xml version="1.0" encoding="UTF-8"?>
<Relationships xmlns="http://schemas.openxmlformats.org/package/2006/relationships"><Relationship Id="rId1" Type="http://schemas.openxmlformats.org/officeDocument/2006/relationships/drawing" Target="../drawings/drawing13.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14.xml"/><Relationship Id="rId3" Type="http://schemas.openxmlformats.org/officeDocument/2006/relationships/vmlDrawing" Target="../drawings/vmlDrawing5.vml"/><Relationship Id="rId4" Type="http://schemas.openxmlformats.org/officeDocument/2006/relationships/ctrlProp" Target="../ctrlProps/ctrlProps15.xml"/>
</Relationships>
</file>

<file path=xl/worksheets/_rels/sheet8.xml.rels><?xml version="1.0" encoding="UTF-8"?>
<Relationships xmlns="http://schemas.openxmlformats.org/package/2006/relationships"><Relationship Id="rId1" Type="http://schemas.openxmlformats.org/officeDocument/2006/relationships/drawing" Target="../drawings/drawing16.xml"/>
</Relationships>
</file>

<file path=xl/worksheets/_rels/sheet9.xml.rels><?xml version="1.0" encoding="UTF-8"?>
<Relationships xmlns="http://schemas.openxmlformats.org/package/2006/relationships"><Relationship Id="rId1" Type="http://schemas.openxmlformats.org/officeDocument/2006/relationships/drawing" Target="../drawings/drawing1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19.99"/>
    <col collapsed="false" customWidth="true" hidden="false" outlineLevel="0" max="9" min="2" style="1" width="11.85"/>
    <col collapsed="false" customWidth="false" hidden="false" outlineLevel="0" max="257" min="10" style="1" width="9.14"/>
  </cols>
  <sheetData>
    <row r="1" customFormat="false" ht="12.75" hidden="false" customHeight="false" outlineLevel="0" collapsed="false">
      <c r="A1" s="2"/>
      <c r="B1" s="3"/>
    </row>
    <row r="2" customFormat="false" ht="19.5" hidden="false" customHeight="true" outlineLevel="0" collapsed="false">
      <c r="A2" s="4" t="s">
        <v>0</v>
      </c>
      <c r="B2" s="4"/>
      <c r="C2" s="5"/>
      <c r="D2" s="5"/>
      <c r="E2" s="5"/>
      <c r="F2" s="5"/>
      <c r="G2" s="5"/>
      <c r="H2" s="5"/>
      <c r="I2" s="5"/>
      <c r="J2" s="5"/>
      <c r="K2" s="5"/>
      <c r="L2" s="5"/>
      <c r="M2" s="5"/>
    </row>
    <row r="3" customFormat="false" ht="12.75" hidden="false" customHeight="false" outlineLevel="0" collapsed="false">
      <c r="A3" s="6"/>
      <c r="B3" s="2"/>
    </row>
    <row r="4" customFormat="false" ht="12.75" hidden="false" customHeight="false" outlineLevel="0" collapsed="false">
      <c r="A4" s="7" t="s">
        <v>1</v>
      </c>
      <c r="B4" s="8" t="n">
        <v>36831</v>
      </c>
      <c r="F4" s="9" t="str">
        <f aca="false">IF(B4=B5,"NEW MONTH!!    Change Filenames on tab hyperlinks below"," ")</f>
        <v> </v>
      </c>
    </row>
    <row r="5" customFormat="false" ht="12.75" hidden="false" customHeight="false" outlineLevel="0" collapsed="false">
      <c r="A5" s="7" t="s">
        <v>2</v>
      </c>
      <c r="B5" s="10" t="n">
        <v>36847</v>
      </c>
    </row>
    <row r="7" customFormat="false" ht="3.75" hidden="false" customHeight="true" outlineLevel="0" collapsed="false"/>
    <row r="8" customFormat="false" ht="20.25" hidden="false" customHeight="false" outlineLevel="0" collapsed="false">
      <c r="B8" s="11" t="s">
        <v>3</v>
      </c>
    </row>
    <row r="9" customFormat="false" ht="12.75" hidden="false" customHeight="false" outlineLevel="0" collapsed="false">
      <c r="C9" s="12"/>
      <c r="D9" s="12"/>
      <c r="E9" s="12"/>
      <c r="F9" s="12"/>
      <c r="G9" s="12"/>
      <c r="H9" s="12"/>
      <c r="I9" s="12"/>
    </row>
    <row r="10" customFormat="false" ht="25.5" hidden="false" customHeight="false" outlineLevel="0" collapsed="false">
      <c r="B10" s="13" t="str">
        <f aca="false">HYPERLINK("[\\ectcal\calgary\secure\Risk Management\GASBOOK\CAN$1000.xls]PriceAlberta!K75","West Price")</f>
        <v>West Price</v>
      </c>
      <c r="C10" s="13" t="str">
        <f aca="false">HYPERLINK("[\\ectcal\calgary\secure\Risk Management\GASBOOK\CAN$1000.xls]AlbertaIndex!K75","West Index")</f>
        <v>West Index</v>
      </c>
      <c r="D10" s="13" t="str">
        <f aca="false">HYPERLINK("[\\ectcal\calgary\secure\Risk Management\GASBOOK\CAN$1000.xls]PriceBC!K75","Price BC")</f>
        <v>Price BC</v>
      </c>
      <c r="E10" s="13" t="str">
        <f aca="false">HYPERLINK("[\\ectcal\calgary\secure\Risk Management\GASBOOK\CAN$1000.xls]BCIndex!K75","BC Index")</f>
        <v>BC Index</v>
      </c>
      <c r="F10" s="13" t="str">
        <f aca="false">HYPERLINK("[\\ectcal\calgary\secure\Risk Management\GASBOOK\CAN$1000.xls]PriceEOL!K75","EOL Price")</f>
        <v>EOL Price</v>
      </c>
      <c r="G10" s="13" t="str">
        <f aca="false">HYPERLINK("[\\ectcal\calgary\secure\Risk Management\GASBOOK\CAN$1000.xls]EOLIndex!K75","EOL Index")</f>
        <v>EOL Index</v>
      </c>
      <c r="H10" s="13" t="str">
        <f aca="false">HYPERLINK("[\\ectcal\calgary\secure\Risk Management\GASBOOK\CAN$1000.xls]Straddle!K75","Straddle")</f>
        <v>Straddle</v>
      </c>
      <c r="I10" s="13" t="str">
        <f aca="false">HYPERLINK("[\\ectcal\calgary\secure\Risk Management\GASBOOK\CAN$1000.xls]Options!K75","CAD Options")</f>
        <v>CAD Options</v>
      </c>
      <c r="J10" s="13" t="str">
        <f aca="false">HYPERLINK("[\\ectcal\calgary\secure\Risk Management\GASBOOK\CAN$1000.xls]OptionsIndex!K75","Options Index")</f>
        <v>Options Index</v>
      </c>
      <c r="K10" s="13" t="str">
        <f aca="false">HYPERLINK("[\\ectcal\calgary\secure\Risk Management\GASBOOK\CAN$1000.xls]OptionsProp!K75","USD Options")</f>
        <v>USD Options</v>
      </c>
      <c r="L10" s="13" t="str">
        <f aca="false">HYPERLINK("[\\ectcal\calgary\secure\Risk Management\GASBOOK\CAN$1000.xls]SpotRates!A1","Spot Rates")</f>
        <v>Spot Rates</v>
      </c>
    </row>
    <row r="11" customFormat="false" ht="6.75" hidden="false" customHeight="true" outlineLevel="0" collapsed="false"/>
    <row r="12" customFormat="false" ht="12.75" hidden="false" customHeight="false" outlineLevel="0" collapsed="false">
      <c r="B12" s="14" t="n">
        <v>949832</v>
      </c>
      <c r="C12" s="14" t="n">
        <v>949833</v>
      </c>
      <c r="D12" s="14" t="n">
        <v>949837</v>
      </c>
      <c r="E12" s="14" t="n">
        <v>949838</v>
      </c>
      <c r="F12" s="14" t="n">
        <v>949834</v>
      </c>
      <c r="G12" s="14" t="n">
        <v>949836</v>
      </c>
      <c r="H12" s="14" t="n">
        <v>949856</v>
      </c>
      <c r="I12" s="14" t="n">
        <v>949849</v>
      </c>
      <c r="J12" s="14" t="n">
        <v>949853</v>
      </c>
      <c r="K12" s="15" t="n">
        <v>921467</v>
      </c>
    </row>
    <row r="13" customFormat="false" ht="7.5" hidden="false" customHeight="true" outlineLevel="0" collapsed="false"/>
    <row r="14" customFormat="false" ht="7.5" hidden="false" customHeight="true" outlineLevel="0" collapsed="false"/>
    <row r="15" customFormat="false" ht="6.75" hidden="false" customHeight="true" outlineLevel="0" collapsed="false"/>
    <row r="16" customFormat="false" ht="6.75" hidden="false" customHeight="true" outlineLevel="0" collapsed="false"/>
    <row r="17" customFormat="false" ht="27.75" hidden="false" customHeight="true" outlineLevel="0" collapsed="false">
      <c r="A17" s="16"/>
      <c r="B17" s="17" t="s">
        <v>4</v>
      </c>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27.75" hidden="false" customHeight="true" outlineLevel="0" collapsed="false">
      <c r="A18" s="16"/>
      <c r="B18" s="17" t="s">
        <v>5</v>
      </c>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27.75" hidden="false" customHeight="true" outlineLevel="0" collapsed="false">
      <c r="A19" s="16"/>
      <c r="B19" s="17" t="s">
        <v>6</v>
      </c>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27.75" hidden="false" customHeight="true" outlineLevel="0" collapsed="false">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20.25" hidden="false" customHeight="true" outlineLevel="0" collapsed="false">
      <c r="B21" s="17" t="s">
        <v>7</v>
      </c>
      <c r="C21" s="16"/>
      <c r="D21" s="16"/>
      <c r="E21" s="16"/>
    </row>
    <row r="22" customFormat="false" ht="20.25" hidden="false" customHeight="true" outlineLevel="0" collapsed="false">
      <c r="B22" s="18" t="str">
        <f aca="false">PriceAlberta!D15</f>
        <v> </v>
      </c>
    </row>
    <row r="23" customFormat="false" ht="12.75" hidden="false" customHeight="false" outlineLevel="0" collapsed="false">
      <c r="B23" s="18" t="str">
        <f aca="false">PriceAlberta!D16</f>
        <v> </v>
      </c>
    </row>
    <row r="24" customFormat="false" ht="12.75" hidden="false" customHeight="false" outlineLevel="0" collapsed="false">
      <c r="B24" s="19" t="str">
        <f aca="false">IF(B4=B5," FX alert above shows #N/A on 1st of every month"," ")</f>
        <v> </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
              <controlPr defaultSize="0" print="false" autoFill="0" autoPict="0" macro="xls.Module1.Macro1">
                <anchor moveWithCells="true" sizeWithCells="false">
                  <from>
                    <xdr:col>1</xdr:col>
                    <xdr:colOff>341640</xdr:colOff>
                    <xdr:row>16</xdr:row>
                    <xdr:rowOff>104760</xdr:rowOff>
                  </from>
                  <to>
                    <xdr:col>3</xdr:col>
                    <xdr:colOff>151560</xdr:colOff>
                    <xdr:row>17</xdr:row>
                    <xdr:rowOff>19440</xdr:rowOff>
                  </to>
                </anchor>
              </controlPr>
            </control>
          </mc:Choice>
        </mc:AlternateContent>
        <mc:AlternateContent xmlns:mc="http://schemas.openxmlformats.org/markup-compatibility/2006">
          <mc:Choice Requires="x14">
            <control shapeId="1002" r:id="rId4" name="Button 5">
              <controlPr defaultSize="0" print="false" autoFill="0" autoPict="0" macro="xls.Module10.CopyPriorDay">
                <anchor moveWithCells="true" sizeWithCells="false">
                  <from>
                    <xdr:col>1</xdr:col>
                    <xdr:colOff>322200</xdr:colOff>
                    <xdr:row>18</xdr:row>
                    <xdr:rowOff>95040</xdr:rowOff>
                  </from>
                  <to>
                    <xdr:col>3</xdr:col>
                    <xdr:colOff>513720</xdr:colOff>
                    <xdr:row>19</xdr:row>
                    <xdr:rowOff>190080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2" ySplit="6" topLeftCell="C38" activePane="bottomRight" state="frozen"/>
      <selection pane="topLeft" activeCell="A1" activeCellId="0" sqref="A1"/>
      <selection pane="topRight" activeCell="C1" activeCellId="0" sqref="C1"/>
      <selection pane="bottomLeft" activeCell="A38" activeCellId="0" sqref="A38"/>
      <selection pane="bottomRight" activeCell="S59" activeCellId="0" sqref="S59"/>
    </sheetView>
  </sheetViews>
  <sheetFormatPr defaultColWidth="9.13671875" defaultRowHeight="12.75" customHeight="true" zeroHeight="false" outlineLevelRow="0" outlineLevelCol="0"/>
  <cols>
    <col collapsed="false" customWidth="true" hidden="false" outlineLevel="0" max="1" min="1" style="2" width="23.85"/>
    <col collapsed="false" customWidth="true" hidden="false" outlineLevel="0" max="4" min="2" style="2" width="14.85"/>
    <col collapsed="false" customWidth="true" hidden="false" outlineLevel="0" max="5" min="5" style="2" width="17.28"/>
    <col collapsed="false" customWidth="true" hidden="false" outlineLevel="0" max="11" min="6" style="2" width="14.85"/>
    <col collapsed="false" customWidth="true" hidden="false" outlineLevel="0" max="12" min="12" style="2" width="15.28"/>
    <col collapsed="false" customWidth="true" hidden="false" outlineLevel="0" max="17" min="13" style="2" width="14.85"/>
    <col collapsed="false" customWidth="true" hidden="false" outlineLevel="0" max="18" min="18" style="2" width="15.56"/>
    <col collapsed="false" customWidth="true" hidden="false" outlineLevel="0" max="23" min="19" style="2" width="14.85"/>
    <col collapsed="false" customWidth="true" hidden="false" outlineLevel="0" max="24" min="24" style="2" width="15.41"/>
    <col collapsed="false" customWidth="true" hidden="false" outlineLevel="0" max="33" min="25" style="2" width="14.85"/>
    <col collapsed="false" customWidth="true" hidden="false" outlineLevel="0" max="34" min="34" style="2" width="2.7"/>
    <col collapsed="false" customWidth="true" hidden="false" outlineLevel="0" max="35" min="35" style="2" width="15.13"/>
    <col collapsed="false" customWidth="true" hidden="false" outlineLevel="0" max="36" min="36" style="2" width="16.13"/>
    <col collapsed="false" customWidth="true" hidden="false" outlineLevel="0" max="37" min="37" style="2" width="14.56"/>
    <col collapsed="false" customWidth="false" hidden="false" outlineLevel="0" max="38" min="38" style="2" width="9.14"/>
    <col collapsed="false" customWidth="true" hidden="false" outlineLevel="0" max="39" min="39" style="2" width="13.28"/>
    <col collapsed="false" customWidth="true" hidden="false" outlineLevel="0" max="40" min="40" style="2" width="11.56"/>
    <col collapsed="false" customWidth="true" hidden="false" outlineLevel="0" max="41" min="41" style="2" width="14.56"/>
    <col collapsed="false" customWidth="false" hidden="false" outlineLevel="0" max="257" min="42" style="2" width="9.14"/>
  </cols>
  <sheetData>
    <row r="1" customFormat="false" ht="12.75" hidden="false" customHeight="true" outlineLevel="0" collapsed="false">
      <c r="B1" s="410" t="n">
        <f aca="false">M38</f>
        <v>0</v>
      </c>
      <c r="D1" s="1"/>
      <c r="E1" s="1"/>
      <c r="F1" s="1"/>
      <c r="G1" s="1"/>
      <c r="H1" s="1"/>
      <c r="I1" s="1"/>
      <c r="J1" s="1"/>
      <c r="K1" s="1"/>
      <c r="L1" s="1"/>
      <c r="M1" s="1"/>
      <c r="N1" s="1"/>
      <c r="O1" s="1"/>
    </row>
    <row r="2" customFormat="false" ht="12.75" hidden="false" customHeight="true" outlineLevel="0" collapsed="false">
      <c r="A2" s="6" t="s">
        <v>127</v>
      </c>
      <c r="D2" s="1"/>
      <c r="E2" s="1"/>
      <c r="F2" s="1"/>
      <c r="G2" s="1"/>
      <c r="H2" s="1"/>
      <c r="I2" s="1"/>
      <c r="J2" s="1"/>
      <c r="K2" s="1"/>
      <c r="L2" s="1"/>
      <c r="M2" s="1"/>
      <c r="N2" s="1"/>
      <c r="O2" s="1"/>
    </row>
    <row r="3" customFormat="false" ht="12.75" hidden="false" customHeight="true" outlineLevel="0" collapsed="false">
      <c r="A3" s="411" t="s">
        <v>128</v>
      </c>
      <c r="B3" s="412" t="s">
        <v>358</v>
      </c>
      <c r="C3" s="412" t="s">
        <v>42</v>
      </c>
      <c r="D3" s="1"/>
      <c r="E3" s="1"/>
      <c r="F3" s="1"/>
      <c r="G3" s="1"/>
      <c r="H3" s="1"/>
      <c r="I3" s="1"/>
      <c r="J3" s="1"/>
      <c r="K3" s="1"/>
      <c r="L3" s="1"/>
      <c r="M3" s="1"/>
      <c r="N3" s="1"/>
      <c r="O3" s="1"/>
    </row>
    <row r="4" customFormat="false" ht="12.75" hidden="false" customHeight="true" outlineLevel="0" collapsed="false">
      <c r="A4" s="411" t="s">
        <v>1</v>
      </c>
      <c r="B4" s="207" t="n">
        <f aca="false">Front!B4</f>
        <v>36831</v>
      </c>
      <c r="D4" s="1"/>
      <c r="E4" s="1"/>
      <c r="F4" s="1"/>
      <c r="G4" s="1"/>
      <c r="H4" s="1"/>
      <c r="I4" s="1"/>
      <c r="J4" s="1"/>
      <c r="K4" s="1"/>
      <c r="L4" s="1"/>
      <c r="M4" s="1"/>
      <c r="N4" s="1"/>
      <c r="O4" s="1"/>
    </row>
    <row r="5" customFormat="false" ht="12.75" hidden="false" customHeight="true" outlineLevel="0" collapsed="false">
      <c r="A5" s="411" t="s">
        <v>2</v>
      </c>
      <c r="B5" s="208" t="n">
        <f aca="false">Front!B5</f>
        <v>36847</v>
      </c>
      <c r="C5" s="413"/>
      <c r="V5" s="414"/>
      <c r="W5" s="414"/>
      <c r="X5" s="414"/>
      <c r="Y5" s="414"/>
      <c r="Z5" s="414"/>
      <c r="AA5" s="414"/>
    </row>
    <row r="6" customFormat="false" ht="12.75" hidden="false" customHeight="true" outlineLevel="0" collapsed="false">
      <c r="A6" s="411" t="s">
        <v>130</v>
      </c>
      <c r="B6" s="415" t="n">
        <f aca="false">Front!$E$12</f>
        <v>949838</v>
      </c>
      <c r="C6" s="413"/>
      <c r="K6" s="416" t="s">
        <v>131</v>
      </c>
      <c r="L6" s="417"/>
      <c r="M6" s="417"/>
      <c r="N6" s="417"/>
      <c r="O6" s="417"/>
      <c r="P6" s="417"/>
      <c r="Q6" s="417"/>
      <c r="R6" s="418"/>
      <c r="S6" s="419" t="s">
        <v>132</v>
      </c>
      <c r="T6" s="419"/>
      <c r="V6" s="416" t="s">
        <v>133</v>
      </c>
      <c r="W6" s="417"/>
      <c r="X6" s="417"/>
      <c r="Y6" s="417"/>
      <c r="Z6" s="417"/>
      <c r="AA6" s="418"/>
    </row>
    <row r="7" customFormat="false" ht="12.75" hidden="false" customHeight="true" outlineLevel="0" collapsed="false">
      <c r="D7" s="420" t="s">
        <v>142</v>
      </c>
      <c r="E7" s="420" t="s">
        <v>143</v>
      </c>
      <c r="K7" s="421"/>
      <c r="L7" s="422" t="s">
        <v>137</v>
      </c>
      <c r="M7" s="422" t="s">
        <v>137</v>
      </c>
      <c r="N7" s="422" t="s">
        <v>137</v>
      </c>
      <c r="O7" s="422" t="s">
        <v>137</v>
      </c>
      <c r="P7" s="422" t="s">
        <v>137</v>
      </c>
      <c r="Q7" s="422" t="s">
        <v>137</v>
      </c>
      <c r="R7" s="423" t="s">
        <v>40</v>
      </c>
      <c r="S7" s="420" t="s">
        <v>138</v>
      </c>
      <c r="T7" s="420" t="s">
        <v>139</v>
      </c>
      <c r="V7" s="424" t="s">
        <v>140</v>
      </c>
      <c r="W7" s="414"/>
      <c r="X7" s="414"/>
      <c r="Y7" s="414"/>
      <c r="Z7" s="414"/>
      <c r="AA7" s="425"/>
    </row>
    <row r="8" customFormat="false" ht="12.75" hidden="false" customHeight="true" outlineLevel="0" collapsed="false">
      <c r="A8" s="426" t="s">
        <v>141</v>
      </c>
      <c r="G8" s="3" t="s">
        <v>144</v>
      </c>
      <c r="H8" s="3"/>
      <c r="K8" s="427" t="s">
        <v>145</v>
      </c>
      <c r="L8" s="414"/>
      <c r="M8" s="414"/>
      <c r="N8" s="414"/>
      <c r="O8" s="414"/>
      <c r="P8" s="414"/>
      <c r="Q8" s="428"/>
      <c r="R8" s="425"/>
      <c r="V8" s="424" t="s">
        <v>146</v>
      </c>
      <c r="W8" s="414"/>
      <c r="X8" s="414"/>
      <c r="Y8" s="414"/>
      <c r="Z8" s="414"/>
      <c r="AA8" s="425"/>
    </row>
    <row r="9" customFormat="false" ht="12.75" hidden="false" customHeight="true" outlineLevel="0" collapsed="false">
      <c r="A9" s="2" t="s">
        <v>147</v>
      </c>
      <c r="D9" s="429" t="n">
        <v>1429988</v>
      </c>
      <c r="E9" s="429" t="n">
        <v>1430137</v>
      </c>
      <c r="F9" s="1" t="s">
        <v>148</v>
      </c>
      <c r="G9" s="2" t="s">
        <v>149</v>
      </c>
      <c r="K9" s="424" t="s">
        <v>150</v>
      </c>
      <c r="L9" s="430" t="n">
        <v>0</v>
      </c>
      <c r="M9" s="430" t="n">
        <v>0</v>
      </c>
      <c r="N9" s="430" t="n">
        <v>0</v>
      </c>
      <c r="O9" s="430" t="n">
        <v>0</v>
      </c>
      <c r="P9" s="430" t="n">
        <v>0</v>
      </c>
      <c r="Q9" s="430" t="n">
        <v>0</v>
      </c>
      <c r="R9" s="431" t="n">
        <f aca="false">SUM(L9:Q9)</f>
        <v>0</v>
      </c>
      <c r="S9" s="432" t="n">
        <f aca="false">IF(R9&gt;=0,R9/1000000,0)</f>
        <v>0</v>
      </c>
      <c r="T9" s="432" t="n">
        <f aca="false">IF(R9&gt;=0,0,R9/1000000)</f>
        <v>0</v>
      </c>
      <c r="V9" s="424"/>
      <c r="W9" s="414"/>
      <c r="X9" s="414"/>
      <c r="Y9" s="414"/>
      <c r="Z9" s="414"/>
      <c r="AA9" s="425"/>
      <c r="AI9" s="430"/>
    </row>
    <row r="10" customFormat="false" ht="12.75" hidden="false" customHeight="true" outlineLevel="0" collapsed="false">
      <c r="A10" s="2" t="s">
        <v>151</v>
      </c>
      <c r="D10" s="2" t="n">
        <v>0</v>
      </c>
      <c r="E10" s="396" t="n">
        <v>0</v>
      </c>
      <c r="F10" s="1" t="s">
        <v>148</v>
      </c>
      <c r="G10" s="2" t="s">
        <v>149</v>
      </c>
      <c r="K10" s="424" t="s">
        <v>152</v>
      </c>
      <c r="L10" s="430" t="n">
        <v>0</v>
      </c>
      <c r="M10" s="430" t="n">
        <v>0</v>
      </c>
      <c r="N10" s="430" t="n">
        <v>0</v>
      </c>
      <c r="O10" s="430" t="n">
        <v>0</v>
      </c>
      <c r="P10" s="430" t="n">
        <v>0</v>
      </c>
      <c r="Q10" s="430" t="n">
        <v>0</v>
      </c>
      <c r="R10" s="431" t="n">
        <f aca="false">SUM(L10:Q10)</f>
        <v>0</v>
      </c>
      <c r="S10" s="432" t="n">
        <f aca="false">IF(R10&gt;=0,R10/1000000,0)</f>
        <v>0</v>
      </c>
      <c r="T10" s="432" t="n">
        <f aca="false">IF(R10&gt;=0,0,R10/1000000)</f>
        <v>0</v>
      </c>
      <c r="V10" s="424" t="s">
        <v>153</v>
      </c>
      <c r="W10" s="414"/>
      <c r="X10" s="414"/>
      <c r="Y10" s="414"/>
      <c r="Z10" s="414"/>
      <c r="AA10" s="425"/>
    </row>
    <row r="11" customFormat="false" ht="12.75" hidden="false" customHeight="true" outlineLevel="0" collapsed="false">
      <c r="A11" s="2" t="s">
        <v>154</v>
      </c>
      <c r="D11" s="2" t="n">
        <v>0</v>
      </c>
      <c r="E11" s="396" t="n">
        <v>0</v>
      </c>
      <c r="F11" s="1" t="s">
        <v>148</v>
      </c>
      <c r="G11" s="2" t="s">
        <v>155</v>
      </c>
      <c r="K11" s="424" t="s">
        <v>156</v>
      </c>
      <c r="L11" s="430" t="n">
        <v>0</v>
      </c>
      <c r="M11" s="430" t="n">
        <v>0</v>
      </c>
      <c r="N11" s="430" t="n">
        <v>0</v>
      </c>
      <c r="O11" s="430" t="n">
        <v>0</v>
      </c>
      <c r="P11" s="430" t="n">
        <v>0</v>
      </c>
      <c r="Q11" s="430" t="n">
        <v>0</v>
      </c>
      <c r="R11" s="431" t="n">
        <f aca="false">SUM(L11:Q11)</f>
        <v>0</v>
      </c>
      <c r="S11" s="432" t="n">
        <f aca="false">IF(R11&gt;=0,R11/1000000,0)</f>
        <v>0</v>
      </c>
      <c r="T11" s="432" t="n">
        <f aca="false">IF(R11&gt;=0,0,R11/1000000)</f>
        <v>0</v>
      </c>
      <c r="V11" s="424" t="s">
        <v>157</v>
      </c>
      <c r="W11" s="414"/>
      <c r="X11" s="414"/>
      <c r="Y11" s="414"/>
      <c r="Z11" s="414"/>
      <c r="AA11" s="425"/>
    </row>
    <row r="12" customFormat="false" ht="12.75" hidden="false" customHeight="true" outlineLevel="0" collapsed="false">
      <c r="A12" s="2" t="s">
        <v>158</v>
      </c>
      <c r="D12" s="2" t="n">
        <v>0</v>
      </c>
      <c r="E12" s="396" t="n">
        <v>0</v>
      </c>
      <c r="F12" s="1" t="s">
        <v>148</v>
      </c>
      <c r="G12" s="2" t="s">
        <v>159</v>
      </c>
      <c r="K12" s="424" t="s">
        <v>160</v>
      </c>
      <c r="L12" s="430" t="n">
        <v>0</v>
      </c>
      <c r="M12" s="430" t="n">
        <v>0</v>
      </c>
      <c r="N12" s="430" t="n">
        <v>0</v>
      </c>
      <c r="O12" s="430" t="n">
        <v>0</v>
      </c>
      <c r="P12" s="430" t="n">
        <v>0</v>
      </c>
      <c r="Q12" s="430" t="n">
        <v>0</v>
      </c>
      <c r="R12" s="431" t="n">
        <f aca="false">SUM(L12:Q12)</f>
        <v>0</v>
      </c>
      <c r="S12" s="432" t="n">
        <f aca="false">IF(R12&gt;=0,R12/1000000,0)</f>
        <v>0</v>
      </c>
      <c r="T12" s="432" t="n">
        <f aca="false">IF(R12&gt;=0,0,R12/1000000)</f>
        <v>0</v>
      </c>
      <c r="V12" s="424"/>
      <c r="W12" s="414"/>
      <c r="X12" s="414"/>
      <c r="Y12" s="414"/>
      <c r="Z12" s="414"/>
      <c r="AA12" s="425"/>
      <c r="AK12" s="430"/>
    </row>
    <row r="13" customFormat="false" ht="12.75" hidden="false" customHeight="true" outlineLevel="0" collapsed="false">
      <c r="A13" s="2" t="s">
        <v>161</v>
      </c>
      <c r="D13" s="2" t="n">
        <v>0</v>
      </c>
      <c r="E13" s="396" t="n">
        <v>0</v>
      </c>
      <c r="F13" s="1" t="s">
        <v>148</v>
      </c>
      <c r="K13" s="424"/>
      <c r="L13" s="414"/>
      <c r="M13" s="414"/>
      <c r="N13" s="414"/>
      <c r="O13" s="414"/>
      <c r="P13" s="414"/>
      <c r="Q13" s="414"/>
      <c r="R13" s="425"/>
      <c r="S13" s="433"/>
      <c r="T13" s="433"/>
      <c r="V13" s="424" t="s">
        <v>162</v>
      </c>
      <c r="W13" s="414"/>
      <c r="X13" s="414"/>
      <c r="Y13" s="419" t="s">
        <v>163</v>
      </c>
      <c r="Z13" s="414"/>
      <c r="AA13" s="425"/>
      <c r="AK13" s="430"/>
    </row>
    <row r="14" customFormat="false" ht="12.75" hidden="false" customHeight="true" outlineLevel="0" collapsed="false">
      <c r="A14" s="2" t="s">
        <v>164</v>
      </c>
      <c r="E14" s="397" t="n">
        <f aca="false">+E159</f>
        <v>-34763</v>
      </c>
      <c r="F14" s="2" t="s">
        <v>165</v>
      </c>
      <c r="K14" s="424" t="s">
        <v>166</v>
      </c>
      <c r="L14" s="434" t="n">
        <f aca="false">SUM(L9:L13)/1000000</f>
        <v>0</v>
      </c>
      <c r="M14" s="434" t="n">
        <f aca="false">SUM(M9:M13)/1000000</f>
        <v>0</v>
      </c>
      <c r="N14" s="434" t="n">
        <f aca="false">SUM(N9:N13)/1000000</f>
        <v>0</v>
      </c>
      <c r="O14" s="434" t="n">
        <f aca="false">SUM(O9:O13)/1000000</f>
        <v>0</v>
      </c>
      <c r="P14" s="434" t="n">
        <f aca="false">SUM(P9:P13)/1000000</f>
        <v>0</v>
      </c>
      <c r="Q14" s="434" t="n">
        <f aca="false">SUM(Q9:Q13)/1000000</f>
        <v>0</v>
      </c>
      <c r="R14" s="435" t="n">
        <f aca="false">SUM(R9:R12)/1000000</f>
        <v>0</v>
      </c>
      <c r="S14" s="434" t="n">
        <f aca="false">SUM(S9:S13)</f>
        <v>0</v>
      </c>
      <c r="T14" s="434" t="n">
        <f aca="false">SUM(T9:T13)</f>
        <v>0</v>
      </c>
      <c r="V14" s="424"/>
      <c r="W14" s="414"/>
      <c r="X14" s="414"/>
      <c r="Y14" s="419" t="s">
        <v>167</v>
      </c>
      <c r="Z14" s="414"/>
      <c r="AA14" s="425"/>
    </row>
    <row r="15" customFormat="false" ht="12.75" hidden="false" customHeight="true" outlineLevel="0" collapsed="false">
      <c r="A15" s="2" t="s">
        <v>168</v>
      </c>
      <c r="E15" s="397" t="n">
        <f aca="false">+L159</f>
        <v>0</v>
      </c>
      <c r="F15" s="2" t="s">
        <v>165</v>
      </c>
      <c r="K15" s="424" t="s">
        <v>169</v>
      </c>
      <c r="L15" s="436" t="n">
        <v>0</v>
      </c>
      <c r="M15" s="436" t="n">
        <v>0</v>
      </c>
      <c r="N15" s="436" t="n">
        <v>0</v>
      </c>
      <c r="O15" s="436" t="n">
        <v>0</v>
      </c>
      <c r="P15" s="436" t="n">
        <v>0</v>
      </c>
      <c r="Q15" s="436" t="n">
        <v>0</v>
      </c>
      <c r="R15" s="437" t="n">
        <f aca="false">IF(R16=0,0,R17/R16)</f>
        <v>0</v>
      </c>
      <c r="S15" s="438" t="str">
        <f aca="false">IF(SUM(S14:T14)-R14=0,"-",SUM(S14:T14)-R14)</f>
        <v>-</v>
      </c>
      <c r="T15" s="433"/>
      <c r="V15" s="424"/>
      <c r="W15" s="419" t="s">
        <v>170</v>
      </c>
      <c r="X15" s="419" t="s">
        <v>171</v>
      </c>
      <c r="Y15" s="439" t="s">
        <v>172</v>
      </c>
      <c r="Z15" s="414"/>
      <c r="AA15" s="425"/>
    </row>
    <row r="16" customFormat="false" ht="12.75" hidden="false" customHeight="true" outlineLevel="0" collapsed="false">
      <c r="A16" s="2" t="s">
        <v>173</v>
      </c>
      <c r="E16" s="397" t="n">
        <f aca="false">+E185</f>
        <v>0</v>
      </c>
      <c r="F16" s="2" t="s">
        <v>165</v>
      </c>
      <c r="I16" s="440"/>
      <c r="J16" s="440"/>
      <c r="K16" s="424" t="s">
        <v>174</v>
      </c>
      <c r="L16" s="441" t="n">
        <v>0</v>
      </c>
      <c r="M16" s="441" t="n">
        <v>0</v>
      </c>
      <c r="N16" s="441" t="n">
        <v>0</v>
      </c>
      <c r="O16" s="441" t="n">
        <v>0</v>
      </c>
      <c r="P16" s="441" t="n">
        <v>0</v>
      </c>
      <c r="Q16" s="441" t="n">
        <v>0</v>
      </c>
      <c r="R16" s="442" t="n">
        <f aca="false">SUM(L16:Q16)</f>
        <v>0</v>
      </c>
      <c r="S16" s="443"/>
      <c r="T16" s="433"/>
      <c r="U16" s="414"/>
      <c r="V16" s="424" t="s">
        <v>175</v>
      </c>
      <c r="W16" s="414" t="n">
        <v>0</v>
      </c>
      <c r="X16" s="414" t="n">
        <v>0</v>
      </c>
      <c r="Y16" s="414" t="n">
        <f aca="false">(X16-W16)/1000000</f>
        <v>0</v>
      </c>
      <c r="Z16" s="414"/>
      <c r="AA16" s="425"/>
      <c r="AB16" s="414"/>
      <c r="AC16" s="414"/>
      <c r="AD16" s="414"/>
      <c r="AE16" s="414"/>
      <c r="AF16" s="414"/>
      <c r="AG16" s="414"/>
      <c r="AH16" s="414"/>
      <c r="AI16" s="414"/>
      <c r="AJ16" s="414"/>
      <c r="AK16" s="414"/>
    </row>
    <row r="17" customFormat="false" ht="12.75" hidden="false" customHeight="true" outlineLevel="0" collapsed="false">
      <c r="E17" s="397"/>
      <c r="I17" s="440"/>
      <c r="J17" s="440"/>
      <c r="K17" s="444"/>
      <c r="L17" s="445" t="n">
        <f aca="false">SUM(L15*L16)</f>
        <v>0</v>
      </c>
      <c r="M17" s="445" t="n">
        <f aca="false">SUM(M15*M16)</f>
        <v>0</v>
      </c>
      <c r="N17" s="445" t="n">
        <f aca="false">SUM(N15*N16)</f>
        <v>0</v>
      </c>
      <c r="O17" s="445" t="n">
        <f aca="false">SUM(O15*O16)</f>
        <v>0</v>
      </c>
      <c r="P17" s="445" t="n">
        <f aca="false">SUM(P15*P16)</f>
        <v>0</v>
      </c>
      <c r="Q17" s="445" t="n">
        <f aca="false">SUM(Q15*Q16)</f>
        <v>0</v>
      </c>
      <c r="R17" s="446" t="n">
        <f aca="false">SUM(L17:Q17)</f>
        <v>0</v>
      </c>
      <c r="S17" s="1"/>
      <c r="T17" s="1"/>
      <c r="U17" s="414"/>
      <c r="V17" s="424" t="s">
        <v>176</v>
      </c>
      <c r="W17" s="414" t="n">
        <v>0</v>
      </c>
      <c r="X17" s="414" t="n">
        <v>0</v>
      </c>
      <c r="Y17" s="414" t="n">
        <f aca="false">(X17-W17)/1000000</f>
        <v>0</v>
      </c>
      <c r="Z17" s="414"/>
      <c r="AA17" s="425"/>
      <c r="AB17" s="414"/>
      <c r="AC17" s="414"/>
      <c r="AD17" s="414"/>
      <c r="AE17" s="414"/>
      <c r="AF17" s="414"/>
      <c r="AG17" s="414"/>
      <c r="AH17" s="414"/>
      <c r="AI17" s="414"/>
      <c r="AJ17" s="414"/>
      <c r="AK17" s="414"/>
    </row>
    <row r="18" customFormat="false" ht="12.75" hidden="false" customHeight="true" outlineLevel="0" collapsed="false">
      <c r="E18" s="397"/>
      <c r="I18" s="440"/>
      <c r="J18" s="440"/>
      <c r="K18" s="427" t="s">
        <v>177</v>
      </c>
      <c r="L18" s="414"/>
      <c r="M18" s="414"/>
      <c r="N18" s="414"/>
      <c r="O18" s="414"/>
      <c r="P18" s="414"/>
      <c r="Q18" s="428"/>
      <c r="R18" s="425"/>
      <c r="S18" s="432"/>
      <c r="T18" s="432"/>
      <c r="U18" s="414"/>
      <c r="V18" s="424" t="s">
        <v>178</v>
      </c>
      <c r="W18" s="414" t="n">
        <f aca="false">W16+W17</f>
        <v>0</v>
      </c>
      <c r="X18" s="414" t="n">
        <f aca="false">X16+X17</f>
        <v>0</v>
      </c>
      <c r="Y18" s="414" t="n">
        <f aca="false">Y16+Y17</f>
        <v>0</v>
      </c>
      <c r="Z18" s="414"/>
      <c r="AA18" s="425"/>
      <c r="AB18" s="414"/>
      <c r="AC18" s="414"/>
      <c r="AD18" s="414"/>
      <c r="AE18" s="414"/>
      <c r="AF18" s="414"/>
      <c r="AG18" s="414"/>
      <c r="AH18" s="414"/>
      <c r="AI18" s="414"/>
      <c r="AJ18" s="414"/>
      <c r="AK18" s="414"/>
    </row>
    <row r="19" customFormat="false" ht="12.75" hidden="false" customHeight="true" outlineLevel="0" collapsed="false">
      <c r="A19" s="3" t="s">
        <v>58</v>
      </c>
      <c r="E19" s="447" t="n">
        <f aca="false">SUM(E9:E16)</f>
        <v>1395374</v>
      </c>
      <c r="I19" s="414"/>
      <c r="J19" s="414"/>
      <c r="K19" s="424" t="s">
        <v>150</v>
      </c>
      <c r="L19" s="430" t="n">
        <v>0</v>
      </c>
      <c r="M19" s="430" t="n">
        <v>0</v>
      </c>
      <c r="N19" s="430" t="n">
        <v>0</v>
      </c>
      <c r="O19" s="430" t="n">
        <v>0</v>
      </c>
      <c r="P19" s="430" t="n">
        <v>0</v>
      </c>
      <c r="Q19" s="430" t="n">
        <v>0</v>
      </c>
      <c r="R19" s="431" t="n">
        <f aca="false">SUM(L19:Q19)</f>
        <v>0</v>
      </c>
      <c r="S19" s="432" t="n">
        <f aca="false">IF(R19&gt;=0,R19/1000000,0)</f>
        <v>0</v>
      </c>
      <c r="T19" s="432" t="n">
        <f aca="false">IF(R19&gt;=0,0,R19/1000000)</f>
        <v>0</v>
      </c>
      <c r="U19" s="414"/>
      <c r="V19" s="424"/>
      <c r="W19" s="414"/>
      <c r="X19" s="414"/>
      <c r="Y19" s="414"/>
      <c r="Z19" s="414"/>
      <c r="AA19" s="425"/>
      <c r="AB19" s="414"/>
      <c r="AC19" s="414"/>
      <c r="AD19" s="414"/>
      <c r="AE19" s="414"/>
      <c r="AF19" s="414"/>
      <c r="AG19" s="414"/>
      <c r="AH19" s="414"/>
      <c r="AI19" s="430"/>
      <c r="AJ19" s="414"/>
      <c r="AK19" s="414"/>
    </row>
    <row r="20" customFormat="false" ht="12.75" hidden="false" customHeight="true" outlineLevel="0" collapsed="false">
      <c r="I20" s="414"/>
      <c r="J20" s="414"/>
      <c r="K20" s="424" t="s">
        <v>152</v>
      </c>
      <c r="L20" s="430" t="n">
        <v>0</v>
      </c>
      <c r="M20" s="430" t="n">
        <v>0</v>
      </c>
      <c r="N20" s="430" t="n">
        <v>0</v>
      </c>
      <c r="O20" s="430" t="n">
        <v>0</v>
      </c>
      <c r="P20" s="430" t="n">
        <v>0</v>
      </c>
      <c r="Q20" s="430" t="n">
        <v>0</v>
      </c>
      <c r="R20" s="431" t="n">
        <f aca="false">SUM(L20:Q20)</f>
        <v>0</v>
      </c>
      <c r="S20" s="432" t="n">
        <f aca="false">IF(R20&gt;=0,R20/1000000,0)</f>
        <v>0</v>
      </c>
      <c r="T20" s="432" t="n">
        <f aca="false">IF(R20&gt;=0,0,R20/1000000)</f>
        <v>0</v>
      </c>
      <c r="U20" s="414"/>
      <c r="V20" s="424" t="s">
        <v>179</v>
      </c>
      <c r="W20" s="414"/>
      <c r="X20" s="414"/>
      <c r="Y20" s="414"/>
      <c r="Z20" s="414" t="n">
        <f aca="false">SUM(E19)-SUM(B58+B59)</f>
        <v>1392259</v>
      </c>
      <c r="AA20" s="425"/>
      <c r="AB20" s="414"/>
      <c r="AC20" s="414"/>
      <c r="AD20" s="414"/>
      <c r="AE20" s="414"/>
      <c r="AF20" s="414"/>
      <c r="AG20" s="414"/>
      <c r="AH20" s="414"/>
      <c r="AI20" s="430"/>
      <c r="AJ20" s="414"/>
      <c r="AK20" s="414"/>
    </row>
    <row r="21" customFormat="false" ht="12.75" hidden="false" customHeight="true" outlineLevel="0" collapsed="false">
      <c r="A21" s="426" t="s">
        <v>180</v>
      </c>
      <c r="I21" s="414"/>
      <c r="J21" s="414"/>
      <c r="K21" s="424" t="s">
        <v>156</v>
      </c>
      <c r="L21" s="430" t="n">
        <v>0</v>
      </c>
      <c r="M21" s="430" t="n">
        <v>0</v>
      </c>
      <c r="N21" s="430" t="n">
        <v>0</v>
      </c>
      <c r="O21" s="430" t="n">
        <v>0</v>
      </c>
      <c r="P21" s="430" t="n">
        <v>0</v>
      </c>
      <c r="Q21" s="430" t="n">
        <v>0</v>
      </c>
      <c r="R21" s="431" t="n">
        <f aca="false">SUM(L21:Q21)</f>
        <v>0</v>
      </c>
      <c r="S21" s="432" t="n">
        <f aca="false">IF(R21&gt;=0,R21/1000000,0)</f>
        <v>0</v>
      </c>
      <c r="T21" s="432" t="n">
        <f aca="false">IF(R21&gt;=0,0,R21/1000000)</f>
        <v>0</v>
      </c>
      <c r="U21" s="428"/>
      <c r="V21" s="444"/>
      <c r="W21" s="448"/>
      <c r="X21" s="448"/>
      <c r="Y21" s="448"/>
      <c r="Z21" s="448"/>
      <c r="AA21" s="449"/>
      <c r="AB21" s="428"/>
      <c r="AC21" s="428"/>
      <c r="AD21" s="428"/>
      <c r="AE21" s="428"/>
      <c r="AF21" s="428"/>
      <c r="AG21" s="428"/>
      <c r="AH21" s="428"/>
      <c r="AI21" s="36"/>
      <c r="AJ21" s="414"/>
      <c r="AK21" s="414"/>
    </row>
    <row r="22" customFormat="false" ht="12.75" hidden="false" customHeight="true" outlineLevel="0" collapsed="false">
      <c r="A22" s="2" t="s">
        <v>181</v>
      </c>
      <c r="E22" s="429" t="n">
        <v>0</v>
      </c>
      <c r="F22" s="1" t="s">
        <v>148</v>
      </c>
      <c r="G22" s="414"/>
      <c r="I22" s="414"/>
      <c r="J22" s="414"/>
      <c r="K22" s="424" t="s">
        <v>160</v>
      </c>
      <c r="L22" s="430" t="n">
        <v>0</v>
      </c>
      <c r="M22" s="430" t="n">
        <v>0</v>
      </c>
      <c r="N22" s="430" t="n">
        <v>0</v>
      </c>
      <c r="O22" s="430" t="n">
        <v>0</v>
      </c>
      <c r="P22" s="430" t="n">
        <v>0</v>
      </c>
      <c r="Q22" s="430" t="n">
        <v>0</v>
      </c>
      <c r="R22" s="431" t="n">
        <f aca="false">SUM(L22:Q22)</f>
        <v>0</v>
      </c>
      <c r="S22" s="432" t="n">
        <f aca="false">IF(R22&gt;=0,R22/1000000,0)</f>
        <v>0</v>
      </c>
      <c r="T22" s="432" t="n">
        <f aca="false">IF(R22&gt;=0,0,R22/1000000)</f>
        <v>0</v>
      </c>
      <c r="U22" s="414"/>
      <c r="V22" s="414"/>
      <c r="W22" s="414"/>
      <c r="X22" s="414"/>
      <c r="Y22" s="414"/>
      <c r="Z22" s="414"/>
      <c r="AA22" s="414"/>
      <c r="AB22" s="414"/>
      <c r="AC22" s="414"/>
      <c r="AD22" s="414"/>
      <c r="AE22" s="414"/>
      <c r="AF22" s="414"/>
      <c r="AG22" s="414"/>
      <c r="AH22" s="414"/>
      <c r="AI22" s="36"/>
      <c r="AJ22" s="414"/>
      <c r="AK22" s="414"/>
    </row>
    <row r="23" customFormat="false" ht="12.75" hidden="false" customHeight="true" outlineLevel="0" collapsed="false">
      <c r="A23" s="2" t="s">
        <v>182</v>
      </c>
      <c r="E23" s="396" t="n">
        <v>0</v>
      </c>
      <c r="F23" s="1" t="s">
        <v>148</v>
      </c>
      <c r="G23" s="414"/>
      <c r="I23" s="414"/>
      <c r="J23" s="414"/>
      <c r="K23" s="424"/>
      <c r="L23" s="414"/>
      <c r="M23" s="414"/>
      <c r="N23" s="414"/>
      <c r="O23" s="414"/>
      <c r="P23" s="414"/>
      <c r="Q23" s="414"/>
      <c r="R23" s="425"/>
      <c r="S23" s="433"/>
      <c r="T23" s="433"/>
      <c r="U23" s="414"/>
      <c r="V23" s="414"/>
      <c r="W23" s="414"/>
      <c r="X23" s="414"/>
      <c r="Y23" s="414"/>
      <c r="Z23" s="414"/>
      <c r="AA23" s="414"/>
      <c r="AB23" s="414"/>
      <c r="AC23" s="414"/>
      <c r="AD23" s="414"/>
      <c r="AE23" s="414"/>
      <c r="AF23" s="414"/>
      <c r="AG23" s="414"/>
      <c r="AH23" s="414"/>
      <c r="AI23" s="36"/>
      <c r="AJ23" s="414"/>
      <c r="AK23" s="414"/>
    </row>
    <row r="24" customFormat="false" ht="12.75" hidden="false" customHeight="true" outlineLevel="0" collapsed="false">
      <c r="A24" s="2" t="s">
        <v>183</v>
      </c>
      <c r="E24" s="450" t="n">
        <f aca="false">E22+E23</f>
        <v>0</v>
      </c>
      <c r="F24" s="2" t="s">
        <v>165</v>
      </c>
      <c r="I24" s="414"/>
      <c r="J24" s="414"/>
      <c r="K24" s="424" t="s">
        <v>166</v>
      </c>
      <c r="L24" s="434" t="n">
        <f aca="false">SUM(L19:L23)/1000000</f>
        <v>0</v>
      </c>
      <c r="M24" s="434" t="n">
        <f aca="false">SUM(M19:M23)/1000000</f>
        <v>0</v>
      </c>
      <c r="N24" s="434" t="n">
        <f aca="false">SUM(N19:N23)/1000000</f>
        <v>0</v>
      </c>
      <c r="O24" s="434" t="n">
        <f aca="false">SUM(O19:O23)/1000000</f>
        <v>0</v>
      </c>
      <c r="P24" s="434" t="n">
        <f aca="false">SUM(P19:P23)/1000000</f>
        <v>0</v>
      </c>
      <c r="Q24" s="434" t="n">
        <f aca="false">SUM(Q19:Q23)/1000000</f>
        <v>0</v>
      </c>
      <c r="R24" s="435" t="n">
        <f aca="false">SUM(R19:R22)/1000000</f>
        <v>0</v>
      </c>
      <c r="S24" s="434" t="n">
        <f aca="false">SUM(S19:S23)</f>
        <v>0</v>
      </c>
      <c r="T24" s="434" t="n">
        <f aca="false">SUM(T19:T23)</f>
        <v>0</v>
      </c>
      <c r="U24" s="428"/>
      <c r="V24" s="428"/>
      <c r="W24" s="428"/>
      <c r="X24" s="428"/>
      <c r="Y24" s="428"/>
      <c r="Z24" s="428"/>
      <c r="AA24" s="428"/>
      <c r="AB24" s="428"/>
      <c r="AC24" s="428"/>
      <c r="AD24" s="428"/>
      <c r="AE24" s="428"/>
      <c r="AF24" s="428"/>
      <c r="AG24" s="428"/>
      <c r="AH24" s="428"/>
      <c r="AI24" s="36"/>
      <c r="AJ24" s="414"/>
      <c r="AK24" s="414"/>
    </row>
    <row r="25" customFormat="false" ht="12.75" hidden="false" customHeight="true" outlineLevel="0" collapsed="false">
      <c r="A25" s="2" t="s">
        <v>184</v>
      </c>
      <c r="E25" s="397" t="n">
        <f aca="false">-M214</f>
        <v>-0</v>
      </c>
      <c r="I25" s="414"/>
      <c r="J25" s="414"/>
      <c r="K25" s="444"/>
      <c r="L25" s="448"/>
      <c r="M25" s="448"/>
      <c r="N25" s="448"/>
      <c r="O25" s="448"/>
      <c r="P25" s="448"/>
      <c r="Q25" s="448"/>
      <c r="R25" s="449"/>
      <c r="S25" s="428"/>
      <c r="T25" s="428"/>
      <c r="U25" s="414"/>
      <c r="V25" s="414"/>
      <c r="W25" s="414"/>
      <c r="X25" s="414"/>
      <c r="Y25" s="414"/>
      <c r="Z25" s="414"/>
      <c r="AA25" s="414"/>
      <c r="AB25" s="414"/>
      <c r="AC25" s="414"/>
      <c r="AD25" s="414"/>
      <c r="AE25" s="414"/>
      <c r="AF25" s="414"/>
      <c r="AG25" s="414"/>
      <c r="AH25" s="414"/>
      <c r="AI25" s="36"/>
      <c r="AJ25" s="414"/>
      <c r="AK25" s="414"/>
    </row>
    <row r="26" customFormat="false" ht="12.75" hidden="false" customHeight="true" outlineLevel="0" collapsed="false">
      <c r="A26" s="3" t="s">
        <v>185</v>
      </c>
      <c r="E26" s="451" t="n">
        <f aca="false">E24+E25</f>
        <v>0</v>
      </c>
      <c r="I26" s="414"/>
      <c r="J26" s="414"/>
      <c r="K26" s="1"/>
      <c r="L26" s="1"/>
      <c r="M26" s="1"/>
      <c r="N26" s="1"/>
      <c r="O26" s="1"/>
      <c r="P26" s="1"/>
      <c r="Q26" s="1"/>
      <c r="R26" s="1"/>
      <c r="S26" s="414"/>
      <c r="T26" s="414"/>
      <c r="U26" s="414"/>
      <c r="V26" s="414"/>
      <c r="W26" s="414"/>
      <c r="X26" s="414"/>
      <c r="Y26" s="414"/>
      <c r="Z26" s="414"/>
      <c r="AA26" s="414"/>
      <c r="AB26" s="414"/>
      <c r="AC26" s="414"/>
      <c r="AD26" s="414"/>
      <c r="AE26" s="414"/>
      <c r="AF26" s="414"/>
      <c r="AG26" s="414"/>
      <c r="AH26" s="414"/>
      <c r="AI26" s="36"/>
      <c r="AJ26" s="414"/>
      <c r="AK26" s="414"/>
    </row>
    <row r="27" customFormat="false" ht="12.75" hidden="false" customHeight="true" outlineLevel="0" collapsed="false">
      <c r="G27" s="414"/>
      <c r="I27" s="414"/>
      <c r="J27" s="414"/>
      <c r="K27" s="452"/>
      <c r="L27" s="417"/>
      <c r="M27" s="417"/>
      <c r="N27" s="417"/>
      <c r="O27" s="417"/>
      <c r="P27" s="417"/>
      <c r="Q27" s="453"/>
      <c r="R27" s="454"/>
      <c r="S27" s="414"/>
      <c r="T27" s="414"/>
      <c r="U27" s="414"/>
      <c r="V27" s="414"/>
      <c r="W27" s="414"/>
      <c r="X27" s="414"/>
      <c r="Y27" s="414"/>
      <c r="Z27" s="414"/>
      <c r="AA27" s="414"/>
      <c r="AB27" s="414"/>
      <c r="AC27" s="414"/>
      <c r="AD27" s="414"/>
      <c r="AE27" s="414"/>
      <c r="AF27" s="414"/>
      <c r="AG27" s="414"/>
      <c r="AH27" s="414"/>
      <c r="AI27" s="414"/>
      <c r="AJ27" s="414"/>
      <c r="AK27" s="414"/>
    </row>
    <row r="28" customFormat="false" ht="12.75" hidden="false" customHeight="true" outlineLevel="0" collapsed="false">
      <c r="A28" s="426" t="s">
        <v>186</v>
      </c>
      <c r="E28" s="414"/>
      <c r="I28" s="414"/>
      <c r="J28" s="414"/>
      <c r="K28" s="455" t="s">
        <v>187</v>
      </c>
      <c r="L28" s="455"/>
      <c r="M28" s="456" t="s">
        <v>188</v>
      </c>
      <c r="N28" s="456" t="s">
        <v>189</v>
      </c>
      <c r="O28" s="414"/>
      <c r="P28" s="414"/>
      <c r="Q28" s="414"/>
      <c r="R28" s="425"/>
      <c r="S28" s="414"/>
      <c r="T28" s="414"/>
      <c r="U28" s="414"/>
      <c r="V28" s="414"/>
      <c r="W28" s="414"/>
      <c r="X28" s="414"/>
      <c r="Y28" s="414"/>
      <c r="Z28" s="414"/>
      <c r="AA28" s="414"/>
      <c r="AB28" s="414"/>
      <c r="AC28" s="414"/>
      <c r="AD28" s="414"/>
      <c r="AE28" s="414"/>
      <c r="AF28" s="414"/>
      <c r="AG28" s="414"/>
      <c r="AH28" s="414"/>
      <c r="AI28" s="414"/>
      <c r="AJ28" s="414"/>
      <c r="AK28" s="414"/>
    </row>
    <row r="29" customFormat="false" ht="12.75" hidden="false" customHeight="true" outlineLevel="0" collapsed="false">
      <c r="A29" s="2" t="s">
        <v>190</v>
      </c>
      <c r="E29" s="429" t="n">
        <v>568776</v>
      </c>
      <c r="F29" s="2" t="s">
        <v>191</v>
      </c>
      <c r="I29" s="414"/>
      <c r="J29" s="414"/>
      <c r="K29" s="424" t="s">
        <v>177</v>
      </c>
      <c r="L29" s="414"/>
      <c r="M29" s="414"/>
      <c r="N29" s="414"/>
      <c r="O29" s="414"/>
      <c r="P29" s="414"/>
      <c r="Q29" s="428"/>
      <c r="R29" s="457"/>
      <c r="S29" s="414"/>
      <c r="T29" s="414"/>
      <c r="U29" s="414"/>
      <c r="V29" s="414"/>
      <c r="W29" s="414"/>
      <c r="X29" s="414"/>
      <c r="Y29" s="414"/>
      <c r="Z29" s="414"/>
      <c r="AA29" s="414"/>
      <c r="AB29" s="414"/>
      <c r="AC29" s="414"/>
      <c r="AD29" s="414"/>
      <c r="AE29" s="414"/>
      <c r="AF29" s="414"/>
      <c r="AG29" s="414"/>
      <c r="AH29" s="414"/>
      <c r="AI29" s="414"/>
      <c r="AJ29" s="414"/>
      <c r="AK29" s="414"/>
    </row>
    <row r="30" customFormat="false" ht="12.75" hidden="false" customHeight="true" outlineLevel="0" collapsed="false">
      <c r="A30" s="2" t="s">
        <v>192</v>
      </c>
      <c r="E30" s="458" t="n">
        <f aca="false">B61</f>
        <v>0</v>
      </c>
      <c r="F30" s="2" t="s">
        <v>193</v>
      </c>
      <c r="I30" s="414"/>
      <c r="J30" s="414"/>
      <c r="K30" s="424" t="s">
        <v>194</v>
      </c>
      <c r="L30" s="414"/>
      <c r="M30" s="430" t="n">
        <v>1426641</v>
      </c>
      <c r="N30" s="430"/>
      <c r="O30" s="414" t="s">
        <v>191</v>
      </c>
      <c r="P30" s="414"/>
      <c r="Q30" s="414"/>
      <c r="R30" s="425"/>
      <c r="S30" s="414"/>
      <c r="T30" s="414"/>
      <c r="U30" s="414"/>
      <c r="V30" s="414"/>
      <c r="W30" s="414"/>
      <c r="X30" s="414"/>
      <c r="Y30" s="414"/>
      <c r="Z30" s="414"/>
      <c r="AA30" s="414"/>
      <c r="AB30" s="414"/>
      <c r="AC30" s="414"/>
      <c r="AD30" s="414"/>
      <c r="AE30" s="414"/>
      <c r="AF30" s="414"/>
      <c r="AG30" s="414"/>
      <c r="AH30" s="414"/>
      <c r="AI30" s="414"/>
      <c r="AJ30" s="414"/>
      <c r="AK30" s="414"/>
    </row>
    <row r="31" customFormat="false" ht="12.75" hidden="false" customHeight="true" outlineLevel="0" collapsed="false">
      <c r="A31" s="2" t="s">
        <v>195</v>
      </c>
      <c r="E31" s="397" t="n">
        <f aca="false">B102</f>
        <v>0</v>
      </c>
      <c r="F31" s="2" t="s">
        <v>193</v>
      </c>
      <c r="I31" s="414"/>
      <c r="J31" s="414"/>
      <c r="K31" s="424" t="s">
        <v>196</v>
      </c>
      <c r="L31" s="414"/>
      <c r="M31" s="430" t="n">
        <v>0</v>
      </c>
      <c r="N31" s="36" t="n">
        <f aca="false">M31</f>
        <v>0</v>
      </c>
      <c r="O31" s="414" t="s">
        <v>191</v>
      </c>
      <c r="P31" s="414"/>
      <c r="Q31" s="414"/>
      <c r="R31" s="425"/>
      <c r="S31" s="414"/>
      <c r="T31" s="414"/>
      <c r="U31" s="414"/>
      <c r="V31" s="414"/>
      <c r="W31" s="414"/>
      <c r="X31" s="414"/>
      <c r="Y31" s="414"/>
      <c r="Z31" s="414"/>
      <c r="AA31" s="414"/>
      <c r="AB31" s="414"/>
      <c r="AC31" s="414"/>
      <c r="AD31" s="414"/>
      <c r="AE31" s="414"/>
      <c r="AF31" s="414"/>
      <c r="AG31" s="414"/>
      <c r="AH31" s="414"/>
      <c r="AI31" s="428"/>
      <c r="AJ31" s="414"/>
      <c r="AK31" s="414"/>
    </row>
    <row r="32" customFormat="false" ht="12.75" hidden="false" customHeight="true" outlineLevel="0" collapsed="false">
      <c r="A32" s="2" t="s">
        <v>197</v>
      </c>
      <c r="E32" s="458" t="n">
        <f aca="false">B118</f>
        <v>0</v>
      </c>
      <c r="F32" s="2" t="s">
        <v>193</v>
      </c>
      <c r="K32" s="424" t="s">
        <v>198</v>
      </c>
      <c r="L32" s="414"/>
      <c r="M32" s="430" t="n">
        <v>568776</v>
      </c>
      <c r="N32" s="36"/>
      <c r="O32" s="414" t="s">
        <v>191</v>
      </c>
      <c r="P32" s="414"/>
      <c r="Q32" s="414"/>
      <c r="R32" s="425"/>
      <c r="AI32" s="1"/>
    </row>
    <row r="33" customFormat="false" ht="12.75" hidden="false" customHeight="true" outlineLevel="0" collapsed="false">
      <c r="A33" s="2" t="s">
        <v>357</v>
      </c>
      <c r="E33" s="397" t="n">
        <f aca="false">B68</f>
        <v>0</v>
      </c>
      <c r="F33" s="2" t="s">
        <v>193</v>
      </c>
      <c r="K33" s="424"/>
      <c r="L33" s="428"/>
      <c r="M33" s="36"/>
      <c r="N33" s="36"/>
      <c r="O33" s="414"/>
      <c r="P33" s="414"/>
      <c r="Q33" s="414"/>
      <c r="R33" s="425"/>
    </row>
    <row r="34" customFormat="false" ht="12.75" hidden="false" customHeight="true" outlineLevel="0" collapsed="false">
      <c r="A34" s="2" t="s">
        <v>200</v>
      </c>
      <c r="E34" s="397" t="n">
        <f aca="false">B69</f>
        <v>0</v>
      </c>
      <c r="F34" s="2" t="s">
        <v>193</v>
      </c>
      <c r="K34" s="424" t="s">
        <v>201</v>
      </c>
      <c r="L34" s="414"/>
      <c r="M34" s="36" t="n">
        <f aca="false">B76</f>
        <v>-31267</v>
      </c>
      <c r="N34" s="36" t="n">
        <f aca="false">B63</f>
        <v>0</v>
      </c>
      <c r="O34" s="414" t="s">
        <v>202</v>
      </c>
      <c r="P34" s="414"/>
      <c r="Q34" s="414"/>
      <c r="R34" s="425"/>
    </row>
    <row r="35" customFormat="false" ht="12.75" hidden="false" customHeight="true" outlineLevel="0" collapsed="false">
      <c r="A35" s="2" t="s">
        <v>203</v>
      </c>
      <c r="E35" s="397" t="n">
        <f aca="false">F238</f>
        <v>0</v>
      </c>
      <c r="F35" s="2" t="s">
        <v>193</v>
      </c>
      <c r="K35" s="424"/>
      <c r="L35" s="414"/>
      <c r="M35" s="36"/>
      <c r="N35" s="36"/>
      <c r="O35" s="414"/>
      <c r="P35" s="414"/>
      <c r="Q35" s="414"/>
      <c r="R35" s="425"/>
    </row>
    <row r="36" customFormat="false" ht="12.75" hidden="false" customHeight="true" outlineLevel="0" collapsed="false">
      <c r="A36" s="3" t="s">
        <v>204</v>
      </c>
      <c r="E36" s="447" t="n">
        <f aca="false">SUM(E29:E35)</f>
        <v>568776</v>
      </c>
      <c r="K36" s="424" t="s">
        <v>205</v>
      </c>
      <c r="L36" s="428"/>
      <c r="M36" s="36" t="n">
        <f aca="false">SUM(M30:M34)</f>
        <v>1964150</v>
      </c>
      <c r="N36" s="36" t="n">
        <f aca="false">SUM(N30:N34)</f>
        <v>0</v>
      </c>
      <c r="O36" s="414"/>
      <c r="P36" s="414"/>
      <c r="Q36" s="414"/>
      <c r="R36" s="425"/>
    </row>
    <row r="37" customFormat="false" ht="12.75" hidden="false" customHeight="true" outlineLevel="0" collapsed="false">
      <c r="K37" s="459"/>
      <c r="L37" s="428"/>
      <c r="M37" s="428"/>
      <c r="N37" s="428"/>
      <c r="O37" s="414"/>
      <c r="P37" s="414"/>
      <c r="Q37" s="414"/>
      <c r="R37" s="425"/>
    </row>
    <row r="38" customFormat="false" ht="12.75" hidden="false" customHeight="true" outlineLevel="0" collapsed="false">
      <c r="A38" s="426" t="s">
        <v>206</v>
      </c>
      <c r="C38" s="430"/>
      <c r="E38" s="447" t="n">
        <f aca="false">+E36+E26+E19</f>
        <v>1964150</v>
      </c>
      <c r="K38" s="424"/>
      <c r="L38" s="460" t="s">
        <v>207</v>
      </c>
      <c r="M38" s="37" t="n">
        <f aca="false">M36-E38</f>
        <v>0</v>
      </c>
      <c r="N38" s="37" t="n">
        <f aca="false">+N36-E26</f>
        <v>0</v>
      </c>
      <c r="O38" s="414"/>
      <c r="P38" s="414"/>
      <c r="Q38" s="414"/>
      <c r="R38" s="425"/>
      <c r="AN38" s="1"/>
      <c r="AO38" s="1"/>
      <c r="AP38" s="1"/>
      <c r="AQ38" s="1"/>
      <c r="AR38" s="1"/>
      <c r="AS38" s="1"/>
    </row>
    <row r="39" customFormat="false" ht="12.75" hidden="false" customHeight="true" outlineLevel="0" collapsed="false">
      <c r="K39" s="461"/>
      <c r="L39" s="462"/>
      <c r="M39" s="462"/>
      <c r="N39" s="463"/>
      <c r="O39" s="462"/>
      <c r="P39" s="462"/>
      <c r="Q39" s="462"/>
      <c r="R39" s="464"/>
      <c r="AJ39" s="1"/>
      <c r="AK39" s="1"/>
      <c r="AN39" s="1"/>
      <c r="AO39" s="1"/>
      <c r="AP39" s="1"/>
      <c r="AQ39" s="1"/>
      <c r="AR39" s="1"/>
      <c r="AS39" s="1"/>
    </row>
    <row r="40" customFormat="false" ht="12.75" hidden="false" customHeight="true" outlineLevel="0" collapsed="false">
      <c r="K40" s="414"/>
      <c r="L40" s="414"/>
      <c r="M40" s="414"/>
      <c r="N40" s="414"/>
      <c r="O40" s="414"/>
      <c r="P40" s="414"/>
      <c r="AJ40" s="1"/>
      <c r="AK40" s="1"/>
      <c r="AN40" s="1"/>
      <c r="AO40" s="1"/>
      <c r="AP40" s="1"/>
      <c r="AQ40" s="1"/>
      <c r="AR40" s="1"/>
      <c r="AS40" s="1"/>
    </row>
    <row r="41" customFormat="false" ht="12.75" hidden="false" customHeight="true" outlineLevel="0" collapsed="false">
      <c r="A41" s="465" t="s">
        <v>208</v>
      </c>
      <c r="B41" s="465"/>
      <c r="K41" s="1"/>
      <c r="L41" s="1"/>
      <c r="M41" s="466"/>
      <c r="N41" s="1"/>
      <c r="O41" s="1"/>
      <c r="P41" s="1"/>
      <c r="AJ41" s="1"/>
      <c r="AK41" s="1"/>
      <c r="AN41" s="1"/>
      <c r="AO41" s="1"/>
      <c r="AP41" s="1"/>
      <c r="AQ41" s="1"/>
      <c r="AR41" s="1"/>
      <c r="AS41" s="1"/>
    </row>
    <row r="42" customFormat="false" ht="12.75" hidden="false" customHeight="true" outlineLevel="0" collapsed="false">
      <c r="B42" s="1"/>
      <c r="AI42" s="467" t="s">
        <v>209</v>
      </c>
      <c r="AJ42" s="467"/>
      <c r="AK42" s="1"/>
      <c r="AN42" s="1"/>
      <c r="AO42" s="1"/>
      <c r="AP42" s="1"/>
      <c r="AQ42" s="1"/>
      <c r="AR42" s="1"/>
      <c r="AS42" s="1"/>
    </row>
    <row r="43" customFormat="false" ht="12.75" hidden="false" customHeight="true" outlineLevel="0" collapsed="false">
      <c r="A43" s="468"/>
      <c r="B43" s="469" t="s">
        <v>210</v>
      </c>
      <c r="C43" s="470" t="n">
        <f aca="false">SUM(C47:C76)-C61-C68-C69</f>
        <v>13591</v>
      </c>
      <c r="D43" s="470" t="n">
        <f aca="false">SUM(D47:D76)-D61-D68-D69</f>
        <v>-56381</v>
      </c>
      <c r="E43" s="470" t="n">
        <f aca="false">SUM(E47:E76)-E61-E68-E69</f>
        <v>-7233</v>
      </c>
      <c r="F43" s="470" t="n">
        <f aca="false">SUM(F47:F76)-F61-F68-F69</f>
        <v>0</v>
      </c>
      <c r="G43" s="470" t="n">
        <f aca="false">SUM(G47:G76)-G61-G68-G69</f>
        <v>0</v>
      </c>
      <c r="H43" s="470" t="n">
        <f aca="false">SUM(H47:H76)-H61-H68-H69</f>
        <v>-17031</v>
      </c>
      <c r="I43" s="470" t="n">
        <f aca="false">SUM(I47:I76)-I61-I68-I69</f>
        <v>13893</v>
      </c>
      <c r="J43" s="470" t="n">
        <f aca="false">SUM(J47:J76)-J61-J68-J69</f>
        <v>-28798</v>
      </c>
      <c r="K43" s="470" t="n">
        <f aca="false">SUM(K47:K76)-K61-K68-K69</f>
        <v>14408</v>
      </c>
      <c r="L43" s="470" t="n">
        <f aca="false">SUM(L47:L76)-L61-L68-L69</f>
        <v>17396</v>
      </c>
      <c r="M43" s="470" t="n">
        <f aca="false">SUM(M47:M76)-M61-M68-M69</f>
        <v>0</v>
      </c>
      <c r="N43" s="470" t="n">
        <f aca="false">SUM(N47:N76)-N61-N68-N69</f>
        <v>0</v>
      </c>
      <c r="O43" s="470" t="n">
        <f aca="false">SUM(O47:O76)-O61-O68-O69</f>
        <v>5730</v>
      </c>
      <c r="P43" s="470" t="n">
        <f aca="false">SUM(P47:P76)-P61-P68-P69</f>
        <v>11581</v>
      </c>
      <c r="Q43" s="470" t="n">
        <f aca="false">SUM(Q47:Q76)-Q61-Q68-Q69</f>
        <v>197</v>
      </c>
      <c r="R43" s="470" t="n">
        <f aca="false">SUM(R47:R76)-R61-R68-R69</f>
        <v>1231</v>
      </c>
      <c r="S43" s="470" t="n">
        <f aca="false">SUM(S47:S76)-S61-S68-S69</f>
        <v>149</v>
      </c>
      <c r="T43" s="470" t="n">
        <f aca="false">SUM(T47:T76)-T61-T68-T69</f>
        <v>0</v>
      </c>
      <c r="U43" s="470" t="n">
        <f aca="false">SUM(U47:U76)-U61-U68-U69</f>
        <v>0</v>
      </c>
      <c r="V43" s="470" t="n">
        <f aca="false">SUM(V47:V76)-V61-V68-V69</f>
        <v>0</v>
      </c>
      <c r="W43" s="470" t="n">
        <f aca="false">SUM(W47:W76)-Y61-W68-W69</f>
        <v>0</v>
      </c>
      <c r="X43" s="470" t="n">
        <f aca="false">SUM(X47:X76)-X61-X68-X69</f>
        <v>0</v>
      </c>
      <c r="Y43" s="470" t="n">
        <f aca="false">SUM(Y47:Y76)-Y61-Y68-Y69</f>
        <v>0</v>
      </c>
      <c r="Z43" s="470" t="n">
        <f aca="false">SUM(Z47:Z76)-Z61-Z68-Z69</f>
        <v>0</v>
      </c>
      <c r="AA43" s="470" t="n">
        <f aca="false">SUM(AA47:AA76)-AA61-AA68-AA69</f>
        <v>0</v>
      </c>
      <c r="AB43" s="470" t="n">
        <f aca="false">SUM(AB47:AB76)-AB61-AB68-AB69</f>
        <v>0</v>
      </c>
      <c r="AC43" s="470" t="n">
        <f aca="false">SUM(AC47:AC76)-AC61-AC68-AC69</f>
        <v>0</v>
      </c>
      <c r="AD43" s="470" t="n">
        <f aca="false">SUM(AD47:AD76)-AD61-AD68-AD69</f>
        <v>0</v>
      </c>
      <c r="AE43" s="470" t="n">
        <f aca="false">SUM(AE47:AE76)-AE61-AE68-AE69</f>
        <v>0</v>
      </c>
      <c r="AF43" s="470" t="n">
        <f aca="false">SUM(AF47:AF76)-AF61-AF68-AF69</f>
        <v>0</v>
      </c>
      <c r="AG43" s="470" t="n">
        <f aca="false">SUM(AG47:AG76)-AG61-AG68-AG69</f>
        <v>0</v>
      </c>
      <c r="AH43" s="1"/>
      <c r="AI43" s="471" t="s">
        <v>211</v>
      </c>
      <c r="AJ43" s="472" t="s">
        <v>212</v>
      </c>
      <c r="AK43" s="1"/>
      <c r="AL43" s="419"/>
      <c r="AN43" s="1"/>
      <c r="AO43" s="1"/>
      <c r="AP43" s="1"/>
      <c r="AQ43" s="1"/>
      <c r="AR43" s="1"/>
      <c r="AS43" s="1"/>
    </row>
    <row r="44" customFormat="false" ht="12.75" hidden="false" customHeight="true" outlineLevel="0" collapsed="false">
      <c r="A44" s="473" t="s">
        <v>213</v>
      </c>
      <c r="B44" s="474" t="n">
        <f aca="false">B4</f>
        <v>36831</v>
      </c>
      <c r="C44" s="475" t="n">
        <f aca="false">B44</f>
        <v>36831</v>
      </c>
      <c r="D44" s="475" t="n">
        <f aca="false">C44+1</f>
        <v>36832</v>
      </c>
      <c r="E44" s="475" t="n">
        <f aca="false">D44+1</f>
        <v>36833</v>
      </c>
      <c r="F44" s="475" t="n">
        <f aca="false">E44+1</f>
        <v>36834</v>
      </c>
      <c r="G44" s="475" t="n">
        <f aca="false">F44+1</f>
        <v>36835</v>
      </c>
      <c r="H44" s="475" t="n">
        <f aca="false">G44+1</f>
        <v>36836</v>
      </c>
      <c r="I44" s="475" t="n">
        <f aca="false">H44+1</f>
        <v>36837</v>
      </c>
      <c r="J44" s="475" t="n">
        <f aca="false">I44+1</f>
        <v>36838</v>
      </c>
      <c r="K44" s="475" t="n">
        <f aca="false">J44+1</f>
        <v>36839</v>
      </c>
      <c r="L44" s="475" t="n">
        <f aca="false">K44+1</f>
        <v>36840</v>
      </c>
      <c r="M44" s="475" t="n">
        <f aca="false">L44+1</f>
        <v>36841</v>
      </c>
      <c r="N44" s="475" t="n">
        <f aca="false">M44+1</f>
        <v>36842</v>
      </c>
      <c r="O44" s="475" t="n">
        <f aca="false">N44+1</f>
        <v>36843</v>
      </c>
      <c r="P44" s="475" t="n">
        <f aca="false">O44+1</f>
        <v>36844</v>
      </c>
      <c r="Q44" s="475" t="n">
        <f aca="false">P44+1</f>
        <v>36845</v>
      </c>
      <c r="R44" s="475" t="n">
        <f aca="false">Q44+1</f>
        <v>36846</v>
      </c>
      <c r="S44" s="475" t="n">
        <f aca="false">R44+1</f>
        <v>36847</v>
      </c>
      <c r="T44" s="475" t="n">
        <f aca="false">S44+1</f>
        <v>36848</v>
      </c>
      <c r="U44" s="475" t="n">
        <f aca="false">T44+1</f>
        <v>36849</v>
      </c>
      <c r="V44" s="475" t="n">
        <f aca="false">U44+1</f>
        <v>36850</v>
      </c>
      <c r="W44" s="475" t="n">
        <f aca="false">V44+1</f>
        <v>36851</v>
      </c>
      <c r="X44" s="475" t="n">
        <f aca="false">W44+1</f>
        <v>36852</v>
      </c>
      <c r="Y44" s="475" t="n">
        <f aca="false">X44+1</f>
        <v>36853</v>
      </c>
      <c r="Z44" s="475" t="n">
        <f aca="false">Y44+1</f>
        <v>36854</v>
      </c>
      <c r="AA44" s="475" t="n">
        <f aca="false">Z44+1</f>
        <v>36855</v>
      </c>
      <c r="AB44" s="475" t="n">
        <f aca="false">AA44+1</f>
        <v>36856</v>
      </c>
      <c r="AC44" s="475" t="n">
        <f aca="false">AB44+1</f>
        <v>36857</v>
      </c>
      <c r="AD44" s="475" t="n">
        <f aca="false">AC44+1</f>
        <v>36858</v>
      </c>
      <c r="AE44" s="475" t="n">
        <f aca="false">AD44+1</f>
        <v>36859</v>
      </c>
      <c r="AF44" s="475" t="n">
        <f aca="false">AE44+1</f>
        <v>36860</v>
      </c>
      <c r="AG44" s="475" t="n">
        <f aca="false">AF44+1</f>
        <v>36861</v>
      </c>
      <c r="AH44" s="476"/>
      <c r="AI44" s="477" t="n">
        <v>1</v>
      </c>
      <c r="AJ44" s="478" t="s">
        <v>214</v>
      </c>
      <c r="AK44" s="476"/>
      <c r="AL44" s="479"/>
      <c r="AM44" s="476"/>
      <c r="AN44" s="476"/>
      <c r="AO44" s="476"/>
      <c r="AP44" s="476"/>
      <c r="AQ44" s="476"/>
      <c r="AR44" s="476"/>
      <c r="AS44" s="476"/>
      <c r="AT44" s="476"/>
      <c r="AU44" s="476"/>
      <c r="AV44" s="476"/>
      <c r="AW44" s="476"/>
      <c r="AX44" s="476"/>
      <c r="AY44" s="476"/>
      <c r="AZ44" s="476"/>
      <c r="BA44" s="476"/>
      <c r="BB44" s="476"/>
      <c r="BC44" s="476"/>
      <c r="BD44" s="476"/>
      <c r="BE44" s="476"/>
      <c r="BF44" s="476"/>
      <c r="BG44" s="476"/>
      <c r="BH44" s="476"/>
      <c r="BI44" s="476"/>
      <c r="BJ44" s="476"/>
      <c r="BK44" s="476"/>
      <c r="BL44" s="476"/>
      <c r="BM44" s="476"/>
      <c r="BN44" s="476"/>
      <c r="BO44" s="476"/>
      <c r="BP44" s="476"/>
      <c r="BQ44" s="476"/>
      <c r="BR44" s="476"/>
      <c r="BS44" s="476"/>
      <c r="BT44" s="476"/>
      <c r="BU44" s="476"/>
      <c r="BV44" s="476"/>
      <c r="BW44" s="476"/>
      <c r="BX44" s="476"/>
      <c r="BY44" s="476"/>
      <c r="BZ44" s="476"/>
      <c r="CA44" s="476"/>
      <c r="CB44" s="476"/>
      <c r="CC44" s="476"/>
      <c r="CD44" s="476"/>
      <c r="CE44" s="476"/>
      <c r="CF44" s="476"/>
      <c r="CG44" s="476"/>
      <c r="CH44" s="476"/>
      <c r="CI44" s="476"/>
      <c r="CJ44" s="476"/>
      <c r="CK44" s="476"/>
      <c r="CL44" s="476"/>
      <c r="CM44" s="476"/>
      <c r="CN44" s="476"/>
      <c r="CO44" s="476"/>
      <c r="CP44" s="476"/>
      <c r="CQ44" s="476"/>
      <c r="CR44" s="476"/>
      <c r="CS44" s="476"/>
      <c r="CT44" s="476"/>
      <c r="CU44" s="476"/>
      <c r="CV44" s="476"/>
      <c r="CW44" s="476"/>
      <c r="CX44" s="476"/>
      <c r="CY44" s="476"/>
      <c r="CZ44" s="476"/>
      <c r="DA44" s="476"/>
      <c r="DB44" s="476"/>
      <c r="DC44" s="476"/>
      <c r="DD44" s="476"/>
      <c r="DE44" s="476"/>
      <c r="DF44" s="476"/>
      <c r="DG44" s="476"/>
      <c r="DH44" s="476"/>
      <c r="DI44" s="476"/>
      <c r="DJ44" s="476"/>
      <c r="DK44" s="476"/>
      <c r="DL44" s="476"/>
      <c r="DM44" s="476"/>
      <c r="DN44" s="476"/>
      <c r="DO44" s="476"/>
      <c r="DP44" s="476"/>
      <c r="DQ44" s="476"/>
      <c r="DR44" s="476"/>
      <c r="DS44" s="476"/>
      <c r="DT44" s="476"/>
      <c r="DU44" s="476"/>
      <c r="DV44" s="476"/>
      <c r="DW44" s="476"/>
      <c r="DX44" s="476"/>
      <c r="DY44" s="476"/>
      <c r="DZ44" s="476"/>
      <c r="EA44" s="476"/>
      <c r="EB44" s="476"/>
      <c r="EC44" s="476"/>
      <c r="ED44" s="476"/>
      <c r="EE44" s="476"/>
      <c r="EF44" s="476"/>
      <c r="EG44" s="476"/>
      <c r="EH44" s="476"/>
      <c r="EI44" s="476"/>
      <c r="EJ44" s="476"/>
      <c r="EK44" s="476"/>
      <c r="EL44" s="476"/>
      <c r="EM44" s="476"/>
      <c r="EN44" s="476"/>
      <c r="EO44" s="476"/>
      <c r="EP44" s="476"/>
      <c r="EQ44" s="476"/>
      <c r="ER44" s="476"/>
      <c r="ES44" s="476"/>
      <c r="ET44" s="476"/>
      <c r="EU44" s="476"/>
      <c r="EV44" s="476"/>
      <c r="EW44" s="476"/>
      <c r="EX44" s="476"/>
      <c r="EY44" s="476"/>
      <c r="EZ44" s="476"/>
      <c r="FA44" s="476"/>
      <c r="FB44" s="476"/>
      <c r="FC44" s="476"/>
      <c r="FD44" s="476"/>
      <c r="FE44" s="476"/>
      <c r="FF44" s="476"/>
      <c r="FG44" s="476"/>
      <c r="FH44" s="476"/>
      <c r="FI44" s="476"/>
      <c r="FJ44" s="476"/>
      <c r="FK44" s="476"/>
      <c r="FL44" s="476"/>
      <c r="FM44" s="476"/>
      <c r="FN44" s="476"/>
      <c r="FO44" s="476"/>
      <c r="FP44" s="476"/>
      <c r="FQ44" s="476"/>
      <c r="FR44" s="476"/>
      <c r="FS44" s="476"/>
      <c r="FT44" s="476"/>
      <c r="FU44" s="476"/>
      <c r="FV44" s="476"/>
      <c r="FW44" s="476"/>
      <c r="FX44" s="476"/>
      <c r="FY44" s="476"/>
      <c r="FZ44" s="476"/>
      <c r="GA44" s="476"/>
      <c r="GB44" s="476"/>
      <c r="GC44" s="476"/>
      <c r="GD44" s="476"/>
      <c r="GE44" s="476"/>
      <c r="GF44" s="476"/>
      <c r="GG44" s="476"/>
      <c r="GH44" s="476"/>
      <c r="GI44" s="476"/>
      <c r="GJ44" s="476"/>
      <c r="GK44" s="476"/>
      <c r="GL44" s="476"/>
      <c r="GM44" s="476"/>
      <c r="GN44" s="476"/>
      <c r="GO44" s="476"/>
      <c r="GP44" s="476"/>
      <c r="GQ44" s="476"/>
      <c r="GR44" s="476"/>
      <c r="GS44" s="476"/>
      <c r="GT44" s="476"/>
      <c r="GU44" s="476"/>
      <c r="GV44" s="476"/>
      <c r="GW44" s="476"/>
      <c r="GX44" s="476"/>
      <c r="GY44" s="476"/>
      <c r="GZ44" s="476"/>
      <c r="HA44" s="476"/>
      <c r="HB44" s="476"/>
      <c r="HC44" s="476"/>
      <c r="HD44" s="476"/>
      <c r="HE44" s="476"/>
      <c r="HF44" s="476"/>
      <c r="HG44" s="476"/>
      <c r="HH44" s="476"/>
      <c r="HI44" s="476"/>
      <c r="HJ44" s="476"/>
      <c r="HK44" s="476"/>
      <c r="HL44" s="476"/>
      <c r="HM44" s="476"/>
      <c r="HN44" s="476"/>
      <c r="HO44" s="476"/>
      <c r="HP44" s="476"/>
      <c r="HQ44" s="476"/>
      <c r="HR44" s="476"/>
      <c r="HS44" s="476"/>
      <c r="HT44" s="476"/>
      <c r="HU44" s="476"/>
      <c r="HV44" s="476"/>
      <c r="HW44" s="476"/>
      <c r="HX44" s="476"/>
      <c r="HY44" s="476"/>
      <c r="HZ44" s="476"/>
      <c r="IA44" s="476"/>
      <c r="IB44" s="476"/>
      <c r="IC44" s="476"/>
      <c r="ID44" s="476"/>
      <c r="IE44" s="476"/>
      <c r="IF44" s="476"/>
      <c r="IG44" s="476"/>
      <c r="IH44" s="476"/>
      <c r="II44" s="476"/>
      <c r="IJ44" s="476"/>
      <c r="IK44" s="476"/>
      <c r="IL44" s="476"/>
      <c r="IM44" s="476"/>
      <c r="IN44" s="476"/>
      <c r="IO44" s="476"/>
      <c r="IP44" s="476"/>
      <c r="IQ44" s="476"/>
      <c r="IR44" s="476"/>
      <c r="IS44" s="476"/>
      <c r="IT44" s="476"/>
      <c r="IU44" s="476"/>
      <c r="IV44" s="476"/>
      <c r="IW44" s="476"/>
    </row>
    <row r="45" customFormat="false" ht="12.75" hidden="false" customHeight="true" outlineLevel="0" collapsed="false">
      <c r="A45" s="480"/>
      <c r="B45" s="480"/>
      <c r="C45" s="481" t="str">
        <f aca="false">LOOKUP((WEEKDAY(C44,1)),$AI$44:$AI$50,$AJ$44:$AJ$50)</f>
        <v>W</v>
      </c>
      <c r="D45" s="481" t="str">
        <f aca="false">LOOKUP((WEEKDAY(D44,1)),$AI$44:$AI$50,$AJ$44:$AJ$50)</f>
        <v>R</v>
      </c>
      <c r="E45" s="481" t="str">
        <f aca="false">LOOKUP((WEEKDAY(E44,1)),$AI$44:$AI$50,$AJ$44:$AJ$50)</f>
        <v>F</v>
      </c>
      <c r="F45" s="481" t="str">
        <f aca="false">LOOKUP((WEEKDAY(F44,1)),$AI$44:$AI$50,$AJ$44:$AJ$50)</f>
        <v>S</v>
      </c>
      <c r="G45" s="481" t="str">
        <f aca="false">LOOKUP((WEEKDAY(G44,1)),$AI$44:$AI$50,$AJ$44:$AJ$50)</f>
        <v>S</v>
      </c>
      <c r="H45" s="481" t="str">
        <f aca="false">LOOKUP((WEEKDAY(H44,1)),$AI$44:$AI$50,$AJ$44:$AJ$50)</f>
        <v>M</v>
      </c>
      <c r="I45" s="481" t="str">
        <f aca="false">LOOKUP((WEEKDAY(I44,1)),$AI$44:$AI$50,$AJ$44:$AJ$50)</f>
        <v>T</v>
      </c>
      <c r="J45" s="481" t="str">
        <f aca="false">LOOKUP((WEEKDAY(J44,1)),$AI$44:$AI$50,$AJ$44:$AJ$50)</f>
        <v>W</v>
      </c>
      <c r="K45" s="481" t="str">
        <f aca="false">LOOKUP((WEEKDAY(K44,1)),$AI$44:$AI$50,$AJ$44:$AJ$50)</f>
        <v>R</v>
      </c>
      <c r="L45" s="481" t="str">
        <f aca="false">LOOKUP((WEEKDAY(L44,1)),$AI$44:$AI$50,$AJ$44:$AJ$50)</f>
        <v>F</v>
      </c>
      <c r="M45" s="481" t="str">
        <f aca="false">LOOKUP((WEEKDAY(M44,1)),$AI$44:$AI$50,$AJ$44:$AJ$50)</f>
        <v>S</v>
      </c>
      <c r="N45" s="481" t="str">
        <f aca="false">LOOKUP((WEEKDAY(N44,1)),$AI$44:$AI$50,$AJ$44:$AJ$50)</f>
        <v>S</v>
      </c>
      <c r="O45" s="481" t="str">
        <f aca="false">LOOKUP((WEEKDAY(O44,1)),$AI$44:$AI$50,$AJ$44:$AJ$50)</f>
        <v>M</v>
      </c>
      <c r="P45" s="481" t="str">
        <f aca="false">LOOKUP((WEEKDAY(P44,1)),$AI$44:$AI$50,$AJ$44:$AJ$50)</f>
        <v>T</v>
      </c>
      <c r="Q45" s="481" t="str">
        <f aca="false">LOOKUP((WEEKDAY(Q44,1)),$AI$44:$AI$50,$AJ$44:$AJ$50)</f>
        <v>W</v>
      </c>
      <c r="R45" s="481" t="str">
        <f aca="false">LOOKUP((WEEKDAY(R44,1)),$AI$44:$AI$50,$AJ$44:$AJ$50)</f>
        <v>R</v>
      </c>
      <c r="S45" s="481" t="str">
        <f aca="false">LOOKUP((WEEKDAY(S44,1)),$AI$44:$AI$50,$AJ$44:$AJ$50)</f>
        <v>F</v>
      </c>
      <c r="T45" s="481" t="str">
        <f aca="false">LOOKUP((WEEKDAY(T44,1)),$AI$44:$AI$50,$AJ$44:$AJ$50)</f>
        <v>S</v>
      </c>
      <c r="U45" s="481" t="str">
        <f aca="false">LOOKUP((WEEKDAY(U44,1)),$AI$44:$AI$50,$AJ$44:$AJ$50)</f>
        <v>S</v>
      </c>
      <c r="V45" s="481" t="str">
        <f aca="false">LOOKUP((WEEKDAY(V44,1)),$AI$44:$AI$50,$AJ$44:$AJ$50)</f>
        <v>M</v>
      </c>
      <c r="W45" s="481" t="str">
        <f aca="false">LOOKUP((WEEKDAY(W44,1)),$AI$44:$AI$50,$AJ$44:$AJ$50)</f>
        <v>T</v>
      </c>
      <c r="X45" s="481" t="str">
        <f aca="false">LOOKUP((WEEKDAY(X44,1)),$AI$44:$AI$50,$AJ$44:$AJ$50)</f>
        <v>W</v>
      </c>
      <c r="Y45" s="481" t="str">
        <f aca="false">LOOKUP((WEEKDAY(Y44,1)),$AI$44:$AI$50,$AJ$44:$AJ$50)</f>
        <v>R</v>
      </c>
      <c r="Z45" s="481" t="str">
        <f aca="false">LOOKUP((WEEKDAY(Z44,1)),$AI$44:$AI$50,$AJ$44:$AJ$50)</f>
        <v>F</v>
      </c>
      <c r="AA45" s="481" t="str">
        <f aca="false">LOOKUP((WEEKDAY(AA44,1)),$AI$44:$AI$50,$AJ$44:$AJ$50)</f>
        <v>S</v>
      </c>
      <c r="AB45" s="481" t="str">
        <f aca="false">LOOKUP((WEEKDAY(AB44,1)),$AI$44:$AI$50,$AJ$44:$AJ$50)</f>
        <v>S</v>
      </c>
      <c r="AC45" s="481" t="str">
        <f aca="false">LOOKUP((WEEKDAY(AC44,1)),$AI$44:$AI$50,$AJ$44:$AJ$50)</f>
        <v>M</v>
      </c>
      <c r="AD45" s="481" t="str">
        <f aca="false">LOOKUP((WEEKDAY(AD44,1)),$AI$44:$AI$50,$AJ$44:$AJ$50)</f>
        <v>T</v>
      </c>
      <c r="AE45" s="481" t="str">
        <f aca="false">LOOKUP((WEEKDAY(AE44,1)),$AI$44:$AI$50,$AJ$44:$AJ$50)</f>
        <v>W</v>
      </c>
      <c r="AF45" s="481" t="str">
        <f aca="false">LOOKUP((WEEKDAY(AF44,1)),$AI$44:$AI$50,$AJ$44:$AJ$50)</f>
        <v>R</v>
      </c>
      <c r="AG45" s="481" t="str">
        <f aca="false">LOOKUP((WEEKDAY(AG44,1)),$AI$44:$AI$50,$AJ$44:$AJ$50)</f>
        <v>F</v>
      </c>
      <c r="AH45" s="1"/>
      <c r="AI45" s="482" t="n">
        <v>2</v>
      </c>
      <c r="AJ45" s="483" t="s">
        <v>215</v>
      </c>
      <c r="AK45" s="1"/>
      <c r="AL45" s="414"/>
      <c r="AN45" s="1"/>
      <c r="AO45" s="1"/>
      <c r="AP45" s="1"/>
      <c r="AQ45" s="1"/>
      <c r="AR45" s="1"/>
      <c r="AS45" s="1"/>
    </row>
    <row r="46" customFormat="false" ht="12.75" hidden="false" customHeight="true" outlineLevel="0" collapsed="false">
      <c r="A46" s="484"/>
      <c r="B46" s="485" t="s">
        <v>216</v>
      </c>
      <c r="C46" s="486"/>
      <c r="D46" s="486"/>
      <c r="E46" s="486"/>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7"/>
      <c r="AH46" s="1"/>
      <c r="AI46" s="482" t="n">
        <v>3</v>
      </c>
      <c r="AJ46" s="483" t="s">
        <v>217</v>
      </c>
      <c r="AK46" s="1"/>
      <c r="AL46" s="414"/>
      <c r="AN46" s="1"/>
      <c r="AO46" s="1"/>
      <c r="AP46" s="1"/>
      <c r="AQ46" s="1"/>
      <c r="AR46" s="1"/>
      <c r="AS46" s="1"/>
    </row>
    <row r="47" customFormat="false" ht="12.75" hidden="true" customHeight="true" outlineLevel="0" collapsed="false">
      <c r="A47" s="397" t="s">
        <v>218</v>
      </c>
      <c r="B47" s="488" t="n">
        <f aca="false">SUM(C47:AG47)</f>
        <v>0</v>
      </c>
      <c r="C47" s="430" t="n">
        <v>0</v>
      </c>
      <c r="D47" s="430" t="n">
        <v>0</v>
      </c>
      <c r="E47" s="430" t="n">
        <v>0</v>
      </c>
      <c r="F47" s="430" t="n">
        <v>0</v>
      </c>
      <c r="G47" s="430" t="n">
        <v>0</v>
      </c>
      <c r="H47" s="430" t="n">
        <v>0</v>
      </c>
      <c r="I47" s="430" t="n">
        <v>0</v>
      </c>
      <c r="J47" s="430" t="n">
        <v>0</v>
      </c>
      <c r="K47" s="430" t="n">
        <v>0</v>
      </c>
      <c r="L47" s="430" t="n">
        <v>0</v>
      </c>
      <c r="M47" s="430"/>
      <c r="N47" s="430"/>
      <c r="O47" s="430"/>
      <c r="P47" s="430"/>
      <c r="Q47" s="430"/>
      <c r="R47" s="430"/>
      <c r="S47" s="430"/>
      <c r="T47" s="430"/>
      <c r="U47" s="430"/>
      <c r="V47" s="430"/>
      <c r="W47" s="430"/>
      <c r="X47" s="430"/>
      <c r="Y47" s="430"/>
      <c r="Z47" s="430"/>
      <c r="AA47" s="430"/>
      <c r="AB47" s="430"/>
      <c r="AC47" s="430"/>
      <c r="AD47" s="430"/>
      <c r="AE47" s="430"/>
      <c r="AF47" s="430"/>
      <c r="AG47" s="489"/>
      <c r="AH47" s="1"/>
      <c r="AI47" s="482" t="n">
        <v>4</v>
      </c>
      <c r="AJ47" s="483" t="s">
        <v>219</v>
      </c>
      <c r="AK47" s="1"/>
      <c r="AL47" s="12"/>
      <c r="AM47" s="36"/>
      <c r="AN47" s="466"/>
      <c r="AO47" s="1"/>
      <c r="AP47" s="1"/>
      <c r="AQ47" s="1"/>
      <c r="AR47" s="1"/>
      <c r="AS47" s="1"/>
    </row>
    <row r="48" customFormat="false" ht="12.75" hidden="true" customHeight="true" outlineLevel="0" collapsed="false">
      <c r="A48" s="490" t="s">
        <v>220</v>
      </c>
      <c r="B48" s="488" t="n">
        <f aca="false">SUM(C48:AG48)</f>
        <v>0</v>
      </c>
      <c r="C48" s="430" t="n">
        <v>0</v>
      </c>
      <c r="D48" s="430" t="n">
        <v>0</v>
      </c>
      <c r="E48" s="430" t="n">
        <v>0</v>
      </c>
      <c r="F48" s="430" t="n">
        <v>0</v>
      </c>
      <c r="G48" s="430" t="n">
        <v>0</v>
      </c>
      <c r="H48" s="430" t="n">
        <v>0</v>
      </c>
      <c r="I48" s="430" t="n">
        <v>0</v>
      </c>
      <c r="J48" s="430" t="n">
        <v>0</v>
      </c>
      <c r="K48" s="430" t="n">
        <v>0</v>
      </c>
      <c r="L48" s="430" t="n">
        <v>0</v>
      </c>
      <c r="M48" s="430"/>
      <c r="N48" s="430"/>
      <c r="O48" s="430"/>
      <c r="P48" s="430"/>
      <c r="Q48" s="430"/>
      <c r="R48" s="430"/>
      <c r="S48" s="430"/>
      <c r="T48" s="430"/>
      <c r="U48" s="430"/>
      <c r="V48" s="430"/>
      <c r="W48" s="430"/>
      <c r="X48" s="430"/>
      <c r="Y48" s="430"/>
      <c r="Z48" s="430"/>
      <c r="AA48" s="430"/>
      <c r="AB48" s="430"/>
      <c r="AC48" s="430"/>
      <c r="AD48" s="430"/>
      <c r="AE48" s="430"/>
      <c r="AF48" s="430"/>
      <c r="AG48" s="489"/>
      <c r="AH48" s="1"/>
      <c r="AI48" s="482" t="n">
        <v>5</v>
      </c>
      <c r="AJ48" s="483" t="s">
        <v>221</v>
      </c>
      <c r="AK48" s="1"/>
      <c r="AL48" s="12"/>
      <c r="AM48" s="430"/>
      <c r="AN48" s="491"/>
      <c r="AO48" s="12"/>
      <c r="AP48" s="12"/>
      <c r="AQ48" s="12"/>
      <c r="AR48" s="12"/>
      <c r="AS48" s="12"/>
      <c r="AT48" s="492"/>
      <c r="AU48" s="492"/>
    </row>
    <row r="49" customFormat="false" ht="12.75" hidden="false" customHeight="true" outlineLevel="0" collapsed="false">
      <c r="A49" s="490" t="s">
        <v>222</v>
      </c>
      <c r="B49" s="488" t="n">
        <f aca="false">SUM(C49:AG49)</f>
        <v>-42580</v>
      </c>
      <c r="C49" s="430"/>
      <c r="D49" s="430" t="n">
        <v>-42580</v>
      </c>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89"/>
      <c r="AH49" s="1"/>
      <c r="AI49" s="482" t="n">
        <v>6</v>
      </c>
      <c r="AJ49" s="483" t="s">
        <v>223</v>
      </c>
      <c r="AK49" s="1"/>
      <c r="AL49" s="12"/>
      <c r="AM49" s="430"/>
      <c r="AN49" s="491"/>
      <c r="AO49" s="12"/>
      <c r="AP49" s="12"/>
      <c r="AQ49" s="12"/>
      <c r="AR49" s="12"/>
      <c r="AS49" s="12"/>
      <c r="AT49" s="492"/>
      <c r="AU49" s="492"/>
    </row>
    <row r="50" customFormat="false" ht="12.75" hidden="true" customHeight="true" outlineLevel="0" collapsed="false">
      <c r="A50" s="490" t="s">
        <v>224</v>
      </c>
      <c r="B50" s="488" t="n">
        <f aca="false">SUM(C50:AG50)</f>
        <v>0</v>
      </c>
      <c r="C50" s="430"/>
      <c r="D50" s="430"/>
      <c r="E50" s="430"/>
      <c r="F50" s="430"/>
      <c r="G50" s="430"/>
      <c r="H50" s="430"/>
      <c r="I50" s="430"/>
      <c r="J50" s="430"/>
      <c r="K50" s="430"/>
      <c r="L50" s="430"/>
      <c r="M50" s="430"/>
      <c r="N50" s="430"/>
      <c r="O50" s="430"/>
      <c r="P50" s="430"/>
      <c r="Q50" s="430"/>
      <c r="R50" s="430"/>
      <c r="S50" s="430"/>
      <c r="T50" s="430"/>
      <c r="U50" s="430"/>
      <c r="V50" s="430"/>
      <c r="W50" s="430"/>
      <c r="X50" s="430"/>
      <c r="Y50" s="430"/>
      <c r="Z50" s="430"/>
      <c r="AA50" s="430"/>
      <c r="AB50" s="430"/>
      <c r="AC50" s="430"/>
      <c r="AD50" s="430"/>
      <c r="AE50" s="430"/>
      <c r="AF50" s="430"/>
      <c r="AG50" s="489"/>
      <c r="AH50" s="1"/>
      <c r="AI50" s="493" t="n">
        <v>7</v>
      </c>
      <c r="AJ50" s="494" t="s">
        <v>214</v>
      </c>
      <c r="AK50" s="1"/>
      <c r="AL50" s="36"/>
      <c r="AM50" s="36"/>
      <c r="AN50" s="491"/>
      <c r="AO50" s="12"/>
      <c r="AP50" s="12"/>
      <c r="AQ50" s="12"/>
      <c r="AR50" s="12"/>
      <c r="AS50" s="12"/>
      <c r="AT50" s="492"/>
      <c r="AU50" s="492"/>
    </row>
    <row r="51" customFormat="false" ht="12.75" hidden="false" customHeight="true" outlineLevel="0" collapsed="false">
      <c r="A51" s="490" t="s">
        <v>225</v>
      </c>
      <c r="B51" s="488" t="n">
        <f aca="false">SUM(C51:AG51)</f>
        <v>0</v>
      </c>
      <c r="C51" s="430"/>
      <c r="D51" s="430"/>
      <c r="E51" s="430"/>
      <c r="F51" s="430"/>
      <c r="G51" s="430"/>
      <c r="H51" s="430"/>
      <c r="I51" s="430"/>
      <c r="J51" s="430"/>
      <c r="K51" s="430"/>
      <c r="L51" s="430"/>
      <c r="M51" s="430"/>
      <c r="N51" s="430"/>
      <c r="O51" s="430"/>
      <c r="P51" s="430"/>
      <c r="Q51" s="430"/>
      <c r="R51" s="430"/>
      <c r="S51" s="430"/>
      <c r="T51" s="430"/>
      <c r="U51" s="430"/>
      <c r="V51" s="430"/>
      <c r="X51" s="430"/>
      <c r="Y51" s="430"/>
      <c r="AA51" s="430"/>
      <c r="AB51" s="430"/>
      <c r="AC51" s="430"/>
      <c r="AD51" s="430"/>
      <c r="AE51" s="430"/>
      <c r="AF51" s="430"/>
      <c r="AG51" s="489"/>
      <c r="AH51" s="1"/>
      <c r="AI51" s="492"/>
      <c r="AJ51" s="1"/>
      <c r="AK51" s="1"/>
      <c r="AL51" s="36"/>
      <c r="AM51" s="36"/>
      <c r="AN51" s="466"/>
      <c r="AO51" s="1"/>
      <c r="AP51" s="1"/>
      <c r="AQ51" s="1"/>
      <c r="AR51" s="1"/>
      <c r="AS51" s="1"/>
    </row>
    <row r="52" customFormat="false" ht="12.75" hidden="true" customHeight="true" outlineLevel="0" collapsed="false">
      <c r="A52" s="490" t="s">
        <v>226</v>
      </c>
      <c r="B52" s="488" t="n">
        <f aca="false">SUM(C52:AG52)</f>
        <v>0</v>
      </c>
      <c r="C52" s="430"/>
      <c r="D52" s="430"/>
      <c r="E52" s="430"/>
      <c r="F52" s="430"/>
      <c r="G52" s="430"/>
      <c r="H52" s="430"/>
      <c r="I52" s="430"/>
      <c r="J52" s="430"/>
      <c r="K52" s="430"/>
      <c r="L52" s="430"/>
      <c r="M52" s="430"/>
      <c r="N52" s="430"/>
      <c r="O52" s="430"/>
      <c r="P52" s="430"/>
      <c r="Q52" s="430"/>
      <c r="R52" s="430"/>
      <c r="S52" s="430"/>
      <c r="T52" s="430"/>
      <c r="U52" s="430"/>
      <c r="V52" s="430"/>
      <c r="X52" s="430"/>
      <c r="Y52" s="430"/>
      <c r="AA52" s="430"/>
      <c r="AB52" s="430"/>
      <c r="AC52" s="430"/>
      <c r="AD52" s="430"/>
      <c r="AE52" s="430"/>
      <c r="AF52" s="430"/>
      <c r="AG52" s="489"/>
      <c r="AH52" s="1"/>
      <c r="AI52" s="492"/>
      <c r="AJ52" s="1"/>
      <c r="AK52" s="1"/>
      <c r="AL52" s="36"/>
      <c r="AM52" s="36"/>
      <c r="AN52" s="466"/>
      <c r="AO52" s="1"/>
      <c r="AP52" s="1"/>
      <c r="AQ52" s="1"/>
      <c r="AR52" s="1"/>
      <c r="AS52" s="1"/>
    </row>
    <row r="53" customFormat="false" ht="12.75" hidden="false" customHeight="true" outlineLevel="0" collapsed="false">
      <c r="A53" s="397" t="s">
        <v>227</v>
      </c>
      <c r="B53" s="488" t="n">
        <f aca="false">SUM(C53:AG53)</f>
        <v>8211</v>
      </c>
      <c r="C53" s="430" t="n">
        <v>13310</v>
      </c>
      <c r="D53" s="430" t="n">
        <f aca="false">-13940</f>
        <v>-13940</v>
      </c>
      <c r="E53" s="430" t="n">
        <v>-7393</v>
      </c>
      <c r="F53" s="430"/>
      <c r="G53" s="430"/>
      <c r="H53" s="430" t="n">
        <v>-17564</v>
      </c>
      <c r="I53" s="430" t="n">
        <v>13679</v>
      </c>
      <c r="J53" s="430" t="n">
        <v>-28939</v>
      </c>
      <c r="K53" s="430" t="n">
        <v>14236</v>
      </c>
      <c r="L53" s="430" t="n">
        <f aca="false">15508+1727</f>
        <v>17235</v>
      </c>
      <c r="M53" s="430"/>
      <c r="N53" s="430"/>
      <c r="O53" s="430" t="n">
        <v>5172</v>
      </c>
      <c r="P53" s="430" t="n">
        <v>11380</v>
      </c>
      <c r="Q53" s="430"/>
      <c r="R53" s="430" t="n">
        <v>1035</v>
      </c>
      <c r="S53" s="430"/>
      <c r="T53" s="430"/>
      <c r="U53" s="430"/>
      <c r="V53" s="430"/>
      <c r="Y53" s="430"/>
      <c r="Z53" s="430"/>
      <c r="AA53" s="430"/>
      <c r="AB53" s="430"/>
      <c r="AC53" s="430"/>
      <c r="AD53" s="430"/>
      <c r="AE53" s="430"/>
      <c r="AF53" s="430"/>
      <c r="AG53" s="489"/>
      <c r="AH53" s="1"/>
      <c r="AJ53" s="1"/>
      <c r="AK53" s="1"/>
      <c r="AL53" s="12"/>
      <c r="AM53" s="36"/>
      <c r="AN53" s="466"/>
      <c r="AO53" s="1"/>
      <c r="AP53" s="1"/>
      <c r="AQ53" s="1"/>
      <c r="AR53" s="1"/>
      <c r="AS53" s="1"/>
    </row>
    <row r="54" customFormat="false" ht="12.75" hidden="false" customHeight="true" outlineLevel="0" collapsed="false">
      <c r="A54" s="397" t="s">
        <v>359</v>
      </c>
      <c r="B54" s="488" t="n">
        <f aca="false">SUM(C54:AG54)</f>
        <v>0</v>
      </c>
      <c r="C54" s="430"/>
      <c r="D54" s="430"/>
      <c r="E54" s="430"/>
      <c r="F54" s="430"/>
      <c r="G54" s="430"/>
      <c r="H54" s="430"/>
      <c r="I54" s="430"/>
      <c r="J54" s="430"/>
      <c r="K54" s="430"/>
      <c r="L54" s="430"/>
      <c r="M54" s="430"/>
      <c r="N54" s="430"/>
      <c r="O54" s="430"/>
      <c r="P54" s="430"/>
      <c r="Q54" s="430"/>
      <c r="R54" s="430"/>
      <c r="S54" s="430"/>
      <c r="T54" s="430"/>
      <c r="U54" s="430"/>
      <c r="V54" s="430"/>
      <c r="Y54" s="430"/>
      <c r="Z54" s="430"/>
      <c r="AA54" s="430"/>
      <c r="AB54" s="430"/>
      <c r="AC54" s="430"/>
      <c r="AD54" s="430"/>
      <c r="AE54" s="430"/>
      <c r="AF54" s="430"/>
      <c r="AG54" s="489"/>
      <c r="AH54" s="1"/>
      <c r="AJ54" s="1"/>
      <c r="AK54" s="1"/>
      <c r="AL54" s="12"/>
      <c r="AM54" s="36"/>
      <c r="AN54" s="466"/>
      <c r="AO54" s="1"/>
      <c r="AP54" s="1"/>
      <c r="AQ54" s="1"/>
      <c r="AR54" s="1"/>
      <c r="AS54" s="1"/>
    </row>
    <row r="55" customFormat="false" ht="12.75" hidden="false" customHeight="true" outlineLevel="0" collapsed="false">
      <c r="A55" s="397" t="s">
        <v>229</v>
      </c>
      <c r="B55" s="488" t="n">
        <f aca="false">SUM(C55:AG55)</f>
        <v>0</v>
      </c>
      <c r="C55" s="430"/>
      <c r="D55" s="430"/>
      <c r="E55" s="430"/>
      <c r="F55" s="430"/>
      <c r="G55" s="430"/>
      <c r="H55" s="430"/>
      <c r="I55" s="430"/>
      <c r="J55" s="430"/>
      <c r="K55" s="430"/>
      <c r="L55" s="430"/>
      <c r="M55" s="430"/>
      <c r="N55" s="430"/>
      <c r="O55" s="430"/>
      <c r="P55" s="430"/>
      <c r="Q55" s="430"/>
      <c r="R55" s="430"/>
      <c r="S55" s="430"/>
      <c r="T55" s="430"/>
      <c r="U55" s="430"/>
      <c r="V55" s="430"/>
      <c r="Y55" s="430"/>
      <c r="Z55" s="430"/>
      <c r="AA55" s="430"/>
      <c r="AB55" s="430"/>
      <c r="AC55" s="430"/>
      <c r="AD55" s="430"/>
      <c r="AE55" s="430"/>
      <c r="AF55" s="430"/>
      <c r="AG55" s="489"/>
      <c r="AH55" s="1"/>
      <c r="AJ55" s="1"/>
      <c r="AK55" s="1"/>
      <c r="AL55" s="12"/>
      <c r="AM55" s="36"/>
      <c r="AN55" s="466"/>
      <c r="AO55" s="1"/>
      <c r="AP55" s="1"/>
      <c r="AQ55" s="1"/>
      <c r="AR55" s="1"/>
      <c r="AS55" s="1"/>
    </row>
    <row r="56" customFormat="false" ht="12.75" hidden="false" customHeight="true" outlineLevel="0" collapsed="false">
      <c r="A56" s="397" t="s">
        <v>230</v>
      </c>
      <c r="B56" s="488" t="n">
        <f aca="false">SUM(C56:AG56)</f>
        <v>0</v>
      </c>
      <c r="C56" s="430"/>
      <c r="D56" s="430"/>
      <c r="E56" s="430"/>
      <c r="F56" s="430"/>
      <c r="G56" s="430"/>
      <c r="H56" s="430"/>
      <c r="I56" s="430"/>
      <c r="J56" s="430"/>
      <c r="K56" s="430"/>
      <c r="L56" s="430"/>
      <c r="M56" s="430"/>
      <c r="N56" s="430"/>
      <c r="O56" s="430"/>
      <c r="P56" s="430"/>
      <c r="Q56" s="430"/>
      <c r="R56" s="430"/>
      <c r="S56" s="430"/>
      <c r="T56" s="430"/>
      <c r="U56" s="430"/>
      <c r="V56" s="430"/>
      <c r="Y56" s="430"/>
      <c r="Z56" s="430"/>
      <c r="AA56" s="430"/>
      <c r="AB56" s="430"/>
      <c r="AC56" s="430"/>
      <c r="AD56" s="430"/>
      <c r="AE56" s="430"/>
      <c r="AF56" s="430"/>
      <c r="AG56" s="489"/>
      <c r="AH56" s="1"/>
      <c r="AI56" s="492"/>
      <c r="AJ56" s="1"/>
      <c r="AK56" s="1"/>
      <c r="AL56" s="12"/>
      <c r="AM56" s="36"/>
      <c r="AN56" s="466"/>
      <c r="AO56" s="1"/>
      <c r="AP56" s="1"/>
      <c r="AQ56" s="1"/>
      <c r="AR56" s="1"/>
      <c r="AS56" s="1"/>
    </row>
    <row r="57" customFormat="false" ht="12.75" hidden="false" customHeight="true" outlineLevel="0" collapsed="false">
      <c r="A57" s="490" t="s">
        <v>231</v>
      </c>
      <c r="B57" s="488" t="n">
        <f aca="false">SUM(C57:AG57)</f>
        <v>0</v>
      </c>
      <c r="C57" s="430"/>
      <c r="D57" s="430"/>
      <c r="E57" s="430"/>
      <c r="F57" s="430"/>
      <c r="G57" s="430"/>
      <c r="H57" s="430"/>
      <c r="I57" s="430"/>
      <c r="J57" s="430"/>
      <c r="K57" s="430"/>
      <c r="L57" s="430"/>
      <c r="M57" s="430"/>
      <c r="N57" s="430"/>
      <c r="O57" s="430"/>
      <c r="P57" s="430"/>
      <c r="Q57" s="430"/>
      <c r="R57" s="430"/>
      <c r="S57" s="430"/>
      <c r="T57" s="430"/>
      <c r="U57" s="430"/>
      <c r="V57" s="430"/>
      <c r="Y57" s="430"/>
      <c r="Z57" s="430"/>
      <c r="AA57" s="430"/>
      <c r="AB57" s="430"/>
      <c r="AC57" s="430"/>
      <c r="AD57" s="430"/>
      <c r="AE57" s="430"/>
      <c r="AF57" s="430"/>
      <c r="AG57" s="489"/>
      <c r="AH57" s="1"/>
      <c r="AI57" s="492"/>
      <c r="AJ57" s="1"/>
      <c r="AK57" s="1"/>
      <c r="AL57" s="12"/>
      <c r="AM57" s="36"/>
      <c r="AN57" s="466"/>
      <c r="AO57" s="1"/>
      <c r="AP57" s="1"/>
      <c r="AQ57" s="1"/>
      <c r="AR57" s="1"/>
      <c r="AS57" s="1"/>
    </row>
    <row r="58" customFormat="false" ht="12.75" hidden="false" customHeight="true" outlineLevel="0" collapsed="false">
      <c r="A58" s="490" t="s">
        <v>232</v>
      </c>
      <c r="B58" s="488" t="n">
        <f aca="false">SUM(C58:AG58)</f>
        <v>-85</v>
      </c>
      <c r="C58" s="430" t="n">
        <v>52</v>
      </c>
      <c r="D58" s="430" t="n">
        <f aca="false">-50</f>
        <v>-50</v>
      </c>
      <c r="E58" s="430" t="n">
        <v>-26</v>
      </c>
      <c r="F58" s="430"/>
      <c r="G58" s="430"/>
      <c r="H58" s="430" t="n">
        <v>-20</v>
      </c>
      <c r="I58" s="430" t="n">
        <v>33</v>
      </c>
      <c r="J58" s="430" t="n">
        <v>-44</v>
      </c>
      <c r="K58" s="430" t="n">
        <v>-8</v>
      </c>
      <c r="L58" s="430" t="n">
        <v>-21</v>
      </c>
      <c r="M58" s="430"/>
      <c r="N58" s="430"/>
      <c r="O58" s="430" t="n">
        <v>4</v>
      </c>
      <c r="P58" s="430" t="n">
        <v>16</v>
      </c>
      <c r="Q58" s="430" t="n">
        <v>10</v>
      </c>
      <c r="R58" s="430" t="n">
        <v>8</v>
      </c>
      <c r="S58" s="430" t="n">
        <v>-39</v>
      </c>
      <c r="T58" s="430"/>
      <c r="U58" s="430"/>
      <c r="V58" s="430"/>
      <c r="Y58" s="430"/>
      <c r="Z58" s="430"/>
      <c r="AA58" s="430"/>
      <c r="AB58" s="430"/>
      <c r="AC58" s="430"/>
      <c r="AD58" s="430"/>
      <c r="AE58" s="430"/>
      <c r="AF58" s="430"/>
      <c r="AG58" s="489"/>
      <c r="AH58" s="1"/>
      <c r="AI58" s="492"/>
      <c r="AJ58" s="1"/>
      <c r="AK58" s="1"/>
      <c r="AL58" s="12"/>
      <c r="AM58" s="36"/>
      <c r="AN58" s="491"/>
      <c r="AO58" s="12"/>
      <c r="AP58" s="12"/>
      <c r="AQ58" s="12"/>
      <c r="AR58" s="12"/>
      <c r="AS58" s="12"/>
      <c r="AT58" s="492"/>
      <c r="AU58" s="492"/>
      <c r="AV58" s="492"/>
      <c r="AW58" s="492"/>
      <c r="AX58" s="492"/>
    </row>
    <row r="59" customFormat="false" ht="12.75" hidden="false" customHeight="true" outlineLevel="0" collapsed="false">
      <c r="A59" s="490" t="s">
        <v>233</v>
      </c>
      <c r="B59" s="488" t="n">
        <f aca="false">SUM(C59:AG59)</f>
        <v>3200</v>
      </c>
      <c r="C59" s="430" t="n">
        <v>234</v>
      </c>
      <c r="D59" s="430" t="n">
        <v>194</v>
      </c>
      <c r="E59" s="430" t="n">
        <v>186</v>
      </c>
      <c r="F59" s="430"/>
      <c r="G59" s="430"/>
      <c r="H59" s="430" t="n">
        <v>554</v>
      </c>
      <c r="I59" s="430" t="n">
        <v>182</v>
      </c>
      <c r="J59" s="430" t="n">
        <v>184</v>
      </c>
      <c r="K59" s="430" t="n">
        <v>180</v>
      </c>
      <c r="L59" s="430" t="n">
        <v>182</v>
      </c>
      <c r="M59" s="430"/>
      <c r="N59" s="430"/>
      <c r="O59" s="430" t="n">
        <v>555</v>
      </c>
      <c r="P59" s="430" t="n">
        <v>186</v>
      </c>
      <c r="Q59" s="430" t="n">
        <v>188</v>
      </c>
      <c r="R59" s="430" t="n">
        <v>187</v>
      </c>
      <c r="S59" s="430" t="n">
        <v>188</v>
      </c>
      <c r="T59" s="430"/>
      <c r="U59" s="430"/>
      <c r="V59" s="430"/>
      <c r="Y59" s="430"/>
      <c r="Z59" s="430"/>
      <c r="AA59" s="430"/>
      <c r="AB59" s="430"/>
      <c r="AC59" s="430"/>
      <c r="AD59" s="430"/>
      <c r="AE59" s="430"/>
      <c r="AF59" s="430"/>
      <c r="AG59" s="489"/>
      <c r="AH59" s="1"/>
      <c r="AI59" s="492"/>
      <c r="AJ59" s="1"/>
      <c r="AK59" s="1"/>
      <c r="AL59" s="12"/>
      <c r="AM59" s="36"/>
      <c r="AN59" s="491"/>
      <c r="AO59" s="12"/>
      <c r="AP59" s="12"/>
      <c r="AQ59" s="12"/>
      <c r="AR59" s="12"/>
      <c r="AS59" s="12"/>
      <c r="AT59" s="492"/>
      <c r="AU59" s="492"/>
      <c r="AV59" s="492"/>
      <c r="AW59" s="492"/>
      <c r="AX59" s="492"/>
    </row>
    <row r="60" customFormat="false" ht="12.75" hidden="false" customHeight="true" outlineLevel="0" collapsed="false">
      <c r="A60" s="490" t="s">
        <v>234</v>
      </c>
      <c r="B60" s="488" t="n">
        <f aca="false">SUM(C60:AG60)</f>
        <v>0</v>
      </c>
      <c r="C60" s="430"/>
      <c r="E60" s="430"/>
      <c r="F60" s="430"/>
      <c r="G60" s="430"/>
      <c r="H60" s="430"/>
      <c r="I60" s="430"/>
      <c r="J60" s="430"/>
      <c r="K60" s="430"/>
      <c r="L60" s="430"/>
      <c r="M60" s="430"/>
      <c r="N60" s="430"/>
      <c r="O60" s="430"/>
      <c r="P60" s="430"/>
      <c r="Q60" s="430"/>
      <c r="R60" s="430"/>
      <c r="S60" s="430"/>
      <c r="T60" s="430"/>
      <c r="U60" s="430"/>
      <c r="V60" s="430"/>
      <c r="X60" s="430"/>
      <c r="Y60" s="430"/>
      <c r="Z60" s="430"/>
      <c r="AA60" s="430"/>
      <c r="AB60" s="430"/>
      <c r="AC60" s="430"/>
      <c r="AD60" s="430"/>
      <c r="AE60" s="430"/>
      <c r="AF60" s="430"/>
      <c r="AG60" s="489"/>
      <c r="AH60" s="1"/>
      <c r="AI60" s="492"/>
      <c r="AJ60" s="1"/>
      <c r="AK60" s="1"/>
      <c r="AL60" s="12"/>
      <c r="AM60" s="36"/>
      <c r="AN60" s="491"/>
      <c r="AO60" s="12"/>
      <c r="AP60" s="12"/>
      <c r="AQ60" s="12"/>
      <c r="AR60" s="12"/>
      <c r="AS60" s="12"/>
      <c r="AT60" s="492"/>
      <c r="AU60" s="492"/>
      <c r="AV60" s="492"/>
      <c r="AW60" s="492"/>
      <c r="AX60" s="492"/>
    </row>
    <row r="61" customFormat="false" ht="12.75" hidden="false" customHeight="true" outlineLevel="0" collapsed="false">
      <c r="A61" s="490" t="s">
        <v>235</v>
      </c>
      <c r="B61" s="488" t="n">
        <f aca="false">SUM(C61:AG61)</f>
        <v>0</v>
      </c>
      <c r="C61" s="430"/>
      <c r="D61" s="430"/>
      <c r="E61" s="430"/>
      <c r="F61" s="430"/>
      <c r="G61" s="430"/>
      <c r="H61" s="430"/>
      <c r="I61" s="430"/>
      <c r="J61" s="430"/>
      <c r="K61" s="430"/>
      <c r="L61" s="430"/>
      <c r="M61" s="430"/>
      <c r="N61" s="430"/>
      <c r="O61" s="430"/>
      <c r="P61" s="430"/>
      <c r="Q61" s="430"/>
      <c r="R61" s="430"/>
      <c r="S61" s="430"/>
      <c r="T61" s="430"/>
      <c r="U61" s="430"/>
      <c r="V61" s="430"/>
      <c r="X61" s="430"/>
      <c r="Y61" s="430"/>
      <c r="Z61" s="430"/>
      <c r="AA61" s="430"/>
      <c r="AB61" s="430"/>
      <c r="AC61" s="430"/>
      <c r="AD61" s="430"/>
      <c r="AE61" s="430"/>
      <c r="AF61" s="430"/>
      <c r="AG61" s="489"/>
      <c r="AH61" s="1"/>
      <c r="AJ61" s="1"/>
      <c r="AK61" s="1"/>
      <c r="AL61" s="12"/>
      <c r="AM61" s="36"/>
      <c r="AN61" s="466"/>
      <c r="AO61" s="1"/>
      <c r="AP61" s="1"/>
      <c r="AQ61" s="1"/>
      <c r="AR61" s="1"/>
      <c r="AS61" s="1"/>
    </row>
    <row r="62" customFormat="false" ht="12.75" hidden="false" customHeight="true" outlineLevel="0" collapsed="false">
      <c r="A62" s="490" t="s">
        <v>236</v>
      </c>
      <c r="B62" s="488" t="n">
        <f aca="false">SUM(C62:AG62)</f>
        <v>-13</v>
      </c>
      <c r="C62" s="430" t="n">
        <f aca="false">-1-4</f>
        <v>-5</v>
      </c>
      <c r="D62" s="430" t="n">
        <f aca="false">-6+1</f>
        <v>-5</v>
      </c>
      <c r="E62" s="430"/>
      <c r="F62" s="430"/>
      <c r="G62" s="430"/>
      <c r="H62" s="430" t="n">
        <f aca="false">-1</f>
        <v>-1</v>
      </c>
      <c r="I62" s="430" t="n">
        <f aca="false">-1</f>
        <v>-1</v>
      </c>
      <c r="J62" s="430" t="n">
        <f aca="false">1</f>
        <v>1</v>
      </c>
      <c r="K62" s="430"/>
      <c r="L62" s="430"/>
      <c r="M62" s="430"/>
      <c r="N62" s="430"/>
      <c r="O62" s="430" t="n">
        <v>-1</v>
      </c>
      <c r="P62" s="430" t="n">
        <f aca="false">-1</f>
        <v>-1</v>
      </c>
      <c r="Q62" s="430" t="n">
        <v>-1</v>
      </c>
      <c r="R62" s="430" t="n">
        <f aca="false">1</f>
        <v>1</v>
      </c>
      <c r="S62" s="430"/>
      <c r="T62" s="430"/>
      <c r="U62" s="430"/>
      <c r="V62" s="430"/>
      <c r="X62" s="430"/>
      <c r="Y62" s="430"/>
      <c r="Z62" s="430"/>
      <c r="AA62" s="430"/>
      <c r="AB62" s="430"/>
      <c r="AC62" s="430"/>
      <c r="AD62" s="430"/>
      <c r="AE62" s="430"/>
      <c r="AF62" s="430"/>
      <c r="AG62" s="489"/>
      <c r="AH62" s="1"/>
      <c r="AJ62" s="1"/>
      <c r="AK62" s="1"/>
      <c r="AL62" s="12"/>
      <c r="AM62" s="36"/>
      <c r="AN62" s="466"/>
      <c r="AO62" s="466"/>
      <c r="AP62" s="1"/>
      <c r="AQ62" s="1"/>
      <c r="AR62" s="1"/>
      <c r="AS62" s="1"/>
    </row>
    <row r="63" customFormat="false" ht="12.75" hidden="true" customHeight="true" outlineLevel="0" collapsed="false">
      <c r="A63" s="490" t="s">
        <v>189</v>
      </c>
      <c r="B63" s="488" t="n">
        <f aca="false">SUM(C63:AG63)</f>
        <v>0</v>
      </c>
      <c r="C63" s="430"/>
      <c r="D63" s="430"/>
      <c r="E63" s="430"/>
      <c r="F63" s="430"/>
      <c r="G63" s="430"/>
      <c r="H63" s="430"/>
      <c r="I63" s="430"/>
      <c r="J63" s="430"/>
      <c r="K63" s="430"/>
      <c r="L63" s="430"/>
      <c r="M63" s="430"/>
      <c r="N63" s="430"/>
      <c r="O63" s="430"/>
      <c r="P63" s="430"/>
      <c r="Q63" s="430"/>
      <c r="R63" s="430"/>
      <c r="S63" s="430"/>
      <c r="T63" s="430"/>
      <c r="U63" s="430"/>
      <c r="V63" s="430"/>
      <c r="W63" s="430"/>
      <c r="X63" s="430"/>
      <c r="Y63" s="430"/>
      <c r="Z63" s="430"/>
      <c r="AA63" s="430"/>
      <c r="AB63" s="430"/>
      <c r="AC63" s="430"/>
      <c r="AD63" s="430"/>
      <c r="AE63" s="430"/>
      <c r="AF63" s="430"/>
      <c r="AG63" s="489"/>
      <c r="AH63" s="1"/>
      <c r="AI63" s="492"/>
      <c r="AJ63" s="1"/>
      <c r="AK63" s="1"/>
      <c r="AL63" s="12"/>
      <c r="AM63" s="36"/>
      <c r="AN63" s="466"/>
      <c r="AO63" s="1"/>
      <c r="AP63" s="1"/>
      <c r="AQ63" s="1"/>
      <c r="AR63" s="1"/>
      <c r="AS63" s="1"/>
    </row>
    <row r="64" customFormat="false" ht="12.75" hidden="true" customHeight="true" outlineLevel="0" collapsed="false">
      <c r="A64" s="490" t="s">
        <v>237</v>
      </c>
      <c r="B64" s="488" t="n">
        <f aca="false">SUM(C64:AG64)</f>
        <v>0</v>
      </c>
      <c r="C64" s="430"/>
      <c r="D64" s="430"/>
      <c r="E64" s="430"/>
      <c r="F64" s="430"/>
      <c r="G64" s="430"/>
      <c r="H64" s="430"/>
      <c r="I64" s="430"/>
      <c r="J64" s="430"/>
      <c r="K64" s="430"/>
      <c r="L64" s="430"/>
      <c r="M64" s="430"/>
      <c r="N64" s="430"/>
      <c r="O64" s="430"/>
      <c r="P64" s="430"/>
      <c r="Q64" s="430"/>
      <c r="R64" s="430"/>
      <c r="S64" s="430"/>
      <c r="T64" s="430"/>
      <c r="U64" s="430"/>
      <c r="V64" s="430"/>
      <c r="W64" s="430"/>
      <c r="X64" s="430"/>
      <c r="Y64" s="430"/>
      <c r="Z64" s="430"/>
      <c r="AA64" s="430"/>
      <c r="AB64" s="430"/>
      <c r="AC64" s="430"/>
      <c r="AD64" s="430"/>
      <c r="AE64" s="430"/>
      <c r="AF64" s="430"/>
      <c r="AG64" s="489"/>
      <c r="AH64" s="1"/>
      <c r="AI64" s="492"/>
      <c r="AJ64" s="1"/>
      <c r="AK64" s="1"/>
      <c r="AL64" s="36"/>
      <c r="AM64" s="36"/>
      <c r="AN64" s="1"/>
      <c r="AO64" s="1"/>
      <c r="AP64" s="1"/>
      <c r="AQ64" s="1"/>
      <c r="AR64" s="1"/>
      <c r="AS64" s="1"/>
    </row>
    <row r="65" customFormat="false" ht="12.75" hidden="true" customHeight="true" outlineLevel="0" collapsed="false">
      <c r="A65" s="397" t="s">
        <v>238</v>
      </c>
      <c r="B65" s="488" t="n">
        <f aca="false">SUM(C65:AG65)</f>
        <v>0</v>
      </c>
      <c r="C65" s="430"/>
      <c r="D65" s="430"/>
      <c r="E65" s="430"/>
      <c r="F65" s="430"/>
      <c r="G65" s="430"/>
      <c r="H65" s="430"/>
      <c r="I65" s="430"/>
      <c r="J65" s="430"/>
      <c r="K65" s="430"/>
      <c r="L65" s="430"/>
      <c r="M65" s="430"/>
      <c r="N65" s="430"/>
      <c r="O65" s="430"/>
      <c r="P65" s="430"/>
      <c r="Q65" s="430"/>
      <c r="R65" s="430"/>
      <c r="S65" s="430"/>
      <c r="T65" s="430"/>
      <c r="U65" s="430"/>
      <c r="V65" s="430"/>
      <c r="W65" s="430"/>
      <c r="X65" s="430"/>
      <c r="Y65" s="430"/>
      <c r="Z65" s="430"/>
      <c r="AA65" s="430"/>
      <c r="AB65" s="430"/>
      <c r="AC65" s="430"/>
      <c r="AD65" s="430"/>
      <c r="AE65" s="430"/>
      <c r="AF65" s="430"/>
      <c r="AG65" s="489"/>
      <c r="AH65" s="1"/>
      <c r="AJ65" s="1"/>
      <c r="AK65" s="1"/>
      <c r="AL65" s="12"/>
      <c r="AM65" s="36"/>
      <c r="AN65" s="1"/>
      <c r="AO65" s="1"/>
      <c r="AP65" s="1"/>
      <c r="AQ65" s="1"/>
      <c r="AR65" s="1"/>
      <c r="AS65" s="1"/>
    </row>
    <row r="66" customFormat="false" ht="12.75" hidden="true" customHeight="true" outlineLevel="0" collapsed="false">
      <c r="A66" s="397" t="s">
        <v>239</v>
      </c>
      <c r="B66" s="488" t="n">
        <f aca="false">SUM(C66:AG66)</f>
        <v>0</v>
      </c>
      <c r="C66" s="430"/>
      <c r="D66" s="430"/>
      <c r="E66" s="430"/>
      <c r="F66" s="430"/>
      <c r="G66" s="430"/>
      <c r="H66" s="430"/>
      <c r="I66" s="430"/>
      <c r="J66" s="430"/>
      <c r="K66" s="430"/>
      <c r="L66" s="430"/>
      <c r="M66" s="430"/>
      <c r="N66" s="430"/>
      <c r="O66" s="430"/>
      <c r="P66" s="430"/>
      <c r="Q66" s="430"/>
      <c r="R66" s="430"/>
      <c r="S66" s="430"/>
      <c r="T66" s="430"/>
      <c r="U66" s="430"/>
      <c r="V66" s="430"/>
      <c r="W66" s="430"/>
      <c r="X66" s="430"/>
      <c r="Y66" s="430"/>
      <c r="Z66" s="430"/>
      <c r="AA66" s="430"/>
      <c r="AB66" s="430"/>
      <c r="AC66" s="430"/>
      <c r="AD66" s="430"/>
      <c r="AE66" s="430"/>
      <c r="AF66" s="430"/>
      <c r="AG66" s="489"/>
      <c r="AH66" s="1"/>
      <c r="AI66" s="492"/>
      <c r="AJ66" s="1"/>
      <c r="AK66" s="1"/>
      <c r="AL66" s="12"/>
      <c r="AM66" s="36"/>
      <c r="AN66" s="1"/>
      <c r="AO66" s="1"/>
      <c r="AP66" s="1"/>
      <c r="AQ66" s="1"/>
      <c r="AR66" s="1"/>
      <c r="AS66" s="1"/>
    </row>
    <row r="67" customFormat="false" ht="12.75" hidden="true" customHeight="true" outlineLevel="0" collapsed="false">
      <c r="A67" s="397" t="s">
        <v>240</v>
      </c>
      <c r="B67" s="488" t="n">
        <f aca="false">SUM(C67:AG67)</f>
        <v>0</v>
      </c>
      <c r="C67" s="430"/>
      <c r="D67" s="430"/>
      <c r="E67" s="430"/>
      <c r="F67" s="430"/>
      <c r="G67" s="430"/>
      <c r="H67" s="430"/>
      <c r="I67" s="430"/>
      <c r="J67" s="430"/>
      <c r="K67" s="430"/>
      <c r="L67" s="430"/>
      <c r="M67" s="430"/>
      <c r="N67" s="430"/>
      <c r="O67" s="430"/>
      <c r="P67" s="430"/>
      <c r="Q67" s="430"/>
      <c r="R67" s="430"/>
      <c r="S67" s="430"/>
      <c r="T67" s="430"/>
      <c r="U67" s="430"/>
      <c r="V67" s="430"/>
      <c r="W67" s="430"/>
      <c r="X67" s="430"/>
      <c r="Y67" s="430"/>
      <c r="Z67" s="430"/>
      <c r="AA67" s="430"/>
      <c r="AB67" s="430"/>
      <c r="AC67" s="430"/>
      <c r="AD67" s="430"/>
      <c r="AE67" s="430"/>
      <c r="AF67" s="430"/>
      <c r="AG67" s="489"/>
      <c r="AH67" s="1"/>
      <c r="AI67" s="492"/>
      <c r="AJ67" s="1"/>
      <c r="AK67" s="1"/>
      <c r="AL67" s="12"/>
      <c r="AM67" s="36"/>
      <c r="AN67" s="1"/>
      <c r="AO67" s="1"/>
      <c r="AP67" s="1"/>
      <c r="AQ67" s="1"/>
      <c r="AR67" s="1"/>
      <c r="AS67" s="1"/>
    </row>
    <row r="68" customFormat="false" ht="12.75" hidden="true" customHeight="true" outlineLevel="0" collapsed="false">
      <c r="A68" s="397" t="s">
        <v>241</v>
      </c>
      <c r="B68" s="488" t="n">
        <f aca="false">SUM(C68:AG68)</f>
        <v>0</v>
      </c>
      <c r="C68" s="430"/>
      <c r="D68" s="430"/>
      <c r="E68" s="430"/>
      <c r="F68" s="430"/>
      <c r="G68" s="430"/>
      <c r="H68" s="430"/>
      <c r="I68" s="430"/>
      <c r="J68" s="430"/>
      <c r="K68" s="430"/>
      <c r="L68" s="430"/>
      <c r="M68" s="430"/>
      <c r="N68" s="430"/>
      <c r="O68" s="430"/>
      <c r="P68" s="430"/>
      <c r="Q68" s="430"/>
      <c r="R68" s="430"/>
      <c r="S68" s="430"/>
      <c r="T68" s="430"/>
      <c r="U68" s="430"/>
      <c r="V68" s="430"/>
      <c r="W68" s="430"/>
      <c r="X68" s="430"/>
      <c r="Y68" s="430"/>
      <c r="Z68" s="430"/>
      <c r="AA68" s="430"/>
      <c r="AB68" s="430"/>
      <c r="AC68" s="430"/>
      <c r="AD68" s="430"/>
      <c r="AE68" s="430"/>
      <c r="AF68" s="430"/>
      <c r="AG68" s="489"/>
      <c r="AH68" s="1"/>
      <c r="AJ68" s="1"/>
      <c r="AK68" s="1"/>
      <c r="AL68" s="12"/>
      <c r="AM68" s="36"/>
      <c r="AN68" s="1"/>
      <c r="AO68" s="1"/>
      <c r="AP68" s="1"/>
      <c r="AQ68" s="1"/>
      <c r="AR68" s="1"/>
      <c r="AS68" s="1"/>
    </row>
    <row r="69" customFormat="false" ht="12.75" hidden="true" customHeight="true" outlineLevel="0" collapsed="false">
      <c r="A69" s="490" t="s">
        <v>242</v>
      </c>
      <c r="B69" s="488" t="n">
        <f aca="false">SUM(C69:AG69)</f>
        <v>0</v>
      </c>
      <c r="C69" s="430"/>
      <c r="D69" s="430"/>
      <c r="E69" s="430"/>
      <c r="F69" s="430"/>
      <c r="G69" s="430"/>
      <c r="H69" s="430"/>
      <c r="I69" s="430"/>
      <c r="J69" s="430"/>
      <c r="K69" s="430"/>
      <c r="L69" s="430"/>
      <c r="M69" s="430"/>
      <c r="N69" s="430"/>
      <c r="O69" s="430"/>
      <c r="P69" s="430"/>
      <c r="Q69" s="430"/>
      <c r="R69" s="430"/>
      <c r="S69" s="430"/>
      <c r="T69" s="430"/>
      <c r="U69" s="430"/>
      <c r="V69" s="430"/>
      <c r="W69" s="430"/>
      <c r="X69" s="430"/>
      <c r="Y69" s="430"/>
      <c r="Z69" s="430"/>
      <c r="AA69" s="430"/>
      <c r="AB69" s="430"/>
      <c r="AC69" s="430"/>
      <c r="AD69" s="430"/>
      <c r="AE69" s="430"/>
      <c r="AF69" s="430"/>
      <c r="AG69" s="489"/>
      <c r="AH69" s="1"/>
      <c r="AI69" s="492"/>
      <c r="AJ69" s="1"/>
      <c r="AK69" s="1"/>
      <c r="AL69" s="12"/>
      <c r="AM69" s="36"/>
      <c r="AN69" s="1"/>
      <c r="AO69" s="1"/>
      <c r="AP69" s="1"/>
      <c r="AQ69" s="1"/>
      <c r="AR69" s="1"/>
      <c r="AS69" s="1"/>
    </row>
    <row r="70" customFormat="false" ht="12.75" hidden="true" customHeight="true" outlineLevel="0" collapsed="false">
      <c r="A70" s="397" t="s">
        <v>243</v>
      </c>
      <c r="B70" s="488" t="n">
        <f aca="false">SUM(C70:AG70)</f>
        <v>0</v>
      </c>
      <c r="C70" s="430"/>
      <c r="D70" s="430"/>
      <c r="E70" s="430"/>
      <c r="F70" s="430"/>
      <c r="G70" s="430"/>
      <c r="H70" s="430"/>
      <c r="I70" s="430"/>
      <c r="J70" s="430"/>
      <c r="K70" s="430"/>
      <c r="L70" s="430"/>
      <c r="M70" s="430"/>
      <c r="N70" s="430"/>
      <c r="O70" s="430"/>
      <c r="P70" s="430"/>
      <c r="Q70" s="430"/>
      <c r="R70" s="430"/>
      <c r="S70" s="430"/>
      <c r="T70" s="430"/>
      <c r="U70" s="430"/>
      <c r="V70" s="430"/>
      <c r="W70" s="430"/>
      <c r="X70" s="430"/>
      <c r="Y70" s="430"/>
      <c r="Z70" s="430"/>
      <c r="AA70" s="430"/>
      <c r="AB70" s="430"/>
      <c r="AC70" s="430"/>
      <c r="AD70" s="430"/>
      <c r="AE70" s="430"/>
      <c r="AF70" s="430"/>
      <c r="AG70" s="489"/>
      <c r="AH70" s="1"/>
      <c r="AJ70" s="1"/>
      <c r="AK70" s="1"/>
      <c r="AL70" s="12"/>
      <c r="AM70" s="36"/>
      <c r="AN70" s="1"/>
      <c r="AO70" s="1"/>
      <c r="AP70" s="1"/>
      <c r="AQ70" s="1"/>
      <c r="AR70" s="1"/>
      <c r="AS70" s="1"/>
    </row>
    <row r="71" customFormat="false" ht="12.75" hidden="true" customHeight="true" outlineLevel="0" collapsed="false">
      <c r="A71" s="397" t="s">
        <v>244</v>
      </c>
      <c r="B71" s="488" t="s">
        <v>245</v>
      </c>
      <c r="C71" s="430"/>
      <c r="D71" s="430"/>
      <c r="E71" s="430"/>
      <c r="F71" s="430"/>
      <c r="G71" s="430"/>
      <c r="H71" s="430"/>
      <c r="I71" s="430"/>
      <c r="J71" s="430"/>
      <c r="K71" s="430"/>
      <c r="L71" s="430"/>
      <c r="M71" s="430"/>
      <c r="N71" s="430"/>
      <c r="O71" s="430"/>
      <c r="P71" s="430"/>
      <c r="Q71" s="430"/>
      <c r="R71" s="430"/>
      <c r="S71" s="430"/>
      <c r="T71" s="430"/>
      <c r="U71" s="430"/>
      <c r="V71" s="430"/>
      <c r="W71" s="430"/>
      <c r="X71" s="430"/>
      <c r="Y71" s="430"/>
      <c r="Z71" s="430"/>
      <c r="AA71" s="430"/>
      <c r="AB71" s="430"/>
      <c r="AC71" s="430"/>
      <c r="AD71" s="430"/>
      <c r="AE71" s="430"/>
      <c r="AF71" s="430"/>
      <c r="AG71" s="489"/>
      <c r="AH71" s="1"/>
      <c r="AJ71" s="1"/>
      <c r="AK71" s="1"/>
      <c r="AL71" s="12"/>
      <c r="AM71" s="36"/>
    </row>
    <row r="72" customFormat="false" ht="12.75" hidden="false" customHeight="true" outlineLevel="0" collapsed="false">
      <c r="A72" s="397"/>
      <c r="B72" s="488"/>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495"/>
      <c r="AH72" s="1"/>
      <c r="AJ72" s="1"/>
      <c r="AK72" s="1"/>
      <c r="AL72" s="12"/>
      <c r="AM72" s="36"/>
    </row>
    <row r="73" customFormat="false" ht="12.75" hidden="false" customHeight="true" outlineLevel="0" collapsed="false">
      <c r="A73" s="397"/>
      <c r="B73" s="488"/>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c r="AE73" s="36"/>
      <c r="AF73" s="36"/>
      <c r="AG73" s="495"/>
      <c r="AH73" s="1"/>
      <c r="AJ73" s="1"/>
      <c r="AK73" s="1"/>
      <c r="AL73" s="12"/>
      <c r="AM73" s="36"/>
    </row>
    <row r="74" customFormat="false" ht="12.75" hidden="false" customHeight="true" outlineLevel="0" collapsed="false">
      <c r="A74" s="397"/>
      <c r="B74" s="488"/>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495"/>
      <c r="AH74" s="1"/>
      <c r="AJ74" s="1"/>
      <c r="AK74" s="1"/>
      <c r="AL74" s="12"/>
      <c r="AM74" s="36"/>
    </row>
    <row r="75" customFormat="false" ht="12.75" hidden="false" customHeight="true" outlineLevel="0" collapsed="false">
      <c r="A75" s="397"/>
      <c r="B75" s="49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495"/>
      <c r="AH75" s="1"/>
      <c r="AJ75" s="1"/>
      <c r="AK75" s="1"/>
      <c r="AL75" s="12"/>
      <c r="AM75" s="36"/>
    </row>
    <row r="76" customFormat="false" ht="12.75" hidden="false" customHeight="true" outlineLevel="0" collapsed="false">
      <c r="A76" s="497" t="s">
        <v>246</v>
      </c>
      <c r="B76" s="498" t="n">
        <f aca="false">SUM(B47:B75)-B61-B67-B68-B69</f>
        <v>-31267</v>
      </c>
      <c r="C76" s="499"/>
      <c r="D76" s="499"/>
      <c r="E76" s="499"/>
      <c r="F76" s="499"/>
      <c r="G76" s="499"/>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500"/>
      <c r="AH76" s="1"/>
      <c r="AJ76" s="1"/>
      <c r="AK76" s="1"/>
      <c r="AL76" s="12"/>
      <c r="AM76" s="36"/>
    </row>
    <row r="77" customFormat="false" ht="12.75" hidden="false" customHeight="true" outlineLevel="0" collapsed="false">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J77" s="1"/>
      <c r="AK77" s="1"/>
      <c r="AL77" s="12"/>
      <c r="AM77" s="36"/>
    </row>
    <row r="78" customFormat="false" ht="12.75" hidden="false" customHeight="true" outlineLevel="0" collapsed="false">
      <c r="A78" s="414"/>
      <c r="B78" s="501"/>
      <c r="AH78" s="414"/>
      <c r="AJ78" s="414"/>
      <c r="AK78" s="430"/>
      <c r="AL78" s="12"/>
      <c r="AM78" s="36"/>
    </row>
    <row r="79" customFormat="false" ht="12.75" hidden="false" customHeight="true" outlineLevel="0" collapsed="false">
      <c r="A79" s="465" t="s">
        <v>340</v>
      </c>
      <c r="B79" s="465"/>
      <c r="AH79" s="414"/>
      <c r="AJ79" s="414"/>
      <c r="AK79" s="430"/>
      <c r="AL79" s="12"/>
      <c r="AM79" s="36"/>
    </row>
    <row r="80" customFormat="false" ht="12.75" hidden="false" customHeight="true" outlineLevel="0" collapsed="false">
      <c r="A80" s="414"/>
      <c r="B80" s="501"/>
      <c r="AH80" s="414"/>
      <c r="AJ80" s="414"/>
      <c r="AK80" s="430"/>
      <c r="AL80" s="12"/>
      <c r="AM80" s="36"/>
    </row>
    <row r="81" customFormat="false" ht="12.75" hidden="false" customHeight="true" outlineLevel="0" collapsed="false">
      <c r="A81" s="468"/>
      <c r="B81" s="469" t="s">
        <v>210</v>
      </c>
      <c r="C81" s="470" t="n">
        <f aca="false">SUM(C85:C101)</f>
        <v>0</v>
      </c>
      <c r="D81" s="470" t="n">
        <f aca="false">SUM(D85:D101)</f>
        <v>0</v>
      </c>
      <c r="E81" s="470" t="n">
        <f aca="false">SUM(E85:E101)</f>
        <v>0</v>
      </c>
      <c r="F81" s="470" t="n">
        <f aca="false">SUM(F85:F101)</f>
        <v>0</v>
      </c>
      <c r="G81" s="470" t="n">
        <f aca="false">SUM(G85:G101)</f>
        <v>0</v>
      </c>
      <c r="H81" s="470" t="n">
        <f aca="false">SUM(H85:H101)</f>
        <v>0</v>
      </c>
      <c r="I81" s="470" t="n">
        <f aca="false">SUM(I85:I101)</f>
        <v>0</v>
      </c>
      <c r="J81" s="470" t="n">
        <f aca="false">SUM(J85:J101)</f>
        <v>0</v>
      </c>
      <c r="K81" s="470" t="n">
        <f aca="false">SUM(K85:K101)</f>
        <v>0</v>
      </c>
      <c r="L81" s="470" t="n">
        <f aca="false">SUM(L85:L101)</f>
        <v>0</v>
      </c>
      <c r="M81" s="470" t="n">
        <f aca="false">SUM(M85:M101)</f>
        <v>0</v>
      </c>
      <c r="N81" s="470" t="n">
        <f aca="false">SUM(N85:N101)</f>
        <v>0</v>
      </c>
      <c r="O81" s="470" t="n">
        <f aca="false">SUM(O85:O101)</f>
        <v>0</v>
      </c>
      <c r="P81" s="470" t="n">
        <f aca="false">SUM(P85:P101)</f>
        <v>0</v>
      </c>
      <c r="Q81" s="470" t="n">
        <f aca="false">SUM(Q85:Q101)</f>
        <v>0</v>
      </c>
      <c r="R81" s="470" t="n">
        <f aca="false">SUM(R85:R101)</f>
        <v>0</v>
      </c>
      <c r="S81" s="470" t="n">
        <f aca="false">SUM(S85:S101)</f>
        <v>0</v>
      </c>
      <c r="T81" s="470" t="n">
        <f aca="false">SUM(T85:T101)</f>
        <v>0</v>
      </c>
      <c r="U81" s="470" t="n">
        <f aca="false">SUM(U85:U101)</f>
        <v>0</v>
      </c>
      <c r="V81" s="470" t="n">
        <f aca="false">SUM(V85:V101)</f>
        <v>0</v>
      </c>
      <c r="W81" s="470" t="n">
        <f aca="false">SUM(W85:W101)</f>
        <v>0</v>
      </c>
      <c r="X81" s="470" t="n">
        <f aca="false">SUM(X85:X101)</f>
        <v>0</v>
      </c>
      <c r="Y81" s="470" t="n">
        <f aca="false">SUM(Y85:Y101)</f>
        <v>0</v>
      </c>
      <c r="Z81" s="470" t="n">
        <f aca="false">SUM(Z85:Z101)</f>
        <v>0</v>
      </c>
      <c r="AA81" s="470" t="n">
        <f aca="false">SUM(AA85:AA101)</f>
        <v>0</v>
      </c>
      <c r="AB81" s="470" t="n">
        <f aca="false">SUM(AB85:AB101)</f>
        <v>0</v>
      </c>
      <c r="AC81" s="470" t="n">
        <f aca="false">SUM(AC85:AC101)</f>
        <v>0</v>
      </c>
      <c r="AD81" s="470" t="n">
        <f aca="false">SUM(AD85:AD101)</f>
        <v>0</v>
      </c>
      <c r="AE81" s="470" t="n">
        <f aca="false">SUM(AE85:AE101)</f>
        <v>0</v>
      </c>
      <c r="AF81" s="470" t="n">
        <f aca="false">SUM(AF85:AF101)</f>
        <v>0</v>
      </c>
      <c r="AG81" s="470" t="n">
        <f aca="false">SUM(AG85:AG101)</f>
        <v>0</v>
      </c>
      <c r="AH81" s="1"/>
      <c r="AI81" s="502"/>
      <c r="AJ81" s="503"/>
      <c r="AK81" s="1"/>
      <c r="AL81" s="419"/>
      <c r="AN81" s="1"/>
      <c r="AO81" s="1"/>
      <c r="AP81" s="1"/>
      <c r="AQ81" s="1"/>
      <c r="AR81" s="1"/>
      <c r="AS81" s="1"/>
    </row>
    <row r="82" customFormat="false" ht="12.75" hidden="false" customHeight="true" outlineLevel="0" collapsed="false">
      <c r="A82" s="473" t="s">
        <v>248</v>
      </c>
      <c r="B82" s="474" t="n">
        <f aca="false">B44</f>
        <v>36831</v>
      </c>
      <c r="C82" s="475" t="n">
        <f aca="false">C44</f>
        <v>36831</v>
      </c>
      <c r="D82" s="475" t="n">
        <f aca="false">D44</f>
        <v>36832</v>
      </c>
      <c r="E82" s="475" t="n">
        <f aca="false">E44</f>
        <v>36833</v>
      </c>
      <c r="F82" s="475" t="n">
        <f aca="false">F44</f>
        <v>36834</v>
      </c>
      <c r="G82" s="475" t="n">
        <f aca="false">G44</f>
        <v>36835</v>
      </c>
      <c r="H82" s="475" t="n">
        <f aca="false">H44</f>
        <v>36836</v>
      </c>
      <c r="I82" s="475" t="n">
        <f aca="false">I44</f>
        <v>36837</v>
      </c>
      <c r="J82" s="475" t="n">
        <f aca="false">J44</f>
        <v>36838</v>
      </c>
      <c r="K82" s="475" t="n">
        <f aca="false">K44</f>
        <v>36839</v>
      </c>
      <c r="L82" s="475" t="n">
        <f aca="false">L44</f>
        <v>36840</v>
      </c>
      <c r="M82" s="475" t="n">
        <f aca="false">M44</f>
        <v>36841</v>
      </c>
      <c r="N82" s="475" t="n">
        <f aca="false">N44</f>
        <v>36842</v>
      </c>
      <c r="O82" s="475" t="n">
        <f aca="false">O44</f>
        <v>36843</v>
      </c>
      <c r="P82" s="475" t="n">
        <f aca="false">P44</f>
        <v>36844</v>
      </c>
      <c r="Q82" s="475" t="n">
        <f aca="false">Q44</f>
        <v>36845</v>
      </c>
      <c r="R82" s="475" t="n">
        <f aca="false">R44</f>
        <v>36846</v>
      </c>
      <c r="S82" s="475" t="n">
        <f aca="false">S44</f>
        <v>36847</v>
      </c>
      <c r="T82" s="475" t="n">
        <f aca="false">T44</f>
        <v>36848</v>
      </c>
      <c r="U82" s="475" t="n">
        <f aca="false">U44</f>
        <v>36849</v>
      </c>
      <c r="V82" s="475" t="n">
        <f aca="false">V44</f>
        <v>36850</v>
      </c>
      <c r="W82" s="475" t="n">
        <f aca="false">W44</f>
        <v>36851</v>
      </c>
      <c r="X82" s="475" t="n">
        <f aca="false">X44</f>
        <v>36852</v>
      </c>
      <c r="Y82" s="475" t="n">
        <f aca="false">Y44</f>
        <v>36853</v>
      </c>
      <c r="Z82" s="475" t="n">
        <f aca="false">Z44</f>
        <v>36854</v>
      </c>
      <c r="AA82" s="475" t="n">
        <f aca="false">AA44</f>
        <v>36855</v>
      </c>
      <c r="AB82" s="475" t="n">
        <f aca="false">AB44</f>
        <v>36856</v>
      </c>
      <c r="AC82" s="475" t="n">
        <f aca="false">AC44</f>
        <v>36857</v>
      </c>
      <c r="AD82" s="475" t="n">
        <f aca="false">AD44</f>
        <v>36858</v>
      </c>
      <c r="AE82" s="475" t="n">
        <f aca="false">AE44</f>
        <v>36859</v>
      </c>
      <c r="AF82" s="475" t="n">
        <f aca="false">AF44</f>
        <v>36860</v>
      </c>
      <c r="AG82" s="475" t="n">
        <f aca="false">AG44</f>
        <v>36861</v>
      </c>
      <c r="AH82" s="476"/>
      <c r="AI82" s="502"/>
      <c r="AJ82" s="504"/>
      <c r="AK82" s="476"/>
      <c r="AL82" s="479"/>
      <c r="AM82" s="476"/>
      <c r="AN82" s="476"/>
      <c r="AO82" s="476"/>
      <c r="AP82" s="476"/>
      <c r="AQ82" s="476"/>
      <c r="AR82" s="476"/>
      <c r="AS82" s="476"/>
      <c r="AT82" s="476"/>
      <c r="AU82" s="476"/>
      <c r="AV82" s="476"/>
      <c r="AW82" s="476"/>
      <c r="AX82" s="476"/>
      <c r="AY82" s="476"/>
      <c r="AZ82" s="476"/>
      <c r="BA82" s="476"/>
      <c r="BB82" s="476"/>
      <c r="BC82" s="476"/>
      <c r="BD82" s="476"/>
      <c r="BE82" s="476"/>
      <c r="BF82" s="476"/>
      <c r="BG82" s="476"/>
      <c r="BH82" s="476"/>
      <c r="BI82" s="476"/>
      <c r="BJ82" s="476"/>
      <c r="BK82" s="476"/>
      <c r="BL82" s="476"/>
      <c r="BM82" s="476"/>
      <c r="BN82" s="476"/>
      <c r="BO82" s="476"/>
      <c r="BP82" s="476"/>
      <c r="BQ82" s="476"/>
      <c r="BR82" s="476"/>
      <c r="BS82" s="476"/>
      <c r="BT82" s="476"/>
      <c r="BU82" s="476"/>
      <c r="BV82" s="476"/>
      <c r="BW82" s="476"/>
      <c r="BX82" s="476"/>
      <c r="BY82" s="476"/>
      <c r="BZ82" s="476"/>
      <c r="CA82" s="476"/>
      <c r="CB82" s="476"/>
      <c r="CC82" s="476"/>
      <c r="CD82" s="476"/>
      <c r="CE82" s="476"/>
      <c r="CF82" s="476"/>
      <c r="CG82" s="476"/>
      <c r="CH82" s="476"/>
      <c r="CI82" s="476"/>
      <c r="CJ82" s="476"/>
      <c r="CK82" s="476"/>
      <c r="CL82" s="476"/>
      <c r="CM82" s="476"/>
      <c r="CN82" s="476"/>
      <c r="CO82" s="476"/>
      <c r="CP82" s="476"/>
      <c r="CQ82" s="476"/>
      <c r="CR82" s="476"/>
      <c r="CS82" s="476"/>
      <c r="CT82" s="476"/>
      <c r="CU82" s="476"/>
      <c r="CV82" s="476"/>
      <c r="CW82" s="476"/>
      <c r="CX82" s="476"/>
      <c r="CY82" s="476"/>
      <c r="CZ82" s="476"/>
      <c r="DA82" s="476"/>
      <c r="DB82" s="476"/>
      <c r="DC82" s="476"/>
      <c r="DD82" s="476"/>
      <c r="DE82" s="476"/>
      <c r="DF82" s="476"/>
      <c r="DG82" s="476"/>
      <c r="DH82" s="476"/>
      <c r="DI82" s="476"/>
      <c r="DJ82" s="476"/>
      <c r="DK82" s="476"/>
      <c r="DL82" s="476"/>
      <c r="DM82" s="476"/>
      <c r="DN82" s="476"/>
      <c r="DO82" s="476"/>
      <c r="DP82" s="476"/>
      <c r="DQ82" s="476"/>
      <c r="DR82" s="476"/>
      <c r="DS82" s="476"/>
      <c r="DT82" s="476"/>
      <c r="DU82" s="476"/>
      <c r="DV82" s="476"/>
      <c r="DW82" s="476"/>
      <c r="DX82" s="476"/>
      <c r="DY82" s="476"/>
      <c r="DZ82" s="476"/>
      <c r="EA82" s="476"/>
      <c r="EB82" s="476"/>
      <c r="EC82" s="476"/>
      <c r="ED82" s="476"/>
      <c r="EE82" s="476"/>
      <c r="EF82" s="476"/>
      <c r="EG82" s="476"/>
      <c r="EH82" s="476"/>
      <c r="EI82" s="476"/>
      <c r="EJ82" s="476"/>
      <c r="EK82" s="476"/>
      <c r="EL82" s="476"/>
      <c r="EM82" s="476"/>
      <c r="EN82" s="476"/>
      <c r="EO82" s="476"/>
      <c r="EP82" s="476"/>
      <c r="EQ82" s="476"/>
      <c r="ER82" s="476"/>
      <c r="ES82" s="476"/>
      <c r="ET82" s="476"/>
      <c r="EU82" s="476"/>
      <c r="EV82" s="476"/>
      <c r="EW82" s="476"/>
      <c r="EX82" s="476"/>
      <c r="EY82" s="476"/>
      <c r="EZ82" s="476"/>
      <c r="FA82" s="476"/>
      <c r="FB82" s="476"/>
      <c r="FC82" s="476"/>
      <c r="FD82" s="476"/>
      <c r="FE82" s="476"/>
      <c r="FF82" s="476"/>
      <c r="FG82" s="476"/>
      <c r="FH82" s="476"/>
      <c r="FI82" s="476"/>
      <c r="FJ82" s="476"/>
      <c r="FK82" s="476"/>
      <c r="FL82" s="476"/>
      <c r="FM82" s="476"/>
      <c r="FN82" s="476"/>
      <c r="FO82" s="476"/>
      <c r="FP82" s="476"/>
      <c r="FQ82" s="476"/>
      <c r="FR82" s="476"/>
      <c r="FS82" s="476"/>
      <c r="FT82" s="476"/>
      <c r="FU82" s="476"/>
      <c r="FV82" s="476"/>
      <c r="FW82" s="476"/>
      <c r="FX82" s="476"/>
      <c r="FY82" s="476"/>
      <c r="FZ82" s="476"/>
      <c r="GA82" s="476"/>
      <c r="GB82" s="476"/>
      <c r="GC82" s="476"/>
      <c r="GD82" s="476"/>
      <c r="GE82" s="476"/>
      <c r="GF82" s="476"/>
      <c r="GG82" s="476"/>
      <c r="GH82" s="476"/>
      <c r="GI82" s="476"/>
      <c r="GJ82" s="476"/>
      <c r="GK82" s="476"/>
      <c r="GL82" s="476"/>
      <c r="GM82" s="476"/>
      <c r="GN82" s="476"/>
      <c r="GO82" s="476"/>
      <c r="GP82" s="476"/>
      <c r="GQ82" s="476"/>
      <c r="GR82" s="476"/>
      <c r="GS82" s="476"/>
      <c r="GT82" s="476"/>
      <c r="GU82" s="476"/>
      <c r="GV82" s="476"/>
      <c r="GW82" s="476"/>
      <c r="GX82" s="476"/>
      <c r="GY82" s="476"/>
      <c r="GZ82" s="476"/>
      <c r="HA82" s="476"/>
      <c r="HB82" s="476"/>
      <c r="HC82" s="476"/>
      <c r="HD82" s="476"/>
      <c r="HE82" s="476"/>
      <c r="HF82" s="476"/>
      <c r="HG82" s="476"/>
      <c r="HH82" s="476"/>
      <c r="HI82" s="476"/>
      <c r="HJ82" s="476"/>
      <c r="HK82" s="476"/>
      <c r="HL82" s="476"/>
      <c r="HM82" s="476"/>
      <c r="HN82" s="476"/>
      <c r="HO82" s="476"/>
      <c r="HP82" s="476"/>
      <c r="HQ82" s="476"/>
      <c r="HR82" s="476"/>
      <c r="HS82" s="476"/>
      <c r="HT82" s="476"/>
      <c r="HU82" s="476"/>
      <c r="HV82" s="476"/>
      <c r="HW82" s="476"/>
      <c r="HX82" s="476"/>
      <c r="HY82" s="476"/>
      <c r="HZ82" s="476"/>
      <c r="IA82" s="476"/>
      <c r="IB82" s="476"/>
      <c r="IC82" s="476"/>
      <c r="ID82" s="476"/>
      <c r="IE82" s="476"/>
      <c r="IF82" s="476"/>
      <c r="IG82" s="476"/>
      <c r="IH82" s="476"/>
      <c r="II82" s="476"/>
      <c r="IJ82" s="476"/>
      <c r="IK82" s="476"/>
      <c r="IL82" s="476"/>
      <c r="IM82" s="476"/>
      <c r="IN82" s="476"/>
      <c r="IO82" s="476"/>
      <c r="IP82" s="476"/>
      <c r="IQ82" s="476"/>
      <c r="IR82" s="476"/>
      <c r="IS82" s="476"/>
      <c r="IT82" s="476"/>
      <c r="IU82" s="476"/>
      <c r="IV82" s="476"/>
      <c r="IW82" s="476"/>
    </row>
    <row r="83" customFormat="false" ht="12.75" hidden="false" customHeight="true" outlineLevel="0" collapsed="false">
      <c r="A83" s="480"/>
      <c r="B83" s="480"/>
      <c r="C83" s="481" t="str">
        <f aca="false">C45</f>
        <v>W</v>
      </c>
      <c r="D83" s="481" t="str">
        <f aca="false">D45</f>
        <v>R</v>
      </c>
      <c r="E83" s="481" t="str">
        <f aca="false">E45</f>
        <v>F</v>
      </c>
      <c r="F83" s="481" t="str">
        <f aca="false">F45</f>
        <v>S</v>
      </c>
      <c r="G83" s="481" t="str">
        <f aca="false">G45</f>
        <v>S</v>
      </c>
      <c r="H83" s="481" t="str">
        <f aca="false">H45</f>
        <v>M</v>
      </c>
      <c r="I83" s="481" t="str">
        <f aca="false">I45</f>
        <v>T</v>
      </c>
      <c r="J83" s="481" t="str">
        <f aca="false">J45</f>
        <v>W</v>
      </c>
      <c r="K83" s="481" t="str">
        <f aca="false">K45</f>
        <v>R</v>
      </c>
      <c r="L83" s="481" t="str">
        <f aca="false">L45</f>
        <v>F</v>
      </c>
      <c r="M83" s="481" t="str">
        <f aca="false">M45</f>
        <v>S</v>
      </c>
      <c r="N83" s="481" t="str">
        <f aca="false">N45</f>
        <v>S</v>
      </c>
      <c r="O83" s="481" t="str">
        <f aca="false">O45</f>
        <v>M</v>
      </c>
      <c r="P83" s="481" t="str">
        <f aca="false">P45</f>
        <v>T</v>
      </c>
      <c r="Q83" s="481" t="str">
        <f aca="false">Q45</f>
        <v>W</v>
      </c>
      <c r="R83" s="481" t="str">
        <f aca="false">R45</f>
        <v>R</v>
      </c>
      <c r="S83" s="481" t="str">
        <f aca="false">S45</f>
        <v>F</v>
      </c>
      <c r="T83" s="481" t="str">
        <f aca="false">T45</f>
        <v>S</v>
      </c>
      <c r="U83" s="481" t="str">
        <f aca="false">U45</f>
        <v>S</v>
      </c>
      <c r="V83" s="481" t="str">
        <f aca="false">V45</f>
        <v>M</v>
      </c>
      <c r="W83" s="481" t="str">
        <f aca="false">W45</f>
        <v>T</v>
      </c>
      <c r="X83" s="481" t="str">
        <f aca="false">X45</f>
        <v>W</v>
      </c>
      <c r="Y83" s="481" t="str">
        <f aca="false">Y45</f>
        <v>R</v>
      </c>
      <c r="Z83" s="481" t="str">
        <f aca="false">Z45</f>
        <v>F</v>
      </c>
      <c r="AA83" s="481" t="str">
        <f aca="false">AA45</f>
        <v>S</v>
      </c>
      <c r="AB83" s="481" t="str">
        <f aca="false">AB45</f>
        <v>S</v>
      </c>
      <c r="AC83" s="481" t="str">
        <f aca="false">AC45</f>
        <v>M</v>
      </c>
      <c r="AD83" s="481" t="str">
        <f aca="false">AD45</f>
        <v>T</v>
      </c>
      <c r="AE83" s="481" t="str">
        <f aca="false">AE45</f>
        <v>W</v>
      </c>
      <c r="AF83" s="481" t="str">
        <f aca="false">AF45</f>
        <v>R</v>
      </c>
      <c r="AG83" s="481" t="str">
        <f aca="false">AG45</f>
        <v>F</v>
      </c>
      <c r="AH83" s="1"/>
      <c r="AI83" s="502"/>
      <c r="AJ83" s="503"/>
      <c r="AK83" s="1"/>
      <c r="AL83" s="414"/>
      <c r="AN83" s="1"/>
      <c r="AO83" s="1"/>
      <c r="AP83" s="1"/>
      <c r="AQ83" s="1"/>
      <c r="AR83" s="1"/>
      <c r="AS83" s="1"/>
    </row>
    <row r="84" customFormat="false" ht="12.75" hidden="false" customHeight="true" outlineLevel="0" collapsed="false">
      <c r="A84" s="484"/>
      <c r="B84" s="485" t="s">
        <v>216</v>
      </c>
      <c r="C84" s="486"/>
      <c r="D84" s="486"/>
      <c r="E84" s="486"/>
      <c r="F84" s="486"/>
      <c r="G84" s="486"/>
      <c r="H84" s="486"/>
      <c r="I84" s="486"/>
      <c r="J84" s="486"/>
      <c r="K84" s="486"/>
      <c r="L84" s="486"/>
      <c r="M84" s="486"/>
      <c r="N84" s="486"/>
      <c r="O84" s="486"/>
      <c r="P84" s="486"/>
      <c r="Q84" s="486"/>
      <c r="R84" s="486"/>
      <c r="S84" s="486"/>
      <c r="T84" s="486"/>
      <c r="U84" s="486"/>
      <c r="V84" s="486"/>
      <c r="W84" s="486"/>
      <c r="X84" s="486"/>
      <c r="Y84" s="486"/>
      <c r="Z84" s="486"/>
      <c r="AA84" s="486"/>
      <c r="AB84" s="486"/>
      <c r="AC84" s="486"/>
      <c r="AD84" s="486"/>
      <c r="AE84" s="486"/>
      <c r="AF84" s="486"/>
      <c r="AG84" s="487"/>
      <c r="AH84" s="414"/>
      <c r="AI84" s="492"/>
      <c r="AJ84" s="505"/>
      <c r="AK84" s="430"/>
      <c r="AL84" s="12"/>
      <c r="AM84" s="36"/>
    </row>
    <row r="85" customFormat="false" ht="12.75" hidden="false" customHeight="true" outlineLevel="0" collapsed="false">
      <c r="A85" s="397" t="s">
        <v>249</v>
      </c>
      <c r="B85" s="488" t="n">
        <f aca="false">SUM(C85:AG85)</f>
        <v>0</v>
      </c>
      <c r="C85" s="430" t="n">
        <v>0</v>
      </c>
      <c r="D85" s="430" t="n">
        <v>0</v>
      </c>
      <c r="E85" s="430" t="n">
        <v>0</v>
      </c>
      <c r="F85" s="430" t="n">
        <v>0</v>
      </c>
      <c r="G85" s="430" t="n">
        <v>0</v>
      </c>
      <c r="H85" s="430" t="n">
        <v>0</v>
      </c>
      <c r="I85" s="430" t="n">
        <v>0</v>
      </c>
      <c r="J85" s="430" t="n">
        <v>0</v>
      </c>
      <c r="K85" s="430" t="n">
        <v>0</v>
      </c>
      <c r="L85" s="430" t="n">
        <v>0</v>
      </c>
      <c r="M85" s="430" t="n">
        <v>0</v>
      </c>
      <c r="N85" s="430" t="n">
        <v>0</v>
      </c>
      <c r="O85" s="430" t="n">
        <v>0</v>
      </c>
      <c r="P85" s="430" t="n">
        <v>0</v>
      </c>
      <c r="Q85" s="430" t="n">
        <v>0</v>
      </c>
      <c r="R85" s="430" t="n">
        <v>0</v>
      </c>
      <c r="S85" s="430" t="n">
        <v>0</v>
      </c>
      <c r="T85" s="430" t="n">
        <v>0</v>
      </c>
      <c r="U85" s="430" t="n">
        <v>0</v>
      </c>
      <c r="V85" s="430" t="n">
        <v>0</v>
      </c>
      <c r="W85" s="430" t="n">
        <v>0</v>
      </c>
      <c r="X85" s="430" t="n">
        <v>0</v>
      </c>
      <c r="Y85" s="430" t="n">
        <v>0</v>
      </c>
      <c r="Z85" s="430" t="n">
        <v>0</v>
      </c>
      <c r="AA85" s="430" t="n">
        <v>0</v>
      </c>
      <c r="AB85" s="430" t="n">
        <v>0</v>
      </c>
      <c r="AC85" s="430" t="n">
        <v>0</v>
      </c>
      <c r="AD85" s="430" t="n">
        <v>0</v>
      </c>
      <c r="AE85" s="430" t="n">
        <v>0</v>
      </c>
      <c r="AF85" s="430" t="n">
        <v>0</v>
      </c>
      <c r="AG85" s="489" t="n">
        <v>0</v>
      </c>
      <c r="AH85" s="414"/>
      <c r="AJ85" s="414"/>
      <c r="AK85" s="430"/>
      <c r="AL85" s="12"/>
      <c r="AM85" s="36"/>
    </row>
    <row r="86" customFormat="false" ht="12.75" hidden="false" customHeight="true" outlineLevel="0" collapsed="false">
      <c r="A86" s="397" t="s">
        <v>250</v>
      </c>
      <c r="B86" s="488" t="n">
        <f aca="false">SUM(C86:AG86)</f>
        <v>0</v>
      </c>
      <c r="C86" s="430" t="n">
        <v>0</v>
      </c>
      <c r="D86" s="430" t="n">
        <v>0</v>
      </c>
      <c r="E86" s="430" t="n">
        <v>0</v>
      </c>
      <c r="F86" s="430" t="n">
        <v>0</v>
      </c>
      <c r="G86" s="430" t="n">
        <v>0</v>
      </c>
      <c r="H86" s="430" t="n">
        <v>0</v>
      </c>
      <c r="I86" s="430" t="n">
        <v>0</v>
      </c>
      <c r="J86" s="430" t="n">
        <v>0</v>
      </c>
      <c r="K86" s="430" t="n">
        <v>0</v>
      </c>
      <c r="L86" s="430" t="n">
        <v>0</v>
      </c>
      <c r="M86" s="430" t="n">
        <v>0</v>
      </c>
      <c r="N86" s="430" t="n">
        <v>0</v>
      </c>
      <c r="O86" s="430" t="n">
        <v>0</v>
      </c>
      <c r="P86" s="430" t="n">
        <v>0</v>
      </c>
      <c r="Q86" s="430" t="n">
        <v>0</v>
      </c>
      <c r="R86" s="430" t="n">
        <v>0</v>
      </c>
      <c r="S86" s="430" t="n">
        <v>0</v>
      </c>
      <c r="T86" s="430" t="n">
        <v>0</v>
      </c>
      <c r="U86" s="430" t="n">
        <v>0</v>
      </c>
      <c r="V86" s="430" t="n">
        <v>0</v>
      </c>
      <c r="W86" s="430" t="n">
        <v>0</v>
      </c>
      <c r="X86" s="430" t="n">
        <v>0</v>
      </c>
      <c r="Y86" s="430" t="n">
        <v>0</v>
      </c>
      <c r="Z86" s="430" t="n">
        <v>0</v>
      </c>
      <c r="AA86" s="430" t="n">
        <v>0</v>
      </c>
      <c r="AB86" s="430" t="n">
        <v>0</v>
      </c>
      <c r="AC86" s="430" t="n">
        <v>0</v>
      </c>
      <c r="AD86" s="430" t="n">
        <v>0</v>
      </c>
      <c r="AE86" s="430" t="n">
        <v>0</v>
      </c>
      <c r="AF86" s="430" t="n">
        <v>0</v>
      </c>
      <c r="AG86" s="489" t="n">
        <v>0</v>
      </c>
      <c r="AH86" s="414"/>
      <c r="AJ86" s="414"/>
      <c r="AK86" s="430"/>
      <c r="AL86" s="12"/>
      <c r="AM86" s="36"/>
    </row>
    <row r="87" customFormat="false" ht="12.75" hidden="false" customHeight="true" outlineLevel="0" collapsed="false">
      <c r="A87" s="397" t="s">
        <v>251</v>
      </c>
      <c r="B87" s="488" t="n">
        <f aca="false">SUM(C87:AG87)</f>
        <v>0</v>
      </c>
      <c r="C87" s="430" t="n">
        <v>0</v>
      </c>
      <c r="D87" s="430" t="n">
        <v>0</v>
      </c>
      <c r="E87" s="430" t="n">
        <v>0</v>
      </c>
      <c r="F87" s="430" t="n">
        <v>0</v>
      </c>
      <c r="G87" s="430" t="n">
        <v>0</v>
      </c>
      <c r="H87" s="430" t="n">
        <v>0</v>
      </c>
      <c r="I87" s="430" t="n">
        <v>0</v>
      </c>
      <c r="J87" s="430" t="n">
        <v>0</v>
      </c>
      <c r="K87" s="430" t="n">
        <v>0</v>
      </c>
      <c r="L87" s="430" t="n">
        <v>0</v>
      </c>
      <c r="M87" s="430" t="n">
        <v>0</v>
      </c>
      <c r="N87" s="430" t="n">
        <v>0</v>
      </c>
      <c r="O87" s="430" t="n">
        <v>0</v>
      </c>
      <c r="P87" s="430" t="n">
        <v>0</v>
      </c>
      <c r="Q87" s="430" t="n">
        <v>0</v>
      </c>
      <c r="R87" s="430" t="n">
        <v>0</v>
      </c>
      <c r="S87" s="430" t="n">
        <v>0</v>
      </c>
      <c r="T87" s="430" t="n">
        <v>0</v>
      </c>
      <c r="U87" s="430" t="n">
        <v>0</v>
      </c>
      <c r="V87" s="430" t="n">
        <v>0</v>
      </c>
      <c r="W87" s="430" t="n">
        <v>0</v>
      </c>
      <c r="X87" s="430" t="n">
        <v>0</v>
      </c>
      <c r="Y87" s="430" t="n">
        <v>0</v>
      </c>
      <c r="Z87" s="430" t="n">
        <v>0</v>
      </c>
      <c r="AA87" s="430" t="n">
        <v>0</v>
      </c>
      <c r="AB87" s="430" t="n">
        <v>0</v>
      </c>
      <c r="AC87" s="430" t="n">
        <v>0</v>
      </c>
      <c r="AD87" s="430" t="n">
        <v>0</v>
      </c>
      <c r="AE87" s="430" t="n">
        <v>0</v>
      </c>
      <c r="AF87" s="430" t="n">
        <v>0</v>
      </c>
      <c r="AG87" s="489" t="n">
        <v>0</v>
      </c>
      <c r="AH87" s="414"/>
      <c r="AJ87" s="414"/>
      <c r="AK87" s="430"/>
      <c r="AL87" s="12"/>
      <c r="AM87" s="36"/>
    </row>
    <row r="88" customFormat="false" ht="12.75" hidden="false" customHeight="true" outlineLevel="0" collapsed="false">
      <c r="A88" s="397" t="s">
        <v>252</v>
      </c>
      <c r="B88" s="488" t="n">
        <f aca="false">SUM(C88:AG88)</f>
        <v>0</v>
      </c>
      <c r="C88" s="430" t="n">
        <v>0</v>
      </c>
      <c r="D88" s="430" t="n">
        <v>0</v>
      </c>
      <c r="E88" s="430" t="n">
        <v>0</v>
      </c>
      <c r="F88" s="430" t="n">
        <v>0</v>
      </c>
      <c r="G88" s="430" t="n">
        <v>0</v>
      </c>
      <c r="H88" s="430" t="n">
        <v>0</v>
      </c>
      <c r="I88" s="430" t="n">
        <v>0</v>
      </c>
      <c r="J88" s="430" t="n">
        <v>0</v>
      </c>
      <c r="K88" s="430" t="n">
        <v>0</v>
      </c>
      <c r="L88" s="430" t="n">
        <v>0</v>
      </c>
      <c r="M88" s="430" t="n">
        <v>0</v>
      </c>
      <c r="N88" s="430" t="n">
        <v>0</v>
      </c>
      <c r="O88" s="430" t="n">
        <v>0</v>
      </c>
      <c r="P88" s="430" t="n">
        <v>0</v>
      </c>
      <c r="Q88" s="430" t="n">
        <v>0</v>
      </c>
      <c r="R88" s="430" t="n">
        <v>0</v>
      </c>
      <c r="S88" s="430" t="n">
        <v>0</v>
      </c>
      <c r="T88" s="430" t="n">
        <v>0</v>
      </c>
      <c r="U88" s="430" t="n">
        <v>0</v>
      </c>
      <c r="V88" s="430" t="n">
        <v>0</v>
      </c>
      <c r="W88" s="430" t="n">
        <v>0</v>
      </c>
      <c r="X88" s="430" t="n">
        <v>0</v>
      </c>
      <c r="Y88" s="430" t="n">
        <v>0</v>
      </c>
      <c r="Z88" s="430" t="n">
        <v>0</v>
      </c>
      <c r="AA88" s="430" t="n">
        <v>0</v>
      </c>
      <c r="AB88" s="430" t="n">
        <v>0</v>
      </c>
      <c r="AC88" s="430" t="n">
        <v>0</v>
      </c>
      <c r="AD88" s="430" t="n">
        <v>0</v>
      </c>
      <c r="AE88" s="430" t="n">
        <v>0</v>
      </c>
      <c r="AF88" s="430" t="n">
        <v>0</v>
      </c>
      <c r="AG88" s="489" t="n">
        <v>0</v>
      </c>
      <c r="AH88" s="414"/>
      <c r="AJ88" s="414"/>
      <c r="AK88" s="430"/>
      <c r="AL88" s="12"/>
      <c r="AM88" s="36"/>
    </row>
    <row r="89" customFormat="false" ht="12.75" hidden="false" customHeight="true" outlineLevel="0" collapsed="false">
      <c r="A89" s="397" t="s">
        <v>253</v>
      </c>
      <c r="B89" s="488" t="n">
        <f aca="false">SUM(C89:AG89)</f>
        <v>0</v>
      </c>
      <c r="C89" s="430" t="n">
        <v>0</v>
      </c>
      <c r="D89" s="430" t="n">
        <v>0</v>
      </c>
      <c r="E89" s="430" t="n">
        <v>0</v>
      </c>
      <c r="F89" s="430" t="n">
        <v>0</v>
      </c>
      <c r="G89" s="430" t="n">
        <v>0</v>
      </c>
      <c r="H89" s="430" t="n">
        <v>0</v>
      </c>
      <c r="I89" s="430" t="n">
        <v>0</v>
      </c>
      <c r="J89" s="430" t="n">
        <v>0</v>
      </c>
      <c r="K89" s="430" t="n">
        <v>0</v>
      </c>
      <c r="L89" s="430" t="n">
        <v>0</v>
      </c>
      <c r="M89" s="430" t="n">
        <v>0</v>
      </c>
      <c r="N89" s="430" t="n">
        <v>0</v>
      </c>
      <c r="O89" s="430" t="n">
        <v>0</v>
      </c>
      <c r="P89" s="430" t="n">
        <v>0</v>
      </c>
      <c r="Q89" s="430" t="n">
        <v>0</v>
      </c>
      <c r="R89" s="430" t="n">
        <v>0</v>
      </c>
      <c r="S89" s="430" t="n">
        <v>0</v>
      </c>
      <c r="T89" s="430" t="n">
        <v>0</v>
      </c>
      <c r="U89" s="430" t="n">
        <v>0</v>
      </c>
      <c r="V89" s="430" t="n">
        <v>0</v>
      </c>
      <c r="W89" s="430" t="n">
        <v>0</v>
      </c>
      <c r="X89" s="430" t="n">
        <v>0</v>
      </c>
      <c r="Y89" s="430" t="n">
        <v>0</v>
      </c>
      <c r="Z89" s="430" t="n">
        <v>0</v>
      </c>
      <c r="AA89" s="430" t="n">
        <v>0</v>
      </c>
      <c r="AB89" s="430" t="n">
        <v>0</v>
      </c>
      <c r="AC89" s="430" t="n">
        <v>0</v>
      </c>
      <c r="AD89" s="430" t="n">
        <v>0</v>
      </c>
      <c r="AE89" s="430" t="n">
        <v>0</v>
      </c>
      <c r="AF89" s="430" t="n">
        <v>0</v>
      </c>
      <c r="AG89" s="489" t="n">
        <v>0</v>
      </c>
      <c r="AH89" s="414"/>
      <c r="AJ89" s="414"/>
      <c r="AK89" s="430"/>
      <c r="AL89" s="12"/>
      <c r="AM89" s="36"/>
    </row>
    <row r="90" customFormat="false" ht="12.75" hidden="false" customHeight="true" outlineLevel="0" collapsed="false">
      <c r="A90" s="397" t="s">
        <v>254</v>
      </c>
      <c r="B90" s="488" t="n">
        <f aca="false">SUM(C90:AG90)</f>
        <v>0</v>
      </c>
      <c r="C90" s="430" t="n">
        <v>0</v>
      </c>
      <c r="D90" s="430" t="n">
        <v>0</v>
      </c>
      <c r="E90" s="430" t="n">
        <v>0</v>
      </c>
      <c r="F90" s="430" t="n">
        <v>0</v>
      </c>
      <c r="G90" s="430" t="n">
        <v>0</v>
      </c>
      <c r="H90" s="430" t="n">
        <v>0</v>
      </c>
      <c r="I90" s="430" t="n">
        <v>0</v>
      </c>
      <c r="J90" s="430" t="n">
        <v>0</v>
      </c>
      <c r="K90" s="430" t="n">
        <v>0</v>
      </c>
      <c r="L90" s="430" t="n">
        <v>0</v>
      </c>
      <c r="M90" s="430" t="n">
        <v>0</v>
      </c>
      <c r="N90" s="430" t="n">
        <v>0</v>
      </c>
      <c r="O90" s="430" t="n">
        <v>0</v>
      </c>
      <c r="P90" s="430" t="n">
        <v>0</v>
      </c>
      <c r="Q90" s="430" t="n">
        <v>0</v>
      </c>
      <c r="R90" s="430" t="n">
        <v>0</v>
      </c>
      <c r="S90" s="430" t="n">
        <v>0</v>
      </c>
      <c r="T90" s="430" t="n">
        <v>0</v>
      </c>
      <c r="U90" s="430" t="n">
        <v>0</v>
      </c>
      <c r="V90" s="430" t="n">
        <v>0</v>
      </c>
      <c r="W90" s="430" t="n">
        <v>0</v>
      </c>
      <c r="X90" s="430" t="n">
        <v>0</v>
      </c>
      <c r="Y90" s="430" t="n">
        <v>0</v>
      </c>
      <c r="Z90" s="430" t="n">
        <v>0</v>
      </c>
      <c r="AA90" s="430" t="n">
        <v>0</v>
      </c>
      <c r="AB90" s="430" t="n">
        <v>0</v>
      </c>
      <c r="AC90" s="430" t="n">
        <v>0</v>
      </c>
      <c r="AD90" s="430" t="n">
        <v>0</v>
      </c>
      <c r="AE90" s="430" t="n">
        <v>0</v>
      </c>
      <c r="AF90" s="430" t="n">
        <v>0</v>
      </c>
      <c r="AG90" s="489" t="n">
        <v>0</v>
      </c>
      <c r="AH90" s="414"/>
      <c r="AJ90" s="414"/>
      <c r="AK90" s="430"/>
      <c r="AL90" s="12"/>
      <c r="AM90" s="36"/>
    </row>
    <row r="91" customFormat="false" ht="12.75" hidden="false" customHeight="true" outlineLevel="0" collapsed="false">
      <c r="A91" s="397" t="s">
        <v>255</v>
      </c>
      <c r="B91" s="488" t="n">
        <f aca="false">SUM(C91:AG91)</f>
        <v>0</v>
      </c>
      <c r="C91" s="430" t="n">
        <v>0</v>
      </c>
      <c r="D91" s="430" t="n">
        <v>0</v>
      </c>
      <c r="E91" s="430" t="n">
        <v>0</v>
      </c>
      <c r="F91" s="430" t="n">
        <v>0</v>
      </c>
      <c r="G91" s="430" t="n">
        <v>0</v>
      </c>
      <c r="H91" s="430" t="n">
        <v>0</v>
      </c>
      <c r="I91" s="430" t="n">
        <v>0</v>
      </c>
      <c r="J91" s="430" t="n">
        <v>0</v>
      </c>
      <c r="K91" s="430" t="n">
        <v>0</v>
      </c>
      <c r="L91" s="430" t="n">
        <v>0</v>
      </c>
      <c r="M91" s="430" t="n">
        <v>0</v>
      </c>
      <c r="N91" s="430" t="n">
        <v>0</v>
      </c>
      <c r="O91" s="430" t="n">
        <v>0</v>
      </c>
      <c r="P91" s="430" t="n">
        <v>0</v>
      </c>
      <c r="Q91" s="430" t="n">
        <v>0</v>
      </c>
      <c r="R91" s="430" t="n">
        <v>0</v>
      </c>
      <c r="S91" s="430" t="n">
        <v>0</v>
      </c>
      <c r="T91" s="430" t="n">
        <v>0</v>
      </c>
      <c r="U91" s="430" t="n">
        <v>0</v>
      </c>
      <c r="V91" s="430" t="n">
        <v>0</v>
      </c>
      <c r="W91" s="430" t="n">
        <v>0</v>
      </c>
      <c r="X91" s="430" t="n">
        <v>0</v>
      </c>
      <c r="Y91" s="430" t="n">
        <v>0</v>
      </c>
      <c r="Z91" s="430" t="n">
        <v>0</v>
      </c>
      <c r="AA91" s="430" t="n">
        <v>0</v>
      </c>
      <c r="AB91" s="430" t="n">
        <v>0</v>
      </c>
      <c r="AC91" s="430" t="n">
        <v>0</v>
      </c>
      <c r="AD91" s="430" t="n">
        <v>0</v>
      </c>
      <c r="AE91" s="430" t="n">
        <v>0</v>
      </c>
      <c r="AF91" s="430" t="n">
        <v>0</v>
      </c>
      <c r="AG91" s="489" t="n">
        <v>0</v>
      </c>
      <c r="AH91" s="414"/>
      <c r="AJ91" s="414"/>
      <c r="AK91" s="430"/>
      <c r="AL91" s="12"/>
      <c r="AM91" s="36"/>
    </row>
    <row r="92" customFormat="false" ht="12.75" hidden="false" customHeight="true" outlineLevel="0" collapsed="false">
      <c r="A92" s="397" t="s">
        <v>256</v>
      </c>
      <c r="B92" s="488" t="n">
        <f aca="false">SUM(C92:AG92)</f>
        <v>0</v>
      </c>
      <c r="C92" s="430" t="n">
        <v>0</v>
      </c>
      <c r="D92" s="430" t="n">
        <v>0</v>
      </c>
      <c r="E92" s="430" t="n">
        <v>0</v>
      </c>
      <c r="F92" s="430" t="n">
        <v>0</v>
      </c>
      <c r="G92" s="430" t="n">
        <v>0</v>
      </c>
      <c r="H92" s="430" t="n">
        <v>0</v>
      </c>
      <c r="I92" s="430" t="n">
        <v>0</v>
      </c>
      <c r="J92" s="430" t="n">
        <v>0</v>
      </c>
      <c r="K92" s="430" t="n">
        <v>0</v>
      </c>
      <c r="L92" s="430" t="n">
        <v>0</v>
      </c>
      <c r="M92" s="430" t="n">
        <v>0</v>
      </c>
      <c r="N92" s="430" t="n">
        <v>0</v>
      </c>
      <c r="O92" s="430" t="n">
        <v>0</v>
      </c>
      <c r="P92" s="430" t="n">
        <v>0</v>
      </c>
      <c r="Q92" s="430" t="n">
        <v>0</v>
      </c>
      <c r="R92" s="430" t="n">
        <v>0</v>
      </c>
      <c r="S92" s="430" t="n">
        <v>0</v>
      </c>
      <c r="T92" s="430" t="n">
        <v>0</v>
      </c>
      <c r="U92" s="430" t="n">
        <v>0</v>
      </c>
      <c r="V92" s="430" t="n">
        <v>0</v>
      </c>
      <c r="W92" s="430" t="n">
        <v>0</v>
      </c>
      <c r="X92" s="430" t="n">
        <v>0</v>
      </c>
      <c r="Y92" s="430" t="n">
        <v>0</v>
      </c>
      <c r="Z92" s="430" t="n">
        <v>0</v>
      </c>
      <c r="AA92" s="430" t="n">
        <v>0</v>
      </c>
      <c r="AB92" s="430" t="n">
        <v>0</v>
      </c>
      <c r="AC92" s="430" t="n">
        <v>0</v>
      </c>
      <c r="AD92" s="430" t="n">
        <v>0</v>
      </c>
      <c r="AE92" s="430" t="n">
        <v>0</v>
      </c>
      <c r="AF92" s="430" t="n">
        <v>0</v>
      </c>
      <c r="AG92" s="489" t="n">
        <v>0</v>
      </c>
      <c r="AH92" s="414"/>
      <c r="AJ92" s="414"/>
      <c r="AK92" s="430"/>
      <c r="AL92" s="12"/>
      <c r="AM92" s="36"/>
    </row>
    <row r="93" customFormat="false" ht="12.75" hidden="false" customHeight="true" outlineLevel="0" collapsed="false">
      <c r="A93" s="397" t="s">
        <v>257</v>
      </c>
      <c r="B93" s="488" t="n">
        <f aca="false">SUM(C93:AG93)</f>
        <v>0</v>
      </c>
      <c r="C93" s="430" t="n">
        <v>0</v>
      </c>
      <c r="D93" s="430" t="n">
        <v>0</v>
      </c>
      <c r="E93" s="430" t="n">
        <v>0</v>
      </c>
      <c r="F93" s="430" t="n">
        <v>0</v>
      </c>
      <c r="G93" s="430" t="n">
        <v>0</v>
      </c>
      <c r="H93" s="430" t="n">
        <v>0</v>
      </c>
      <c r="I93" s="430" t="n">
        <v>0</v>
      </c>
      <c r="J93" s="430" t="n">
        <v>0</v>
      </c>
      <c r="K93" s="430" t="n">
        <v>0</v>
      </c>
      <c r="L93" s="430" t="n">
        <v>0</v>
      </c>
      <c r="M93" s="430" t="n">
        <v>0</v>
      </c>
      <c r="N93" s="430" t="n">
        <v>0</v>
      </c>
      <c r="O93" s="430" t="n">
        <v>0</v>
      </c>
      <c r="P93" s="430" t="n">
        <v>0</v>
      </c>
      <c r="Q93" s="430" t="n">
        <v>0</v>
      </c>
      <c r="R93" s="430" t="n">
        <v>0</v>
      </c>
      <c r="S93" s="430" t="n">
        <v>0</v>
      </c>
      <c r="T93" s="430" t="n">
        <v>0</v>
      </c>
      <c r="U93" s="430" t="n">
        <v>0</v>
      </c>
      <c r="V93" s="430" t="n">
        <v>0</v>
      </c>
      <c r="W93" s="430" t="n">
        <v>0</v>
      </c>
      <c r="X93" s="430" t="n">
        <v>0</v>
      </c>
      <c r="Y93" s="430" t="n">
        <v>0</v>
      </c>
      <c r="Z93" s="430" t="n">
        <v>0</v>
      </c>
      <c r="AA93" s="430" t="n">
        <v>0</v>
      </c>
      <c r="AB93" s="430" t="n">
        <v>0</v>
      </c>
      <c r="AC93" s="430" t="n">
        <v>0</v>
      </c>
      <c r="AD93" s="430" t="n">
        <v>0</v>
      </c>
      <c r="AE93" s="430" t="n">
        <v>0</v>
      </c>
      <c r="AF93" s="430" t="n">
        <v>0</v>
      </c>
      <c r="AG93" s="489" t="n">
        <v>0</v>
      </c>
      <c r="AH93" s="414"/>
      <c r="AJ93" s="414"/>
      <c r="AK93" s="430"/>
      <c r="AL93" s="12"/>
      <c r="AM93" s="36"/>
    </row>
    <row r="94" customFormat="false" ht="12.75" hidden="false" customHeight="true" outlineLevel="0" collapsed="false">
      <c r="A94" s="397" t="s">
        <v>258</v>
      </c>
      <c r="B94" s="488" t="n">
        <f aca="false">SUM(C94:AG94)</f>
        <v>0</v>
      </c>
      <c r="C94" s="430" t="n">
        <v>0</v>
      </c>
      <c r="D94" s="430" t="n">
        <v>0</v>
      </c>
      <c r="E94" s="430" t="n">
        <v>0</v>
      </c>
      <c r="F94" s="430" t="n">
        <v>0</v>
      </c>
      <c r="G94" s="430" t="n">
        <v>0</v>
      </c>
      <c r="H94" s="430" t="n">
        <v>0</v>
      </c>
      <c r="I94" s="430" t="n">
        <v>0</v>
      </c>
      <c r="J94" s="430" t="n">
        <v>0</v>
      </c>
      <c r="K94" s="430" t="n">
        <v>0</v>
      </c>
      <c r="L94" s="430" t="n">
        <v>0</v>
      </c>
      <c r="M94" s="430" t="n">
        <v>0</v>
      </c>
      <c r="N94" s="430" t="n">
        <v>0</v>
      </c>
      <c r="O94" s="430" t="n">
        <v>0</v>
      </c>
      <c r="P94" s="430" t="n">
        <v>0</v>
      </c>
      <c r="Q94" s="430" t="n">
        <v>0</v>
      </c>
      <c r="R94" s="430" t="n">
        <v>0</v>
      </c>
      <c r="S94" s="430" t="n">
        <v>0</v>
      </c>
      <c r="T94" s="430" t="n">
        <v>0</v>
      </c>
      <c r="U94" s="430" t="n">
        <v>0</v>
      </c>
      <c r="V94" s="430" t="n">
        <v>0</v>
      </c>
      <c r="W94" s="430" t="n">
        <v>0</v>
      </c>
      <c r="X94" s="430" t="n">
        <v>0</v>
      </c>
      <c r="Y94" s="430" t="n">
        <v>0</v>
      </c>
      <c r="Z94" s="430" t="n">
        <v>0</v>
      </c>
      <c r="AA94" s="430" t="n">
        <v>0</v>
      </c>
      <c r="AB94" s="430" t="n">
        <v>0</v>
      </c>
      <c r="AC94" s="430" t="n">
        <v>0</v>
      </c>
      <c r="AD94" s="430" t="n">
        <v>0</v>
      </c>
      <c r="AE94" s="430" t="n">
        <v>0</v>
      </c>
      <c r="AF94" s="430" t="n">
        <v>0</v>
      </c>
      <c r="AG94" s="489" t="n">
        <v>0</v>
      </c>
      <c r="AH94" s="414"/>
      <c r="AJ94" s="414"/>
      <c r="AK94" s="430"/>
      <c r="AL94" s="12"/>
      <c r="AM94" s="36"/>
    </row>
    <row r="95" customFormat="false" ht="12.75" hidden="false" customHeight="true" outlineLevel="0" collapsed="false">
      <c r="A95" s="397" t="s">
        <v>259</v>
      </c>
      <c r="B95" s="488" t="n">
        <f aca="false">SUM(C95:AG95)</f>
        <v>0</v>
      </c>
      <c r="C95" s="430" t="n">
        <v>0</v>
      </c>
      <c r="D95" s="430" t="n">
        <v>0</v>
      </c>
      <c r="E95" s="430" t="n">
        <v>0</v>
      </c>
      <c r="F95" s="430" t="n">
        <v>0</v>
      </c>
      <c r="G95" s="430" t="n">
        <v>0</v>
      </c>
      <c r="H95" s="430" t="n">
        <v>0</v>
      </c>
      <c r="I95" s="430" t="n">
        <v>0</v>
      </c>
      <c r="J95" s="430" t="n">
        <v>0</v>
      </c>
      <c r="K95" s="430" t="n">
        <v>0</v>
      </c>
      <c r="L95" s="430" t="n">
        <v>0</v>
      </c>
      <c r="M95" s="430" t="n">
        <v>0</v>
      </c>
      <c r="N95" s="430" t="n">
        <v>0</v>
      </c>
      <c r="O95" s="430" t="n">
        <v>0</v>
      </c>
      <c r="P95" s="430" t="n">
        <v>0</v>
      </c>
      <c r="Q95" s="430" t="n">
        <v>0</v>
      </c>
      <c r="R95" s="430" t="n">
        <v>0</v>
      </c>
      <c r="S95" s="430" t="n">
        <v>0</v>
      </c>
      <c r="T95" s="430" t="n">
        <v>0</v>
      </c>
      <c r="U95" s="430" t="n">
        <v>0</v>
      </c>
      <c r="V95" s="430" t="n">
        <v>0</v>
      </c>
      <c r="W95" s="430" t="n">
        <v>0</v>
      </c>
      <c r="X95" s="430" t="n">
        <v>0</v>
      </c>
      <c r="Y95" s="430" t="n">
        <v>0</v>
      </c>
      <c r="Z95" s="430" t="n">
        <v>0</v>
      </c>
      <c r="AA95" s="430" t="n">
        <v>0</v>
      </c>
      <c r="AB95" s="430" t="n">
        <v>0</v>
      </c>
      <c r="AC95" s="430" t="n">
        <v>0</v>
      </c>
      <c r="AD95" s="430" t="n">
        <v>0</v>
      </c>
      <c r="AE95" s="430" t="n">
        <v>0</v>
      </c>
      <c r="AF95" s="430" t="n">
        <v>0</v>
      </c>
      <c r="AG95" s="489" t="n">
        <v>0</v>
      </c>
      <c r="AH95" s="414"/>
      <c r="AJ95" s="414"/>
      <c r="AK95" s="430"/>
      <c r="AL95" s="12"/>
      <c r="AM95" s="36"/>
    </row>
    <row r="96" customFormat="false" ht="12.75" hidden="false" customHeight="true" outlineLevel="0" collapsed="false">
      <c r="A96" s="397" t="s">
        <v>260</v>
      </c>
      <c r="B96" s="488" t="n">
        <f aca="false">SUM(C96:AG96)</f>
        <v>0</v>
      </c>
      <c r="C96" s="430" t="n">
        <v>0</v>
      </c>
      <c r="D96" s="430" t="n">
        <v>0</v>
      </c>
      <c r="E96" s="430" t="n">
        <v>0</v>
      </c>
      <c r="F96" s="430" t="n">
        <v>0</v>
      </c>
      <c r="G96" s="430" t="n">
        <v>0</v>
      </c>
      <c r="H96" s="430" t="n">
        <v>0</v>
      </c>
      <c r="I96" s="430" t="n">
        <v>0</v>
      </c>
      <c r="J96" s="430" t="n">
        <v>0</v>
      </c>
      <c r="K96" s="430" t="n">
        <v>0</v>
      </c>
      <c r="L96" s="430" t="n">
        <v>0</v>
      </c>
      <c r="M96" s="430" t="n">
        <v>0</v>
      </c>
      <c r="N96" s="430" t="n">
        <v>0</v>
      </c>
      <c r="O96" s="430" t="n">
        <v>0</v>
      </c>
      <c r="P96" s="430" t="n">
        <v>0</v>
      </c>
      <c r="Q96" s="430" t="n">
        <v>0</v>
      </c>
      <c r="R96" s="430" t="n">
        <v>0</v>
      </c>
      <c r="S96" s="430" t="n">
        <v>0</v>
      </c>
      <c r="T96" s="430" t="n">
        <v>0</v>
      </c>
      <c r="U96" s="430" t="n">
        <v>0</v>
      </c>
      <c r="V96" s="430" t="n">
        <v>0</v>
      </c>
      <c r="W96" s="430" t="n">
        <v>0</v>
      </c>
      <c r="X96" s="430" t="n">
        <v>0</v>
      </c>
      <c r="Y96" s="430" t="n">
        <v>0</v>
      </c>
      <c r="Z96" s="430" t="n">
        <v>0</v>
      </c>
      <c r="AA96" s="430" t="n">
        <v>0</v>
      </c>
      <c r="AB96" s="430" t="n">
        <v>0</v>
      </c>
      <c r="AC96" s="430" t="n">
        <v>0</v>
      </c>
      <c r="AD96" s="430" t="n">
        <v>0</v>
      </c>
      <c r="AE96" s="430" t="n">
        <v>0</v>
      </c>
      <c r="AF96" s="430" t="n">
        <v>0</v>
      </c>
      <c r="AG96" s="489" t="n">
        <v>0</v>
      </c>
      <c r="AH96" s="414"/>
      <c r="AJ96" s="414"/>
      <c r="AK96" s="430"/>
      <c r="AL96" s="12"/>
      <c r="AM96" s="36"/>
    </row>
    <row r="97" customFormat="false" ht="12.75" hidden="false" customHeight="true" outlineLevel="0" collapsed="false">
      <c r="A97" s="397" t="s">
        <v>261</v>
      </c>
      <c r="B97" s="488" t="n">
        <f aca="false">SUM(C97:AG97)</f>
        <v>0</v>
      </c>
      <c r="C97" s="430" t="n">
        <v>0</v>
      </c>
      <c r="D97" s="430" t="n">
        <v>0</v>
      </c>
      <c r="E97" s="430" t="n">
        <v>0</v>
      </c>
      <c r="F97" s="430" t="n">
        <v>0</v>
      </c>
      <c r="G97" s="430" t="n">
        <v>0</v>
      </c>
      <c r="H97" s="430" t="n">
        <v>0</v>
      </c>
      <c r="I97" s="430" t="n">
        <v>0</v>
      </c>
      <c r="J97" s="430" t="n">
        <v>0</v>
      </c>
      <c r="K97" s="430" t="n">
        <v>0</v>
      </c>
      <c r="L97" s="430" t="n">
        <v>0</v>
      </c>
      <c r="M97" s="430" t="n">
        <v>0</v>
      </c>
      <c r="N97" s="430" t="n">
        <v>0</v>
      </c>
      <c r="O97" s="430" t="n">
        <v>0</v>
      </c>
      <c r="P97" s="430" t="n">
        <v>0</v>
      </c>
      <c r="Q97" s="430" t="n">
        <v>0</v>
      </c>
      <c r="R97" s="430" t="n">
        <v>0</v>
      </c>
      <c r="S97" s="430" t="n">
        <v>0</v>
      </c>
      <c r="T97" s="430" t="n">
        <v>0</v>
      </c>
      <c r="U97" s="430" t="n">
        <v>0</v>
      </c>
      <c r="V97" s="430" t="n">
        <v>0</v>
      </c>
      <c r="W97" s="430" t="n">
        <v>0</v>
      </c>
      <c r="X97" s="430" t="n">
        <v>0</v>
      </c>
      <c r="Y97" s="430" t="n">
        <v>0</v>
      </c>
      <c r="Z97" s="430" t="n">
        <v>0</v>
      </c>
      <c r="AA97" s="430" t="n">
        <v>0</v>
      </c>
      <c r="AB97" s="430" t="n">
        <v>0</v>
      </c>
      <c r="AC97" s="430" t="n">
        <v>0</v>
      </c>
      <c r="AD97" s="430" t="n">
        <v>0</v>
      </c>
      <c r="AE97" s="430" t="n">
        <v>0</v>
      </c>
      <c r="AF97" s="430" t="n">
        <v>0</v>
      </c>
      <c r="AG97" s="489" t="n">
        <v>0</v>
      </c>
      <c r="AH97" s="414"/>
      <c r="AJ97" s="414"/>
      <c r="AK97" s="430"/>
      <c r="AL97" s="12"/>
      <c r="AM97" s="36"/>
    </row>
    <row r="98" customFormat="false" ht="12.75" hidden="false" customHeight="true" outlineLevel="0" collapsed="false">
      <c r="A98" s="397"/>
      <c r="B98" s="488"/>
      <c r="C98" s="430"/>
      <c r="D98" s="430"/>
      <c r="E98" s="430"/>
      <c r="F98" s="430"/>
      <c r="G98" s="430"/>
      <c r="H98" s="430"/>
      <c r="I98" s="430"/>
      <c r="J98" s="430"/>
      <c r="K98" s="430"/>
      <c r="L98" s="430"/>
      <c r="M98" s="430"/>
      <c r="N98" s="430"/>
      <c r="O98" s="430"/>
      <c r="P98" s="430"/>
      <c r="Q98" s="430"/>
      <c r="R98" s="430"/>
      <c r="S98" s="430"/>
      <c r="T98" s="430"/>
      <c r="U98" s="430"/>
      <c r="V98" s="430"/>
      <c r="W98" s="430"/>
      <c r="X98" s="430"/>
      <c r="Y98" s="430"/>
      <c r="Z98" s="430"/>
      <c r="AA98" s="430"/>
      <c r="AB98" s="430"/>
      <c r="AC98" s="430"/>
      <c r="AD98" s="430"/>
      <c r="AE98" s="430"/>
      <c r="AF98" s="430"/>
      <c r="AG98" s="489"/>
      <c r="AH98" s="414"/>
      <c r="AJ98" s="414"/>
      <c r="AK98" s="430"/>
      <c r="AL98" s="12"/>
      <c r="AM98" s="36"/>
    </row>
    <row r="99" customFormat="false" ht="12.75" hidden="false" customHeight="true" outlineLevel="0" collapsed="false">
      <c r="A99" s="397"/>
      <c r="B99" s="488"/>
      <c r="C99" s="430"/>
      <c r="D99" s="430"/>
      <c r="E99" s="430"/>
      <c r="F99" s="430"/>
      <c r="G99" s="430"/>
      <c r="H99" s="430"/>
      <c r="I99" s="430"/>
      <c r="J99" s="430"/>
      <c r="K99" s="430"/>
      <c r="L99" s="430"/>
      <c r="M99" s="430"/>
      <c r="N99" s="430"/>
      <c r="O99" s="430"/>
      <c r="P99" s="430"/>
      <c r="Q99" s="430"/>
      <c r="R99" s="430"/>
      <c r="S99" s="430"/>
      <c r="T99" s="430"/>
      <c r="U99" s="430"/>
      <c r="V99" s="430"/>
      <c r="W99" s="430"/>
      <c r="X99" s="430"/>
      <c r="Y99" s="430"/>
      <c r="Z99" s="430"/>
      <c r="AA99" s="430"/>
      <c r="AB99" s="430"/>
      <c r="AC99" s="430"/>
      <c r="AD99" s="430"/>
      <c r="AE99" s="430"/>
      <c r="AF99" s="430"/>
      <c r="AG99" s="489"/>
      <c r="AH99" s="414"/>
      <c r="AJ99" s="414"/>
      <c r="AK99" s="430"/>
      <c r="AL99" s="12"/>
      <c r="AM99" s="36"/>
    </row>
    <row r="100" customFormat="false" ht="12.75" hidden="false" customHeight="true" outlineLevel="0" collapsed="false">
      <c r="A100" s="397"/>
      <c r="B100" s="488"/>
      <c r="C100" s="430"/>
      <c r="D100" s="430"/>
      <c r="E100" s="430"/>
      <c r="F100" s="430"/>
      <c r="G100" s="430"/>
      <c r="H100" s="430"/>
      <c r="I100" s="430"/>
      <c r="J100" s="430"/>
      <c r="K100" s="430"/>
      <c r="L100" s="430"/>
      <c r="M100" s="430"/>
      <c r="N100" s="430"/>
      <c r="O100" s="430"/>
      <c r="P100" s="430"/>
      <c r="Q100" s="430"/>
      <c r="R100" s="430"/>
      <c r="S100" s="430"/>
      <c r="T100" s="430"/>
      <c r="U100" s="430"/>
      <c r="V100" s="430"/>
      <c r="W100" s="430"/>
      <c r="X100" s="430"/>
      <c r="Y100" s="430"/>
      <c r="Z100" s="430"/>
      <c r="AA100" s="430"/>
      <c r="AB100" s="430"/>
      <c r="AC100" s="430"/>
      <c r="AD100" s="430"/>
      <c r="AE100" s="430"/>
      <c r="AF100" s="430"/>
      <c r="AG100" s="489"/>
      <c r="AH100" s="414"/>
      <c r="AJ100" s="414"/>
      <c r="AK100" s="430"/>
      <c r="AL100" s="12"/>
      <c r="AM100" s="36"/>
    </row>
    <row r="101" customFormat="false" ht="12.75" hidden="false" customHeight="true" outlineLevel="0" collapsed="false">
      <c r="A101" s="397"/>
      <c r="B101" s="488"/>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89"/>
      <c r="AH101" s="414"/>
      <c r="AJ101" s="414"/>
      <c r="AK101" s="430"/>
      <c r="AL101" s="12"/>
      <c r="AM101" s="36"/>
    </row>
    <row r="102" customFormat="false" ht="12.75" hidden="false" customHeight="true" outlineLevel="0" collapsed="false">
      <c r="A102" s="506" t="s">
        <v>262</v>
      </c>
      <c r="B102" s="497" t="n">
        <f aca="false">SUM(B87:B101)</f>
        <v>0</v>
      </c>
      <c r="C102" s="507"/>
      <c r="D102" s="507"/>
      <c r="E102" s="507"/>
      <c r="F102" s="507"/>
      <c r="G102" s="507"/>
      <c r="H102" s="507"/>
      <c r="I102" s="507"/>
      <c r="J102" s="507"/>
      <c r="K102" s="507"/>
      <c r="L102" s="507"/>
      <c r="M102" s="507"/>
      <c r="N102" s="507"/>
      <c r="O102" s="507"/>
      <c r="P102" s="507"/>
      <c r="Q102" s="507"/>
      <c r="R102" s="507"/>
      <c r="S102" s="507"/>
      <c r="T102" s="507"/>
      <c r="U102" s="507"/>
      <c r="V102" s="507"/>
      <c r="W102" s="507"/>
      <c r="X102" s="507"/>
      <c r="Y102" s="507"/>
      <c r="Z102" s="507"/>
      <c r="AA102" s="507"/>
      <c r="AB102" s="507"/>
      <c r="AC102" s="507"/>
      <c r="AD102" s="507"/>
      <c r="AE102" s="507"/>
      <c r="AF102" s="507"/>
      <c r="AG102" s="508"/>
      <c r="AH102" s="414"/>
      <c r="AJ102" s="414"/>
      <c r="AK102" s="430"/>
      <c r="AL102" s="12"/>
      <c r="AM102" s="36"/>
    </row>
    <row r="103" customFormat="false" ht="12.75" hidden="false" customHeight="true" outlineLevel="0" collapsed="false">
      <c r="A103" s="414"/>
      <c r="B103" s="501"/>
      <c r="C103" s="430"/>
      <c r="D103" s="430"/>
      <c r="E103" s="430"/>
      <c r="F103" s="430"/>
      <c r="G103" s="430"/>
      <c r="H103" s="430"/>
      <c r="I103" s="430"/>
      <c r="J103" s="430"/>
      <c r="K103" s="430"/>
      <c r="L103" s="430"/>
      <c r="M103" s="430"/>
      <c r="N103" s="430"/>
      <c r="O103" s="430"/>
      <c r="P103" s="430"/>
      <c r="Q103" s="430"/>
      <c r="R103" s="430"/>
      <c r="S103" s="430"/>
      <c r="T103" s="430"/>
      <c r="U103" s="430"/>
      <c r="V103" s="430"/>
      <c r="W103" s="430"/>
      <c r="X103" s="430"/>
      <c r="Y103" s="430"/>
      <c r="Z103" s="430"/>
      <c r="AA103" s="430"/>
      <c r="AB103" s="430"/>
      <c r="AC103" s="430"/>
      <c r="AD103" s="430"/>
      <c r="AE103" s="430"/>
      <c r="AF103" s="430"/>
      <c r="AG103" s="430"/>
      <c r="AH103" s="414"/>
      <c r="AJ103" s="414"/>
      <c r="AK103" s="430"/>
      <c r="AL103" s="12"/>
      <c r="AM103" s="36"/>
    </row>
    <row r="104" customFormat="false" ht="12.75" hidden="false" customHeight="true" outlineLevel="0" collapsed="false">
      <c r="A104" s="468"/>
      <c r="B104" s="469" t="s">
        <v>210</v>
      </c>
      <c r="C104" s="470" t="n">
        <f aca="false">SUM(C108:C117)</f>
        <v>0</v>
      </c>
      <c r="D104" s="470" t="n">
        <f aca="false">SUM(D108:D117)</f>
        <v>0</v>
      </c>
      <c r="E104" s="470" t="n">
        <f aca="false">SUM(E108:E117)</f>
        <v>0</v>
      </c>
      <c r="F104" s="470" t="n">
        <f aca="false">SUM(F108:F117)</f>
        <v>0</v>
      </c>
      <c r="G104" s="470" t="n">
        <f aca="false">SUM(G108:G117)</f>
        <v>0</v>
      </c>
      <c r="H104" s="470" t="n">
        <f aca="false">SUM(H108:H117)</f>
        <v>0</v>
      </c>
      <c r="I104" s="470" t="n">
        <f aca="false">SUM(I108:I117)</f>
        <v>0</v>
      </c>
      <c r="J104" s="470" t="n">
        <f aca="false">SUM(J108:J117)</f>
        <v>0</v>
      </c>
      <c r="K104" s="470" t="n">
        <f aca="false">SUM(K108:K117)</f>
        <v>0</v>
      </c>
      <c r="L104" s="470" t="n">
        <f aca="false">SUM(L108:L117)</f>
        <v>0</v>
      </c>
      <c r="M104" s="470" t="n">
        <f aca="false">SUM(M108:M117)</f>
        <v>0</v>
      </c>
      <c r="N104" s="470" t="n">
        <f aca="false">SUM(N108:N117)</f>
        <v>0</v>
      </c>
      <c r="O104" s="470" t="n">
        <f aca="false">SUM(O108:O117)</f>
        <v>0</v>
      </c>
      <c r="P104" s="470" t="n">
        <f aca="false">SUM(P108:P117)</f>
        <v>0</v>
      </c>
      <c r="Q104" s="470" t="n">
        <f aca="false">SUM(Q108:Q117)</f>
        <v>0</v>
      </c>
      <c r="R104" s="470" t="n">
        <f aca="false">SUM(R108:R117)</f>
        <v>0</v>
      </c>
      <c r="S104" s="470" t="n">
        <f aca="false">SUM(S108:S117)</f>
        <v>0</v>
      </c>
      <c r="T104" s="470" t="n">
        <f aca="false">SUM(T108:T117)</f>
        <v>0</v>
      </c>
      <c r="U104" s="470" t="n">
        <f aca="false">SUM(U108:U117)</f>
        <v>0</v>
      </c>
      <c r="V104" s="470" t="n">
        <f aca="false">SUM(V108:V117)</f>
        <v>0</v>
      </c>
      <c r="W104" s="470" t="n">
        <f aca="false">SUM(W108:W117)</f>
        <v>0</v>
      </c>
      <c r="X104" s="470" t="n">
        <f aca="false">SUM(X108:X117)</f>
        <v>0</v>
      </c>
      <c r="Y104" s="470" t="n">
        <f aca="false">SUM(Y108:Y117)</f>
        <v>0</v>
      </c>
      <c r="Z104" s="470" t="n">
        <f aca="false">SUM(Z108:Z117)</f>
        <v>0</v>
      </c>
      <c r="AA104" s="470" t="n">
        <f aca="false">SUM(AA108:AA117)</f>
        <v>0</v>
      </c>
      <c r="AB104" s="470" t="n">
        <f aca="false">SUM(AB108:AB117)</f>
        <v>0</v>
      </c>
      <c r="AC104" s="470" t="n">
        <f aca="false">SUM(AC108:AC117)</f>
        <v>0</v>
      </c>
      <c r="AD104" s="470" t="n">
        <f aca="false">SUM(AD108:AD117)</f>
        <v>0</v>
      </c>
      <c r="AE104" s="470" t="n">
        <f aca="false">SUM(AE108:AE117)</f>
        <v>0</v>
      </c>
      <c r="AF104" s="470" t="n">
        <f aca="false">SUM(AF108:AF117)</f>
        <v>0</v>
      </c>
      <c r="AG104" s="470" t="n">
        <f aca="false">SUM(AG108:AG117)</f>
        <v>0</v>
      </c>
      <c r="AH104" s="1"/>
      <c r="AI104" s="502"/>
      <c r="AJ104" s="503"/>
      <c r="AK104" s="1"/>
      <c r="AL104" s="419"/>
      <c r="AN104" s="1"/>
      <c r="AO104" s="1"/>
      <c r="AP104" s="1"/>
      <c r="AQ104" s="1"/>
      <c r="AR104" s="1"/>
      <c r="AS104" s="1"/>
    </row>
    <row r="105" customFormat="false" ht="12.75" hidden="false" customHeight="true" outlineLevel="0" collapsed="false">
      <c r="A105" s="473" t="s">
        <v>263</v>
      </c>
      <c r="B105" s="474" t="n">
        <f aca="false">B44</f>
        <v>36831</v>
      </c>
      <c r="C105" s="475" t="n">
        <f aca="false">C44</f>
        <v>36831</v>
      </c>
      <c r="D105" s="475" t="n">
        <f aca="false">D44</f>
        <v>36832</v>
      </c>
      <c r="E105" s="475" t="n">
        <f aca="false">E44</f>
        <v>36833</v>
      </c>
      <c r="F105" s="475" t="n">
        <f aca="false">F44</f>
        <v>36834</v>
      </c>
      <c r="G105" s="475" t="n">
        <f aca="false">G44</f>
        <v>36835</v>
      </c>
      <c r="H105" s="475" t="n">
        <f aca="false">H44</f>
        <v>36836</v>
      </c>
      <c r="I105" s="475" t="n">
        <f aca="false">I44</f>
        <v>36837</v>
      </c>
      <c r="J105" s="475" t="n">
        <f aca="false">J44</f>
        <v>36838</v>
      </c>
      <c r="K105" s="475" t="n">
        <f aca="false">K44</f>
        <v>36839</v>
      </c>
      <c r="L105" s="475" t="n">
        <f aca="false">L44</f>
        <v>36840</v>
      </c>
      <c r="M105" s="475" t="n">
        <f aca="false">M44</f>
        <v>36841</v>
      </c>
      <c r="N105" s="475" t="n">
        <f aca="false">N44</f>
        <v>36842</v>
      </c>
      <c r="O105" s="475" t="n">
        <f aca="false">O44</f>
        <v>36843</v>
      </c>
      <c r="P105" s="475" t="n">
        <f aca="false">P44</f>
        <v>36844</v>
      </c>
      <c r="Q105" s="475" t="n">
        <f aca="false">Q44</f>
        <v>36845</v>
      </c>
      <c r="R105" s="475" t="n">
        <f aca="false">R44</f>
        <v>36846</v>
      </c>
      <c r="S105" s="475" t="n">
        <f aca="false">S44</f>
        <v>36847</v>
      </c>
      <c r="T105" s="475" t="n">
        <f aca="false">T44</f>
        <v>36848</v>
      </c>
      <c r="U105" s="475" t="n">
        <f aca="false">U44</f>
        <v>36849</v>
      </c>
      <c r="V105" s="475" t="n">
        <f aca="false">V44</f>
        <v>36850</v>
      </c>
      <c r="W105" s="475" t="n">
        <f aca="false">W44</f>
        <v>36851</v>
      </c>
      <c r="X105" s="475" t="n">
        <f aca="false">X44</f>
        <v>36852</v>
      </c>
      <c r="Y105" s="475" t="n">
        <f aca="false">Y44</f>
        <v>36853</v>
      </c>
      <c r="Z105" s="475" t="n">
        <f aca="false">Z44</f>
        <v>36854</v>
      </c>
      <c r="AA105" s="475" t="n">
        <f aca="false">AA44</f>
        <v>36855</v>
      </c>
      <c r="AB105" s="475" t="n">
        <f aca="false">AB44</f>
        <v>36856</v>
      </c>
      <c r="AC105" s="475" t="n">
        <f aca="false">AC44</f>
        <v>36857</v>
      </c>
      <c r="AD105" s="475" t="n">
        <f aca="false">AD44</f>
        <v>36858</v>
      </c>
      <c r="AE105" s="475" t="n">
        <f aca="false">AE44</f>
        <v>36859</v>
      </c>
      <c r="AF105" s="475" t="n">
        <f aca="false">AF44</f>
        <v>36860</v>
      </c>
      <c r="AG105" s="475" t="n">
        <f aca="false">AG44</f>
        <v>36861</v>
      </c>
      <c r="AH105" s="476"/>
      <c r="AI105" s="502"/>
      <c r="AJ105" s="504"/>
      <c r="AK105" s="476"/>
      <c r="AL105" s="479"/>
      <c r="AM105" s="476"/>
      <c r="AN105" s="476"/>
      <c r="AO105" s="476"/>
      <c r="AP105" s="476"/>
      <c r="AQ105" s="476"/>
      <c r="AR105" s="476"/>
      <c r="AS105" s="476"/>
      <c r="AT105" s="476"/>
      <c r="AU105" s="476"/>
      <c r="AV105" s="476"/>
      <c r="AW105" s="476"/>
      <c r="AX105" s="476"/>
      <c r="AY105" s="476"/>
      <c r="AZ105" s="476"/>
      <c r="BA105" s="476"/>
      <c r="BB105" s="476"/>
      <c r="BC105" s="476"/>
      <c r="BD105" s="476"/>
      <c r="BE105" s="476"/>
      <c r="BF105" s="476"/>
      <c r="BG105" s="476"/>
      <c r="BH105" s="476"/>
      <c r="BI105" s="476"/>
      <c r="BJ105" s="476"/>
      <c r="BK105" s="476"/>
      <c r="BL105" s="476"/>
      <c r="BM105" s="476"/>
      <c r="BN105" s="476"/>
      <c r="BO105" s="476"/>
      <c r="BP105" s="476"/>
      <c r="BQ105" s="476"/>
      <c r="BR105" s="476"/>
      <c r="BS105" s="476"/>
      <c r="BT105" s="476"/>
      <c r="BU105" s="476"/>
      <c r="BV105" s="476"/>
      <c r="BW105" s="476"/>
      <c r="BX105" s="476"/>
      <c r="BY105" s="476"/>
      <c r="BZ105" s="476"/>
      <c r="CA105" s="476"/>
      <c r="CB105" s="476"/>
      <c r="CC105" s="476"/>
      <c r="CD105" s="476"/>
      <c r="CE105" s="476"/>
      <c r="CF105" s="476"/>
      <c r="CG105" s="476"/>
      <c r="CH105" s="476"/>
      <c r="CI105" s="476"/>
      <c r="CJ105" s="476"/>
      <c r="CK105" s="476"/>
      <c r="CL105" s="476"/>
      <c r="CM105" s="476"/>
      <c r="CN105" s="476"/>
      <c r="CO105" s="476"/>
      <c r="CP105" s="476"/>
      <c r="CQ105" s="476"/>
      <c r="CR105" s="476"/>
      <c r="CS105" s="476"/>
      <c r="CT105" s="476"/>
      <c r="CU105" s="476"/>
      <c r="CV105" s="476"/>
      <c r="CW105" s="476"/>
      <c r="CX105" s="476"/>
      <c r="CY105" s="476"/>
      <c r="CZ105" s="476"/>
      <c r="DA105" s="476"/>
      <c r="DB105" s="476"/>
      <c r="DC105" s="476"/>
      <c r="DD105" s="476"/>
      <c r="DE105" s="476"/>
      <c r="DF105" s="476"/>
      <c r="DG105" s="476"/>
      <c r="DH105" s="476"/>
      <c r="DI105" s="476"/>
      <c r="DJ105" s="476"/>
      <c r="DK105" s="476"/>
      <c r="DL105" s="476"/>
      <c r="DM105" s="476"/>
      <c r="DN105" s="476"/>
      <c r="DO105" s="476"/>
      <c r="DP105" s="476"/>
      <c r="DQ105" s="476"/>
      <c r="DR105" s="476"/>
      <c r="DS105" s="476"/>
      <c r="DT105" s="476"/>
      <c r="DU105" s="476"/>
      <c r="DV105" s="476"/>
      <c r="DW105" s="476"/>
      <c r="DX105" s="476"/>
      <c r="DY105" s="476"/>
      <c r="DZ105" s="476"/>
      <c r="EA105" s="476"/>
      <c r="EB105" s="476"/>
      <c r="EC105" s="476"/>
      <c r="ED105" s="476"/>
      <c r="EE105" s="476"/>
      <c r="EF105" s="476"/>
      <c r="EG105" s="476"/>
      <c r="EH105" s="476"/>
      <c r="EI105" s="476"/>
      <c r="EJ105" s="476"/>
      <c r="EK105" s="476"/>
      <c r="EL105" s="476"/>
      <c r="EM105" s="476"/>
      <c r="EN105" s="476"/>
      <c r="EO105" s="476"/>
      <c r="EP105" s="476"/>
      <c r="EQ105" s="476"/>
      <c r="ER105" s="476"/>
      <c r="ES105" s="476"/>
      <c r="ET105" s="476"/>
      <c r="EU105" s="476"/>
      <c r="EV105" s="476"/>
      <c r="EW105" s="476"/>
      <c r="EX105" s="476"/>
      <c r="EY105" s="476"/>
      <c r="EZ105" s="476"/>
      <c r="FA105" s="476"/>
      <c r="FB105" s="476"/>
      <c r="FC105" s="476"/>
      <c r="FD105" s="476"/>
      <c r="FE105" s="476"/>
      <c r="FF105" s="476"/>
      <c r="FG105" s="476"/>
      <c r="FH105" s="476"/>
      <c r="FI105" s="476"/>
      <c r="FJ105" s="476"/>
      <c r="FK105" s="476"/>
      <c r="FL105" s="476"/>
      <c r="FM105" s="476"/>
      <c r="FN105" s="476"/>
      <c r="FO105" s="476"/>
      <c r="FP105" s="476"/>
      <c r="FQ105" s="476"/>
      <c r="FR105" s="476"/>
      <c r="FS105" s="476"/>
      <c r="FT105" s="476"/>
      <c r="FU105" s="476"/>
      <c r="FV105" s="476"/>
      <c r="FW105" s="476"/>
      <c r="FX105" s="476"/>
      <c r="FY105" s="476"/>
      <c r="FZ105" s="476"/>
      <c r="GA105" s="476"/>
      <c r="GB105" s="476"/>
      <c r="GC105" s="476"/>
      <c r="GD105" s="476"/>
      <c r="GE105" s="476"/>
      <c r="GF105" s="476"/>
      <c r="GG105" s="476"/>
      <c r="GH105" s="476"/>
      <c r="GI105" s="476"/>
      <c r="GJ105" s="476"/>
      <c r="GK105" s="476"/>
      <c r="GL105" s="476"/>
      <c r="GM105" s="476"/>
      <c r="GN105" s="476"/>
      <c r="GO105" s="476"/>
      <c r="GP105" s="476"/>
      <c r="GQ105" s="476"/>
      <c r="GR105" s="476"/>
      <c r="GS105" s="476"/>
      <c r="GT105" s="476"/>
      <c r="GU105" s="476"/>
      <c r="GV105" s="476"/>
      <c r="GW105" s="476"/>
      <c r="GX105" s="476"/>
      <c r="GY105" s="476"/>
      <c r="GZ105" s="476"/>
      <c r="HA105" s="476"/>
      <c r="HB105" s="476"/>
      <c r="HC105" s="476"/>
      <c r="HD105" s="476"/>
      <c r="HE105" s="476"/>
      <c r="HF105" s="476"/>
      <c r="HG105" s="476"/>
      <c r="HH105" s="476"/>
      <c r="HI105" s="476"/>
      <c r="HJ105" s="476"/>
      <c r="HK105" s="476"/>
      <c r="HL105" s="476"/>
      <c r="HM105" s="476"/>
      <c r="HN105" s="476"/>
      <c r="HO105" s="476"/>
      <c r="HP105" s="476"/>
      <c r="HQ105" s="476"/>
      <c r="HR105" s="476"/>
      <c r="HS105" s="476"/>
      <c r="HT105" s="476"/>
      <c r="HU105" s="476"/>
      <c r="HV105" s="476"/>
      <c r="HW105" s="476"/>
      <c r="HX105" s="476"/>
      <c r="HY105" s="476"/>
      <c r="HZ105" s="476"/>
      <c r="IA105" s="476"/>
      <c r="IB105" s="476"/>
      <c r="IC105" s="476"/>
      <c r="ID105" s="476"/>
      <c r="IE105" s="476"/>
      <c r="IF105" s="476"/>
      <c r="IG105" s="476"/>
      <c r="IH105" s="476"/>
      <c r="II105" s="476"/>
      <c r="IJ105" s="476"/>
      <c r="IK105" s="476"/>
      <c r="IL105" s="476"/>
      <c r="IM105" s="476"/>
      <c r="IN105" s="476"/>
      <c r="IO105" s="476"/>
      <c r="IP105" s="476"/>
      <c r="IQ105" s="476"/>
      <c r="IR105" s="476"/>
      <c r="IS105" s="476"/>
      <c r="IT105" s="476"/>
      <c r="IU105" s="476"/>
      <c r="IV105" s="476"/>
      <c r="IW105" s="476"/>
    </row>
    <row r="106" customFormat="false" ht="12.75" hidden="false" customHeight="true" outlineLevel="0" collapsed="false">
      <c r="A106" s="480"/>
      <c r="B106" s="480"/>
      <c r="C106" s="481" t="str">
        <f aca="false">C45</f>
        <v>W</v>
      </c>
      <c r="D106" s="481" t="str">
        <f aca="false">D45</f>
        <v>R</v>
      </c>
      <c r="E106" s="481" t="str">
        <f aca="false">E45</f>
        <v>F</v>
      </c>
      <c r="F106" s="481" t="str">
        <f aca="false">F45</f>
        <v>S</v>
      </c>
      <c r="G106" s="481" t="str">
        <f aca="false">G45</f>
        <v>S</v>
      </c>
      <c r="H106" s="481" t="str">
        <f aca="false">H45</f>
        <v>M</v>
      </c>
      <c r="I106" s="481" t="str">
        <f aca="false">I45</f>
        <v>T</v>
      </c>
      <c r="J106" s="481" t="str">
        <f aca="false">J45</f>
        <v>W</v>
      </c>
      <c r="K106" s="481" t="str">
        <f aca="false">K45</f>
        <v>R</v>
      </c>
      <c r="L106" s="481" t="str">
        <f aca="false">L45</f>
        <v>F</v>
      </c>
      <c r="M106" s="481" t="str">
        <f aca="false">M45</f>
        <v>S</v>
      </c>
      <c r="N106" s="481" t="str">
        <f aca="false">N45</f>
        <v>S</v>
      </c>
      <c r="O106" s="481" t="str">
        <f aca="false">O45</f>
        <v>M</v>
      </c>
      <c r="P106" s="481" t="str">
        <f aca="false">P45</f>
        <v>T</v>
      </c>
      <c r="Q106" s="481" t="str">
        <f aca="false">Q45</f>
        <v>W</v>
      </c>
      <c r="R106" s="481" t="str">
        <f aca="false">R45</f>
        <v>R</v>
      </c>
      <c r="S106" s="481" t="str">
        <f aca="false">S45</f>
        <v>F</v>
      </c>
      <c r="T106" s="481" t="str">
        <f aca="false">T45</f>
        <v>S</v>
      </c>
      <c r="U106" s="481" t="str">
        <f aca="false">U45</f>
        <v>S</v>
      </c>
      <c r="V106" s="481" t="str">
        <f aca="false">V45</f>
        <v>M</v>
      </c>
      <c r="W106" s="481" t="str">
        <f aca="false">W45</f>
        <v>T</v>
      </c>
      <c r="X106" s="481" t="str">
        <f aca="false">X45</f>
        <v>W</v>
      </c>
      <c r="Y106" s="481" t="str">
        <f aca="false">Y45</f>
        <v>R</v>
      </c>
      <c r="Z106" s="481" t="str">
        <f aca="false">Z45</f>
        <v>F</v>
      </c>
      <c r="AA106" s="481" t="str">
        <f aca="false">AA45</f>
        <v>S</v>
      </c>
      <c r="AB106" s="481" t="str">
        <f aca="false">AB45</f>
        <v>S</v>
      </c>
      <c r="AC106" s="481" t="str">
        <f aca="false">AC45</f>
        <v>M</v>
      </c>
      <c r="AD106" s="481" t="str">
        <f aca="false">AD45</f>
        <v>T</v>
      </c>
      <c r="AE106" s="481" t="str">
        <f aca="false">AE45</f>
        <v>W</v>
      </c>
      <c r="AF106" s="481" t="str">
        <f aca="false">AF45</f>
        <v>R</v>
      </c>
      <c r="AG106" s="481" t="str">
        <f aca="false">AG45</f>
        <v>F</v>
      </c>
      <c r="AH106" s="1"/>
      <c r="AI106" s="502"/>
      <c r="AJ106" s="503"/>
      <c r="AK106" s="1"/>
      <c r="AL106" s="414"/>
      <c r="AN106" s="1"/>
      <c r="AO106" s="1"/>
      <c r="AP106" s="1"/>
      <c r="AQ106" s="1"/>
      <c r="AR106" s="1"/>
      <c r="AS106" s="1"/>
    </row>
    <row r="107" customFormat="false" ht="12.75" hidden="false" customHeight="true" outlineLevel="0" collapsed="false">
      <c r="A107" s="484"/>
      <c r="B107" s="485" t="s">
        <v>216</v>
      </c>
      <c r="C107" s="486"/>
      <c r="D107" s="486"/>
      <c r="E107" s="486"/>
      <c r="F107" s="486"/>
      <c r="G107" s="486"/>
      <c r="H107" s="486"/>
      <c r="I107" s="486"/>
      <c r="J107" s="486"/>
      <c r="K107" s="486"/>
      <c r="L107" s="486"/>
      <c r="M107" s="486"/>
      <c r="N107" s="486"/>
      <c r="O107" s="486"/>
      <c r="P107" s="486"/>
      <c r="Q107" s="486"/>
      <c r="R107" s="486"/>
      <c r="S107" s="486"/>
      <c r="T107" s="486"/>
      <c r="U107" s="486"/>
      <c r="V107" s="486"/>
      <c r="W107" s="486"/>
      <c r="X107" s="486"/>
      <c r="Y107" s="486"/>
      <c r="Z107" s="486"/>
      <c r="AA107" s="486"/>
      <c r="AB107" s="486"/>
      <c r="AC107" s="486"/>
      <c r="AD107" s="486"/>
      <c r="AE107" s="486"/>
      <c r="AF107" s="486"/>
      <c r="AG107" s="487"/>
      <c r="AH107" s="414"/>
      <c r="AI107" s="492"/>
      <c r="AJ107" s="505"/>
      <c r="AK107" s="430"/>
      <c r="AL107" s="12"/>
      <c r="AM107" s="36"/>
    </row>
    <row r="108" customFormat="false" ht="12.75" hidden="false" customHeight="true" outlineLevel="0" collapsed="false">
      <c r="A108" s="397" t="s">
        <v>254</v>
      </c>
      <c r="B108" s="488" t="n">
        <f aca="false">SUM(C108:AG108)</f>
        <v>0</v>
      </c>
      <c r="C108" s="430" t="n">
        <v>0</v>
      </c>
      <c r="D108" s="430" t="n">
        <v>0</v>
      </c>
      <c r="E108" s="430" t="n">
        <v>0</v>
      </c>
      <c r="F108" s="430" t="n">
        <v>0</v>
      </c>
      <c r="G108" s="430" t="n">
        <v>0</v>
      </c>
      <c r="H108" s="430" t="n">
        <v>0</v>
      </c>
      <c r="I108" s="430" t="n">
        <v>0</v>
      </c>
      <c r="J108" s="430" t="n">
        <v>0</v>
      </c>
      <c r="K108" s="430" t="n">
        <v>0</v>
      </c>
      <c r="L108" s="430" t="n">
        <v>0</v>
      </c>
      <c r="M108" s="430" t="n">
        <v>0</v>
      </c>
      <c r="N108" s="430" t="n">
        <v>0</v>
      </c>
      <c r="O108" s="430" t="n">
        <v>0</v>
      </c>
      <c r="P108" s="430" t="n">
        <v>0</v>
      </c>
      <c r="Q108" s="430" t="n">
        <v>0</v>
      </c>
      <c r="R108" s="430" t="n">
        <v>0</v>
      </c>
      <c r="S108" s="430" t="n">
        <v>0</v>
      </c>
      <c r="T108" s="430" t="n">
        <v>0</v>
      </c>
      <c r="U108" s="430" t="n">
        <v>0</v>
      </c>
      <c r="V108" s="430" t="n">
        <v>0</v>
      </c>
      <c r="W108" s="430" t="n">
        <v>0</v>
      </c>
      <c r="X108" s="430" t="n">
        <v>0</v>
      </c>
      <c r="Y108" s="430" t="n">
        <v>0</v>
      </c>
      <c r="Z108" s="430" t="n">
        <v>0</v>
      </c>
      <c r="AA108" s="430" t="n">
        <v>0</v>
      </c>
      <c r="AB108" s="430" t="n">
        <v>0</v>
      </c>
      <c r="AC108" s="430" t="n">
        <v>0</v>
      </c>
      <c r="AD108" s="430" t="n">
        <v>0</v>
      </c>
      <c r="AE108" s="430" t="n">
        <v>0</v>
      </c>
      <c r="AF108" s="430" t="n">
        <v>0</v>
      </c>
      <c r="AG108" s="489" t="n">
        <v>0</v>
      </c>
      <c r="AH108" s="414"/>
      <c r="AJ108" s="414"/>
      <c r="AK108" s="430"/>
      <c r="AL108" s="12"/>
      <c r="AM108" s="36"/>
    </row>
    <row r="109" customFormat="false" ht="12.75" hidden="false" customHeight="true" outlineLevel="0" collapsed="false">
      <c r="A109" s="397" t="s">
        <v>256</v>
      </c>
      <c r="B109" s="488" t="n">
        <f aca="false">SUM(C109:AG109)</f>
        <v>0</v>
      </c>
      <c r="C109" s="430" t="n">
        <v>0</v>
      </c>
      <c r="D109" s="430" t="n">
        <v>0</v>
      </c>
      <c r="E109" s="430" t="n">
        <v>0</v>
      </c>
      <c r="F109" s="430" t="n">
        <v>0</v>
      </c>
      <c r="G109" s="430" t="n">
        <v>0</v>
      </c>
      <c r="H109" s="430" t="n">
        <v>0</v>
      </c>
      <c r="I109" s="430" t="n">
        <v>0</v>
      </c>
      <c r="J109" s="430" t="n">
        <v>0</v>
      </c>
      <c r="K109" s="430" t="n">
        <v>0</v>
      </c>
      <c r="L109" s="430" t="n">
        <v>0</v>
      </c>
      <c r="M109" s="430" t="n">
        <v>0</v>
      </c>
      <c r="N109" s="430" t="n">
        <v>0</v>
      </c>
      <c r="O109" s="430" t="n">
        <v>0</v>
      </c>
      <c r="P109" s="430" t="n">
        <v>0</v>
      </c>
      <c r="Q109" s="430" t="n">
        <v>0</v>
      </c>
      <c r="R109" s="430" t="n">
        <v>0</v>
      </c>
      <c r="S109" s="430" t="n">
        <v>0</v>
      </c>
      <c r="T109" s="430" t="n">
        <v>0</v>
      </c>
      <c r="U109" s="430" t="n">
        <v>0</v>
      </c>
      <c r="V109" s="430" t="n">
        <v>0</v>
      </c>
      <c r="W109" s="430" t="n">
        <v>0</v>
      </c>
      <c r="X109" s="430" t="n">
        <v>0</v>
      </c>
      <c r="Y109" s="430" t="n">
        <v>0</v>
      </c>
      <c r="Z109" s="430" t="n">
        <v>0</v>
      </c>
      <c r="AA109" s="430" t="n">
        <v>0</v>
      </c>
      <c r="AB109" s="430" t="n">
        <v>0</v>
      </c>
      <c r="AC109" s="430" t="n">
        <v>0</v>
      </c>
      <c r="AD109" s="430" t="n">
        <v>0</v>
      </c>
      <c r="AE109" s="430" t="n">
        <v>0</v>
      </c>
      <c r="AF109" s="430" t="n">
        <v>0</v>
      </c>
      <c r="AG109" s="489" t="n">
        <v>0</v>
      </c>
      <c r="AH109" s="414"/>
      <c r="AJ109" s="414"/>
      <c r="AK109" s="430"/>
      <c r="AL109" s="12"/>
      <c r="AM109" s="36"/>
    </row>
    <row r="110" customFormat="false" ht="12.75" hidden="false" customHeight="true" outlineLevel="0" collapsed="false">
      <c r="A110" s="397" t="s">
        <v>257</v>
      </c>
      <c r="B110" s="488" t="n">
        <f aca="false">SUM(C110:AG110)</f>
        <v>0</v>
      </c>
      <c r="C110" s="430" t="n">
        <v>0</v>
      </c>
      <c r="D110" s="430" t="n">
        <v>0</v>
      </c>
      <c r="E110" s="430" t="n">
        <v>0</v>
      </c>
      <c r="F110" s="430" t="n">
        <v>0</v>
      </c>
      <c r="G110" s="430" t="n">
        <v>0</v>
      </c>
      <c r="H110" s="430" t="n">
        <v>0</v>
      </c>
      <c r="I110" s="430" t="n">
        <v>0</v>
      </c>
      <c r="J110" s="430" t="n">
        <v>0</v>
      </c>
      <c r="K110" s="430" t="n">
        <v>0</v>
      </c>
      <c r="L110" s="430" t="n">
        <v>0</v>
      </c>
      <c r="M110" s="430" t="n">
        <v>0</v>
      </c>
      <c r="N110" s="430" t="n">
        <v>0</v>
      </c>
      <c r="O110" s="430" t="n">
        <v>0</v>
      </c>
      <c r="P110" s="430" t="n">
        <v>0</v>
      </c>
      <c r="Q110" s="430" t="n">
        <v>0</v>
      </c>
      <c r="R110" s="430" t="n">
        <v>0</v>
      </c>
      <c r="S110" s="430" t="n">
        <v>0</v>
      </c>
      <c r="T110" s="430" t="n">
        <v>0</v>
      </c>
      <c r="U110" s="430" t="n">
        <v>0</v>
      </c>
      <c r="V110" s="430" t="n">
        <v>0</v>
      </c>
      <c r="W110" s="430" t="n">
        <v>0</v>
      </c>
      <c r="X110" s="430" t="n">
        <v>0</v>
      </c>
      <c r="Y110" s="430" t="n">
        <v>0</v>
      </c>
      <c r="Z110" s="430" t="n">
        <v>0</v>
      </c>
      <c r="AA110" s="430" t="n">
        <v>0</v>
      </c>
      <c r="AB110" s="430" t="n">
        <v>0</v>
      </c>
      <c r="AC110" s="430" t="n">
        <v>0</v>
      </c>
      <c r="AD110" s="430" t="n">
        <v>0</v>
      </c>
      <c r="AE110" s="430" t="n">
        <v>0</v>
      </c>
      <c r="AF110" s="430" t="n">
        <v>0</v>
      </c>
      <c r="AG110" s="489" t="n">
        <v>0</v>
      </c>
      <c r="AH110" s="414"/>
      <c r="AJ110" s="414"/>
      <c r="AK110" s="430"/>
      <c r="AL110" s="12"/>
      <c r="AM110" s="36"/>
    </row>
    <row r="111" customFormat="false" ht="12.75" hidden="false" customHeight="true" outlineLevel="0" collapsed="false">
      <c r="A111" s="397" t="s">
        <v>258</v>
      </c>
      <c r="B111" s="488" t="n">
        <f aca="false">SUM(C111:AG111)</f>
        <v>0</v>
      </c>
      <c r="C111" s="430" t="n">
        <v>0</v>
      </c>
      <c r="D111" s="430" t="n">
        <v>0</v>
      </c>
      <c r="E111" s="430" t="n">
        <v>0</v>
      </c>
      <c r="F111" s="430" t="n">
        <v>0</v>
      </c>
      <c r="G111" s="430" t="n">
        <v>0</v>
      </c>
      <c r="H111" s="430" t="n">
        <v>0</v>
      </c>
      <c r="I111" s="430" t="n">
        <v>0</v>
      </c>
      <c r="J111" s="430" t="n">
        <v>0</v>
      </c>
      <c r="K111" s="430" t="n">
        <v>0</v>
      </c>
      <c r="L111" s="430" t="n">
        <v>0</v>
      </c>
      <c r="M111" s="430" t="n">
        <v>0</v>
      </c>
      <c r="N111" s="430" t="n">
        <v>0</v>
      </c>
      <c r="O111" s="430" t="n">
        <v>0</v>
      </c>
      <c r="P111" s="430" t="n">
        <v>0</v>
      </c>
      <c r="Q111" s="430" t="n">
        <v>0</v>
      </c>
      <c r="R111" s="430" t="n">
        <v>0</v>
      </c>
      <c r="S111" s="430" t="n">
        <v>0</v>
      </c>
      <c r="T111" s="430" t="n">
        <v>0</v>
      </c>
      <c r="U111" s="430" t="n">
        <v>0</v>
      </c>
      <c r="V111" s="430" t="n">
        <v>0</v>
      </c>
      <c r="W111" s="430" t="n">
        <v>0</v>
      </c>
      <c r="X111" s="430" t="n">
        <v>0</v>
      </c>
      <c r="Y111" s="430" t="n">
        <v>0</v>
      </c>
      <c r="Z111" s="430" t="n">
        <v>0</v>
      </c>
      <c r="AA111" s="430" t="n">
        <v>0</v>
      </c>
      <c r="AB111" s="430" t="n">
        <v>0</v>
      </c>
      <c r="AC111" s="430" t="n">
        <v>0</v>
      </c>
      <c r="AD111" s="430" t="n">
        <v>0</v>
      </c>
      <c r="AE111" s="430" t="n">
        <v>0</v>
      </c>
      <c r="AF111" s="430" t="n">
        <v>0</v>
      </c>
      <c r="AG111" s="489" t="n">
        <v>0</v>
      </c>
      <c r="AH111" s="414"/>
      <c r="AJ111" s="414"/>
      <c r="AK111" s="430"/>
      <c r="AL111" s="12"/>
      <c r="AM111" s="36"/>
    </row>
    <row r="112" customFormat="false" ht="12.75" hidden="false" customHeight="true" outlineLevel="0" collapsed="false">
      <c r="A112" s="397" t="s">
        <v>259</v>
      </c>
      <c r="B112" s="488" t="n">
        <f aca="false">SUM(C112:AG112)</f>
        <v>0</v>
      </c>
      <c r="C112" s="430" t="n">
        <v>0</v>
      </c>
      <c r="D112" s="430" t="n">
        <v>0</v>
      </c>
      <c r="E112" s="430" t="n">
        <v>0</v>
      </c>
      <c r="F112" s="430" t="n">
        <v>0</v>
      </c>
      <c r="G112" s="430" t="n">
        <v>0</v>
      </c>
      <c r="H112" s="430" t="n">
        <v>0</v>
      </c>
      <c r="I112" s="430" t="n">
        <v>0</v>
      </c>
      <c r="J112" s="430" t="n">
        <v>0</v>
      </c>
      <c r="K112" s="430" t="n">
        <v>0</v>
      </c>
      <c r="L112" s="430" t="n">
        <v>0</v>
      </c>
      <c r="M112" s="430" t="n">
        <v>0</v>
      </c>
      <c r="N112" s="430" t="n">
        <v>0</v>
      </c>
      <c r="O112" s="430" t="n">
        <v>0</v>
      </c>
      <c r="P112" s="430" t="n">
        <v>0</v>
      </c>
      <c r="Q112" s="430" t="n">
        <v>0</v>
      </c>
      <c r="R112" s="430" t="n">
        <v>0</v>
      </c>
      <c r="S112" s="430" t="n">
        <v>0</v>
      </c>
      <c r="T112" s="430" t="n">
        <v>0</v>
      </c>
      <c r="U112" s="430" t="n">
        <v>0</v>
      </c>
      <c r="V112" s="430" t="n">
        <v>0</v>
      </c>
      <c r="W112" s="430" t="n">
        <v>0</v>
      </c>
      <c r="X112" s="430" t="n">
        <v>0</v>
      </c>
      <c r="Y112" s="430" t="n">
        <v>0</v>
      </c>
      <c r="Z112" s="430" t="n">
        <v>0</v>
      </c>
      <c r="AA112" s="430" t="n">
        <v>0</v>
      </c>
      <c r="AB112" s="430" t="n">
        <v>0</v>
      </c>
      <c r="AC112" s="430" t="n">
        <v>0</v>
      </c>
      <c r="AD112" s="430" t="n">
        <v>0</v>
      </c>
      <c r="AE112" s="430" t="n">
        <v>0</v>
      </c>
      <c r="AF112" s="430" t="n">
        <v>0</v>
      </c>
      <c r="AG112" s="489" t="n">
        <v>0</v>
      </c>
      <c r="AH112" s="414"/>
      <c r="AJ112" s="414"/>
      <c r="AK112" s="430"/>
      <c r="AL112" s="12"/>
      <c r="AM112" s="36"/>
    </row>
    <row r="113" customFormat="false" ht="12.75" hidden="false" customHeight="true" outlineLevel="0" collapsed="false">
      <c r="A113" s="397" t="s">
        <v>261</v>
      </c>
      <c r="B113" s="488" t="n">
        <f aca="false">SUM(C113:AG113)</f>
        <v>0</v>
      </c>
      <c r="C113" s="430" t="n">
        <v>0</v>
      </c>
      <c r="D113" s="430" t="n">
        <v>0</v>
      </c>
      <c r="E113" s="430" t="n">
        <v>0</v>
      </c>
      <c r="F113" s="430" t="n">
        <v>0</v>
      </c>
      <c r="G113" s="430" t="n">
        <v>0</v>
      </c>
      <c r="H113" s="430" t="n">
        <v>0</v>
      </c>
      <c r="I113" s="430" t="n">
        <v>0</v>
      </c>
      <c r="J113" s="430" t="n">
        <v>0</v>
      </c>
      <c r="K113" s="430" t="n">
        <v>0</v>
      </c>
      <c r="L113" s="430" t="n">
        <v>0</v>
      </c>
      <c r="M113" s="430" t="n">
        <v>0</v>
      </c>
      <c r="N113" s="430" t="n">
        <v>0</v>
      </c>
      <c r="O113" s="430" t="n">
        <v>0</v>
      </c>
      <c r="P113" s="430" t="n">
        <v>0</v>
      </c>
      <c r="Q113" s="430" t="n">
        <v>0</v>
      </c>
      <c r="R113" s="430" t="n">
        <v>0</v>
      </c>
      <c r="S113" s="430" t="n">
        <v>0</v>
      </c>
      <c r="T113" s="430" t="n">
        <v>0</v>
      </c>
      <c r="U113" s="430" t="n">
        <v>0</v>
      </c>
      <c r="V113" s="430" t="n">
        <v>0</v>
      </c>
      <c r="W113" s="430" t="n">
        <v>0</v>
      </c>
      <c r="X113" s="430" t="n">
        <v>0</v>
      </c>
      <c r="Y113" s="430" t="n">
        <v>0</v>
      </c>
      <c r="Z113" s="430" t="n">
        <v>0</v>
      </c>
      <c r="AA113" s="430" t="n">
        <v>0</v>
      </c>
      <c r="AB113" s="430" t="n">
        <v>0</v>
      </c>
      <c r="AC113" s="430" t="n">
        <v>0</v>
      </c>
      <c r="AD113" s="430" t="n">
        <v>0</v>
      </c>
      <c r="AE113" s="430" t="n">
        <v>0</v>
      </c>
      <c r="AF113" s="430" t="n">
        <v>0</v>
      </c>
      <c r="AG113" s="489" t="n">
        <v>0</v>
      </c>
      <c r="AH113" s="414"/>
      <c r="AJ113" s="414"/>
      <c r="AK113" s="430"/>
      <c r="AL113" s="12"/>
      <c r="AM113" s="36"/>
    </row>
    <row r="114" customFormat="false" ht="12.75" hidden="false" customHeight="true" outlineLevel="0" collapsed="false">
      <c r="A114" s="397"/>
      <c r="B114" s="488"/>
      <c r="C114" s="430"/>
      <c r="D114" s="430"/>
      <c r="E114" s="430"/>
      <c r="F114" s="430"/>
      <c r="G114" s="430"/>
      <c r="H114" s="430"/>
      <c r="I114" s="430"/>
      <c r="J114" s="430"/>
      <c r="K114" s="430"/>
      <c r="L114" s="430"/>
      <c r="M114" s="430"/>
      <c r="N114" s="430"/>
      <c r="O114" s="430"/>
      <c r="P114" s="430"/>
      <c r="Q114" s="430"/>
      <c r="R114" s="430"/>
      <c r="S114" s="430"/>
      <c r="T114" s="430"/>
      <c r="U114" s="430"/>
      <c r="V114" s="430"/>
      <c r="W114" s="430"/>
      <c r="X114" s="430"/>
      <c r="Y114" s="430"/>
      <c r="Z114" s="430"/>
      <c r="AA114" s="430"/>
      <c r="AB114" s="430"/>
      <c r="AC114" s="430"/>
      <c r="AD114" s="430"/>
      <c r="AE114" s="430"/>
      <c r="AF114" s="430"/>
      <c r="AG114" s="489"/>
      <c r="AH114" s="414"/>
      <c r="AJ114" s="414"/>
      <c r="AK114" s="430"/>
      <c r="AL114" s="12"/>
      <c r="AM114" s="36"/>
    </row>
    <row r="115" customFormat="false" ht="12.75" hidden="false" customHeight="true" outlineLevel="0" collapsed="false">
      <c r="A115" s="397"/>
      <c r="B115" s="488"/>
      <c r="C115" s="430"/>
      <c r="D115" s="430"/>
      <c r="E115" s="430"/>
      <c r="F115" s="430"/>
      <c r="G115" s="430"/>
      <c r="H115" s="430"/>
      <c r="I115" s="430"/>
      <c r="J115" s="430"/>
      <c r="K115" s="430"/>
      <c r="L115" s="430"/>
      <c r="M115" s="430"/>
      <c r="N115" s="430"/>
      <c r="O115" s="430"/>
      <c r="P115" s="430"/>
      <c r="Q115" s="430"/>
      <c r="R115" s="430"/>
      <c r="S115" s="430"/>
      <c r="T115" s="430"/>
      <c r="U115" s="430"/>
      <c r="V115" s="430"/>
      <c r="W115" s="430"/>
      <c r="X115" s="430"/>
      <c r="Y115" s="430"/>
      <c r="Z115" s="430"/>
      <c r="AA115" s="430"/>
      <c r="AB115" s="430"/>
      <c r="AC115" s="430"/>
      <c r="AD115" s="430"/>
      <c r="AE115" s="430"/>
      <c r="AF115" s="430"/>
      <c r="AG115" s="489"/>
      <c r="AH115" s="414"/>
      <c r="AJ115" s="414"/>
      <c r="AK115" s="430"/>
      <c r="AL115" s="12"/>
      <c r="AM115" s="36"/>
    </row>
    <row r="116" customFormat="false" ht="12.75" hidden="false" customHeight="true" outlineLevel="0" collapsed="false">
      <c r="A116" s="397"/>
      <c r="B116" s="488"/>
      <c r="C116" s="430"/>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30"/>
      <c r="AA116" s="430"/>
      <c r="AB116" s="430"/>
      <c r="AC116" s="430"/>
      <c r="AD116" s="430"/>
      <c r="AE116" s="430"/>
      <c r="AF116" s="430"/>
      <c r="AG116" s="489"/>
      <c r="AH116" s="414"/>
      <c r="AJ116" s="414"/>
      <c r="AK116" s="430"/>
      <c r="AL116" s="12"/>
      <c r="AM116" s="36"/>
    </row>
    <row r="117" customFormat="false" ht="12.75" hidden="false" customHeight="true" outlineLevel="0" collapsed="false">
      <c r="A117" s="397"/>
      <c r="B117" s="488"/>
      <c r="C117" s="430"/>
      <c r="D117" s="430"/>
      <c r="E117" s="430"/>
      <c r="F117" s="430"/>
      <c r="G117" s="430"/>
      <c r="H117" s="430"/>
      <c r="I117" s="430"/>
      <c r="J117" s="430"/>
      <c r="K117" s="430"/>
      <c r="L117" s="430"/>
      <c r="M117" s="430"/>
      <c r="N117" s="430"/>
      <c r="O117" s="430"/>
      <c r="P117" s="430"/>
      <c r="Q117" s="430"/>
      <c r="R117" s="430"/>
      <c r="S117" s="430"/>
      <c r="T117" s="430"/>
      <c r="U117" s="430"/>
      <c r="V117" s="430"/>
      <c r="W117" s="430"/>
      <c r="X117" s="430"/>
      <c r="Y117" s="430"/>
      <c r="Z117" s="430"/>
      <c r="AA117" s="430"/>
      <c r="AB117" s="430"/>
      <c r="AC117" s="430"/>
      <c r="AD117" s="430"/>
      <c r="AE117" s="430"/>
      <c r="AF117" s="430"/>
      <c r="AG117" s="489"/>
      <c r="AH117" s="414"/>
      <c r="AJ117" s="414"/>
      <c r="AK117" s="430"/>
      <c r="AL117" s="12"/>
      <c r="AM117" s="36"/>
    </row>
    <row r="118" customFormat="false" ht="12.75" hidden="false" customHeight="true" outlineLevel="0" collapsed="false">
      <c r="A118" s="506" t="s">
        <v>264</v>
      </c>
      <c r="B118" s="497" t="n">
        <f aca="false">SUM(B108:B117)</f>
        <v>0</v>
      </c>
      <c r="C118" s="507"/>
      <c r="D118" s="507"/>
      <c r="E118" s="507"/>
      <c r="F118" s="507"/>
      <c r="G118" s="507"/>
      <c r="H118" s="507"/>
      <c r="I118" s="507"/>
      <c r="J118" s="507"/>
      <c r="K118" s="507"/>
      <c r="L118" s="507"/>
      <c r="M118" s="507"/>
      <c r="N118" s="507"/>
      <c r="O118" s="507"/>
      <c r="P118" s="507"/>
      <c r="Q118" s="507"/>
      <c r="R118" s="507"/>
      <c r="S118" s="507"/>
      <c r="T118" s="507"/>
      <c r="U118" s="507"/>
      <c r="V118" s="507"/>
      <c r="W118" s="507"/>
      <c r="X118" s="507"/>
      <c r="Y118" s="507"/>
      <c r="Z118" s="507"/>
      <c r="AA118" s="507"/>
      <c r="AB118" s="507"/>
      <c r="AC118" s="507"/>
      <c r="AD118" s="507"/>
      <c r="AE118" s="507"/>
      <c r="AF118" s="507"/>
      <c r="AG118" s="508"/>
      <c r="AH118" s="414"/>
      <c r="AJ118" s="414"/>
      <c r="AK118" s="430"/>
      <c r="AL118" s="12"/>
      <c r="AM118" s="36"/>
    </row>
    <row r="119" customFormat="false" ht="12.75" hidden="false" customHeight="true" outlineLevel="0" collapsed="false">
      <c r="A119" s="414"/>
      <c r="B119" s="501"/>
      <c r="AH119" s="414"/>
      <c r="AJ119" s="414"/>
      <c r="AK119" s="430"/>
      <c r="AL119" s="12"/>
      <c r="AM119" s="36"/>
    </row>
    <row r="120" customFormat="false" ht="12.75" hidden="false" customHeight="true" outlineLevel="0" collapsed="false">
      <c r="A120" s="414"/>
      <c r="B120" s="501"/>
      <c r="AH120" s="414"/>
      <c r="AJ120" s="414"/>
      <c r="AK120" s="430"/>
      <c r="AL120" s="12"/>
      <c r="AM120" s="36"/>
    </row>
    <row r="121" customFormat="false" ht="12.75" hidden="false" customHeight="true" outlineLevel="0" collapsed="false">
      <c r="A121" s="465" t="s">
        <v>265</v>
      </c>
      <c r="B121" s="465"/>
      <c r="AH121" s="414"/>
      <c r="AJ121" s="414"/>
      <c r="AK121" s="430"/>
      <c r="AL121" s="12"/>
      <c r="AM121" s="36"/>
    </row>
    <row r="122" customFormat="false" ht="12.75" hidden="false" customHeight="true" outlineLevel="0" collapsed="false">
      <c r="AK122" s="1"/>
      <c r="AL122" s="12"/>
      <c r="AM122" s="36"/>
    </row>
    <row r="123" customFormat="false" ht="12.75" hidden="false" customHeight="true" outlineLevel="0" collapsed="false">
      <c r="D123" s="2" t="s">
        <v>55</v>
      </c>
      <c r="AI123" s="1"/>
      <c r="AJ123" s="428"/>
      <c r="AK123" s="428"/>
      <c r="AL123" s="1"/>
      <c r="AM123" s="1"/>
    </row>
    <row r="124" customFormat="false" ht="12.75" hidden="false" customHeight="true" outlineLevel="0" collapsed="false">
      <c r="A124" s="509" t="s">
        <v>266</v>
      </c>
      <c r="B124" s="510"/>
      <c r="C124" s="511"/>
      <c r="D124" s="511"/>
      <c r="E124" s="512"/>
      <c r="G124" s="509" t="s">
        <v>267</v>
      </c>
      <c r="H124" s="509"/>
      <c r="I124" s="510"/>
      <c r="J124" s="511"/>
      <c r="K124" s="511"/>
      <c r="L124" s="512"/>
      <c r="M124" s="428"/>
      <c r="N124" s="428"/>
      <c r="O124" s="1"/>
      <c r="P124" s="1"/>
    </row>
    <row r="125" customFormat="false" ht="12.75" hidden="false" customHeight="true" outlineLevel="0" collapsed="false">
      <c r="A125" s="513" t="s">
        <v>268</v>
      </c>
      <c r="B125" s="469" t="s">
        <v>269</v>
      </c>
      <c r="C125" s="469"/>
      <c r="D125" s="469"/>
      <c r="E125" s="514" t="s">
        <v>270</v>
      </c>
      <c r="G125" s="513" t="s">
        <v>269</v>
      </c>
      <c r="H125" s="513"/>
      <c r="I125" s="513"/>
      <c r="J125" s="513"/>
      <c r="K125" s="513"/>
      <c r="L125" s="515" t="s">
        <v>270</v>
      </c>
      <c r="M125" s="428"/>
      <c r="N125" s="428"/>
      <c r="O125" s="1"/>
      <c r="P125" s="1"/>
    </row>
    <row r="126" customFormat="false" ht="12.75" hidden="false" customHeight="true" outlineLevel="0" collapsed="false">
      <c r="A126" s="516"/>
      <c r="B126" s="414"/>
      <c r="C126" s="414"/>
      <c r="D126" s="517"/>
      <c r="E126" s="518"/>
      <c r="G126" s="519"/>
      <c r="H126" s="520"/>
      <c r="I126" s="414"/>
      <c r="J126" s="1"/>
      <c r="K126" s="521"/>
      <c r="L126" s="518"/>
      <c r="M126" s="1"/>
      <c r="N126" s="1"/>
      <c r="O126" s="1"/>
      <c r="P126" s="1"/>
    </row>
    <row r="127" customFormat="false" ht="12.75" hidden="false" customHeight="true" outlineLevel="0" collapsed="false">
      <c r="A127" s="329" t="n">
        <v>36617</v>
      </c>
      <c r="B127" s="153" t="s">
        <v>297</v>
      </c>
      <c r="C127" s="153"/>
      <c r="D127" s="324"/>
      <c r="E127" s="325" t="n">
        <v>-1</v>
      </c>
      <c r="G127" s="522"/>
      <c r="H127" s="428"/>
      <c r="I127" s="523"/>
      <c r="J127" s="1"/>
      <c r="K127" s="521"/>
      <c r="L127" s="518"/>
      <c r="M127" s="1"/>
      <c r="N127" s="1"/>
      <c r="O127" s="1"/>
      <c r="P127" s="1"/>
    </row>
    <row r="128" customFormat="false" ht="12.75" hidden="false" customHeight="true" outlineLevel="0" collapsed="false">
      <c r="A128" s="329" t="n">
        <v>36647</v>
      </c>
      <c r="B128" s="153" t="s">
        <v>298</v>
      </c>
      <c r="C128" s="414"/>
      <c r="D128" s="517"/>
      <c r="E128" s="518" t="n">
        <v>-1684</v>
      </c>
      <c r="G128" s="522"/>
      <c r="H128" s="414"/>
      <c r="I128" s="1"/>
      <c r="J128" s="1"/>
      <c r="K128" s="521"/>
      <c r="L128" s="518"/>
      <c r="M128" s="1"/>
      <c r="N128" s="1"/>
      <c r="O128" s="1"/>
      <c r="P128" s="1"/>
    </row>
    <row r="129" customFormat="false" ht="12.75" hidden="false" customHeight="true" outlineLevel="0" collapsed="false">
      <c r="A129" s="329" t="n">
        <v>36678</v>
      </c>
      <c r="B129" s="153" t="s">
        <v>300</v>
      </c>
      <c r="C129" s="414"/>
      <c r="D129" s="517"/>
      <c r="E129" s="524" t="n">
        <v>-5169</v>
      </c>
      <c r="G129" s="522"/>
      <c r="H129" s="414"/>
      <c r="I129" s="1"/>
      <c r="J129" s="1"/>
      <c r="K129" s="517"/>
      <c r="L129" s="524"/>
      <c r="M129" s="1"/>
      <c r="N129" s="1"/>
      <c r="O129" s="1"/>
      <c r="P129" s="1"/>
    </row>
    <row r="130" customFormat="false" ht="12.75" hidden="false" customHeight="true" outlineLevel="0" collapsed="false">
      <c r="A130" s="525" t="n">
        <v>36708</v>
      </c>
      <c r="B130" s="153" t="s">
        <v>301</v>
      </c>
      <c r="C130" s="414"/>
      <c r="D130" s="517"/>
      <c r="E130" s="518" t="n">
        <v>-5285</v>
      </c>
      <c r="G130" s="522"/>
      <c r="H130" s="414"/>
      <c r="I130" s="1"/>
      <c r="J130" s="1"/>
      <c r="K130" s="517"/>
      <c r="L130" s="518"/>
      <c r="M130" s="1"/>
      <c r="N130" s="1"/>
      <c r="O130" s="1"/>
      <c r="P130" s="1"/>
    </row>
    <row r="131" customFormat="false" ht="12.75" hidden="false" customHeight="true" outlineLevel="0" collapsed="false">
      <c r="A131" s="525" t="n">
        <v>36739</v>
      </c>
      <c r="B131" s="153" t="s">
        <v>302</v>
      </c>
      <c r="C131" s="414"/>
      <c r="D131" s="517"/>
      <c r="E131" s="518" t="n">
        <v>-6400</v>
      </c>
      <c r="G131" s="522"/>
      <c r="H131" s="414"/>
      <c r="I131" s="1"/>
      <c r="J131" s="1"/>
      <c r="K131" s="517"/>
      <c r="L131" s="518"/>
      <c r="M131" s="1"/>
      <c r="N131" s="1"/>
      <c r="O131" s="1"/>
      <c r="P131" s="1"/>
    </row>
    <row r="132" customFormat="false" ht="12.75" hidden="false" customHeight="true" outlineLevel="0" collapsed="false">
      <c r="A132" s="525" t="n">
        <v>36770</v>
      </c>
      <c r="B132" s="153" t="s">
        <v>303</v>
      </c>
      <c r="C132" s="523"/>
      <c r="D132" s="526"/>
      <c r="E132" s="524" t="n">
        <v>-8403</v>
      </c>
      <c r="G132" s="522"/>
      <c r="H132" s="1"/>
      <c r="I132" s="1"/>
      <c r="J132" s="1"/>
      <c r="K132" s="521"/>
      <c r="L132" s="524"/>
      <c r="M132" s="1"/>
      <c r="N132" s="1"/>
      <c r="O132" s="1"/>
      <c r="P132" s="1"/>
    </row>
    <row r="133" customFormat="false" ht="12.75" hidden="false" customHeight="true" outlineLevel="0" collapsed="false">
      <c r="A133" s="525" t="n">
        <v>36800</v>
      </c>
      <c r="B133" s="153" t="s">
        <v>304</v>
      </c>
      <c r="C133" s="523"/>
      <c r="D133" s="526"/>
      <c r="E133" s="524" t="n">
        <v>-7821</v>
      </c>
      <c r="G133" s="522"/>
      <c r="H133" s="414"/>
      <c r="I133" s="1"/>
      <c r="J133" s="1"/>
      <c r="K133" s="517"/>
      <c r="L133" s="524"/>
      <c r="M133" s="1"/>
      <c r="N133" s="1"/>
      <c r="O133" s="1"/>
      <c r="P133" s="1"/>
    </row>
    <row r="134" customFormat="false" ht="12.75" hidden="false" customHeight="true" outlineLevel="0" collapsed="false">
      <c r="A134" s="525"/>
      <c r="B134" s="414"/>
      <c r="C134" s="523"/>
      <c r="D134" s="526"/>
      <c r="E134" s="518"/>
      <c r="G134" s="522"/>
      <c r="H134" s="414"/>
      <c r="I134" s="1"/>
      <c r="J134" s="1"/>
      <c r="K134" s="517"/>
      <c r="L134" s="518"/>
      <c r="M134" s="466"/>
      <c r="N134" s="36"/>
      <c r="O134" s="1"/>
      <c r="P134" s="1"/>
    </row>
    <row r="135" customFormat="false" ht="12.75" hidden="false" customHeight="true" outlineLevel="0" collapsed="false">
      <c r="A135" s="525"/>
      <c r="B135" s="414"/>
      <c r="C135" s="414"/>
      <c r="D135" s="517"/>
      <c r="E135" s="518"/>
      <c r="G135" s="522"/>
      <c r="H135" s="414"/>
      <c r="I135" s="1"/>
      <c r="J135" s="1"/>
      <c r="K135" s="517"/>
      <c r="L135" s="518"/>
      <c r="M135" s="466"/>
      <c r="N135" s="1"/>
      <c r="O135" s="1"/>
      <c r="P135" s="1"/>
    </row>
    <row r="136" customFormat="false" ht="12.75" hidden="false" customHeight="true" outlineLevel="0" collapsed="false">
      <c r="A136" s="525"/>
      <c r="B136" s="414"/>
      <c r="C136" s="414"/>
      <c r="D136" s="517"/>
      <c r="E136" s="518"/>
      <c r="G136" s="522"/>
      <c r="H136" s="414"/>
      <c r="I136" s="1"/>
      <c r="J136" s="1"/>
      <c r="K136" s="517"/>
      <c r="L136" s="518"/>
      <c r="M136" s="1"/>
      <c r="N136" s="466"/>
      <c r="O136" s="1"/>
      <c r="P136" s="1"/>
    </row>
    <row r="137" customFormat="false" ht="12.75" hidden="false" customHeight="true" outlineLevel="0" collapsed="false">
      <c r="A137" s="525"/>
      <c r="B137" s="414"/>
      <c r="C137" s="414"/>
      <c r="D137" s="517"/>
      <c r="E137" s="518"/>
      <c r="G137" s="522"/>
      <c r="H137" s="414"/>
      <c r="I137" s="1"/>
      <c r="J137" s="1"/>
      <c r="K137" s="517"/>
      <c r="L137" s="518"/>
      <c r="M137" s="1"/>
      <c r="N137" s="466"/>
      <c r="O137" s="1"/>
      <c r="P137" s="1"/>
    </row>
    <row r="138" customFormat="false" ht="12.75" hidden="false" customHeight="true" outlineLevel="0" collapsed="false">
      <c r="A138" s="525"/>
      <c r="B138" s="414"/>
      <c r="C138" s="527"/>
      <c r="D138" s="517"/>
      <c r="E138" s="518"/>
      <c r="G138" s="522"/>
      <c r="H138" s="414"/>
      <c r="I138" s="1"/>
      <c r="J138" s="1"/>
      <c r="K138" s="517"/>
      <c r="L138" s="518"/>
      <c r="M138" s="1"/>
      <c r="N138" s="1"/>
      <c r="O138" s="1"/>
      <c r="P138" s="1"/>
    </row>
    <row r="139" customFormat="false" ht="12.75" hidden="false" customHeight="true" outlineLevel="0" collapsed="false">
      <c r="A139" s="525"/>
      <c r="B139" s="1"/>
      <c r="C139" s="1"/>
      <c r="D139" s="495"/>
      <c r="E139" s="518"/>
      <c r="G139" s="522"/>
      <c r="H139" s="414"/>
      <c r="I139" s="1"/>
      <c r="J139" s="1"/>
      <c r="K139" s="517"/>
      <c r="L139" s="518"/>
      <c r="M139" s="1"/>
      <c r="N139" s="1"/>
      <c r="O139" s="1"/>
      <c r="P139" s="1"/>
    </row>
    <row r="140" customFormat="false" ht="12.75" hidden="false" customHeight="true" outlineLevel="0" collapsed="false">
      <c r="A140" s="525"/>
      <c r="B140" s="1"/>
      <c r="C140" s="1"/>
      <c r="D140" s="517"/>
      <c r="E140" s="518"/>
      <c r="G140" s="522"/>
      <c r="H140" s="414"/>
      <c r="I140" s="1"/>
      <c r="J140" s="1"/>
      <c r="K140" s="517"/>
      <c r="L140" s="518"/>
      <c r="M140" s="1"/>
      <c r="N140" s="1"/>
      <c r="O140" s="1"/>
      <c r="P140" s="1"/>
    </row>
    <row r="141" customFormat="false" ht="12.75" hidden="false" customHeight="true" outlineLevel="0" collapsed="false">
      <c r="A141" s="525"/>
      <c r="B141" s="1"/>
      <c r="C141" s="1"/>
      <c r="D141" s="517"/>
      <c r="E141" s="518"/>
      <c r="G141" s="522"/>
      <c r="H141" s="414"/>
      <c r="I141" s="1"/>
      <c r="J141" s="1"/>
      <c r="K141" s="517"/>
      <c r="L141" s="518"/>
      <c r="M141" s="1"/>
      <c r="N141" s="1"/>
      <c r="O141" s="1"/>
      <c r="P141" s="1"/>
    </row>
    <row r="142" customFormat="false" ht="12.75" hidden="false" customHeight="true" outlineLevel="0" collapsed="false">
      <c r="A142" s="525"/>
      <c r="B142" s="414"/>
      <c r="C142" s="414"/>
      <c r="D142" s="517"/>
      <c r="E142" s="518"/>
      <c r="G142" s="522"/>
      <c r="H142" s="414"/>
      <c r="I142" s="1"/>
      <c r="J142" s="1"/>
      <c r="K142" s="517"/>
      <c r="L142" s="518"/>
      <c r="M142" s="1"/>
      <c r="N142" s="1"/>
      <c r="O142" s="1"/>
      <c r="P142" s="1"/>
    </row>
    <row r="143" customFormat="false" ht="12.75" hidden="false" customHeight="true" outlineLevel="0" collapsed="false">
      <c r="A143" s="525"/>
      <c r="B143" s="414"/>
      <c r="C143" s="414"/>
      <c r="D143" s="517"/>
      <c r="E143" s="518"/>
      <c r="G143" s="522"/>
      <c r="H143" s="414"/>
      <c r="I143" s="1"/>
      <c r="J143" s="1"/>
      <c r="K143" s="517"/>
      <c r="L143" s="518"/>
      <c r="M143" s="1"/>
      <c r="N143" s="1"/>
      <c r="O143" s="1"/>
      <c r="P143" s="1"/>
    </row>
    <row r="144" customFormat="false" ht="12.75" hidden="false" customHeight="true" outlineLevel="0" collapsed="false">
      <c r="A144" s="525"/>
      <c r="B144" s="414"/>
      <c r="C144" s="414"/>
      <c r="D144" s="517"/>
      <c r="E144" s="518"/>
      <c r="G144" s="522"/>
      <c r="H144" s="414"/>
      <c r="I144" s="1"/>
      <c r="J144" s="1"/>
      <c r="K144" s="517"/>
      <c r="L144" s="518"/>
      <c r="M144" s="1"/>
      <c r="N144" s="1"/>
      <c r="O144" s="1"/>
      <c r="P144" s="1"/>
    </row>
    <row r="145" customFormat="false" ht="12.75" hidden="false" customHeight="true" outlineLevel="0" collapsed="false">
      <c r="A145" s="525"/>
      <c r="B145" s="414"/>
      <c r="C145" s="414"/>
      <c r="D145" s="517"/>
      <c r="E145" s="518"/>
      <c r="G145" s="522"/>
      <c r="H145" s="414"/>
      <c r="I145" s="1"/>
      <c r="J145" s="1"/>
      <c r="K145" s="517"/>
      <c r="L145" s="518"/>
      <c r="M145" s="1"/>
      <c r="N145" s="1"/>
      <c r="O145" s="1"/>
      <c r="P145" s="1"/>
    </row>
    <row r="146" customFormat="false" ht="12.75" hidden="false" customHeight="true" outlineLevel="0" collapsed="false">
      <c r="A146" s="525"/>
      <c r="B146" s="414"/>
      <c r="C146" s="414"/>
      <c r="D146" s="517"/>
      <c r="E146" s="518"/>
      <c r="G146" s="522"/>
      <c r="H146" s="414"/>
      <c r="I146" s="1"/>
      <c r="J146" s="1"/>
      <c r="K146" s="517"/>
      <c r="L146" s="518"/>
      <c r="M146" s="1"/>
      <c r="N146" s="1"/>
      <c r="O146" s="1"/>
      <c r="P146" s="1"/>
    </row>
    <row r="147" customFormat="false" ht="12.75" hidden="false" customHeight="true" outlineLevel="0" collapsed="false">
      <c r="A147" s="525"/>
      <c r="B147" s="414"/>
      <c r="C147" s="414"/>
      <c r="D147" s="517"/>
      <c r="E147" s="518"/>
      <c r="G147" s="522"/>
      <c r="H147" s="414"/>
      <c r="I147" s="1"/>
      <c r="J147" s="1"/>
      <c r="K147" s="517"/>
      <c r="L147" s="518"/>
      <c r="M147" s="1"/>
      <c r="N147" s="1"/>
      <c r="O147" s="1"/>
      <c r="P147" s="1"/>
    </row>
    <row r="148" customFormat="false" ht="12.75" hidden="false" customHeight="true" outlineLevel="0" collapsed="false">
      <c r="A148" s="525"/>
      <c r="B148" s="414"/>
      <c r="C148" s="414"/>
      <c r="D148" s="517"/>
      <c r="E148" s="518"/>
      <c r="G148" s="522"/>
      <c r="H148" s="414"/>
      <c r="I148" s="1"/>
      <c r="J148" s="1"/>
      <c r="K148" s="517"/>
      <c r="L148" s="518"/>
      <c r="M148" s="1"/>
      <c r="N148" s="1"/>
      <c r="O148" s="1"/>
      <c r="P148" s="1"/>
    </row>
    <row r="149" customFormat="false" ht="12.75" hidden="false" customHeight="true" outlineLevel="0" collapsed="false">
      <c r="A149" s="525"/>
      <c r="B149" s="414"/>
      <c r="C149" s="414"/>
      <c r="D149" s="517"/>
      <c r="E149" s="518"/>
      <c r="G149" s="522"/>
      <c r="H149" s="414"/>
      <c r="I149" s="1"/>
      <c r="J149" s="1"/>
      <c r="K149" s="517"/>
      <c r="L149" s="518"/>
      <c r="M149" s="1"/>
      <c r="N149" s="1"/>
      <c r="O149" s="1"/>
      <c r="P149" s="1"/>
    </row>
    <row r="150" customFormat="false" ht="12.75" hidden="false" customHeight="true" outlineLevel="0" collapsed="false">
      <c r="A150" s="525"/>
      <c r="B150" s="414"/>
      <c r="C150" s="414"/>
      <c r="D150" s="517"/>
      <c r="E150" s="518"/>
      <c r="G150" s="522"/>
      <c r="H150" s="414"/>
      <c r="I150" s="1"/>
      <c r="J150" s="1"/>
      <c r="K150" s="517"/>
      <c r="L150" s="518"/>
      <c r="M150" s="1"/>
      <c r="N150" s="1"/>
      <c r="O150" s="1"/>
      <c r="P150" s="1"/>
    </row>
    <row r="151" customFormat="false" ht="12.75" hidden="false" customHeight="true" outlineLevel="0" collapsed="false">
      <c r="A151" s="525"/>
      <c r="B151" s="414"/>
      <c r="C151" s="414"/>
      <c r="D151" s="517"/>
      <c r="E151" s="518"/>
      <c r="G151" s="522"/>
      <c r="H151" s="414"/>
      <c r="I151" s="1"/>
      <c r="J151" s="1"/>
      <c r="K151" s="517"/>
      <c r="L151" s="518"/>
      <c r="M151" s="1"/>
      <c r="N151" s="1"/>
      <c r="O151" s="1"/>
      <c r="P151" s="1"/>
    </row>
    <row r="152" customFormat="false" ht="12.75" hidden="false" customHeight="true" outlineLevel="0" collapsed="false">
      <c r="A152" s="525"/>
      <c r="B152" s="414"/>
      <c r="C152" s="414"/>
      <c r="D152" s="517"/>
      <c r="E152" s="518"/>
      <c r="G152" s="522"/>
      <c r="H152" s="414"/>
      <c r="I152" s="1"/>
      <c r="J152" s="1"/>
      <c r="K152" s="517"/>
      <c r="L152" s="518"/>
      <c r="M152" s="1"/>
      <c r="N152" s="1"/>
      <c r="O152" s="1"/>
      <c r="P152" s="1"/>
    </row>
    <row r="153" customFormat="false" ht="12.75" hidden="false" customHeight="true" outlineLevel="0" collapsed="false">
      <c r="A153" s="525"/>
      <c r="B153" s="414"/>
      <c r="C153" s="414"/>
      <c r="D153" s="517"/>
      <c r="E153" s="518"/>
      <c r="G153" s="522"/>
      <c r="H153" s="414"/>
      <c r="I153" s="1"/>
      <c r="J153" s="1"/>
      <c r="K153" s="517"/>
      <c r="L153" s="518"/>
      <c r="M153" s="1"/>
      <c r="N153" s="1"/>
      <c r="O153" s="1"/>
      <c r="P153" s="1"/>
    </row>
    <row r="154" customFormat="false" ht="12.75" hidden="false" customHeight="true" outlineLevel="0" collapsed="false">
      <c r="A154" s="525"/>
      <c r="B154" s="414"/>
      <c r="C154" s="414"/>
      <c r="D154" s="517"/>
      <c r="E154" s="518"/>
      <c r="G154" s="522"/>
      <c r="H154" s="414"/>
      <c r="I154" s="1"/>
      <c r="J154" s="1"/>
      <c r="K154" s="517"/>
      <c r="L154" s="518"/>
      <c r="M154" s="1"/>
      <c r="N154" s="1"/>
      <c r="O154" s="1"/>
      <c r="P154" s="1"/>
    </row>
    <row r="155" customFormat="false" ht="12.75" hidden="false" customHeight="true" outlineLevel="0" collapsed="false">
      <c r="A155" s="525"/>
      <c r="B155" s="414"/>
      <c r="C155" s="414"/>
      <c r="D155" s="517"/>
      <c r="E155" s="518"/>
      <c r="G155" s="522"/>
      <c r="H155" s="414"/>
      <c r="I155" s="1"/>
      <c r="J155" s="1"/>
      <c r="K155" s="517"/>
      <c r="L155" s="518"/>
      <c r="M155" s="1"/>
      <c r="N155" s="1"/>
      <c r="O155" s="1"/>
      <c r="P155" s="1"/>
    </row>
    <row r="156" customFormat="false" ht="12.75" hidden="false" customHeight="true" outlineLevel="0" collapsed="false">
      <c r="A156" s="525"/>
      <c r="B156" s="414"/>
      <c r="C156" s="414"/>
      <c r="D156" s="517"/>
      <c r="E156" s="518"/>
      <c r="G156" s="522"/>
      <c r="H156" s="414"/>
      <c r="I156" s="1"/>
      <c r="J156" s="1"/>
      <c r="K156" s="517"/>
      <c r="L156" s="518"/>
      <c r="M156" s="1"/>
      <c r="N156" s="1"/>
      <c r="O156" s="1"/>
      <c r="P156" s="1"/>
    </row>
    <row r="157" customFormat="false" ht="12.75" hidden="false" customHeight="true" outlineLevel="0" collapsed="false">
      <c r="A157" s="525"/>
      <c r="B157" s="414"/>
      <c r="C157" s="414"/>
      <c r="D157" s="517"/>
      <c r="E157" s="518"/>
      <c r="G157" s="522"/>
      <c r="H157" s="414"/>
      <c r="I157" s="1"/>
      <c r="J157" s="1"/>
      <c r="K157" s="517"/>
      <c r="L157" s="518"/>
      <c r="M157" s="1"/>
      <c r="N157" s="1"/>
      <c r="O157" s="1"/>
      <c r="P157" s="1"/>
    </row>
    <row r="158" customFormat="false" ht="12.75" hidden="false" customHeight="true" outlineLevel="0" collapsed="false">
      <c r="A158" s="525"/>
      <c r="B158" s="414"/>
      <c r="C158" s="414"/>
      <c r="D158" s="517"/>
      <c r="E158" s="528"/>
      <c r="G158" s="522"/>
      <c r="H158" s="414"/>
      <c r="I158" s="1"/>
      <c r="J158" s="1"/>
      <c r="K158" s="517"/>
      <c r="L158" s="528"/>
      <c r="M158" s="1"/>
      <c r="N158" s="1"/>
      <c r="O158" s="1"/>
      <c r="P158" s="1"/>
    </row>
    <row r="159" customFormat="false" ht="12.75" hidden="false" customHeight="true" outlineLevel="0" collapsed="false">
      <c r="A159" s="529"/>
      <c r="B159" s="414"/>
      <c r="C159" s="414"/>
      <c r="D159" s="530" t="s">
        <v>306</v>
      </c>
      <c r="E159" s="531" t="n">
        <f aca="false">SUM(E126:E158)</f>
        <v>-34763</v>
      </c>
      <c r="G159" s="529"/>
      <c r="H159" s="414"/>
      <c r="I159" s="1"/>
      <c r="J159" s="1"/>
      <c r="K159" s="530" t="s">
        <v>305</v>
      </c>
      <c r="L159" s="531" t="n">
        <f aca="false">SUM(L126:L158)</f>
        <v>0</v>
      </c>
      <c r="M159" s="1"/>
      <c r="N159" s="1"/>
      <c r="O159" s="1"/>
      <c r="P159" s="1"/>
    </row>
    <row r="160" customFormat="false" ht="12.75" hidden="false" customHeight="true" outlineLevel="0" collapsed="false">
      <c r="A160" s="532"/>
      <c r="B160" s="533"/>
      <c r="C160" s="533"/>
      <c r="D160" s="533"/>
      <c r="E160" s="534"/>
      <c r="G160" s="532"/>
      <c r="H160" s="533"/>
      <c r="I160" s="533"/>
      <c r="J160" s="533"/>
      <c r="K160" s="533"/>
      <c r="L160" s="534"/>
      <c r="M160" s="1"/>
      <c r="N160" s="1"/>
      <c r="O160" s="1"/>
      <c r="P160" s="1"/>
    </row>
    <row r="161" customFormat="false" ht="12.75" hidden="false" customHeight="true" outlineLevel="0" collapsed="false">
      <c r="AJ161" s="1"/>
      <c r="AK161" s="1"/>
      <c r="AL161" s="1"/>
      <c r="AM161" s="1"/>
    </row>
    <row r="162" customFormat="false" ht="12.75" hidden="false" customHeight="true" outlineLevel="0" collapsed="false">
      <c r="AJ162" s="1"/>
      <c r="AK162" s="1"/>
      <c r="AL162" s="1"/>
      <c r="AM162" s="1"/>
    </row>
    <row r="163" customFormat="false" ht="12.75" hidden="false" customHeight="true" outlineLevel="0" collapsed="false">
      <c r="A163" s="509" t="s">
        <v>307</v>
      </c>
      <c r="B163" s="511"/>
      <c r="C163" s="511"/>
      <c r="D163" s="511"/>
      <c r="E163" s="512"/>
      <c r="AJ163" s="1"/>
      <c r="AK163" s="1"/>
      <c r="AL163" s="1"/>
      <c r="AM163" s="1"/>
    </row>
    <row r="164" customFormat="false" ht="12.75" hidden="false" customHeight="true" outlineLevel="0" collapsed="false">
      <c r="A164" s="513" t="s">
        <v>268</v>
      </c>
      <c r="B164" s="469" t="s">
        <v>269</v>
      </c>
      <c r="C164" s="469"/>
      <c r="D164" s="469"/>
      <c r="E164" s="514" t="s">
        <v>270</v>
      </c>
      <c r="AJ164" s="1"/>
      <c r="AK164" s="1"/>
      <c r="AL164" s="1"/>
      <c r="AM164" s="1"/>
    </row>
    <row r="165" customFormat="false" ht="12.75" hidden="false" customHeight="true" outlineLevel="0" collapsed="false">
      <c r="A165" s="535"/>
      <c r="B165" s="414"/>
      <c r="C165" s="414"/>
      <c r="D165" s="517"/>
      <c r="E165" s="518"/>
      <c r="AJ165" s="1"/>
      <c r="AK165" s="1"/>
      <c r="AL165" s="1"/>
      <c r="AM165" s="1"/>
    </row>
    <row r="166" customFormat="false" ht="12.75" hidden="false" customHeight="true" outlineLevel="0" collapsed="false">
      <c r="A166" s="535"/>
      <c r="B166" s="414"/>
      <c r="C166" s="414"/>
      <c r="D166" s="517"/>
      <c r="E166" s="518"/>
      <c r="AJ166" s="1"/>
      <c r="AK166" s="1"/>
      <c r="AL166" s="1"/>
      <c r="AM166" s="1"/>
    </row>
    <row r="167" customFormat="false" ht="12.75" hidden="false" customHeight="true" outlineLevel="0" collapsed="false">
      <c r="A167" s="535"/>
      <c r="B167" s="414"/>
      <c r="C167" s="414"/>
      <c r="D167" s="517"/>
      <c r="E167" s="518"/>
      <c r="AJ167" s="1"/>
      <c r="AK167" s="1"/>
      <c r="AL167" s="1"/>
      <c r="AM167" s="1"/>
    </row>
    <row r="168" customFormat="false" ht="12.75" hidden="false" customHeight="true" outlineLevel="0" collapsed="false">
      <c r="A168" s="535"/>
      <c r="B168" s="414"/>
      <c r="C168" s="414"/>
      <c r="D168" s="517"/>
      <c r="E168" s="524"/>
      <c r="AJ168" s="1"/>
      <c r="AK168" s="1"/>
      <c r="AL168" s="1"/>
      <c r="AM168" s="1"/>
    </row>
    <row r="169" customFormat="false" ht="12.75" hidden="false" customHeight="true" outlineLevel="0" collapsed="false">
      <c r="A169" s="535"/>
      <c r="B169" s="414"/>
      <c r="C169" s="414"/>
      <c r="D169" s="517"/>
      <c r="E169" s="518"/>
      <c r="AJ169" s="1"/>
      <c r="AK169" s="1"/>
      <c r="AL169" s="1"/>
      <c r="AM169" s="1"/>
    </row>
    <row r="170" customFormat="false" ht="12.75" hidden="false" customHeight="true" outlineLevel="0" collapsed="false">
      <c r="A170" s="535"/>
      <c r="B170" s="414"/>
      <c r="C170" s="414"/>
      <c r="D170" s="517"/>
      <c r="E170" s="518"/>
      <c r="AJ170" s="1"/>
      <c r="AK170" s="1"/>
      <c r="AL170" s="1"/>
      <c r="AM170" s="1"/>
    </row>
    <row r="171" customFormat="false" ht="12.75" hidden="false" customHeight="true" outlineLevel="0" collapsed="false">
      <c r="A171" s="535"/>
      <c r="B171" s="414"/>
      <c r="C171" s="523"/>
      <c r="D171" s="526"/>
      <c r="E171" s="524"/>
      <c r="AJ171" s="1"/>
      <c r="AK171" s="1"/>
      <c r="AL171" s="1"/>
      <c r="AM171" s="1"/>
    </row>
    <row r="172" customFormat="false" ht="12.75" hidden="false" customHeight="true" outlineLevel="0" collapsed="false">
      <c r="A172" s="535"/>
      <c r="B172" s="520"/>
      <c r="C172" s="523"/>
      <c r="D172" s="526"/>
      <c r="E172" s="524"/>
      <c r="AJ172" s="1"/>
      <c r="AK172" s="1"/>
      <c r="AL172" s="1"/>
      <c r="AM172" s="1"/>
    </row>
    <row r="173" customFormat="false" ht="12.75" hidden="false" customHeight="true" outlineLevel="0" collapsed="false">
      <c r="A173" s="535"/>
      <c r="B173" s="520"/>
      <c r="C173" s="414"/>
      <c r="D173" s="517"/>
      <c r="E173" s="518"/>
      <c r="AJ173" s="1"/>
      <c r="AK173" s="1"/>
      <c r="AL173" s="1"/>
      <c r="AM173" s="1"/>
    </row>
    <row r="174" customFormat="false" ht="12.75" hidden="false" customHeight="true" outlineLevel="0" collapsed="false">
      <c r="A174" s="535"/>
      <c r="B174" s="414"/>
      <c r="C174" s="414"/>
      <c r="D174" s="517"/>
      <c r="E174" s="518"/>
      <c r="AJ174" s="1"/>
      <c r="AK174" s="1"/>
      <c r="AL174" s="1"/>
      <c r="AM174" s="1"/>
    </row>
    <row r="175" customFormat="false" ht="12.75" hidden="false" customHeight="true" outlineLevel="0" collapsed="false">
      <c r="A175" s="535"/>
      <c r="B175" s="414"/>
      <c r="C175" s="414"/>
      <c r="D175" s="517"/>
      <c r="E175" s="524"/>
      <c r="AJ175" s="1"/>
      <c r="AK175" s="1"/>
      <c r="AL175" s="1"/>
      <c r="AM175" s="1"/>
    </row>
    <row r="176" customFormat="false" ht="12.75" hidden="false" customHeight="true" outlineLevel="0" collapsed="false">
      <c r="A176" s="535"/>
      <c r="B176" s="414"/>
      <c r="C176" s="414"/>
      <c r="D176" s="517"/>
      <c r="E176" s="518"/>
      <c r="AJ176" s="1"/>
      <c r="AK176" s="1"/>
      <c r="AL176" s="1"/>
      <c r="AM176" s="1"/>
    </row>
    <row r="177" customFormat="false" ht="12.75" hidden="false" customHeight="true" outlineLevel="0" collapsed="false">
      <c r="A177" s="535"/>
      <c r="B177" s="414"/>
      <c r="C177" s="414"/>
      <c r="D177" s="517"/>
      <c r="E177" s="518"/>
      <c r="AJ177" s="1"/>
      <c r="AK177" s="1"/>
      <c r="AL177" s="1"/>
      <c r="AM177" s="1"/>
    </row>
    <row r="178" customFormat="false" ht="12.75" hidden="false" customHeight="true" outlineLevel="0" collapsed="false">
      <c r="A178" s="535"/>
      <c r="B178" s="428"/>
      <c r="C178" s="523"/>
      <c r="D178" s="526"/>
      <c r="E178" s="524"/>
      <c r="AJ178" s="1"/>
      <c r="AK178" s="1"/>
      <c r="AL178" s="1"/>
      <c r="AM178" s="1"/>
    </row>
    <row r="179" customFormat="false" ht="12.75" hidden="false" customHeight="true" outlineLevel="0" collapsed="false">
      <c r="A179" s="535"/>
      <c r="B179" s="428"/>
      <c r="C179" s="523"/>
      <c r="D179" s="526"/>
      <c r="E179" s="524"/>
      <c r="AJ179" s="1"/>
      <c r="AK179" s="1"/>
      <c r="AL179" s="1"/>
      <c r="AM179" s="1"/>
    </row>
    <row r="180" customFormat="false" ht="12.75" hidden="false" customHeight="true" outlineLevel="0" collapsed="false">
      <c r="A180" s="535"/>
      <c r="B180" s="428"/>
      <c r="C180" s="523"/>
      <c r="D180" s="526"/>
      <c r="E180" s="518"/>
      <c r="AJ180" s="1"/>
      <c r="AK180" s="1"/>
      <c r="AL180" s="1"/>
      <c r="AM180" s="1"/>
    </row>
    <row r="181" customFormat="false" ht="12.75" hidden="false" customHeight="true" outlineLevel="0" collapsed="false">
      <c r="A181" s="535"/>
      <c r="B181" s="414"/>
      <c r="C181" s="414"/>
      <c r="D181" s="517"/>
      <c r="E181" s="518"/>
      <c r="AJ181" s="1"/>
      <c r="AK181" s="1"/>
      <c r="AL181" s="1"/>
      <c r="AM181" s="1"/>
    </row>
    <row r="182" customFormat="false" ht="12.75" hidden="false" customHeight="true" outlineLevel="0" collapsed="false">
      <c r="A182" s="535"/>
      <c r="B182" s="414"/>
      <c r="C182" s="414"/>
      <c r="D182" s="517"/>
      <c r="E182" s="518"/>
      <c r="AJ182" s="1"/>
      <c r="AK182" s="1"/>
      <c r="AL182" s="1"/>
      <c r="AM182" s="1"/>
    </row>
    <row r="183" customFormat="false" ht="12.75" hidden="false" customHeight="true" outlineLevel="0" collapsed="false">
      <c r="A183" s="535"/>
      <c r="B183" s="414"/>
      <c r="C183" s="414"/>
      <c r="D183" s="517"/>
      <c r="E183" s="518"/>
      <c r="AJ183" s="1"/>
      <c r="AK183" s="1"/>
      <c r="AL183" s="1"/>
      <c r="AM183" s="1"/>
    </row>
    <row r="184" customFormat="false" ht="12.75" hidden="false" customHeight="true" outlineLevel="0" collapsed="false">
      <c r="A184" s="535"/>
      <c r="B184" s="414"/>
      <c r="C184" s="414"/>
      <c r="D184" s="517"/>
      <c r="E184" s="528"/>
      <c r="AJ184" s="1"/>
      <c r="AK184" s="1"/>
      <c r="AL184" s="1"/>
      <c r="AM184" s="1"/>
    </row>
    <row r="185" customFormat="false" ht="12.75" hidden="false" customHeight="true" outlineLevel="0" collapsed="false">
      <c r="A185" s="536"/>
      <c r="B185" s="414"/>
      <c r="C185" s="414"/>
      <c r="D185" s="530" t="s">
        <v>330</v>
      </c>
      <c r="E185" s="531" t="n">
        <f aca="false">SUM(E165:E184)</f>
        <v>0</v>
      </c>
      <c r="AJ185" s="1"/>
      <c r="AK185" s="1"/>
      <c r="AL185" s="1"/>
      <c r="AM185" s="1"/>
    </row>
    <row r="186" customFormat="false" ht="12.75" hidden="false" customHeight="true" outlineLevel="0" collapsed="false">
      <c r="A186" s="537"/>
      <c r="B186" s="533"/>
      <c r="C186" s="533"/>
      <c r="D186" s="533"/>
      <c r="E186" s="534"/>
      <c r="AJ186" s="1"/>
      <c r="AK186" s="1"/>
      <c r="AL186" s="1"/>
      <c r="AM186" s="1"/>
    </row>
    <row r="187" customFormat="false" ht="12.75" hidden="false" customHeight="true" outlineLevel="0" collapsed="false">
      <c r="AJ187" s="1"/>
      <c r="AK187" s="1"/>
      <c r="AL187" s="1"/>
      <c r="AM187" s="1"/>
    </row>
    <row r="188" customFormat="false" ht="12.75" hidden="false" customHeight="true" outlineLevel="0" collapsed="false">
      <c r="AJ188" s="1"/>
      <c r="AK188" s="1"/>
      <c r="AL188" s="1"/>
      <c r="AM188" s="1"/>
    </row>
    <row r="189" customFormat="false" ht="12.75" hidden="false" customHeight="true" outlineLevel="0" collapsed="false">
      <c r="A189" s="538" t="s">
        <v>331</v>
      </c>
      <c r="B189" s="539"/>
      <c r="C189" s="539"/>
      <c r="D189" s="539"/>
      <c r="E189" s="539"/>
      <c r="F189" s="539"/>
      <c r="G189" s="539"/>
      <c r="H189" s="539"/>
      <c r="I189" s="539"/>
      <c r="J189" s="539"/>
      <c r="K189" s="539"/>
      <c r="L189" s="539"/>
      <c r="M189" s="540"/>
      <c r="O189" s="1"/>
      <c r="P189" s="1"/>
      <c r="Q189" s="1"/>
      <c r="R189" s="1"/>
    </row>
    <row r="190" customFormat="false" ht="12.75" hidden="false" customHeight="true" outlineLevel="0" collapsed="false">
      <c r="A190" s="541" t="s">
        <v>332</v>
      </c>
      <c r="B190" s="542" t="s">
        <v>268</v>
      </c>
      <c r="C190" s="543" t="s">
        <v>333</v>
      </c>
      <c r="D190" s="544" t="s">
        <v>334</v>
      </c>
      <c r="E190" s="545" t="s">
        <v>269</v>
      </c>
      <c r="F190" s="545"/>
      <c r="G190" s="545"/>
      <c r="H190" s="545"/>
      <c r="I190" s="545"/>
      <c r="J190" s="545"/>
      <c r="K190" s="545"/>
      <c r="L190" s="545"/>
      <c r="M190" s="546" t="s">
        <v>270</v>
      </c>
      <c r="O190" s="1"/>
      <c r="P190" s="1"/>
      <c r="Q190" s="1"/>
      <c r="R190" s="1"/>
    </row>
    <row r="191" customFormat="false" ht="12.75" hidden="false" customHeight="true" outlineLevel="0" collapsed="false">
      <c r="A191" s="547"/>
      <c r="B191" s="548"/>
      <c r="C191" s="549"/>
      <c r="D191" s="517"/>
      <c r="E191" s="414"/>
      <c r="F191" s="414"/>
      <c r="G191" s="414"/>
      <c r="H191" s="414"/>
      <c r="I191" s="414"/>
      <c r="J191" s="414"/>
      <c r="K191" s="414"/>
      <c r="L191" s="414"/>
      <c r="M191" s="550"/>
      <c r="O191" s="1"/>
      <c r="P191" s="1"/>
      <c r="Q191" s="1"/>
      <c r="R191" s="1"/>
    </row>
    <row r="192" customFormat="false" ht="12.75" hidden="false" customHeight="true" outlineLevel="0" collapsed="false">
      <c r="A192" s="547"/>
      <c r="B192" s="548"/>
      <c r="C192" s="549"/>
      <c r="D192" s="517"/>
      <c r="E192" s="414"/>
      <c r="F192" s="414"/>
      <c r="G192" s="414"/>
      <c r="H192" s="414"/>
      <c r="I192" s="414"/>
      <c r="J192" s="414"/>
      <c r="K192" s="414"/>
      <c r="L192" s="414"/>
      <c r="M192" s="550"/>
      <c r="O192" s="1"/>
      <c r="P192" s="1"/>
      <c r="Q192" s="1"/>
      <c r="R192" s="1"/>
    </row>
    <row r="193" customFormat="false" ht="12.75" hidden="false" customHeight="true" outlineLevel="0" collapsed="false">
      <c r="A193" s="547"/>
      <c r="B193" s="548"/>
      <c r="C193" s="549"/>
      <c r="D193" s="517"/>
      <c r="E193" s="414"/>
      <c r="F193" s="414"/>
      <c r="G193" s="414"/>
      <c r="H193" s="414"/>
      <c r="I193" s="414"/>
      <c r="J193" s="414"/>
      <c r="K193" s="414"/>
      <c r="L193" s="414"/>
      <c r="M193" s="550"/>
      <c r="O193" s="1"/>
      <c r="P193" s="1"/>
      <c r="Q193" s="1"/>
      <c r="R193" s="1"/>
    </row>
    <row r="194" customFormat="false" ht="12.75" hidden="false" customHeight="true" outlineLevel="0" collapsed="false">
      <c r="A194" s="547"/>
      <c r="B194" s="548"/>
      <c r="C194" s="549"/>
      <c r="D194" s="517"/>
      <c r="E194" s="414"/>
      <c r="F194" s="414"/>
      <c r="G194" s="414"/>
      <c r="H194" s="414"/>
      <c r="I194" s="414"/>
      <c r="J194" s="414"/>
      <c r="K194" s="414"/>
      <c r="L194" s="414"/>
      <c r="M194" s="550"/>
      <c r="O194" s="1"/>
      <c r="P194" s="1"/>
      <c r="Q194" s="1"/>
      <c r="R194" s="1"/>
    </row>
    <row r="195" customFormat="false" ht="12.75" hidden="false" customHeight="true" outlineLevel="0" collapsed="false">
      <c r="A195" s="547"/>
      <c r="B195" s="548"/>
      <c r="C195" s="549"/>
      <c r="D195" s="517"/>
      <c r="E195" s="414"/>
      <c r="F195" s="414"/>
      <c r="G195" s="414"/>
      <c r="H195" s="414"/>
      <c r="I195" s="414"/>
      <c r="J195" s="414"/>
      <c r="K195" s="414"/>
      <c r="L195" s="414"/>
      <c r="M195" s="550"/>
      <c r="O195" s="1"/>
      <c r="P195" s="1"/>
      <c r="Q195" s="1"/>
      <c r="R195" s="1"/>
    </row>
    <row r="196" customFormat="false" ht="12.75" hidden="false" customHeight="true" outlineLevel="0" collapsed="false">
      <c r="A196" s="547"/>
      <c r="B196" s="548"/>
      <c r="C196" s="549"/>
      <c r="D196" s="517"/>
      <c r="E196" s="414"/>
      <c r="F196" s="414"/>
      <c r="G196" s="414"/>
      <c r="H196" s="414"/>
      <c r="I196" s="414"/>
      <c r="J196" s="414"/>
      <c r="K196" s="414"/>
      <c r="L196" s="414"/>
      <c r="M196" s="550"/>
    </row>
    <row r="197" customFormat="false" ht="12.75" hidden="false" customHeight="true" outlineLevel="0" collapsed="false">
      <c r="A197" s="547"/>
      <c r="B197" s="548"/>
      <c r="C197" s="549"/>
      <c r="D197" s="517"/>
      <c r="E197" s="414"/>
      <c r="F197" s="414"/>
      <c r="G197" s="414"/>
      <c r="H197" s="414"/>
      <c r="I197" s="414"/>
      <c r="J197" s="414"/>
      <c r="K197" s="414"/>
      <c r="L197" s="414"/>
      <c r="M197" s="550"/>
    </row>
    <row r="198" customFormat="false" ht="12.75" hidden="false" customHeight="true" outlineLevel="0" collapsed="false">
      <c r="A198" s="547"/>
      <c r="B198" s="548"/>
      <c r="C198" s="549"/>
      <c r="D198" s="517"/>
      <c r="E198" s="414"/>
      <c r="F198" s="414"/>
      <c r="G198" s="414"/>
      <c r="H198" s="414"/>
      <c r="I198" s="414"/>
      <c r="J198" s="414"/>
      <c r="K198" s="414"/>
      <c r="L198" s="414"/>
      <c r="M198" s="550"/>
    </row>
    <row r="199" customFormat="false" ht="12.75" hidden="false" customHeight="true" outlineLevel="0" collapsed="false">
      <c r="A199" s="547"/>
      <c r="B199" s="548"/>
      <c r="C199" s="549"/>
      <c r="D199" s="517"/>
      <c r="E199" s="414"/>
      <c r="F199" s="414"/>
      <c r="G199" s="414"/>
      <c r="H199" s="414"/>
      <c r="I199" s="414"/>
      <c r="J199" s="414"/>
      <c r="K199" s="414"/>
      <c r="L199" s="414"/>
      <c r="M199" s="550"/>
    </row>
    <row r="200" customFormat="false" ht="12.75" hidden="false" customHeight="true" outlineLevel="0" collapsed="false">
      <c r="A200" s="547"/>
      <c r="B200" s="548"/>
      <c r="C200" s="549"/>
      <c r="D200" s="517"/>
      <c r="E200" s="414"/>
      <c r="F200" s="414"/>
      <c r="G200" s="414"/>
      <c r="H200" s="414"/>
      <c r="I200" s="414"/>
      <c r="J200" s="414"/>
      <c r="K200" s="414"/>
      <c r="L200" s="414"/>
      <c r="M200" s="550"/>
    </row>
    <row r="201" customFormat="false" ht="12.75" hidden="false" customHeight="true" outlineLevel="0" collapsed="false">
      <c r="A201" s="551"/>
      <c r="B201" s="548"/>
      <c r="C201" s="549"/>
      <c r="D201" s="517"/>
      <c r="E201" s="414"/>
      <c r="F201" s="414"/>
      <c r="G201" s="414"/>
      <c r="H201" s="414"/>
      <c r="I201" s="414"/>
      <c r="J201" s="414"/>
      <c r="K201" s="414"/>
      <c r="L201" s="414"/>
      <c r="M201" s="550"/>
    </row>
    <row r="202" customFormat="false" ht="12.75" hidden="false" customHeight="true" outlineLevel="0" collapsed="false">
      <c r="A202" s="551"/>
      <c r="B202" s="548"/>
      <c r="C202" s="549"/>
      <c r="D202" s="517"/>
      <c r="E202" s="414"/>
      <c r="F202" s="414"/>
      <c r="G202" s="414"/>
      <c r="H202" s="414"/>
      <c r="I202" s="414"/>
      <c r="J202" s="414"/>
      <c r="K202" s="414"/>
      <c r="L202" s="414"/>
      <c r="M202" s="550"/>
    </row>
    <row r="203" customFormat="false" ht="12.75" hidden="false" customHeight="true" outlineLevel="0" collapsed="false">
      <c r="A203" s="551"/>
      <c r="B203" s="548"/>
      <c r="C203" s="549"/>
      <c r="D203" s="517"/>
      <c r="E203" s="414"/>
      <c r="F203" s="414"/>
      <c r="G203" s="414"/>
      <c r="H203" s="414"/>
      <c r="I203" s="414"/>
      <c r="J203" s="414"/>
      <c r="K203" s="414"/>
      <c r="L203" s="414"/>
      <c r="M203" s="550"/>
    </row>
    <row r="204" customFormat="false" ht="12.75" hidden="false" customHeight="true" outlineLevel="0" collapsed="false">
      <c r="A204" s="551"/>
      <c r="B204" s="548"/>
      <c r="C204" s="549"/>
      <c r="D204" s="517"/>
      <c r="E204" s="414"/>
      <c r="F204" s="414"/>
      <c r="G204" s="414"/>
      <c r="H204" s="414"/>
      <c r="I204" s="414"/>
      <c r="J204" s="414"/>
      <c r="K204" s="414"/>
      <c r="L204" s="414"/>
      <c r="M204" s="550"/>
    </row>
    <row r="205" customFormat="false" ht="12.75" hidden="false" customHeight="true" outlineLevel="0" collapsed="false">
      <c r="A205" s="551"/>
      <c r="B205" s="548"/>
      <c r="C205" s="552"/>
      <c r="D205" s="517"/>
      <c r="E205" s="414"/>
      <c r="F205" s="414"/>
      <c r="G205" s="414"/>
      <c r="H205" s="414"/>
      <c r="I205" s="414"/>
      <c r="J205" s="414"/>
      <c r="K205" s="414"/>
      <c r="L205" s="414"/>
      <c r="M205" s="550"/>
    </row>
    <row r="206" customFormat="false" ht="12.75" hidden="false" customHeight="true" outlineLevel="0" collapsed="false">
      <c r="A206" s="551"/>
      <c r="B206" s="548"/>
      <c r="C206" s="552"/>
      <c r="D206" s="517"/>
      <c r="E206" s="414"/>
      <c r="F206" s="414"/>
      <c r="G206" s="414"/>
      <c r="H206" s="414"/>
      <c r="I206" s="414"/>
      <c r="J206" s="414"/>
      <c r="K206" s="414"/>
      <c r="L206" s="414"/>
      <c r="M206" s="550"/>
    </row>
    <row r="207" customFormat="false" ht="12.75" hidden="false" customHeight="true" outlineLevel="0" collapsed="false">
      <c r="A207" s="551"/>
      <c r="B207" s="548"/>
      <c r="C207" s="552"/>
      <c r="D207" s="517"/>
      <c r="E207" s="414"/>
      <c r="F207" s="414"/>
      <c r="G207" s="414"/>
      <c r="H207" s="414"/>
      <c r="I207" s="414"/>
      <c r="J207" s="414"/>
      <c r="K207" s="414"/>
      <c r="L207" s="414"/>
      <c r="M207" s="550"/>
    </row>
    <row r="208" customFormat="false" ht="12.75" hidden="false" customHeight="true" outlineLevel="0" collapsed="false">
      <c r="A208" s="551"/>
      <c r="B208" s="548"/>
      <c r="C208" s="553"/>
      <c r="D208" s="517"/>
      <c r="E208" s="414"/>
      <c r="F208" s="414"/>
      <c r="G208" s="414"/>
      <c r="H208" s="414"/>
      <c r="I208" s="414"/>
      <c r="J208" s="414"/>
      <c r="K208" s="414"/>
      <c r="L208" s="414"/>
      <c r="M208" s="550"/>
    </row>
    <row r="209" customFormat="false" ht="12.75" hidden="false" customHeight="true" outlineLevel="0" collapsed="false">
      <c r="A209" s="551"/>
      <c r="B209" s="548"/>
      <c r="C209" s="553"/>
      <c r="D209" s="517"/>
      <c r="E209" s="414"/>
      <c r="F209" s="414"/>
      <c r="G209" s="414"/>
      <c r="H209" s="414"/>
      <c r="I209" s="414"/>
      <c r="J209" s="414"/>
      <c r="K209" s="414"/>
      <c r="L209" s="414"/>
      <c r="M209" s="550"/>
    </row>
    <row r="210" customFormat="false" ht="12.75" hidden="false" customHeight="true" outlineLevel="0" collapsed="false">
      <c r="A210" s="551"/>
      <c r="B210" s="548"/>
      <c r="C210" s="553"/>
      <c r="D210" s="517"/>
      <c r="E210" s="414"/>
      <c r="F210" s="414"/>
      <c r="G210" s="414"/>
      <c r="H210" s="414"/>
      <c r="I210" s="414"/>
      <c r="J210" s="414"/>
      <c r="K210" s="414"/>
      <c r="L210" s="414"/>
      <c r="M210" s="550"/>
    </row>
    <row r="211" customFormat="false" ht="12.75" hidden="false" customHeight="true" outlineLevel="0" collapsed="false">
      <c r="A211" s="551"/>
      <c r="B211" s="548"/>
      <c r="C211" s="553"/>
      <c r="D211" s="517"/>
      <c r="E211" s="414"/>
      <c r="F211" s="414"/>
      <c r="G211" s="414"/>
      <c r="H211" s="414"/>
      <c r="I211" s="414"/>
      <c r="J211" s="414"/>
      <c r="K211" s="414"/>
      <c r="L211" s="414"/>
      <c r="M211" s="550"/>
    </row>
    <row r="212" customFormat="false" ht="12.75" hidden="false" customHeight="true" outlineLevel="0" collapsed="false">
      <c r="A212" s="551"/>
      <c r="B212" s="548"/>
      <c r="C212" s="553"/>
      <c r="D212" s="517"/>
      <c r="E212" s="414"/>
      <c r="F212" s="414"/>
      <c r="G212" s="414"/>
      <c r="H212" s="414"/>
      <c r="I212" s="414"/>
      <c r="J212" s="414"/>
      <c r="K212" s="414"/>
      <c r="L212" s="414"/>
      <c r="M212" s="550"/>
    </row>
    <row r="213" customFormat="false" ht="12.75" hidden="false" customHeight="true" outlineLevel="0" collapsed="false">
      <c r="A213" s="551"/>
      <c r="B213" s="548"/>
      <c r="C213" s="553"/>
      <c r="D213" s="517"/>
      <c r="E213" s="414"/>
      <c r="F213" s="414"/>
      <c r="G213" s="414"/>
      <c r="H213" s="414"/>
      <c r="I213" s="414"/>
      <c r="J213" s="414"/>
      <c r="K213" s="414"/>
      <c r="L213" s="414"/>
      <c r="M213" s="550"/>
    </row>
    <row r="214" customFormat="false" ht="12.75" hidden="false" customHeight="true" outlineLevel="0" collapsed="false">
      <c r="A214" s="551"/>
      <c r="B214" s="548"/>
      <c r="C214" s="554"/>
      <c r="D214" s="517"/>
      <c r="E214" s="414"/>
      <c r="F214" s="414"/>
      <c r="G214" s="414"/>
      <c r="H214" s="414"/>
      <c r="I214" s="414"/>
      <c r="J214" s="414"/>
      <c r="K214" s="414"/>
      <c r="L214" s="530" t="s">
        <v>335</v>
      </c>
      <c r="M214" s="555" t="n">
        <f aca="false">SUM(M191:M213)</f>
        <v>0</v>
      </c>
    </row>
    <row r="215" customFormat="false" ht="12.75" hidden="false" customHeight="true" outlineLevel="0" collapsed="false">
      <c r="A215" s="556"/>
      <c r="B215" s="557"/>
      <c r="C215" s="533"/>
      <c r="D215" s="533"/>
      <c r="E215" s="533"/>
      <c r="F215" s="533"/>
      <c r="G215" s="533"/>
      <c r="H215" s="533"/>
      <c r="I215" s="533"/>
      <c r="J215" s="533"/>
      <c r="K215" s="533"/>
      <c r="L215" s="533"/>
      <c r="M215" s="534"/>
    </row>
    <row r="216" customFormat="false" ht="12.75" hidden="false" customHeight="true" outlineLevel="0" collapsed="false"/>
    <row r="217" customFormat="false" ht="12.75" hidden="false" customHeight="true" outlineLevel="0" collapsed="false"/>
    <row r="218" customFormat="false" ht="12.75" hidden="false" customHeight="true" outlineLevel="0" collapsed="false">
      <c r="A218" s="558" t="s">
        <v>336</v>
      </c>
      <c r="B218" s="559"/>
      <c r="C218" s="559"/>
      <c r="D218" s="559"/>
      <c r="E218" s="559"/>
      <c r="F218" s="560"/>
      <c r="G218" s="561"/>
      <c r="H218" s="561"/>
      <c r="I218" s="561"/>
      <c r="J218" s="561"/>
      <c r="K218" s="561"/>
      <c r="L218" s="561"/>
      <c r="M218" s="561"/>
      <c r="N218" s="561"/>
    </row>
    <row r="219" customFormat="false" ht="12.75" hidden="false" customHeight="true" outlineLevel="0" collapsed="false">
      <c r="A219" s="562" t="s">
        <v>332</v>
      </c>
      <c r="B219" s="563" t="s">
        <v>268</v>
      </c>
      <c r="C219" s="564" t="s">
        <v>333</v>
      </c>
      <c r="D219" s="565" t="s">
        <v>334</v>
      </c>
      <c r="E219" s="565"/>
      <c r="F219" s="566" t="s">
        <v>270</v>
      </c>
      <c r="G219" s="561"/>
      <c r="H219" s="561"/>
      <c r="I219" s="561"/>
      <c r="J219" s="561"/>
      <c r="K219" s="561"/>
      <c r="L219" s="561"/>
      <c r="M219" s="561"/>
      <c r="N219" s="561"/>
    </row>
    <row r="220" customFormat="false" ht="12.75" hidden="false" customHeight="true" outlineLevel="0" collapsed="false">
      <c r="A220" s="567"/>
      <c r="B220" s="548"/>
      <c r="C220" s="568"/>
      <c r="D220" s="414"/>
      <c r="E220" s="569"/>
      <c r="F220" s="570"/>
      <c r="G220" s="571"/>
      <c r="H220" s="571"/>
      <c r="I220" s="571"/>
      <c r="J220" s="571"/>
      <c r="K220" s="571"/>
      <c r="L220" s="571"/>
      <c r="M220" s="571"/>
      <c r="N220" s="571"/>
    </row>
    <row r="221" customFormat="false" ht="12.75" hidden="false" customHeight="true" outlineLevel="0" collapsed="false">
      <c r="A221" s="567"/>
      <c r="B221" s="548"/>
      <c r="C221" s="561"/>
      <c r="D221" s="572"/>
      <c r="E221" s="569"/>
      <c r="F221" s="573"/>
      <c r="G221" s="571"/>
      <c r="H221" s="571"/>
      <c r="I221" s="571"/>
      <c r="J221" s="571"/>
      <c r="K221" s="571"/>
      <c r="L221" s="571"/>
      <c r="M221" s="571"/>
      <c r="N221" s="571"/>
    </row>
    <row r="222" customFormat="false" ht="12.75" hidden="false" customHeight="true" outlineLevel="0" collapsed="false">
      <c r="A222" s="567"/>
      <c r="B222" s="548"/>
      <c r="C222" s="561"/>
      <c r="D222" s="572"/>
      <c r="E222" s="569"/>
      <c r="F222" s="574"/>
      <c r="G222" s="561"/>
      <c r="H222" s="561"/>
      <c r="I222" s="561"/>
      <c r="J222" s="561"/>
      <c r="K222" s="561"/>
      <c r="L222" s="561"/>
      <c r="M222" s="561"/>
      <c r="N222" s="561"/>
    </row>
    <row r="223" customFormat="false" ht="12.75" hidden="false" customHeight="true" outlineLevel="0" collapsed="false">
      <c r="A223" s="567"/>
      <c r="B223" s="548"/>
      <c r="C223" s="561"/>
      <c r="D223" s="572"/>
      <c r="E223" s="569"/>
      <c r="F223" s="574"/>
      <c r="G223" s="561"/>
      <c r="H223" s="561"/>
      <c r="I223" s="561"/>
      <c r="J223" s="561"/>
      <c r="K223" s="561"/>
      <c r="L223" s="561"/>
      <c r="M223" s="561"/>
      <c r="N223" s="561"/>
    </row>
    <row r="224" customFormat="false" ht="12.75" hidden="false" customHeight="true" outlineLevel="0" collapsed="false">
      <c r="A224" s="567"/>
      <c r="B224" s="548"/>
      <c r="C224" s="561"/>
      <c r="D224" s="572"/>
      <c r="E224" s="569"/>
      <c r="F224" s="574"/>
      <c r="G224" s="561"/>
      <c r="H224" s="561"/>
      <c r="I224" s="561"/>
      <c r="J224" s="561"/>
      <c r="K224" s="561"/>
      <c r="L224" s="561"/>
      <c r="M224" s="561"/>
      <c r="N224" s="561"/>
    </row>
    <row r="225" customFormat="false" ht="12.75" hidden="false" customHeight="true" outlineLevel="0" collapsed="false">
      <c r="A225" s="567"/>
      <c r="B225" s="548"/>
      <c r="C225" s="561"/>
      <c r="D225" s="572"/>
      <c r="E225" s="569"/>
      <c r="F225" s="574"/>
      <c r="G225" s="561"/>
      <c r="H225" s="561"/>
      <c r="I225" s="561"/>
      <c r="J225" s="561"/>
      <c r="K225" s="561"/>
      <c r="L225" s="561"/>
      <c r="M225" s="561"/>
      <c r="N225" s="561"/>
    </row>
    <row r="226" customFormat="false" ht="12.75" hidden="false" customHeight="true" outlineLevel="0" collapsed="false">
      <c r="A226" s="567"/>
      <c r="B226" s="548"/>
      <c r="C226" s="561"/>
      <c r="D226" s="572"/>
      <c r="E226" s="569"/>
      <c r="F226" s="574"/>
      <c r="G226" s="561"/>
      <c r="H226" s="561"/>
      <c r="I226" s="561"/>
      <c r="J226" s="561"/>
      <c r="K226" s="561"/>
      <c r="L226" s="561"/>
      <c r="M226" s="561"/>
      <c r="N226" s="561"/>
    </row>
    <row r="227" customFormat="false" ht="12.75" hidden="false" customHeight="true" outlineLevel="0" collapsed="false">
      <c r="A227" s="567"/>
      <c r="B227" s="548"/>
      <c r="C227" s="561"/>
      <c r="D227" s="572"/>
      <c r="E227" s="569"/>
      <c r="F227" s="574"/>
      <c r="G227" s="561"/>
      <c r="H227" s="561"/>
      <c r="I227" s="561"/>
      <c r="J227" s="561"/>
      <c r="K227" s="561"/>
      <c r="L227" s="561"/>
      <c r="M227" s="561"/>
      <c r="N227" s="561"/>
    </row>
    <row r="228" customFormat="false" ht="12.75" hidden="false" customHeight="true" outlineLevel="0" collapsed="false">
      <c r="A228" s="567"/>
      <c r="B228" s="548"/>
      <c r="C228" s="561"/>
      <c r="D228" s="572"/>
      <c r="E228" s="569"/>
      <c r="F228" s="574"/>
      <c r="G228" s="561"/>
      <c r="H228" s="561"/>
      <c r="I228" s="561"/>
      <c r="J228" s="561"/>
      <c r="K228" s="561"/>
      <c r="L228" s="561"/>
      <c r="M228" s="561"/>
      <c r="N228" s="561"/>
    </row>
    <row r="229" customFormat="false" ht="12.75" hidden="false" customHeight="true" outlineLevel="0" collapsed="false">
      <c r="A229" s="567"/>
      <c r="B229" s="548"/>
      <c r="C229" s="561"/>
      <c r="D229" s="572"/>
      <c r="E229" s="569"/>
      <c r="F229" s="574"/>
      <c r="G229" s="561"/>
      <c r="H229" s="561"/>
      <c r="I229" s="561"/>
      <c r="J229" s="561"/>
      <c r="K229" s="561"/>
      <c r="L229" s="561"/>
      <c r="M229" s="561"/>
      <c r="N229" s="561"/>
    </row>
    <row r="230" customFormat="false" ht="12.75" hidden="false" customHeight="true" outlineLevel="0" collapsed="false">
      <c r="A230" s="567"/>
      <c r="B230" s="548"/>
      <c r="C230" s="561"/>
      <c r="D230" s="572"/>
      <c r="E230" s="569"/>
      <c r="F230" s="574"/>
      <c r="G230" s="561"/>
      <c r="H230" s="561"/>
      <c r="I230" s="561"/>
      <c r="J230" s="561"/>
      <c r="K230" s="561"/>
      <c r="L230" s="561"/>
      <c r="M230" s="561"/>
      <c r="N230" s="561"/>
    </row>
    <row r="231" customFormat="false" ht="12.75" hidden="false" customHeight="true" outlineLevel="0" collapsed="false">
      <c r="A231" s="567"/>
      <c r="B231" s="548"/>
      <c r="C231" s="561"/>
      <c r="D231" s="572"/>
      <c r="E231" s="569"/>
      <c r="F231" s="574"/>
      <c r="G231" s="561"/>
      <c r="H231" s="561"/>
      <c r="I231" s="561"/>
      <c r="J231" s="561"/>
      <c r="K231" s="561"/>
      <c r="L231" s="561"/>
      <c r="M231" s="561"/>
      <c r="N231" s="561"/>
    </row>
    <row r="232" customFormat="false" ht="12.75" hidden="false" customHeight="true" outlineLevel="0" collapsed="false">
      <c r="A232" s="567"/>
      <c r="B232" s="548"/>
      <c r="C232" s="561"/>
      <c r="D232" s="572"/>
      <c r="E232" s="569"/>
      <c r="F232" s="574"/>
      <c r="G232" s="561"/>
      <c r="H232" s="561"/>
      <c r="I232" s="561"/>
      <c r="J232" s="561"/>
      <c r="K232" s="561"/>
      <c r="L232" s="561"/>
      <c r="M232" s="561"/>
      <c r="N232" s="561"/>
    </row>
    <row r="233" customFormat="false" ht="12.75" hidden="false" customHeight="true" outlineLevel="0" collapsed="false">
      <c r="A233" s="567"/>
      <c r="B233" s="548"/>
      <c r="C233" s="561"/>
      <c r="D233" s="572"/>
      <c r="E233" s="569"/>
      <c r="F233" s="574"/>
      <c r="G233" s="561"/>
      <c r="H233" s="561"/>
      <c r="I233" s="561"/>
      <c r="J233" s="561"/>
      <c r="K233" s="561"/>
      <c r="L233" s="561"/>
      <c r="M233" s="561"/>
      <c r="N233" s="561"/>
    </row>
    <row r="234" customFormat="false" ht="12.75" hidden="false" customHeight="true" outlineLevel="0" collapsed="false">
      <c r="A234" s="567"/>
      <c r="B234" s="548"/>
      <c r="C234" s="561"/>
      <c r="D234" s="572"/>
      <c r="E234" s="569"/>
      <c r="F234" s="574"/>
      <c r="G234" s="561"/>
      <c r="H234" s="561"/>
      <c r="I234" s="561"/>
      <c r="J234" s="561"/>
      <c r="K234" s="561"/>
      <c r="L234" s="561"/>
      <c r="M234" s="561"/>
      <c r="N234" s="561"/>
    </row>
    <row r="235" customFormat="false" ht="12.75" hidden="false" customHeight="true" outlineLevel="0" collapsed="false">
      <c r="A235" s="567"/>
      <c r="B235" s="548"/>
      <c r="C235" s="561"/>
      <c r="D235" s="572"/>
      <c r="E235" s="569"/>
      <c r="F235" s="574"/>
      <c r="G235" s="561"/>
      <c r="H235" s="561"/>
      <c r="I235" s="561"/>
      <c r="J235" s="561"/>
      <c r="K235" s="561"/>
      <c r="L235" s="561"/>
      <c r="M235" s="561"/>
      <c r="N235" s="561"/>
    </row>
    <row r="236" customFormat="false" ht="12.75" hidden="false" customHeight="true" outlineLevel="0" collapsed="false">
      <c r="A236" s="567"/>
      <c r="B236" s="548"/>
      <c r="C236" s="561"/>
      <c r="D236" s="572"/>
      <c r="E236" s="569"/>
      <c r="F236" s="574"/>
      <c r="G236" s="561"/>
      <c r="H236" s="561"/>
      <c r="I236" s="561"/>
      <c r="J236" s="561"/>
      <c r="K236" s="561"/>
      <c r="L236" s="561"/>
      <c r="M236" s="561"/>
      <c r="N236" s="561"/>
    </row>
    <row r="237" customFormat="false" ht="12.75" hidden="false" customHeight="true" outlineLevel="0" collapsed="false">
      <c r="A237" s="567"/>
      <c r="B237" s="548"/>
      <c r="C237" s="561"/>
      <c r="D237" s="572"/>
      <c r="E237" s="569"/>
      <c r="F237" s="574"/>
      <c r="G237" s="561"/>
      <c r="H237" s="561"/>
      <c r="I237" s="561"/>
      <c r="J237" s="561"/>
      <c r="K237" s="561"/>
      <c r="L237" s="561"/>
      <c r="M237" s="561"/>
      <c r="N237" s="561"/>
    </row>
    <row r="238" customFormat="false" ht="12.75" hidden="false" customHeight="true" outlineLevel="0" collapsed="false">
      <c r="A238" s="567"/>
      <c r="B238" s="548"/>
      <c r="C238" s="561"/>
      <c r="D238" s="561"/>
      <c r="E238" s="530" t="s">
        <v>337</v>
      </c>
      <c r="F238" s="575" t="n">
        <f aca="false">SUM(F219:F237)</f>
        <v>0</v>
      </c>
      <c r="G238" s="561"/>
      <c r="H238" s="561"/>
      <c r="I238" s="561"/>
      <c r="J238" s="561"/>
      <c r="K238" s="561"/>
      <c r="L238" s="561"/>
      <c r="M238" s="561"/>
      <c r="N238" s="561"/>
    </row>
    <row r="239" customFormat="false" ht="12.75" hidden="false" customHeight="true" outlineLevel="0" collapsed="false">
      <c r="A239" s="576"/>
      <c r="B239" s="577"/>
      <c r="C239" s="578"/>
      <c r="D239" s="578"/>
      <c r="E239" s="579"/>
      <c r="F239" s="580"/>
      <c r="G239" s="561"/>
      <c r="H239" s="561"/>
      <c r="I239" s="561"/>
      <c r="J239" s="561"/>
      <c r="K239" s="561"/>
      <c r="L239" s="561"/>
      <c r="M239" s="561"/>
      <c r="N239" s="561"/>
    </row>
    <row r="240" customFormat="false" ht="12.75" hidden="false" customHeight="true" outlineLevel="0" collapsed="false"/>
  </sheetData>
  <mergeCells count="11">
    <mergeCell ref="S6:T6"/>
    <mergeCell ref="K28:L28"/>
    <mergeCell ref="A41:B41"/>
    <mergeCell ref="AI42:AJ42"/>
    <mergeCell ref="A79:B79"/>
    <mergeCell ref="A121:B121"/>
    <mergeCell ref="B125:D125"/>
    <mergeCell ref="G125:K125"/>
    <mergeCell ref="B164:D164"/>
    <mergeCell ref="E190:L190"/>
    <mergeCell ref="D219:E219"/>
  </mergeCells>
  <printOptions headings="false" gridLines="false" gridLinesSet="true" horizontalCentered="true" verticalCentered="false"/>
  <pageMargins left="0.25" right="0.25" top="0.25" bottom="0.25" header="0.511811023622047" footer="0.25"/>
  <pageSetup paperSize="5" scale="100" fitToWidth="1" fitToHeight="1" pageOrder="downThenOver" orientation="landscape" blackAndWhite="false" draft="false" cellComments="none" horizontalDpi="300" verticalDpi="300" copies="1"/>
  <headerFooter differentFirst="false" differentOddEven="false">
    <oddHeader/>
    <oddFooter>&amp;L&amp;"Times New Roman,Italic"&amp;F/&amp;A  Prepared By: S. Mills (x3548)&amp;R&amp;"Times New Roman,Italic"&amp;D &amp;T</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6" topLeftCell="W96" activePane="bottomRight" state="frozen"/>
      <selection pane="topLeft" activeCell="A1" activeCellId="0" sqref="A1"/>
      <selection pane="topRight" activeCell="W1" activeCellId="0" sqref="W1"/>
      <selection pane="bottomLeft" activeCell="A96" activeCellId="0" sqref="A96"/>
      <selection pane="bottomRight" activeCell="L160" activeCellId="0" sqref="L160"/>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23.7"/>
    <col collapsed="false" customWidth="true" hidden="false" outlineLevel="0" max="4" min="3" style="193" width="14.85"/>
    <col collapsed="false" customWidth="true" hidden="false" outlineLevel="0" max="5" min="5" style="193" width="17.28"/>
    <col collapsed="false" customWidth="true" hidden="false" outlineLevel="0" max="11" min="6"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false" hidden="false" outlineLevel="0" max="38" min="38" style="193" width="9.14"/>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392" t="n">
        <f aca="false">M38</f>
        <v>0</v>
      </c>
      <c r="D1" s="59"/>
      <c r="E1" s="59"/>
      <c r="F1" s="59"/>
      <c r="G1" s="59"/>
      <c r="H1" s="59"/>
      <c r="I1" s="59"/>
      <c r="J1" s="59"/>
      <c r="K1" s="59"/>
      <c r="L1" s="59"/>
      <c r="M1" s="59"/>
      <c r="N1" s="59"/>
      <c r="O1" s="59"/>
    </row>
    <row r="2" customFormat="false" ht="12.75" hidden="false" customHeight="true" outlineLevel="0" collapsed="false">
      <c r="A2" s="198" t="s">
        <v>127</v>
      </c>
      <c r="D2" s="59"/>
      <c r="E2" s="59"/>
      <c r="F2" s="59"/>
      <c r="G2" s="59"/>
      <c r="H2" s="59"/>
      <c r="I2" s="59"/>
      <c r="J2" s="59"/>
      <c r="K2" s="59"/>
      <c r="L2" s="59"/>
      <c r="M2" s="59"/>
      <c r="N2" s="59"/>
      <c r="O2" s="59"/>
    </row>
    <row r="3" customFormat="false" ht="12.75" hidden="false" customHeight="true" outlineLevel="0" collapsed="false">
      <c r="A3" s="201" t="s">
        <v>128</v>
      </c>
      <c r="B3" s="581" t="s">
        <v>360</v>
      </c>
      <c r="C3" s="581" t="s">
        <v>42</v>
      </c>
      <c r="D3" s="59"/>
      <c r="E3" s="59"/>
      <c r="F3" s="59"/>
      <c r="G3" s="59"/>
      <c r="H3" s="59"/>
      <c r="I3" s="59"/>
      <c r="J3" s="59"/>
      <c r="K3" s="59"/>
      <c r="L3" s="59"/>
      <c r="M3" s="59"/>
      <c r="N3" s="59"/>
      <c r="O3" s="59"/>
    </row>
    <row r="4" customFormat="false" ht="12.75" hidden="false" customHeight="true" outlineLevel="0" collapsed="false">
      <c r="A4" s="201" t="s">
        <v>1</v>
      </c>
      <c r="B4" s="207" t="n">
        <f aca="false">Front!B4</f>
        <v>36831</v>
      </c>
      <c r="D4" s="59"/>
      <c r="E4" s="59"/>
      <c r="F4" s="59"/>
      <c r="G4" s="59"/>
      <c r="H4" s="59"/>
      <c r="I4" s="59"/>
      <c r="J4" s="59"/>
      <c r="K4" s="59"/>
      <c r="L4" s="59"/>
      <c r="M4" s="59"/>
      <c r="N4" s="59"/>
      <c r="O4" s="59"/>
    </row>
    <row r="5" customFormat="false" ht="12.75" hidden="false" customHeight="true" outlineLevel="0" collapsed="false">
      <c r="A5" s="201" t="s">
        <v>2</v>
      </c>
      <c r="B5" s="208" t="n">
        <f aca="false">Front!B5</f>
        <v>36847</v>
      </c>
      <c r="C5" s="394"/>
      <c r="V5" s="153"/>
      <c r="W5" s="153"/>
      <c r="X5" s="153"/>
      <c r="Y5" s="153"/>
      <c r="Z5" s="153"/>
      <c r="AA5" s="153"/>
    </row>
    <row r="6" customFormat="false" ht="12.75" hidden="false" customHeight="true" outlineLevel="0" collapsed="false">
      <c r="A6" s="201" t="s">
        <v>130</v>
      </c>
      <c r="B6" s="210" t="n">
        <f aca="false">Front!$G$12</f>
        <v>949836</v>
      </c>
      <c r="C6" s="394"/>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B7" s="407"/>
      <c r="D7" s="218" t="s">
        <v>142</v>
      </c>
      <c r="E7" s="218" t="s">
        <v>143</v>
      </c>
      <c r="K7" s="214"/>
      <c r="L7" s="215" t="s">
        <v>137</v>
      </c>
      <c r="M7" s="215" t="s">
        <v>137</v>
      </c>
      <c r="N7" s="215" t="s">
        <v>137</v>
      </c>
      <c r="O7" s="215" t="s">
        <v>137</v>
      </c>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D9" s="262" t="n">
        <v>-82772632</v>
      </c>
      <c r="E9" s="262" t="n">
        <v>-94419865</v>
      </c>
      <c r="F9" s="59" t="s">
        <v>148</v>
      </c>
      <c r="G9" s="193" t="s">
        <v>149</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D10" s="225" t="n">
        <v>144219076</v>
      </c>
      <c r="E10" s="225" t="n">
        <v>157566384</v>
      </c>
      <c r="F10" s="59" t="s">
        <v>148</v>
      </c>
      <c r="G10" s="193" t="s">
        <v>149</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361</v>
      </c>
      <c r="D11" s="225" t="n">
        <v>0</v>
      </c>
      <c r="E11" s="225" t="n">
        <v>0</v>
      </c>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225" t="n">
        <v>0</v>
      </c>
      <c r="E12" s="225"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225" t="n">
        <v>0</v>
      </c>
      <c r="E13" s="225" t="n">
        <v>0</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E14" s="231" t="n">
        <f aca="false">+E159</f>
        <v>-2581772</v>
      </c>
      <c r="F14" s="193" t="s">
        <v>165</v>
      </c>
      <c r="K14" s="219" t="s">
        <v>166</v>
      </c>
      <c r="L14" s="232" t="n">
        <f aca="false">SUM(L9:L13)/1000000</f>
        <v>0</v>
      </c>
      <c r="M14" s="232" t="n">
        <f aca="false">SUM(M9:M13)/1000000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E15" s="231" t="n">
        <f aca="false">+L160</f>
        <v>0</v>
      </c>
      <c r="F15" s="193" t="s">
        <v>165</v>
      </c>
      <c r="K15" s="219" t="s">
        <v>169</v>
      </c>
      <c r="L15" s="94" t="n">
        <v>0</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E16" s="231" t="n">
        <f aca="false">+E185</f>
        <v>0</v>
      </c>
      <c r="F16" s="193" t="s">
        <v>165</v>
      </c>
      <c r="I16" s="238"/>
      <c r="J16" s="238"/>
      <c r="K16" s="219" t="s">
        <v>174</v>
      </c>
      <c r="L16" s="241" t="n">
        <v>0</v>
      </c>
      <c r="M16" s="241" t="n">
        <v>0</v>
      </c>
      <c r="N16" s="241" t="n">
        <v>0</v>
      </c>
      <c r="O16" s="241" t="n">
        <v>0</v>
      </c>
      <c r="P16" s="241" t="n">
        <v>0</v>
      </c>
      <c r="Q16" s="241" t="n">
        <v>0</v>
      </c>
      <c r="R16" s="398"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E19" s="248" t="n">
        <f aca="false">SUM(E9:E16)</f>
        <v>60564747</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153"/>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f>
        <v>60402688</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75" hidden="false" customHeight="true" outlineLevel="0" collapsed="false">
      <c r="A22" s="193" t="s">
        <v>181</v>
      </c>
      <c r="E22" s="262" t="n">
        <v>0</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75" hidden="false" customHeight="true" outlineLevel="0" collapsed="false">
      <c r="A23" s="193" t="s">
        <v>182</v>
      </c>
      <c r="E23" s="225" t="n">
        <f aca="false">B63</f>
        <v>0</v>
      </c>
      <c r="F23" s="59" t="s">
        <v>148</v>
      </c>
      <c r="G23" s="153"/>
      <c r="I23" s="153"/>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62"/>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-M214</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-59289430.54</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0</v>
      </c>
      <c r="F30" s="193" t="s">
        <v>193</v>
      </c>
      <c r="I30" s="153"/>
      <c r="J30" s="153"/>
      <c r="K30" s="219" t="s">
        <v>194</v>
      </c>
      <c r="L30" s="153"/>
      <c r="M30" s="226" t="n">
        <v>54442239</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v>
      </c>
      <c r="N31" s="60" t="n">
        <f aca="false">M31</f>
        <v>0</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226" t="n">
        <v>-59289430.54</v>
      </c>
      <c r="N32" s="60"/>
      <c r="O32" s="153" t="s">
        <v>191</v>
      </c>
      <c r="P32" s="153"/>
      <c r="Q32" s="153"/>
      <c r="R32" s="220"/>
      <c r="AI32" s="59"/>
    </row>
    <row r="33" customFormat="false" ht="12.75" hidden="false" customHeight="true" outlineLevel="0" collapsed="false">
      <c r="A33" s="193" t="s">
        <v>357</v>
      </c>
      <c r="E33" s="231" t="n">
        <f aca="false">B68</f>
        <v>0</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5901514</v>
      </c>
      <c r="N34" s="60" t="n">
        <f aca="false">B63</f>
        <v>0</v>
      </c>
      <c r="O34" s="153" t="s">
        <v>202</v>
      </c>
      <c r="P34" s="153"/>
      <c r="Q34" s="153"/>
      <c r="R34" s="220"/>
    </row>
    <row r="35" customFormat="false" ht="12.75" hidden="false" customHeight="true" outlineLevel="0" collapsed="false">
      <c r="A35" s="193" t="s">
        <v>203</v>
      </c>
      <c r="E35" s="231" t="n">
        <f aca="false">F238</f>
        <v>-220994</v>
      </c>
      <c r="F35" s="193" t="s">
        <v>193</v>
      </c>
      <c r="K35" s="219"/>
      <c r="L35" s="153"/>
      <c r="M35" s="60"/>
      <c r="N35" s="60"/>
      <c r="O35" s="153"/>
      <c r="P35" s="153"/>
      <c r="Q35" s="153"/>
      <c r="R35" s="220"/>
    </row>
    <row r="36" customFormat="false" ht="12.75" hidden="false" customHeight="true" outlineLevel="0" collapsed="false">
      <c r="A36" s="223" t="s">
        <v>204</v>
      </c>
      <c r="E36" s="248" t="n">
        <f aca="false">SUM(E29:E35)</f>
        <v>-59510424.54</v>
      </c>
      <c r="K36" s="219" t="s">
        <v>205</v>
      </c>
      <c r="L36" s="62"/>
      <c r="M36" s="60" t="n">
        <f aca="false">SUM(M30:M34)</f>
        <v>1054322.46000001</v>
      </c>
      <c r="N36" s="60" t="n">
        <f aca="false">SUM(N30:N34)</f>
        <v>0</v>
      </c>
      <c r="O36" s="153"/>
      <c r="P36" s="153"/>
      <c r="Q36" s="153"/>
      <c r="R36" s="220"/>
    </row>
    <row r="37" customFormat="false" ht="12.75" hidden="false" customHeight="true" outlineLevel="0" collapsed="false">
      <c r="K37" s="265"/>
      <c r="L37" s="62"/>
      <c r="M37" s="62"/>
      <c r="N37" s="62"/>
      <c r="O37" s="153"/>
      <c r="P37" s="153"/>
      <c r="Q37" s="153"/>
      <c r="R37" s="220"/>
    </row>
    <row r="38" customFormat="false" ht="12.75" hidden="false" customHeight="true" outlineLevel="0" collapsed="false">
      <c r="A38" s="221" t="s">
        <v>206</v>
      </c>
      <c r="C38" s="226"/>
      <c r="E38" s="248" t="n">
        <f aca="false">+E36+E26+E19</f>
        <v>1054322.46000001</v>
      </c>
      <c r="K38" s="219"/>
      <c r="L38" s="266" t="s">
        <v>207</v>
      </c>
      <c r="M38" s="124" t="n">
        <f aca="false">M36-E38</f>
        <v>0</v>
      </c>
      <c r="N38" s="124" t="n">
        <f aca="false">+N36-E26</f>
        <v>0</v>
      </c>
      <c r="O38" s="153"/>
      <c r="P38" s="153"/>
      <c r="Q38" s="153"/>
      <c r="R38" s="220"/>
      <c r="AN38" s="59"/>
      <c r="AO38" s="59"/>
      <c r="AP38" s="59"/>
      <c r="AQ38" s="59"/>
      <c r="AR38" s="59"/>
      <c r="AS38" s="59"/>
    </row>
    <row r="39" customFormat="false" ht="12.75" hidden="false" customHeight="true" outlineLevel="0" collapsed="false">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K40" s="153"/>
      <c r="L40" s="153"/>
      <c r="M40" s="153"/>
      <c r="N40" s="153"/>
      <c r="O40" s="153"/>
      <c r="P40" s="153"/>
      <c r="AJ40" s="59"/>
      <c r="AK40" s="59"/>
      <c r="AN40" s="59"/>
      <c r="AO40" s="59"/>
      <c r="AP40" s="59"/>
      <c r="AQ40" s="59"/>
      <c r="AR40" s="59"/>
      <c r="AS40" s="59"/>
    </row>
    <row r="41" customFormat="false" ht="12.75" hidden="false" customHeight="true" outlineLevel="0" collapsed="false">
      <c r="A41" s="271" t="s">
        <v>208</v>
      </c>
      <c r="B41" s="271"/>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SUM(C47:C71)-C61-C68-C69</f>
        <v>436252</v>
      </c>
      <c r="D43" s="275" t="n">
        <f aca="false">SUM(D47:D71)-D61-D68-D69</f>
        <v>402599</v>
      </c>
      <c r="E43" s="275" t="n">
        <f aca="false">SUM(E47:E71)-E61-E68-E69</f>
        <v>258265</v>
      </c>
      <c r="F43" s="275" t="n">
        <f aca="false">SUM(F47:F71)-F61-F68-F69</f>
        <v>0</v>
      </c>
      <c r="G43" s="275" t="n">
        <f aca="false">SUM(G47:G71)-G61-G68-G69</f>
        <v>0</v>
      </c>
      <c r="H43" s="275" t="n">
        <f aca="false">SUM(H47:H71)-I61-H68-H69</f>
        <v>133265</v>
      </c>
      <c r="I43" s="275" t="n">
        <f aca="false">SUM(I47:I71)-J61-I68-I69</f>
        <v>738918</v>
      </c>
      <c r="J43" s="275" t="n">
        <f aca="false">SUM(J47:J71)-K61-J68-J69</f>
        <v>580275</v>
      </c>
      <c r="K43" s="275" t="n">
        <f aca="false">SUM(K47:K71)-K61-K68-K69</f>
        <v>224433</v>
      </c>
      <c r="L43" s="275" t="n">
        <f aca="false">SUM(L47:L71)-L61-L68-L69</f>
        <v>118625</v>
      </c>
      <c r="M43" s="275" t="n">
        <f aca="false">SUM(M47:M71)-M61-M68-M69</f>
        <v>0</v>
      </c>
      <c r="N43" s="275" t="n">
        <f aca="false">SUM(N47:N71)-N62-N68-N69</f>
        <v>0</v>
      </c>
      <c r="O43" s="275" t="n">
        <f aca="false">SUM(O47:O71)-O61-O68-O69</f>
        <v>1100973</v>
      </c>
      <c r="P43" s="275" t="n">
        <f aca="false">SUM(P47:P71)-P61-P68-P69</f>
        <v>473405</v>
      </c>
      <c r="Q43" s="275" t="n">
        <f aca="false">SUM(Q47:Q71)-Q61-Q68-Q69</f>
        <v>533310</v>
      </c>
      <c r="R43" s="275" t="n">
        <f aca="false">SUM(R47:R71)-R61-R68-R69</f>
        <v>-798881</v>
      </c>
      <c r="S43" s="275" t="n">
        <f aca="false">SUM(S47:S71)-S61-S68-S69</f>
        <v>1700075</v>
      </c>
      <c r="T43" s="275" t="n">
        <f aca="false">SUM(T47:T71)-T61-T68-T69</f>
        <v>0</v>
      </c>
      <c r="U43" s="275" t="n">
        <f aca="false">SUM(U47:U71)-U61-U68-U69</f>
        <v>0</v>
      </c>
      <c r="V43" s="275" t="n">
        <f aca="false">SUM(V47:V71)-V61-V68-V69</f>
        <v>0</v>
      </c>
      <c r="W43" s="275" t="n">
        <f aca="false">SUM(W47:W71)-W61-W68-W69</f>
        <v>0</v>
      </c>
      <c r="X43" s="275" t="n">
        <f aca="false">SUM(X47:X71)-Y61-X68-X69</f>
        <v>0</v>
      </c>
      <c r="Y43" s="275" t="n">
        <f aca="false">SUM(Y47:Y71)-Z61-Y68-Y69</f>
        <v>0</v>
      </c>
      <c r="Z43" s="275" t="n">
        <f aca="false">SUM(Z47:Z71)-AA61-Z68-Z69</f>
        <v>0</v>
      </c>
      <c r="AA43" s="275" t="n">
        <f aca="false">SUM(AA47:AA71)-AA61-AA68-AA69</f>
        <v>0</v>
      </c>
      <c r="AB43" s="275" t="n">
        <f aca="false">SUM(AB47:AB71)-AB61-AB68-AB69</f>
        <v>0</v>
      </c>
      <c r="AC43" s="275" t="n">
        <f aca="false">SUM(AC47:AC71)-AC61-AC68-AC69</f>
        <v>0</v>
      </c>
      <c r="AD43" s="275" t="n">
        <f aca="false">SUM(AD47:AD71)-AD61-AD68-AD69</f>
        <v>0</v>
      </c>
      <c r="AE43" s="275" t="n">
        <f aca="false">SUM(AE47:AE71)-AE61-AE68-AE69</f>
        <v>0</v>
      </c>
      <c r="AF43" s="275" t="n">
        <f aca="false">SUM(AF47:AF71)-AF61-AF68-AF69</f>
        <v>0</v>
      </c>
      <c r="AG43" s="275" t="n">
        <f aca="false">SUM(AG47:AG71)-AG61-AG68-AG69</f>
        <v>0</v>
      </c>
      <c r="AH43" s="59"/>
      <c r="AI43" s="276" t="s">
        <v>211</v>
      </c>
      <c r="AJ43" s="277" t="s">
        <v>212</v>
      </c>
      <c r="AK43" s="59"/>
      <c r="AL43" s="77"/>
      <c r="AN43" s="59"/>
      <c r="AO43" s="59"/>
      <c r="AP43" s="59"/>
      <c r="AQ43" s="59"/>
      <c r="AR43" s="59"/>
      <c r="AS43" s="59"/>
    </row>
    <row r="44" customFormat="false" ht="12.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1"/>
      <c r="AH46" s="59"/>
      <c r="AI46" s="287" t="n">
        <v>3</v>
      </c>
      <c r="AJ46" s="288" t="s">
        <v>217</v>
      </c>
      <c r="AK46" s="59"/>
      <c r="AL46" s="153"/>
      <c r="AN46" s="59"/>
      <c r="AO46" s="59"/>
      <c r="AP46" s="59"/>
      <c r="AQ46" s="59"/>
      <c r="AR46" s="59"/>
      <c r="AS46" s="59"/>
    </row>
    <row r="47" customFormat="false" ht="12.75" hidden="false" customHeight="true" outlineLevel="0" collapsed="false">
      <c r="A47" s="231" t="s">
        <v>218</v>
      </c>
      <c r="B47" s="294" t="n">
        <f aca="false">SUM(C47:AG47)</f>
        <v>8841033</v>
      </c>
      <c r="C47" s="226" t="n">
        <f aca="false">1089434+489</f>
        <v>1089923</v>
      </c>
      <c r="D47" s="226" t="n">
        <f aca="false">-141292+92147</f>
        <v>-49145</v>
      </c>
      <c r="E47" s="226" t="n">
        <v>475719</v>
      </c>
      <c r="F47" s="582"/>
      <c r="G47" s="582"/>
      <c r="H47" s="226" t="n">
        <f aca="false">-220994+219446+1724611</f>
        <v>1723063</v>
      </c>
      <c r="I47" s="226" t="n">
        <v>2835270</v>
      </c>
      <c r="J47" s="226" t="n">
        <v>4038958</v>
      </c>
      <c r="K47" s="226" t="n">
        <v>1233182</v>
      </c>
      <c r="L47" s="226" t="n">
        <v>-2305039</v>
      </c>
      <c r="M47" s="582"/>
      <c r="N47" s="582"/>
      <c r="O47" s="226" t="n">
        <v>-199807</v>
      </c>
      <c r="P47" s="226" t="n">
        <v>-3583418</v>
      </c>
      <c r="Q47" s="226" t="n">
        <v>-38230</v>
      </c>
      <c r="R47" s="226" t="n">
        <f aca="false">5404513</f>
        <v>5404513</v>
      </c>
      <c r="S47" s="226" t="n">
        <v>-1783956</v>
      </c>
      <c r="T47" s="582"/>
      <c r="U47" s="582"/>
      <c r="V47" s="226"/>
      <c r="W47" s="226"/>
      <c r="X47" s="226"/>
      <c r="Y47" s="226"/>
      <c r="Z47" s="226"/>
      <c r="AA47" s="582"/>
      <c r="AB47" s="582"/>
      <c r="AC47" s="226"/>
      <c r="AD47" s="226"/>
      <c r="AE47" s="226"/>
      <c r="AF47" s="226"/>
      <c r="AG47" s="226"/>
      <c r="AH47" s="226"/>
      <c r="AI47" s="226" t="n">
        <v>4</v>
      </c>
      <c r="AJ47" s="226" t="s">
        <v>219</v>
      </c>
      <c r="AK47" s="226"/>
      <c r="AL47" s="226"/>
      <c r="AM47" s="226"/>
      <c r="AN47" s="226"/>
      <c r="AO47" s="226"/>
      <c r="AP47" s="226"/>
      <c r="AQ47" s="226"/>
      <c r="AR47" s="226"/>
      <c r="AS47" s="226"/>
      <c r="AT47" s="226"/>
      <c r="AU47" s="226"/>
      <c r="AV47" s="226"/>
      <c r="AW47" s="226"/>
      <c r="AX47" s="226"/>
      <c r="AY47" s="226"/>
      <c r="AZ47" s="226"/>
      <c r="BA47" s="226"/>
      <c r="BB47" s="226"/>
      <c r="BC47" s="226"/>
      <c r="BD47" s="226"/>
      <c r="BE47" s="226"/>
      <c r="BF47" s="226"/>
      <c r="BG47" s="226"/>
      <c r="BH47" s="226"/>
      <c r="BI47" s="226"/>
      <c r="BJ47" s="226"/>
      <c r="BK47" s="226"/>
      <c r="BL47" s="226"/>
      <c r="BM47" s="226"/>
      <c r="BN47" s="226"/>
      <c r="BO47" s="226"/>
      <c r="BP47" s="226"/>
      <c r="BQ47" s="226"/>
    </row>
    <row r="48" customFormat="false" ht="12.75" hidden="false" customHeight="true" outlineLevel="0" collapsed="false">
      <c r="A48" s="295" t="s">
        <v>220</v>
      </c>
      <c r="B48" s="294" t="n">
        <f aca="false">SUM(C48:AG48)</f>
        <v>2128328</v>
      </c>
      <c r="C48" s="226" t="n">
        <v>762097</v>
      </c>
      <c r="D48" s="226" t="n">
        <v>-355654</v>
      </c>
      <c r="E48" s="226" t="n">
        <v>-173866</v>
      </c>
      <c r="F48" s="582"/>
      <c r="G48" s="582"/>
      <c r="H48" s="226" t="n">
        <v>-1705351</v>
      </c>
      <c r="I48" s="226" t="n">
        <v>-1500301</v>
      </c>
      <c r="J48" s="226" t="n">
        <v>-2515893</v>
      </c>
      <c r="K48" s="226" t="n">
        <v>769058</v>
      </c>
      <c r="L48" s="226" t="n">
        <v>361152</v>
      </c>
      <c r="M48" s="582"/>
      <c r="N48" s="582"/>
      <c r="O48" s="226" t="n">
        <v>1770269</v>
      </c>
      <c r="P48" s="226" t="n">
        <v>4928401</v>
      </c>
      <c r="Q48" s="226" t="n">
        <v>1921554</v>
      </c>
      <c r="R48" s="226" t="n">
        <v>-5446796</v>
      </c>
      <c r="S48" s="226" t="n">
        <v>3313658</v>
      </c>
      <c r="T48" s="582"/>
      <c r="U48" s="582"/>
      <c r="V48" s="226"/>
      <c r="W48" s="226"/>
      <c r="X48" s="226"/>
      <c r="Y48" s="226"/>
      <c r="Z48" s="226"/>
      <c r="AA48" s="582"/>
      <c r="AB48" s="582"/>
      <c r="AC48" s="226"/>
      <c r="AD48" s="226"/>
      <c r="AE48" s="226"/>
      <c r="AF48" s="226"/>
      <c r="AG48" s="226"/>
      <c r="AH48" s="226"/>
      <c r="AI48" s="226" t="n">
        <v>5</v>
      </c>
      <c r="AJ48" s="226" t="s">
        <v>221</v>
      </c>
      <c r="AK48" s="226"/>
      <c r="AL48" s="226"/>
      <c r="AM48" s="226"/>
      <c r="AN48" s="226"/>
      <c r="AO48" s="226"/>
      <c r="AP48" s="226"/>
      <c r="AQ48" s="226"/>
      <c r="AR48" s="226"/>
      <c r="AS48" s="226"/>
      <c r="AT48" s="226"/>
      <c r="AU48" s="226"/>
      <c r="AV48" s="226"/>
      <c r="AW48" s="226"/>
      <c r="AX48" s="226"/>
      <c r="AY48" s="226"/>
      <c r="AZ48" s="226"/>
      <c r="BA48" s="226"/>
      <c r="BB48" s="226"/>
      <c r="BC48" s="226"/>
      <c r="BD48" s="226"/>
      <c r="BE48" s="226"/>
      <c r="BF48" s="226"/>
      <c r="BG48" s="226"/>
      <c r="BH48" s="226"/>
      <c r="BI48" s="226"/>
      <c r="BJ48" s="226"/>
      <c r="BK48" s="226"/>
      <c r="BL48" s="226"/>
      <c r="BM48" s="226"/>
      <c r="BN48" s="226"/>
      <c r="BO48" s="226"/>
      <c r="BP48" s="226"/>
      <c r="BQ48" s="226"/>
    </row>
    <row r="49" customFormat="false" ht="12.75" hidden="true" customHeight="true" outlineLevel="0" collapsed="false">
      <c r="A49" s="295" t="s">
        <v>222</v>
      </c>
      <c r="B49" s="294" t="n">
        <f aca="false">SUM(C49:AG49)</f>
        <v>0</v>
      </c>
      <c r="C49" s="226"/>
      <c r="D49" s="226"/>
      <c r="E49" s="226"/>
      <c r="F49" s="582"/>
      <c r="G49" s="582"/>
      <c r="H49" s="226"/>
      <c r="I49" s="226"/>
      <c r="J49" s="226"/>
      <c r="K49" s="226"/>
      <c r="L49" s="226"/>
      <c r="M49" s="582"/>
      <c r="N49" s="582"/>
      <c r="O49" s="226"/>
      <c r="P49" s="226"/>
      <c r="Q49" s="226"/>
      <c r="R49" s="226"/>
      <c r="S49" s="226"/>
      <c r="T49" s="582"/>
      <c r="U49" s="582"/>
      <c r="V49" s="226"/>
      <c r="W49" s="226"/>
      <c r="X49" s="226"/>
      <c r="Y49" s="226"/>
      <c r="Z49" s="226"/>
      <c r="AA49" s="582"/>
      <c r="AB49" s="582"/>
      <c r="AC49" s="226"/>
      <c r="AD49" s="226"/>
      <c r="AE49" s="226"/>
      <c r="AF49" s="226"/>
      <c r="AG49" s="226"/>
      <c r="AH49" s="226"/>
      <c r="AI49" s="226" t="n">
        <v>6</v>
      </c>
      <c r="AJ49" s="226" t="s">
        <v>223</v>
      </c>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c r="BM49" s="226"/>
      <c r="BN49" s="226"/>
      <c r="BO49" s="226"/>
      <c r="BP49" s="226"/>
      <c r="BQ49" s="226"/>
    </row>
    <row r="50" customFormat="false" ht="12.75" hidden="true" customHeight="true" outlineLevel="0" collapsed="false">
      <c r="A50" s="295" t="s">
        <v>224</v>
      </c>
      <c r="B50" s="294" t="n">
        <f aca="false">SUM(C50:AG50)</f>
        <v>0</v>
      </c>
      <c r="C50" s="226"/>
      <c r="D50" s="226"/>
      <c r="E50" s="226"/>
      <c r="F50" s="582"/>
      <c r="G50" s="582"/>
      <c r="H50" s="226"/>
      <c r="I50" s="226"/>
      <c r="J50" s="226"/>
      <c r="K50" s="226"/>
      <c r="L50" s="226"/>
      <c r="M50" s="582"/>
      <c r="N50" s="582"/>
      <c r="O50" s="226"/>
      <c r="P50" s="226"/>
      <c r="Q50" s="226"/>
      <c r="R50" s="226"/>
      <c r="S50" s="226"/>
      <c r="T50" s="582"/>
      <c r="U50" s="582"/>
      <c r="V50" s="226"/>
      <c r="W50" s="226"/>
      <c r="X50" s="226"/>
      <c r="Y50" s="226"/>
      <c r="Z50" s="226"/>
      <c r="AA50" s="582"/>
      <c r="AB50" s="582"/>
      <c r="AC50" s="226"/>
      <c r="AD50" s="226"/>
      <c r="AE50" s="226"/>
      <c r="AF50" s="226"/>
      <c r="AG50" s="226"/>
      <c r="AH50" s="226"/>
      <c r="AI50" s="226" t="n">
        <v>7</v>
      </c>
      <c r="AJ50" s="226" t="s">
        <v>214</v>
      </c>
      <c r="AK50" s="226"/>
      <c r="AL50" s="226"/>
      <c r="AM50" s="226"/>
      <c r="AN50" s="226"/>
      <c r="AO50" s="226"/>
      <c r="AP50" s="226"/>
      <c r="AQ50" s="226"/>
      <c r="AR50" s="226"/>
      <c r="AS50" s="226"/>
      <c r="AT50" s="226"/>
      <c r="AU50" s="226"/>
      <c r="AV50" s="226"/>
      <c r="AW50" s="226"/>
      <c r="AX50" s="226"/>
      <c r="AY50" s="226"/>
      <c r="AZ50" s="226"/>
      <c r="BA50" s="226"/>
      <c r="BB50" s="226"/>
      <c r="BC50" s="226"/>
      <c r="BD50" s="226"/>
      <c r="BE50" s="226"/>
      <c r="BF50" s="226"/>
      <c r="BG50" s="226"/>
      <c r="BH50" s="226"/>
      <c r="BI50" s="226"/>
      <c r="BJ50" s="226"/>
      <c r="BK50" s="226"/>
      <c r="BL50" s="226"/>
      <c r="BM50" s="226"/>
      <c r="BN50" s="226"/>
      <c r="BO50" s="226"/>
      <c r="BP50" s="226"/>
      <c r="BQ50" s="226"/>
    </row>
    <row r="51" customFormat="false" ht="12.75" hidden="false" customHeight="true" outlineLevel="0" collapsed="false">
      <c r="A51" s="295" t="s">
        <v>225</v>
      </c>
      <c r="B51" s="294" t="n">
        <f aca="false">SUM(C51:AG51)</f>
        <v>-9566430</v>
      </c>
      <c r="C51" s="226" t="n">
        <v>-2343352</v>
      </c>
      <c r="D51" s="226" t="n">
        <v>266870</v>
      </c>
      <c r="E51" s="226" t="n">
        <v>-142638</v>
      </c>
      <c r="F51" s="582"/>
      <c r="G51" s="582"/>
      <c r="H51" s="226" t="n">
        <v>337069</v>
      </c>
      <c r="I51" s="226" t="n">
        <v>-543815</v>
      </c>
      <c r="J51" s="226" t="n">
        <v>-1489249</v>
      </c>
      <c r="K51" s="226" t="n">
        <v>-1961501</v>
      </c>
      <c r="L51" s="226" t="n">
        <v>1607080</v>
      </c>
      <c r="M51" s="582"/>
      <c r="N51" s="582"/>
      <c r="O51" s="226" t="n">
        <v>-498275</v>
      </c>
      <c r="P51" s="226" t="n">
        <v>-371019</v>
      </c>
      <c r="Q51" s="226" t="n">
        <v>-2656174</v>
      </c>
      <c r="R51" s="226" t="n">
        <v>-341164</v>
      </c>
      <c r="S51" s="226" t="n">
        <v>-1430262</v>
      </c>
      <c r="T51" s="582"/>
      <c r="U51" s="582"/>
      <c r="V51" s="226"/>
      <c r="W51" s="226"/>
      <c r="X51" s="226"/>
      <c r="Y51" s="226"/>
      <c r="Z51" s="226"/>
      <c r="AA51" s="582"/>
      <c r="AB51" s="582"/>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c r="BM51" s="226"/>
      <c r="BN51" s="226"/>
      <c r="BO51" s="226"/>
      <c r="BP51" s="226"/>
      <c r="BQ51" s="226"/>
    </row>
    <row r="52" customFormat="false" ht="12.75" hidden="true" customHeight="true" outlineLevel="0" collapsed="false">
      <c r="A52" s="295" t="s">
        <v>226</v>
      </c>
      <c r="B52" s="294" t="n">
        <f aca="false">SUM(C52:AG52)</f>
        <v>0</v>
      </c>
      <c r="C52" s="226"/>
      <c r="D52" s="226"/>
      <c r="E52" s="226"/>
      <c r="F52" s="582"/>
      <c r="G52" s="582"/>
      <c r="H52" s="226"/>
      <c r="I52" s="226"/>
      <c r="J52" s="226"/>
      <c r="K52" s="226"/>
      <c r="L52" s="226"/>
      <c r="M52" s="582"/>
      <c r="N52" s="582"/>
      <c r="O52" s="226"/>
      <c r="P52" s="226"/>
      <c r="Q52" s="226"/>
      <c r="R52" s="226"/>
      <c r="S52" s="226"/>
      <c r="T52" s="582"/>
      <c r="U52" s="582"/>
      <c r="V52" s="226"/>
      <c r="W52" s="226"/>
      <c r="X52" s="226"/>
      <c r="Y52" s="226"/>
      <c r="Z52" s="226"/>
      <c r="AA52" s="582"/>
      <c r="AB52" s="582"/>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c r="BM52" s="226"/>
      <c r="BN52" s="226"/>
      <c r="BO52" s="226"/>
      <c r="BP52" s="226"/>
      <c r="BQ52" s="226"/>
    </row>
    <row r="53" customFormat="false" ht="12.75" hidden="false" customHeight="true" outlineLevel="0" collapsed="false">
      <c r="A53" s="231" t="s">
        <v>227</v>
      </c>
      <c r="B53" s="294" t="n">
        <f aca="false">SUM(C53:AG53)</f>
        <v>3047670</v>
      </c>
      <c r="C53" s="226" t="n">
        <v>522774</v>
      </c>
      <c r="D53" s="226" t="n">
        <v>551369</v>
      </c>
      <c r="E53" s="226" t="n">
        <v>-46978</v>
      </c>
      <c r="F53" s="582"/>
      <c r="G53" s="582"/>
      <c r="H53" s="226" t="n">
        <f aca="false">-76496+82186</f>
        <v>5690</v>
      </c>
      <c r="I53" s="226" t="n">
        <v>-428111</v>
      </c>
      <c r="J53" s="226" t="n">
        <v>-398699</v>
      </c>
      <c r="K53" s="226" t="n">
        <f aca="false">-63390-1241</f>
        <v>-64631</v>
      </c>
      <c r="L53" s="226" t="n">
        <v>417798</v>
      </c>
      <c r="M53" s="582"/>
      <c r="N53" s="582"/>
      <c r="O53" s="226" t="n">
        <v>-223</v>
      </c>
      <c r="P53" s="226" t="n">
        <v>38609</v>
      </c>
      <c r="Q53" s="226" t="n">
        <v>1476926</v>
      </c>
      <c r="R53" s="226" t="n">
        <f aca="false">-401775+73553</f>
        <v>-328222</v>
      </c>
      <c r="S53" s="226" t="n">
        <f aca="false">1362697-61329</f>
        <v>1301368</v>
      </c>
      <c r="T53" s="582"/>
      <c r="U53" s="582"/>
      <c r="V53" s="226"/>
      <c r="W53" s="226"/>
      <c r="X53" s="226"/>
      <c r="Y53" s="226"/>
      <c r="Z53" s="226"/>
      <c r="AA53" s="582"/>
      <c r="AB53" s="582"/>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c r="BM53" s="226"/>
      <c r="BN53" s="226"/>
      <c r="BO53" s="226"/>
      <c r="BP53" s="226"/>
      <c r="BQ53" s="226"/>
    </row>
    <row r="54" customFormat="false" ht="12.75" hidden="true" customHeight="true" outlineLevel="0" collapsed="false">
      <c r="A54" s="231" t="s">
        <v>359</v>
      </c>
      <c r="B54" s="294" t="n">
        <f aca="false">SUM(C54:AG54)</f>
        <v>0</v>
      </c>
      <c r="C54" s="226"/>
      <c r="D54" s="226"/>
      <c r="E54" s="226"/>
      <c r="F54" s="582"/>
      <c r="G54" s="582"/>
      <c r="H54" s="226"/>
      <c r="I54" s="226"/>
      <c r="J54" s="226"/>
      <c r="K54" s="226"/>
      <c r="L54" s="226"/>
      <c r="M54" s="582"/>
      <c r="N54" s="582"/>
      <c r="O54" s="226"/>
      <c r="P54" s="226"/>
      <c r="Q54" s="226"/>
      <c r="R54" s="226"/>
      <c r="S54" s="226"/>
      <c r="T54" s="582"/>
      <c r="U54" s="582"/>
      <c r="V54" s="226"/>
      <c r="W54" s="226"/>
      <c r="X54" s="226"/>
      <c r="Y54" s="226"/>
      <c r="Z54" s="226"/>
      <c r="AA54" s="582"/>
      <c r="AB54" s="582"/>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row>
    <row r="55" customFormat="false" ht="12.75" hidden="false" customHeight="true" outlineLevel="0" collapsed="false">
      <c r="A55" s="231" t="s">
        <v>229</v>
      </c>
      <c r="B55" s="294" t="n">
        <f aca="false">SUM(C55:AG55)</f>
        <v>1650174</v>
      </c>
      <c r="C55" s="226" t="n">
        <v>632688</v>
      </c>
      <c r="D55" s="226" t="n">
        <v>66969</v>
      </c>
      <c r="E55" s="226" t="n">
        <v>271211</v>
      </c>
      <c r="F55" s="582"/>
      <c r="G55" s="582"/>
      <c r="H55" s="226" t="n">
        <v>-19976</v>
      </c>
      <c r="I55" s="226" t="n">
        <v>712348</v>
      </c>
      <c r="J55" s="226" t="n">
        <v>686399</v>
      </c>
      <c r="K55" s="226" t="n">
        <v>46946</v>
      </c>
      <c r="L55" s="226" t="n">
        <v>21241</v>
      </c>
      <c r="M55" s="582"/>
      <c r="N55" s="582"/>
      <c r="O55" s="226" t="n">
        <v>30032</v>
      </c>
      <c r="P55" s="226" t="n">
        <v>-292774</v>
      </c>
      <c r="Q55" s="226" t="n">
        <v>-155168</v>
      </c>
      <c r="R55" s="226" t="n">
        <v>-171049</v>
      </c>
      <c r="S55" s="226" t="n">
        <v>-178693</v>
      </c>
      <c r="T55" s="582"/>
      <c r="U55" s="582"/>
      <c r="V55" s="226"/>
      <c r="W55" s="226"/>
      <c r="X55" s="226"/>
      <c r="Y55" s="226"/>
      <c r="Z55" s="226"/>
      <c r="AA55" s="582"/>
      <c r="AB55" s="582"/>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c r="BM55" s="226"/>
      <c r="BN55" s="226"/>
      <c r="BO55" s="226"/>
      <c r="BP55" s="226"/>
      <c r="BQ55" s="226"/>
    </row>
    <row r="56" customFormat="false" ht="12.75" hidden="false" customHeight="true" outlineLevel="0" collapsed="false">
      <c r="A56" s="231" t="s">
        <v>230</v>
      </c>
      <c r="B56" s="294" t="n">
        <f aca="false">SUM(C56:AG56)</f>
        <v>-939697</v>
      </c>
      <c r="C56" s="226" t="n">
        <v>-60124</v>
      </c>
      <c r="D56" s="226" t="n">
        <v>-92655</v>
      </c>
      <c r="E56" s="226" t="n">
        <v>-119014</v>
      </c>
      <c r="F56" s="582"/>
      <c r="G56" s="582"/>
      <c r="H56" s="226" t="n">
        <v>-398932</v>
      </c>
      <c r="I56" s="226" t="n">
        <v>-272115</v>
      </c>
      <c r="J56" s="226" t="n">
        <v>52132</v>
      </c>
      <c r="K56" s="226" t="n">
        <v>56268</v>
      </c>
      <c r="L56" s="226"/>
      <c r="M56" s="582"/>
      <c r="N56" s="582"/>
      <c r="O56" s="226" t="n">
        <v>-245763</v>
      </c>
      <c r="P56" s="226" t="n">
        <v>-359728</v>
      </c>
      <c r="Q56" s="226" t="n">
        <v>-69339</v>
      </c>
      <c r="R56" s="226"/>
      <c r="S56" s="226" t="n">
        <v>569573</v>
      </c>
      <c r="T56" s="582"/>
      <c r="U56" s="582"/>
      <c r="V56" s="226"/>
      <c r="W56" s="226"/>
      <c r="X56" s="226"/>
      <c r="Y56" s="226"/>
      <c r="Z56" s="226"/>
      <c r="AA56" s="582"/>
      <c r="AB56" s="582"/>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row>
    <row r="57" customFormat="false" ht="12.75" hidden="false" customHeight="true" outlineLevel="0" collapsed="false">
      <c r="A57" s="295" t="s">
        <v>231</v>
      </c>
      <c r="B57" s="294" t="n">
        <f aca="false">SUM(C57:AG57)</f>
        <v>1079050</v>
      </c>
      <c r="C57" s="226" t="n">
        <v>53035</v>
      </c>
      <c r="D57" s="226" t="n">
        <v>-10314</v>
      </c>
      <c r="E57" s="226" t="n">
        <v>24848</v>
      </c>
      <c r="F57" s="582"/>
      <c r="G57" s="582"/>
      <c r="H57" s="226" t="n">
        <v>185240</v>
      </c>
      <c r="I57" s="226" t="n">
        <v>56987</v>
      </c>
      <c r="J57" s="226" t="n">
        <v>124965</v>
      </c>
      <c r="K57" s="226" t="n">
        <v>85680</v>
      </c>
      <c r="L57" s="226" t="n">
        <v>26190</v>
      </c>
      <c r="M57" s="582"/>
      <c r="N57" s="582"/>
      <c r="O57" s="226" t="n">
        <v>182660</v>
      </c>
      <c r="P57" s="226" t="n">
        <v>127045</v>
      </c>
      <c r="Q57" s="226" t="n">
        <v>91919</v>
      </c>
      <c r="R57" s="226" t="n">
        <v>62242</v>
      </c>
      <c r="S57" s="226" t="n">
        <v>68553</v>
      </c>
      <c r="T57" s="582"/>
      <c r="U57" s="582"/>
      <c r="V57" s="226"/>
      <c r="W57" s="226"/>
      <c r="X57" s="226"/>
      <c r="Y57" s="226"/>
      <c r="Z57" s="226"/>
      <c r="AA57" s="582"/>
      <c r="AB57" s="582"/>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c r="BE57" s="226"/>
      <c r="BF57" s="226"/>
      <c r="BG57" s="226"/>
      <c r="BH57" s="226"/>
      <c r="BI57" s="226"/>
      <c r="BJ57" s="226"/>
      <c r="BK57" s="226"/>
      <c r="BL57" s="226"/>
      <c r="BM57" s="226"/>
      <c r="BN57" s="226"/>
      <c r="BO57" s="226"/>
      <c r="BP57" s="226"/>
      <c r="BQ57" s="226"/>
    </row>
    <row r="58" customFormat="false" ht="12.75" hidden="false" customHeight="true" outlineLevel="0" collapsed="false">
      <c r="A58" s="295" t="s">
        <v>232</v>
      </c>
      <c r="B58" s="294" t="n">
        <f aca="false">SUM(C58:AG58)</f>
        <v>-15397</v>
      </c>
      <c r="C58" s="226" t="n">
        <v>-397</v>
      </c>
      <c r="D58" s="226" t="n">
        <v>-4332</v>
      </c>
      <c r="E58" s="226" t="n">
        <v>150</v>
      </c>
      <c r="F58" s="582"/>
      <c r="G58" s="582"/>
      <c r="H58" s="226" t="n">
        <v>2424</v>
      </c>
      <c r="I58" s="226" t="n">
        <v>1854</v>
      </c>
      <c r="J58" s="226" t="n">
        <v>5739</v>
      </c>
      <c r="K58" s="226" t="n">
        <v>-4551</v>
      </c>
      <c r="L58" s="226" t="n">
        <v>-2848</v>
      </c>
      <c r="M58" s="582"/>
      <c r="N58" s="582"/>
      <c r="O58" s="226" t="n">
        <v>7</v>
      </c>
      <c r="P58" s="226" t="n">
        <v>29</v>
      </c>
      <c r="Q58" s="226" t="n">
        <v>483</v>
      </c>
      <c r="R58" s="226" t="n">
        <v>6241</v>
      </c>
      <c r="S58" s="226" t="n">
        <v>-20196</v>
      </c>
      <c r="T58" s="582"/>
      <c r="U58" s="582"/>
      <c r="V58" s="226"/>
      <c r="W58" s="226"/>
      <c r="X58" s="226"/>
      <c r="Y58" s="226"/>
      <c r="Z58" s="226"/>
      <c r="AA58" s="582"/>
      <c r="AB58" s="582"/>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row>
    <row r="59" customFormat="false" ht="12.75" hidden="false" customHeight="true" outlineLevel="0" collapsed="false">
      <c r="A59" s="295" t="s">
        <v>233</v>
      </c>
      <c r="B59" s="294" t="n">
        <f aca="false">SUM(C59:AG59)</f>
        <v>177456</v>
      </c>
      <c r="C59" s="226" t="n">
        <v>8648</v>
      </c>
      <c r="D59" s="226" t="n">
        <v>8069</v>
      </c>
      <c r="E59" s="226" t="n">
        <v>6389</v>
      </c>
      <c r="F59" s="582"/>
      <c r="G59" s="582"/>
      <c r="H59" s="226" t="n">
        <v>19477</v>
      </c>
      <c r="I59" s="226" t="n">
        <v>6626</v>
      </c>
      <c r="J59" s="226" t="n">
        <v>6885</v>
      </c>
      <c r="K59" s="226" t="n">
        <v>10364</v>
      </c>
      <c r="L59" s="226" t="n">
        <v>13593</v>
      </c>
      <c r="M59" s="582"/>
      <c r="N59" s="582"/>
      <c r="O59" s="226" t="n">
        <v>33793</v>
      </c>
      <c r="P59" s="226" t="n">
        <v>11243</v>
      </c>
      <c r="Q59" s="226" t="n">
        <v>15594</v>
      </c>
      <c r="R59" s="226" t="n">
        <v>17971</v>
      </c>
      <c r="S59" s="226" t="n">
        <v>18804</v>
      </c>
      <c r="T59" s="582"/>
      <c r="U59" s="582"/>
      <c r="V59" s="226"/>
      <c r="W59" s="226"/>
      <c r="X59" s="226"/>
      <c r="Y59" s="226"/>
      <c r="Z59" s="226"/>
      <c r="AA59" s="582"/>
      <c r="AB59" s="582"/>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row>
    <row r="60" customFormat="false" ht="12.75" hidden="false" customHeight="true" outlineLevel="0" collapsed="false">
      <c r="A60" s="295" t="s">
        <v>234</v>
      </c>
      <c r="B60" s="294" t="n">
        <f aca="false">SUM(C60:AG60)</f>
        <v>54909</v>
      </c>
      <c r="C60" s="226"/>
      <c r="D60" s="226"/>
      <c r="E60" s="226"/>
      <c r="F60" s="582"/>
      <c r="G60" s="582"/>
      <c r="H60" s="226" t="n">
        <f aca="false">91317-82186</f>
        <v>9131</v>
      </c>
      <c r="I60" s="226" t="n">
        <v>45778</v>
      </c>
      <c r="J60" s="226"/>
      <c r="K60" s="226"/>
      <c r="L60" s="226"/>
      <c r="M60" s="582"/>
      <c r="N60" s="582"/>
      <c r="O60" s="226"/>
      <c r="P60" s="226"/>
      <c r="Q60" s="226"/>
      <c r="R60" s="226"/>
      <c r="S60" s="226"/>
      <c r="T60" s="582"/>
      <c r="U60" s="582"/>
      <c r="V60" s="226"/>
      <c r="W60" s="226"/>
      <c r="X60" s="226"/>
      <c r="Y60" s="226"/>
      <c r="Z60" s="226"/>
      <c r="AA60" s="582"/>
      <c r="AB60" s="582"/>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row>
    <row r="61" customFormat="false" ht="12.75" hidden="false" customHeight="true" outlineLevel="0" collapsed="false">
      <c r="A61" s="295" t="s">
        <v>235</v>
      </c>
      <c r="B61" s="294" t="n">
        <f aca="false">SUM(C61:AG61)</f>
        <v>0</v>
      </c>
      <c r="C61" s="226"/>
      <c r="D61" s="226"/>
      <c r="E61" s="226"/>
      <c r="F61" s="582"/>
      <c r="G61" s="582"/>
      <c r="H61" s="226"/>
      <c r="I61" s="226"/>
      <c r="J61" s="226"/>
      <c r="K61" s="226"/>
      <c r="L61" s="226"/>
      <c r="M61" s="582"/>
      <c r="N61" s="583"/>
      <c r="O61" s="226"/>
      <c r="P61" s="226"/>
      <c r="Q61" s="226"/>
      <c r="R61" s="226"/>
      <c r="S61" s="226"/>
      <c r="T61" s="582"/>
      <c r="U61" s="582"/>
      <c r="V61" s="226"/>
      <c r="W61" s="226"/>
      <c r="X61" s="226"/>
      <c r="Y61" s="226"/>
      <c r="Z61" s="226"/>
      <c r="AA61" s="582"/>
      <c r="AB61" s="582"/>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row>
    <row r="62" customFormat="false" ht="12.75" hidden="false" customHeight="true" outlineLevel="0" collapsed="false">
      <c r="A62" s="295" t="s">
        <v>236</v>
      </c>
      <c r="B62" s="294" t="n">
        <f aca="false">SUM(C62:AG62)</f>
        <v>-555582</v>
      </c>
      <c r="C62" s="226" t="n">
        <f aca="false">-181728-47313+1</f>
        <v>-229040</v>
      </c>
      <c r="D62" s="226" t="n">
        <f aca="false">15557+5866-1</f>
        <v>21422</v>
      </c>
      <c r="E62" s="226" t="n">
        <f aca="false">-5037-32518-1</f>
        <v>-37556</v>
      </c>
      <c r="F62" s="582"/>
      <c r="G62" s="582"/>
      <c r="H62" s="226" t="n">
        <f aca="false">-22421-2149</f>
        <v>-24570</v>
      </c>
      <c r="I62" s="226" t="n">
        <f aca="false">-150850-24752-1</f>
        <v>-175603</v>
      </c>
      <c r="J62" s="226" t="n">
        <f aca="false">132215-63178+1</f>
        <v>69038</v>
      </c>
      <c r="K62" s="226" t="n">
        <f aca="false">77481-23863</f>
        <v>53618</v>
      </c>
      <c r="L62" s="226" t="n">
        <f aca="false">-14879-5665+2</f>
        <v>-20542</v>
      </c>
      <c r="M62" s="582"/>
      <c r="N62" s="582"/>
      <c r="O62" s="226" t="n">
        <f aca="false">39453-11173</f>
        <v>28280</v>
      </c>
      <c r="P62" s="226" t="n">
        <f aca="false">-13699-11284</f>
        <v>-24983</v>
      </c>
      <c r="Q62" s="226" t="n">
        <f aca="false">10467-64722</f>
        <v>-54255</v>
      </c>
      <c r="R62" s="226" t="n">
        <f aca="false">-15148+12530+1</f>
        <v>-2617</v>
      </c>
      <c r="S62" s="226" t="n">
        <f aca="false">-123455-35318-1</f>
        <v>-158774</v>
      </c>
      <c r="T62" s="582"/>
      <c r="U62" s="582"/>
      <c r="V62" s="226"/>
      <c r="W62" s="226"/>
      <c r="X62" s="226"/>
      <c r="Y62" s="226"/>
      <c r="Z62" s="226"/>
      <c r="AA62" s="582"/>
      <c r="AB62" s="582"/>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row>
    <row r="63" customFormat="false" ht="12.75" hidden="false" customHeight="true" outlineLevel="0" collapsed="false">
      <c r="A63" s="295" t="s">
        <v>189</v>
      </c>
      <c r="B63" s="294" t="n">
        <f aca="false">SUM(C63:AG63)</f>
        <v>0</v>
      </c>
      <c r="C63" s="226"/>
      <c r="D63" s="226"/>
      <c r="E63" s="226"/>
      <c r="F63" s="582"/>
      <c r="G63" s="582"/>
      <c r="H63" s="226"/>
      <c r="I63" s="226"/>
      <c r="J63" s="226"/>
      <c r="K63" s="226"/>
      <c r="L63" s="226"/>
      <c r="M63" s="582"/>
      <c r="N63" s="582"/>
      <c r="O63" s="226"/>
      <c r="P63" s="226"/>
      <c r="Q63" s="226"/>
      <c r="R63" s="226"/>
      <c r="S63" s="226"/>
      <c r="T63" s="582"/>
      <c r="U63" s="582"/>
      <c r="V63" s="226"/>
      <c r="W63" s="226"/>
      <c r="X63" s="226"/>
      <c r="Y63" s="226"/>
      <c r="Z63" s="226"/>
      <c r="AA63" s="582"/>
      <c r="AB63" s="582"/>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row>
    <row r="64" customFormat="false" ht="12.75" hidden="false" customHeight="true" outlineLevel="0" collapsed="false">
      <c r="A64" s="295" t="s">
        <v>237</v>
      </c>
      <c r="B64" s="294" t="n">
        <f aca="false">SUM(C64:AG64)</f>
        <v>0</v>
      </c>
      <c r="C64" s="226"/>
      <c r="D64" s="226"/>
      <c r="E64" s="226"/>
      <c r="F64" s="582"/>
      <c r="G64" s="582"/>
      <c r="H64" s="226"/>
      <c r="I64" s="226"/>
      <c r="J64" s="226"/>
      <c r="K64" s="226"/>
      <c r="L64" s="226"/>
      <c r="M64" s="582"/>
      <c r="N64" s="582"/>
      <c r="O64" s="226"/>
      <c r="P64" s="226"/>
      <c r="Q64" s="226"/>
      <c r="R64" s="226"/>
      <c r="S64" s="226"/>
      <c r="T64" s="582"/>
      <c r="U64" s="582"/>
      <c r="V64" s="226"/>
      <c r="W64" s="226"/>
      <c r="X64" s="226"/>
      <c r="Y64" s="226"/>
      <c r="Z64" s="226"/>
      <c r="AA64" s="582"/>
      <c r="AB64" s="582"/>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row>
    <row r="65" customFormat="false" ht="12.75" hidden="false" customHeight="true" outlineLevel="0" collapsed="false">
      <c r="A65" s="231" t="s">
        <v>238</v>
      </c>
      <c r="B65" s="294" t="n">
        <f aca="false">SUM(C65:AG65)</f>
        <v>0</v>
      </c>
      <c r="C65" s="226"/>
      <c r="D65" s="226"/>
      <c r="E65" s="226"/>
      <c r="F65" s="582"/>
      <c r="G65" s="582"/>
      <c r="H65" s="226"/>
      <c r="I65" s="226"/>
      <c r="J65" s="226"/>
      <c r="K65" s="226"/>
      <c r="L65" s="226"/>
      <c r="M65" s="582"/>
      <c r="N65" s="582"/>
      <c r="O65" s="226"/>
      <c r="P65" s="226"/>
      <c r="Q65" s="226"/>
      <c r="R65" s="226"/>
      <c r="S65" s="226"/>
      <c r="T65" s="582"/>
      <c r="U65" s="582"/>
      <c r="V65" s="226"/>
      <c r="W65" s="226"/>
      <c r="X65" s="226"/>
      <c r="Y65" s="226"/>
      <c r="Z65" s="226"/>
      <c r="AA65" s="582"/>
      <c r="AB65" s="582"/>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row>
    <row r="66" customFormat="false" ht="12.75" hidden="false" customHeight="true" outlineLevel="0" collapsed="false">
      <c r="A66" s="231" t="s">
        <v>239</v>
      </c>
      <c r="B66" s="294" t="n">
        <f aca="false">SUM(C66:AG66)</f>
        <v>0</v>
      </c>
      <c r="C66" s="226"/>
      <c r="D66" s="226"/>
      <c r="E66" s="226"/>
      <c r="F66" s="582"/>
      <c r="G66" s="582"/>
      <c r="H66" s="226"/>
      <c r="I66" s="226"/>
      <c r="J66" s="226"/>
      <c r="K66" s="226"/>
      <c r="L66" s="226"/>
      <c r="M66" s="582"/>
      <c r="N66" s="582"/>
      <c r="O66" s="226"/>
      <c r="P66" s="226"/>
      <c r="Q66" s="226"/>
      <c r="R66" s="226"/>
      <c r="S66" s="226"/>
      <c r="T66" s="582"/>
      <c r="U66" s="582"/>
      <c r="V66" s="226"/>
      <c r="W66" s="226"/>
      <c r="X66" s="226"/>
      <c r="Y66" s="226"/>
      <c r="Z66" s="226"/>
      <c r="AA66" s="582"/>
      <c r="AB66" s="582"/>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c r="BM66" s="226"/>
      <c r="BN66" s="226"/>
      <c r="BO66" s="226"/>
      <c r="BP66" s="226"/>
      <c r="BQ66" s="226"/>
    </row>
    <row r="67" customFormat="false" ht="12.75" hidden="false" customHeight="true" outlineLevel="0" collapsed="false">
      <c r="A67" s="231" t="s">
        <v>240</v>
      </c>
      <c r="B67" s="294" t="n">
        <f aca="false">SUM(C67:AG67)</f>
        <v>0</v>
      </c>
      <c r="C67" s="226"/>
      <c r="D67" s="226"/>
      <c r="E67" s="226"/>
      <c r="F67" s="582"/>
      <c r="G67" s="582"/>
      <c r="H67" s="226"/>
      <c r="I67" s="226"/>
      <c r="J67" s="226"/>
      <c r="K67" s="226"/>
      <c r="L67" s="226"/>
      <c r="M67" s="582"/>
      <c r="N67" s="582"/>
      <c r="O67" s="226"/>
      <c r="P67" s="226"/>
      <c r="Q67" s="226"/>
      <c r="R67" s="226"/>
      <c r="S67" s="226"/>
      <c r="T67" s="582"/>
      <c r="U67" s="582"/>
      <c r="V67" s="226"/>
      <c r="W67" s="226"/>
      <c r="X67" s="226"/>
      <c r="Y67" s="226"/>
      <c r="Z67" s="226"/>
      <c r="AA67" s="582"/>
      <c r="AB67" s="582"/>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c r="BM67" s="226"/>
      <c r="BN67" s="226"/>
      <c r="BO67" s="226"/>
      <c r="BP67" s="226"/>
      <c r="BQ67" s="226"/>
    </row>
    <row r="68" customFormat="false" ht="12.75" hidden="false" customHeight="true" outlineLevel="0" collapsed="false">
      <c r="A68" s="231" t="s">
        <v>241</v>
      </c>
      <c r="B68" s="294" t="n">
        <f aca="false">SUM(C68:AG68)</f>
        <v>0</v>
      </c>
      <c r="C68" s="226"/>
      <c r="D68" s="226"/>
      <c r="E68" s="226"/>
      <c r="F68" s="582"/>
      <c r="G68" s="582"/>
      <c r="H68" s="226"/>
      <c r="I68" s="226"/>
      <c r="J68" s="226"/>
      <c r="K68" s="226"/>
      <c r="L68" s="226"/>
      <c r="M68" s="582"/>
      <c r="N68" s="582"/>
      <c r="O68" s="226"/>
      <c r="P68" s="226"/>
      <c r="Q68" s="226"/>
      <c r="R68" s="226"/>
      <c r="S68" s="226"/>
      <c r="T68" s="582"/>
      <c r="U68" s="582"/>
      <c r="V68" s="226"/>
      <c r="W68" s="226"/>
      <c r="X68" s="226"/>
      <c r="Y68" s="226"/>
      <c r="Z68" s="226"/>
      <c r="AA68" s="582"/>
      <c r="AB68" s="582"/>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c r="BM68" s="226"/>
      <c r="BN68" s="226"/>
      <c r="BO68" s="226"/>
      <c r="BP68" s="226"/>
      <c r="BQ68" s="226"/>
    </row>
    <row r="69" customFormat="false" ht="12.75" hidden="false" customHeight="true" outlineLevel="0" collapsed="false">
      <c r="A69" s="295" t="s">
        <v>242</v>
      </c>
      <c r="B69" s="294" t="n">
        <f aca="false">SUM(C69:AG69)</f>
        <v>0</v>
      </c>
      <c r="C69" s="226"/>
      <c r="D69" s="226"/>
      <c r="E69" s="226"/>
      <c r="F69" s="582"/>
      <c r="G69" s="582"/>
      <c r="H69" s="226"/>
      <c r="I69" s="226"/>
      <c r="J69" s="226"/>
      <c r="K69" s="226"/>
      <c r="L69" s="226"/>
      <c r="M69" s="582"/>
      <c r="N69" s="582"/>
      <c r="O69" s="226"/>
      <c r="P69" s="226"/>
      <c r="Q69" s="226"/>
      <c r="R69" s="226"/>
      <c r="S69" s="226"/>
      <c r="T69" s="582"/>
      <c r="U69" s="582"/>
      <c r="V69" s="226"/>
      <c r="W69" s="226"/>
      <c r="X69" s="226"/>
      <c r="Y69" s="226"/>
      <c r="Z69" s="226"/>
      <c r="AA69" s="582"/>
      <c r="AB69" s="582"/>
      <c r="AC69" s="226"/>
      <c r="AD69" s="226"/>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c r="BM69" s="226"/>
      <c r="BN69" s="226"/>
      <c r="BO69" s="226"/>
      <c r="BP69" s="226"/>
      <c r="BQ69" s="226"/>
    </row>
    <row r="70" customFormat="false" ht="12.75" hidden="false" customHeight="true" outlineLevel="0" collapsed="false">
      <c r="A70" s="231" t="s">
        <v>243</v>
      </c>
      <c r="B70" s="294" t="n">
        <f aca="false">SUM(C70:AG70)</f>
        <v>0</v>
      </c>
      <c r="C70" s="226"/>
      <c r="D70" s="226"/>
      <c r="E70" s="226"/>
      <c r="F70" s="582"/>
      <c r="G70" s="582"/>
      <c r="H70" s="226"/>
      <c r="I70" s="226"/>
      <c r="J70" s="226"/>
      <c r="K70" s="226"/>
      <c r="L70" s="226"/>
      <c r="M70" s="582"/>
      <c r="N70" s="582"/>
      <c r="O70" s="226"/>
      <c r="P70" s="226"/>
      <c r="Q70" s="226"/>
      <c r="R70" s="226"/>
      <c r="S70" s="226"/>
      <c r="T70" s="582"/>
      <c r="U70" s="582"/>
      <c r="V70" s="226"/>
      <c r="W70" s="226"/>
      <c r="X70" s="226"/>
      <c r="Y70" s="226"/>
      <c r="Z70" s="226"/>
      <c r="AA70" s="582"/>
      <c r="AB70" s="582"/>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6"/>
      <c r="AY70" s="226"/>
      <c r="AZ70" s="226"/>
      <c r="BA70" s="226"/>
      <c r="BB70" s="226"/>
      <c r="BC70" s="226"/>
      <c r="BD70" s="226"/>
      <c r="BE70" s="226"/>
      <c r="BF70" s="226"/>
      <c r="BG70" s="226"/>
      <c r="BH70" s="226"/>
      <c r="BI70" s="226"/>
      <c r="BJ70" s="226"/>
      <c r="BK70" s="226"/>
      <c r="BL70" s="226"/>
      <c r="BM70" s="226"/>
      <c r="BN70" s="226"/>
      <c r="BO70" s="226"/>
      <c r="BP70" s="226"/>
      <c r="BQ70" s="226"/>
    </row>
    <row r="71" customFormat="false" ht="12.75" hidden="false" customHeight="true" outlineLevel="0" collapsed="false">
      <c r="A71" s="231" t="s">
        <v>244</v>
      </c>
      <c r="B71" s="294" t="s">
        <v>245</v>
      </c>
      <c r="C71" s="226"/>
      <c r="D71" s="226"/>
      <c r="E71" s="226"/>
      <c r="F71" s="582"/>
      <c r="G71" s="582"/>
      <c r="H71" s="226"/>
      <c r="I71" s="226"/>
      <c r="J71" s="226"/>
      <c r="K71" s="226"/>
      <c r="L71" s="226"/>
      <c r="M71" s="582"/>
      <c r="N71" s="582"/>
      <c r="O71" s="226"/>
      <c r="P71" s="226"/>
      <c r="Q71" s="226"/>
      <c r="R71" s="226"/>
      <c r="S71" s="226"/>
      <c r="T71" s="582"/>
      <c r="U71" s="582"/>
      <c r="V71" s="226"/>
      <c r="W71" s="226"/>
      <c r="X71" s="226"/>
      <c r="Y71" s="226"/>
      <c r="Z71" s="226"/>
      <c r="AA71" s="582"/>
      <c r="AB71" s="582"/>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c r="BM71" s="226"/>
      <c r="BN71" s="226"/>
      <c r="BO71" s="226"/>
      <c r="BP71" s="226"/>
      <c r="BQ71" s="226"/>
    </row>
    <row r="72" customFormat="false" ht="12.75" hidden="false" customHeight="true" outlineLevel="0" collapsed="false">
      <c r="A72" s="231"/>
      <c r="B72" s="584" t="s">
        <v>362</v>
      </c>
      <c r="C72" s="60"/>
      <c r="D72" s="60"/>
      <c r="E72" s="60"/>
      <c r="F72" s="585"/>
      <c r="G72" s="585"/>
      <c r="H72" s="60"/>
      <c r="I72" s="60"/>
      <c r="J72" s="60"/>
      <c r="K72" s="60"/>
      <c r="L72" s="60"/>
      <c r="M72" s="585"/>
      <c r="N72" s="585"/>
      <c r="O72" s="60"/>
      <c r="P72" s="60"/>
      <c r="Q72" s="60"/>
      <c r="R72" s="60"/>
      <c r="S72" s="60"/>
      <c r="T72" s="585"/>
      <c r="U72" s="585"/>
      <c r="V72" s="60"/>
      <c r="W72" s="60"/>
      <c r="X72" s="60"/>
      <c r="Y72" s="60"/>
      <c r="Z72" s="60"/>
      <c r="AA72" s="585"/>
      <c r="AB72" s="585"/>
      <c r="AC72" s="60"/>
      <c r="AD72" s="60"/>
      <c r="AE72" s="60"/>
      <c r="AF72" s="60"/>
      <c r="AG72" s="301"/>
      <c r="AH72" s="59"/>
      <c r="AJ72" s="59"/>
      <c r="AK72" s="59"/>
      <c r="AL72" s="61"/>
      <c r="AM72" s="60"/>
    </row>
    <row r="73" customFormat="false" ht="12.75" hidden="false" customHeight="true" outlineLevel="0" collapsed="false">
      <c r="A73" s="231" t="s">
        <v>363</v>
      </c>
      <c r="B73" s="294" t="n">
        <f aca="false">E22</f>
        <v>0</v>
      </c>
      <c r="C73" s="226"/>
      <c r="D73" s="226"/>
      <c r="E73" s="226"/>
      <c r="F73" s="582"/>
      <c r="G73" s="582"/>
      <c r="H73" s="226"/>
      <c r="I73" s="226"/>
      <c r="J73" s="226"/>
      <c r="K73" s="226"/>
      <c r="L73" s="226"/>
      <c r="M73" s="582"/>
      <c r="N73" s="582"/>
      <c r="O73" s="226"/>
      <c r="P73" s="226"/>
      <c r="Q73" s="226"/>
      <c r="R73" s="226"/>
      <c r="S73" s="226"/>
      <c r="T73" s="582"/>
      <c r="U73" s="582"/>
      <c r="V73" s="226"/>
      <c r="W73" s="226"/>
      <c r="X73" s="226"/>
      <c r="Y73" s="226"/>
      <c r="Z73" s="226"/>
      <c r="AA73" s="582"/>
      <c r="AB73" s="582"/>
      <c r="AC73" s="226"/>
      <c r="AD73" s="226"/>
      <c r="AE73" s="226"/>
      <c r="AF73" s="226"/>
      <c r="AG73" s="226"/>
      <c r="AH73" s="59"/>
      <c r="AJ73" s="59"/>
      <c r="AK73" s="59"/>
      <c r="AL73" s="61"/>
      <c r="AM73" s="60"/>
    </row>
    <row r="74" customFormat="false" ht="12.75" hidden="false" customHeight="true" outlineLevel="0" collapsed="false">
      <c r="A74" s="231" t="s">
        <v>364</v>
      </c>
      <c r="B74" s="294" t="n">
        <f aca="false">SUM(C74:AG74)</f>
        <v>0</v>
      </c>
      <c r="C74" s="226"/>
      <c r="D74" s="226"/>
      <c r="E74" s="226"/>
      <c r="F74" s="582"/>
      <c r="G74" s="582"/>
      <c r="H74" s="226"/>
      <c r="I74" s="226"/>
      <c r="J74" s="226"/>
      <c r="K74" s="226"/>
      <c r="L74" s="226"/>
      <c r="M74" s="582"/>
      <c r="N74" s="582"/>
      <c r="O74" s="226"/>
      <c r="P74" s="226"/>
      <c r="Q74" s="226"/>
      <c r="R74" s="226"/>
      <c r="S74" s="226"/>
      <c r="T74" s="582"/>
      <c r="U74" s="582"/>
      <c r="V74" s="226"/>
      <c r="W74" s="226"/>
      <c r="X74" s="226"/>
      <c r="Y74" s="226"/>
      <c r="Z74" s="226"/>
      <c r="AA74" s="582"/>
      <c r="AB74" s="582"/>
      <c r="AC74" s="226"/>
      <c r="AD74" s="226"/>
      <c r="AE74" s="226"/>
      <c r="AF74" s="226"/>
      <c r="AG74" s="300"/>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SUM(B47:B75)-B61-B67-B68-B69</f>
        <v>5901514</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AH78" s="153"/>
      <c r="AJ78" s="153"/>
      <c r="AK78" s="226"/>
      <c r="AL78" s="61"/>
      <c r="AM78" s="60"/>
    </row>
    <row r="79" customFormat="false" ht="12.75" hidden="false" customHeight="true" outlineLevel="0" collapsed="false">
      <c r="A79" s="271" t="s">
        <v>340</v>
      </c>
      <c r="B79" s="271"/>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t="s">
        <v>210</v>
      </c>
      <c r="C81" s="275" t="n">
        <f aca="false">SUM(C85:C101)</f>
        <v>0</v>
      </c>
      <c r="D81" s="275" t="n">
        <f aca="false">SUM(D85:D101)</f>
        <v>0</v>
      </c>
      <c r="E81" s="275" t="n">
        <f aca="false">SUM(E85:E101)</f>
        <v>0</v>
      </c>
      <c r="F81" s="275" t="n">
        <f aca="false">SUM(F85:F101)</f>
        <v>0</v>
      </c>
      <c r="G81" s="275" t="n">
        <f aca="false">SUM(G85:G101)</f>
        <v>0</v>
      </c>
      <c r="H81" s="275" t="n">
        <f aca="false">SUM(H85:H101)</f>
        <v>0</v>
      </c>
      <c r="I81" s="275" t="n">
        <f aca="false">SUM(I85:I101)</f>
        <v>0</v>
      </c>
      <c r="J81" s="275" t="n">
        <f aca="false">SUM(J85:J101)</f>
        <v>0</v>
      </c>
      <c r="K81" s="275" t="n">
        <f aca="false">SUM(K85:K101)</f>
        <v>0</v>
      </c>
      <c r="L81" s="275" t="n">
        <f aca="false">SUM(L85:L101)</f>
        <v>0</v>
      </c>
      <c r="M81" s="275" t="n">
        <f aca="false">SUM(M85:M101)</f>
        <v>0</v>
      </c>
      <c r="N81" s="275" t="n">
        <f aca="false">SUM(N85:N101)</f>
        <v>0</v>
      </c>
      <c r="O81" s="275" t="n">
        <f aca="false">SUM(O85:O101)</f>
        <v>0</v>
      </c>
      <c r="P81" s="275" t="n">
        <f aca="false">SUM(P85:P101)</f>
        <v>0</v>
      </c>
      <c r="Q81" s="275" t="n">
        <f aca="false">SUM(Q85:Q101)</f>
        <v>0</v>
      </c>
      <c r="R81" s="275" t="n">
        <f aca="false">SUM(R85:R101)</f>
        <v>0</v>
      </c>
      <c r="S81" s="275" t="n">
        <f aca="false">SUM(S85:S101)</f>
        <v>0</v>
      </c>
      <c r="T81" s="275" t="n">
        <f aca="false">SUM(T85:T101)</f>
        <v>0</v>
      </c>
      <c r="U81" s="275" t="n">
        <f aca="false">SUM(U85:U101)</f>
        <v>0</v>
      </c>
      <c r="V81" s="275" t="n">
        <f aca="false">SUM(V85:V101)</f>
        <v>0</v>
      </c>
      <c r="W81" s="275" t="n">
        <f aca="false">SUM(W85:W101)</f>
        <v>0</v>
      </c>
      <c r="X81" s="275" t="n">
        <f aca="false">SUM(X85:X101)</f>
        <v>0</v>
      </c>
      <c r="Y81" s="275" t="n">
        <f aca="false">SUM(Y85:Y101)</f>
        <v>0</v>
      </c>
      <c r="Z81" s="275" t="n">
        <f aca="false">SUM(Z85:Z101)</f>
        <v>0</v>
      </c>
      <c r="AA81" s="275" t="n">
        <f aca="false">SUM(AA85:AA101)</f>
        <v>0</v>
      </c>
      <c r="AB81" s="275" t="n">
        <f aca="false">SUM(AB85:AB101)</f>
        <v>0</v>
      </c>
      <c r="AC81" s="275" t="n">
        <f aca="false">SUM(AC85:AC101)</f>
        <v>0</v>
      </c>
      <c r="AD81" s="275" t="n">
        <f aca="false">SUM(AD85:AD101)</f>
        <v>0</v>
      </c>
      <c r="AE81" s="275" t="n">
        <f aca="false">SUM(AE85:AE101)</f>
        <v>0</v>
      </c>
      <c r="AF81" s="275" t="n">
        <f aca="false">SUM(AF85:AF101)</f>
        <v>0</v>
      </c>
      <c r="AG81" s="275" t="n">
        <f aca="false">SUM(AG85:AG101)</f>
        <v>0</v>
      </c>
      <c r="AH81" s="59"/>
      <c r="AI81" s="76"/>
      <c r="AJ81" s="85"/>
      <c r="AK81" s="59"/>
      <c r="AL81" s="77"/>
      <c r="AN81" s="59"/>
      <c r="AO81" s="59"/>
      <c r="AP81" s="59"/>
      <c r="AQ81" s="59"/>
      <c r="AR81" s="59"/>
      <c r="AS81" s="59"/>
    </row>
    <row r="82" customFormat="false" ht="12.75" hidden="false" customHeight="true" outlineLevel="0" collapsed="false">
      <c r="A82" s="278" t="s">
        <v>248</v>
      </c>
      <c r="B82" s="279" t="n">
        <f aca="false">B44</f>
        <v>36831</v>
      </c>
      <c r="C82" s="280" t="n">
        <f aca="false">C44</f>
        <v>36831</v>
      </c>
      <c r="D82" s="280" t="n">
        <f aca="false">D44</f>
        <v>36832</v>
      </c>
      <c r="E82" s="280" t="n">
        <f aca="false">E44</f>
        <v>36833</v>
      </c>
      <c r="F82" s="280" t="n">
        <f aca="false">F44</f>
        <v>36834</v>
      </c>
      <c r="G82" s="280" t="n">
        <f aca="false">G44</f>
        <v>36835</v>
      </c>
      <c r="H82" s="280" t="n">
        <f aca="false">H44</f>
        <v>36836</v>
      </c>
      <c r="I82" s="280" t="n">
        <f aca="false">I44</f>
        <v>36837</v>
      </c>
      <c r="J82" s="280" t="n">
        <f aca="false">J44</f>
        <v>36838</v>
      </c>
      <c r="K82" s="280" t="n">
        <f aca="false">K44</f>
        <v>36839</v>
      </c>
      <c r="L82" s="280" t="n">
        <f aca="false">L44</f>
        <v>36840</v>
      </c>
      <c r="M82" s="280" t="n">
        <f aca="false">M44</f>
        <v>36841</v>
      </c>
      <c r="N82" s="280" t="n">
        <f aca="false">N44</f>
        <v>36842</v>
      </c>
      <c r="O82" s="280" t="n">
        <f aca="false">O44</f>
        <v>36843</v>
      </c>
      <c r="P82" s="280" t="n">
        <f aca="false">P44</f>
        <v>36844</v>
      </c>
      <c r="Q82" s="280" t="n">
        <f aca="false">Q44</f>
        <v>36845</v>
      </c>
      <c r="R82" s="280" t="n">
        <f aca="false">R44</f>
        <v>36846</v>
      </c>
      <c r="S82" s="280" t="n">
        <f aca="false">S44</f>
        <v>36847</v>
      </c>
      <c r="T82" s="280" t="n">
        <f aca="false">T44</f>
        <v>36848</v>
      </c>
      <c r="U82" s="280" t="n">
        <f aca="false">U44</f>
        <v>36849</v>
      </c>
      <c r="V82" s="280" t="n">
        <f aca="false">V44</f>
        <v>36850</v>
      </c>
      <c r="W82" s="280" t="n">
        <f aca="false">W44</f>
        <v>36851</v>
      </c>
      <c r="X82" s="280" t="n">
        <f aca="false">X44</f>
        <v>36852</v>
      </c>
      <c r="Y82" s="280" t="n">
        <f aca="false">Y44</f>
        <v>36853</v>
      </c>
      <c r="Z82" s="280" t="n">
        <f aca="false">Z44</f>
        <v>36854</v>
      </c>
      <c r="AA82" s="280" t="n">
        <f aca="false">AA44</f>
        <v>36855</v>
      </c>
      <c r="AB82" s="280" t="n">
        <f aca="false">AB44</f>
        <v>36856</v>
      </c>
      <c r="AC82" s="280" t="n">
        <f aca="false">AC44</f>
        <v>36857</v>
      </c>
      <c r="AD82" s="280" t="n">
        <f aca="false">AD44</f>
        <v>36858</v>
      </c>
      <c r="AE82" s="280" t="n">
        <f aca="false">AE44</f>
        <v>36859</v>
      </c>
      <c r="AF82" s="280" t="n">
        <f aca="false">AF44</f>
        <v>36860</v>
      </c>
      <c r="AG82" s="280" t="n">
        <f aca="false">AG44</f>
        <v>36861</v>
      </c>
      <c r="AH82" s="281"/>
      <c r="AI82" s="76"/>
      <c r="AJ82" s="309"/>
      <c r="AK82" s="281"/>
      <c r="AL82" s="284"/>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c r="DM82" s="281"/>
      <c r="DN82" s="281"/>
      <c r="DO82" s="281"/>
      <c r="DP82" s="281"/>
      <c r="DQ82" s="281"/>
      <c r="DR82" s="281"/>
      <c r="DS82" s="281"/>
      <c r="DT82" s="281"/>
      <c r="DU82" s="281"/>
      <c r="DV82" s="281"/>
      <c r="DW82" s="281"/>
      <c r="DX82" s="281"/>
      <c r="DY82" s="281"/>
      <c r="DZ82" s="281"/>
      <c r="EA82" s="281"/>
      <c r="EB82" s="281"/>
      <c r="EC82" s="281"/>
      <c r="ED82" s="281"/>
      <c r="EE82" s="281"/>
      <c r="EF82" s="281"/>
      <c r="EG82" s="281"/>
      <c r="EH82" s="281"/>
      <c r="EI82" s="281"/>
      <c r="EJ82" s="281"/>
      <c r="EK82" s="281"/>
      <c r="EL82" s="281"/>
      <c r="EM82" s="281"/>
      <c r="EN82" s="281"/>
      <c r="EO82" s="281"/>
      <c r="EP82" s="281"/>
      <c r="EQ82" s="281"/>
      <c r="ER82" s="281"/>
      <c r="ES82" s="281"/>
      <c r="ET82" s="281"/>
      <c r="EU82" s="281"/>
      <c r="EV82" s="281"/>
      <c r="EW82" s="281"/>
      <c r="EX82" s="281"/>
      <c r="EY82" s="281"/>
      <c r="EZ82" s="281"/>
      <c r="FA82" s="281"/>
      <c r="FB82" s="281"/>
      <c r="FC82" s="281"/>
      <c r="FD82" s="281"/>
      <c r="FE82" s="281"/>
      <c r="FF82" s="281"/>
      <c r="FG82" s="281"/>
      <c r="FH82" s="281"/>
      <c r="FI82" s="281"/>
      <c r="FJ82" s="281"/>
      <c r="FK82" s="281"/>
      <c r="FL82" s="281"/>
      <c r="FM82" s="281"/>
      <c r="FN82" s="281"/>
      <c r="FO82" s="281"/>
      <c r="FP82" s="281"/>
      <c r="FQ82" s="281"/>
      <c r="FR82" s="281"/>
      <c r="FS82" s="281"/>
      <c r="FT82" s="281"/>
      <c r="FU82" s="281"/>
      <c r="FV82" s="281"/>
      <c r="FW82" s="281"/>
      <c r="FX82" s="281"/>
      <c r="FY82" s="281"/>
      <c r="FZ82" s="281"/>
      <c r="GA82" s="281"/>
      <c r="GB82" s="281"/>
      <c r="GC82" s="281"/>
      <c r="GD82" s="281"/>
      <c r="GE82" s="281"/>
      <c r="GF82" s="281"/>
      <c r="GG82" s="281"/>
      <c r="GH82" s="281"/>
      <c r="GI82" s="281"/>
      <c r="GJ82" s="281"/>
      <c r="GK82" s="281"/>
      <c r="GL82" s="281"/>
      <c r="GM82" s="281"/>
      <c r="GN82" s="281"/>
      <c r="GO82" s="281"/>
      <c r="GP82" s="281"/>
      <c r="GQ82" s="281"/>
      <c r="GR82" s="281"/>
      <c r="GS82" s="281"/>
      <c r="GT82" s="281"/>
      <c r="GU82" s="281"/>
      <c r="GV82" s="281"/>
      <c r="GW82" s="281"/>
      <c r="GX82" s="281"/>
      <c r="GY82" s="281"/>
      <c r="GZ82" s="281"/>
      <c r="HA82" s="281"/>
      <c r="HB82" s="281"/>
      <c r="HC82" s="281"/>
      <c r="HD82" s="281"/>
      <c r="HE82" s="281"/>
      <c r="HF82" s="281"/>
      <c r="HG82" s="281"/>
      <c r="HH82" s="281"/>
      <c r="HI82" s="281"/>
      <c r="HJ82" s="281"/>
      <c r="HK82" s="281"/>
      <c r="HL82" s="281"/>
      <c r="HM82" s="281"/>
      <c r="HN82" s="281"/>
      <c r="HO82" s="281"/>
      <c r="HP82" s="281"/>
      <c r="HQ82" s="281"/>
      <c r="HR82" s="281"/>
      <c r="HS82" s="281"/>
      <c r="HT82" s="281"/>
      <c r="HU82" s="281"/>
      <c r="HV82" s="281"/>
      <c r="HW82" s="281"/>
      <c r="HX82" s="281"/>
      <c r="HY82" s="281"/>
      <c r="HZ82" s="281"/>
      <c r="IA82" s="281"/>
      <c r="IB82" s="281"/>
      <c r="IC82" s="281"/>
      <c r="ID82" s="281"/>
      <c r="IE82" s="281"/>
      <c r="IF82" s="281"/>
      <c r="IG82" s="281"/>
      <c r="IH82" s="281"/>
      <c r="II82" s="281"/>
      <c r="IJ82" s="281"/>
      <c r="IK82" s="281"/>
      <c r="IL82" s="281"/>
      <c r="IM82" s="281"/>
      <c r="IN82" s="281"/>
      <c r="IO82" s="281"/>
      <c r="IP82" s="281"/>
      <c r="IQ82" s="281"/>
      <c r="IR82" s="281"/>
      <c r="IS82" s="281"/>
      <c r="IT82" s="281"/>
      <c r="IU82" s="281"/>
      <c r="IV82" s="281"/>
      <c r="IW82" s="281"/>
    </row>
    <row r="83" customFormat="false" ht="12.75" hidden="false" customHeight="true" outlineLevel="0" collapsed="false">
      <c r="A83" s="285"/>
      <c r="B83" s="285"/>
      <c r="C83" s="286" t="str">
        <f aca="false">C45</f>
        <v>W</v>
      </c>
      <c r="D83" s="286" t="str">
        <f aca="false">D45</f>
        <v>R</v>
      </c>
      <c r="E83" s="286" t="str">
        <f aca="false">E45</f>
        <v>F</v>
      </c>
      <c r="F83" s="286" t="str">
        <f aca="false">F45</f>
        <v>S</v>
      </c>
      <c r="G83" s="286" t="str">
        <f aca="false">G45</f>
        <v>S</v>
      </c>
      <c r="H83" s="286" t="str">
        <f aca="false">H45</f>
        <v>M</v>
      </c>
      <c r="I83" s="286" t="str">
        <f aca="false">I45</f>
        <v>T</v>
      </c>
      <c r="J83" s="286" t="str">
        <f aca="false">J45</f>
        <v>W</v>
      </c>
      <c r="K83" s="286" t="str">
        <f aca="false">K45</f>
        <v>R</v>
      </c>
      <c r="L83" s="286" t="str">
        <f aca="false">L45</f>
        <v>F</v>
      </c>
      <c r="M83" s="286" t="str">
        <f aca="false">M45</f>
        <v>S</v>
      </c>
      <c r="N83" s="286" t="str">
        <f aca="false">N45</f>
        <v>S</v>
      </c>
      <c r="O83" s="286" t="str">
        <f aca="false">O45</f>
        <v>M</v>
      </c>
      <c r="P83" s="286" t="str">
        <f aca="false">P45</f>
        <v>T</v>
      </c>
      <c r="Q83" s="286" t="str">
        <f aca="false">Q45</f>
        <v>W</v>
      </c>
      <c r="R83" s="286" t="str">
        <f aca="false">R45</f>
        <v>R</v>
      </c>
      <c r="S83" s="286" t="str">
        <f aca="false">S45</f>
        <v>F</v>
      </c>
      <c r="T83" s="286" t="str">
        <f aca="false">T45</f>
        <v>S</v>
      </c>
      <c r="U83" s="286" t="str">
        <f aca="false">U45</f>
        <v>S</v>
      </c>
      <c r="V83" s="286" t="str">
        <f aca="false">V45</f>
        <v>M</v>
      </c>
      <c r="W83" s="286" t="str">
        <f aca="false">W45</f>
        <v>T</v>
      </c>
      <c r="X83" s="286" t="str">
        <f aca="false">X45</f>
        <v>W</v>
      </c>
      <c r="Y83" s="286" t="str">
        <f aca="false">Y45</f>
        <v>R</v>
      </c>
      <c r="Z83" s="286" t="str">
        <f aca="false">Z45</f>
        <v>F</v>
      </c>
      <c r="AA83" s="286" t="str">
        <f aca="false">AA45</f>
        <v>S</v>
      </c>
      <c r="AB83" s="286" t="str">
        <f aca="false">AB45</f>
        <v>S</v>
      </c>
      <c r="AC83" s="286" t="str">
        <f aca="false">AC45</f>
        <v>M</v>
      </c>
      <c r="AD83" s="286" t="str">
        <f aca="false">AD45</f>
        <v>T</v>
      </c>
      <c r="AE83" s="286" t="str">
        <f aca="false">AE45</f>
        <v>W</v>
      </c>
      <c r="AF83" s="286" t="str">
        <f aca="false">AF45</f>
        <v>R</v>
      </c>
      <c r="AG83" s="286" t="str">
        <f aca="false">AG45</f>
        <v>F</v>
      </c>
      <c r="AH83" s="59"/>
      <c r="AI83" s="76"/>
      <c r="AJ83" s="85"/>
      <c r="AK83" s="59"/>
      <c r="AL83" s="153"/>
      <c r="AN83" s="59"/>
      <c r="AO83" s="59"/>
      <c r="AP83" s="59"/>
      <c r="AQ83" s="59"/>
      <c r="AR83" s="59"/>
      <c r="AS83" s="59"/>
    </row>
    <row r="84" customFormat="false" ht="12.75" hidden="false" customHeight="true" outlineLevel="0" collapsed="false">
      <c r="A84" s="289"/>
      <c r="B84" s="290" t="s">
        <v>216</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1"/>
      <c r="AH84" s="153"/>
      <c r="AI84" s="199"/>
      <c r="AJ84" s="312"/>
      <c r="AK84" s="226"/>
      <c r="AL84" s="61"/>
      <c r="AM84" s="60"/>
    </row>
    <row r="85" customFormat="false" ht="12.75" hidden="false" customHeight="true" outlineLevel="0" collapsed="false">
      <c r="A85" s="231" t="s">
        <v>249</v>
      </c>
      <c r="B85" s="294" t="n">
        <f aca="false">SUM(C85:AG85)</f>
        <v>0</v>
      </c>
      <c r="C85" s="226" t="n">
        <v>0</v>
      </c>
      <c r="D85" s="226" t="n">
        <v>0</v>
      </c>
      <c r="E85" s="226" t="n">
        <v>0</v>
      </c>
      <c r="F85" s="226" t="n">
        <v>0</v>
      </c>
      <c r="G85" s="226" t="n">
        <v>0</v>
      </c>
      <c r="H85" s="226" t="n">
        <v>0</v>
      </c>
      <c r="I85" s="226" t="n">
        <v>0</v>
      </c>
      <c r="J85" s="226" t="n">
        <v>0</v>
      </c>
      <c r="K85" s="226" t="n">
        <v>0</v>
      </c>
      <c r="L85" s="226" t="n">
        <v>0</v>
      </c>
      <c r="M85" s="226" t="n">
        <v>0</v>
      </c>
      <c r="N85" s="226" t="n">
        <v>0</v>
      </c>
      <c r="O85" s="226" t="n">
        <v>0</v>
      </c>
      <c r="P85" s="226" t="n">
        <v>0</v>
      </c>
      <c r="Q85" s="226" t="n">
        <v>0</v>
      </c>
      <c r="R85" s="226" t="n">
        <v>0</v>
      </c>
      <c r="S85" s="226" t="n">
        <v>0</v>
      </c>
      <c r="T85" s="226" t="n">
        <v>0</v>
      </c>
      <c r="U85" s="226" t="n">
        <v>0</v>
      </c>
      <c r="V85" s="226" t="n">
        <v>0</v>
      </c>
      <c r="W85" s="226" t="n">
        <v>0</v>
      </c>
      <c r="X85" s="226" t="n">
        <v>0</v>
      </c>
      <c r="Y85" s="226" t="n">
        <v>0</v>
      </c>
      <c r="Z85" s="226" t="n">
        <v>0</v>
      </c>
      <c r="AA85" s="226" t="n">
        <v>0</v>
      </c>
      <c r="AB85" s="226" t="n">
        <v>0</v>
      </c>
      <c r="AC85" s="226" t="n">
        <v>0</v>
      </c>
      <c r="AD85" s="226" t="n">
        <v>0</v>
      </c>
      <c r="AE85" s="226" t="n">
        <v>0</v>
      </c>
      <c r="AF85" s="226" t="n">
        <v>0</v>
      </c>
      <c r="AG85" s="300" t="n">
        <v>0</v>
      </c>
      <c r="AH85" s="153"/>
      <c r="AJ85" s="153"/>
      <c r="AK85" s="226"/>
      <c r="AL85" s="61"/>
      <c r="AM85" s="60"/>
    </row>
    <row r="86" customFormat="false" ht="12.75" hidden="false" customHeight="true" outlineLevel="0" collapsed="false">
      <c r="A86" s="231" t="s">
        <v>250</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251</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252</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253</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254</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255</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256</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257</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258</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259</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260</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261</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c r="B98" s="294"/>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300"/>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SUM(B87:B101)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3" t="s">
        <v>365</v>
      </c>
      <c r="B126" s="153" t="s">
        <v>366</v>
      </c>
      <c r="C126" s="153"/>
      <c r="D126" s="324"/>
      <c r="E126" s="325" t="n">
        <v>0</v>
      </c>
      <c r="G126" s="403" t="s">
        <v>367</v>
      </c>
      <c r="H126" s="327"/>
      <c r="I126" s="153"/>
      <c r="J126" s="586"/>
      <c r="K126" s="328"/>
      <c r="L126" s="325" t="n">
        <v>-536320</v>
      </c>
      <c r="M126" s="59"/>
      <c r="N126" s="59"/>
      <c r="O126" s="59"/>
      <c r="P126" s="59"/>
    </row>
    <row r="127" customFormat="false" ht="12.75" hidden="false" customHeight="true" outlineLevel="0" collapsed="false">
      <c r="A127" s="323" t="s">
        <v>368</v>
      </c>
      <c r="B127" s="153" t="s">
        <v>369</v>
      </c>
      <c r="C127" s="153"/>
      <c r="D127" s="324"/>
      <c r="E127" s="325" t="n">
        <f aca="false">-12361-18906</f>
        <v>-31267</v>
      </c>
      <c r="G127" s="331"/>
      <c r="H127" s="153"/>
      <c r="I127" s="59"/>
      <c r="J127" s="59"/>
      <c r="K127" s="324"/>
      <c r="L127" s="325"/>
      <c r="M127" s="59"/>
      <c r="N127" s="59"/>
      <c r="O127" s="59"/>
      <c r="P127" s="59"/>
    </row>
    <row r="128" customFormat="false" ht="12.75" hidden="false" customHeight="true" outlineLevel="0" collapsed="false">
      <c r="A128" s="329" t="n">
        <v>36161</v>
      </c>
      <c r="B128" s="153" t="s">
        <v>279</v>
      </c>
      <c r="C128" s="153"/>
      <c r="D128" s="324"/>
      <c r="E128" s="325" t="n">
        <f aca="false">2404-14155</f>
        <v>-11751</v>
      </c>
      <c r="G128" s="326" t="s">
        <v>370</v>
      </c>
      <c r="H128" s="59"/>
      <c r="I128" s="59"/>
      <c r="J128" s="587"/>
      <c r="K128" s="328"/>
      <c r="L128" s="330" t="n">
        <v>951958</v>
      </c>
      <c r="M128" s="59"/>
      <c r="N128" s="59"/>
      <c r="O128" s="59"/>
      <c r="P128" s="59"/>
    </row>
    <row r="129" customFormat="false" ht="12.75" hidden="false" customHeight="true" outlineLevel="0" collapsed="false">
      <c r="A129" s="329" t="n">
        <v>36192</v>
      </c>
      <c r="B129" s="153" t="s">
        <v>280</v>
      </c>
      <c r="C129" s="153"/>
      <c r="D129" s="324"/>
      <c r="E129" s="330" t="n">
        <f aca="false">10335-10997</f>
        <v>-662</v>
      </c>
      <c r="G129" s="326" t="n">
        <v>36664</v>
      </c>
      <c r="H129" s="153"/>
      <c r="I129" s="59"/>
      <c r="J129" s="587"/>
      <c r="K129" s="324"/>
      <c r="L129" s="330" t="n">
        <v>-80627</v>
      </c>
      <c r="M129" s="59"/>
      <c r="N129" s="59"/>
      <c r="O129" s="59"/>
      <c r="P129" s="59"/>
    </row>
    <row r="130" customFormat="false" ht="12.75" hidden="false" customHeight="true" outlineLevel="0" collapsed="false">
      <c r="A130" s="329" t="n">
        <v>36220</v>
      </c>
      <c r="B130" s="153" t="s">
        <v>283</v>
      </c>
      <c r="C130" s="153"/>
      <c r="D130" s="324"/>
      <c r="E130" s="325" t="n">
        <f aca="false">-3781-1667</f>
        <v>-5448</v>
      </c>
      <c r="G130" s="326" t="n">
        <v>36665</v>
      </c>
      <c r="H130" s="153"/>
      <c r="I130" s="59"/>
      <c r="J130" s="588"/>
      <c r="K130" s="324"/>
      <c r="L130" s="325" t="n">
        <v>-190177</v>
      </c>
      <c r="M130" s="59"/>
      <c r="N130" s="59"/>
      <c r="O130" s="59"/>
      <c r="P130" s="59"/>
    </row>
    <row r="131" customFormat="false" ht="12.75" hidden="false" customHeight="true" outlineLevel="0" collapsed="false">
      <c r="A131" s="329" t="n">
        <v>36251</v>
      </c>
      <c r="B131" s="153" t="s">
        <v>284</v>
      </c>
      <c r="C131" s="153"/>
      <c r="D131" s="324"/>
      <c r="E131" s="325" t="n">
        <f aca="false">1645-9720</f>
        <v>-8075</v>
      </c>
      <c r="G131" s="326" t="n">
        <v>36668</v>
      </c>
      <c r="H131" s="153"/>
      <c r="I131" s="59"/>
      <c r="J131" s="589"/>
      <c r="K131" s="324"/>
      <c r="L131" s="325" t="n">
        <v>-128533</v>
      </c>
      <c r="M131" s="59"/>
      <c r="N131" s="59"/>
      <c r="O131" s="59"/>
      <c r="P131" s="59"/>
    </row>
    <row r="132" customFormat="false" ht="12.75" hidden="false" customHeight="true" outlineLevel="0" collapsed="false">
      <c r="A132" s="329" t="n">
        <v>36281</v>
      </c>
      <c r="B132" s="153" t="s">
        <v>285</v>
      </c>
      <c r="C132" s="332"/>
      <c r="D132" s="346"/>
      <c r="E132" s="330" t="n">
        <f aca="false">4266-19150</f>
        <v>-14884</v>
      </c>
      <c r="G132" s="590" t="n">
        <v>36669</v>
      </c>
      <c r="H132" s="153"/>
      <c r="I132" s="59"/>
      <c r="J132" s="59"/>
      <c r="K132" s="324"/>
      <c r="L132" s="330" t="n">
        <v>59162</v>
      </c>
      <c r="M132" s="59"/>
      <c r="N132" s="59"/>
      <c r="O132" s="59"/>
      <c r="P132" s="59"/>
    </row>
    <row r="133" customFormat="false" ht="12.75" hidden="false" customHeight="true" outlineLevel="0" collapsed="false">
      <c r="A133" s="329" t="n">
        <v>36312</v>
      </c>
      <c r="B133" s="153" t="s">
        <v>286</v>
      </c>
      <c r="C133" s="332"/>
      <c r="D133" s="346"/>
      <c r="E133" s="330" t="n">
        <f aca="false">-51-28595</f>
        <v>-28646</v>
      </c>
      <c r="G133" s="590" t="n">
        <v>36670</v>
      </c>
      <c r="H133" s="153"/>
      <c r="I133" s="59"/>
      <c r="J133" s="149"/>
      <c r="K133" s="324"/>
      <c r="L133" s="330" t="n">
        <v>270176</v>
      </c>
      <c r="M133" s="59"/>
      <c r="N133" s="59"/>
      <c r="O133" s="59"/>
      <c r="P133" s="59"/>
    </row>
    <row r="134" customFormat="false" ht="12.75" hidden="false" customHeight="true" outlineLevel="0" collapsed="false">
      <c r="A134" s="329" t="n">
        <v>36342</v>
      </c>
      <c r="B134" s="153" t="s">
        <v>287</v>
      </c>
      <c r="C134" s="332"/>
      <c r="D134" s="346"/>
      <c r="E134" s="325" t="n">
        <f aca="false">2848-29753</f>
        <v>-26905</v>
      </c>
      <c r="G134" s="326" t="n">
        <v>36671</v>
      </c>
      <c r="H134" s="153"/>
      <c r="I134" s="59"/>
      <c r="J134" s="59"/>
      <c r="K134" s="324"/>
      <c r="L134" s="325" t="n">
        <v>374959</v>
      </c>
      <c r="M134" s="98"/>
      <c r="N134" s="60"/>
      <c r="O134" s="59"/>
      <c r="P134" s="59"/>
    </row>
    <row r="135" customFormat="false" ht="12.75" hidden="false" customHeight="true" outlineLevel="0" collapsed="false">
      <c r="A135" s="329" t="n">
        <v>36373</v>
      </c>
      <c r="B135" s="153" t="s">
        <v>288</v>
      </c>
      <c r="C135" s="153"/>
      <c r="D135" s="324"/>
      <c r="E135" s="325" t="n">
        <f aca="false">-9037-55827</f>
        <v>-64864</v>
      </c>
      <c r="G135" s="590" t="n">
        <v>36672</v>
      </c>
      <c r="H135" s="153"/>
      <c r="I135" s="59"/>
      <c r="J135" s="59"/>
      <c r="K135" s="324"/>
      <c r="L135" s="325" t="n">
        <v>374959</v>
      </c>
      <c r="M135" s="98"/>
      <c r="N135" s="59"/>
      <c r="O135" s="59"/>
      <c r="P135" s="59"/>
    </row>
    <row r="136" customFormat="false" ht="12.75" hidden="false" customHeight="true" outlineLevel="0" collapsed="false">
      <c r="A136" s="329" t="n">
        <v>36404</v>
      </c>
      <c r="B136" s="153" t="s">
        <v>289</v>
      </c>
      <c r="C136" s="153"/>
      <c r="D136" s="324"/>
      <c r="E136" s="325" t="n">
        <f aca="false">-15937-79104</f>
        <v>-95041</v>
      </c>
      <c r="G136" s="590" t="n">
        <v>36676</v>
      </c>
      <c r="H136" s="153"/>
      <c r="I136" s="59"/>
      <c r="J136" s="59"/>
      <c r="K136" s="324"/>
      <c r="L136" s="325" t="n">
        <v>-17820</v>
      </c>
      <c r="M136" s="59"/>
      <c r="N136" s="98"/>
      <c r="O136" s="59"/>
      <c r="P136" s="59"/>
    </row>
    <row r="137" customFormat="false" ht="12.75" hidden="false" customHeight="true" outlineLevel="0" collapsed="false">
      <c r="A137" s="329" t="n">
        <v>36434</v>
      </c>
      <c r="B137" s="153" t="s">
        <v>290</v>
      </c>
      <c r="C137" s="153"/>
      <c r="D137" s="324"/>
      <c r="E137" s="325" t="n">
        <f aca="false">5127-67394</f>
        <v>-62267</v>
      </c>
      <c r="G137" s="590" t="n">
        <v>36677</v>
      </c>
      <c r="H137" s="153"/>
      <c r="I137" s="62" t="s">
        <v>371</v>
      </c>
      <c r="J137" s="62"/>
      <c r="K137" s="324"/>
      <c r="L137" s="325" t="n">
        <f aca="false">-154630+1443037.54</f>
        <v>1288407.54</v>
      </c>
      <c r="M137" s="59"/>
      <c r="N137" s="98"/>
      <c r="O137" s="59"/>
      <c r="P137" s="59"/>
    </row>
    <row r="138" customFormat="false" ht="12.75" hidden="false" customHeight="true" outlineLevel="0" collapsed="false">
      <c r="A138" s="329" t="n">
        <v>36465</v>
      </c>
      <c r="B138" s="153" t="s">
        <v>291</v>
      </c>
      <c r="C138" s="333"/>
      <c r="D138" s="324"/>
      <c r="E138" s="325" t="n">
        <v>-63928</v>
      </c>
      <c r="G138" s="326" t="n">
        <v>36678</v>
      </c>
      <c r="H138" s="153"/>
      <c r="I138" s="588"/>
      <c r="J138" s="62"/>
      <c r="K138" s="324"/>
      <c r="L138" s="325" t="n">
        <v>-176412</v>
      </c>
      <c r="M138" s="59"/>
      <c r="N138" s="59"/>
      <c r="O138" s="59"/>
      <c r="P138" s="59"/>
    </row>
    <row r="139" customFormat="false" ht="12.75" hidden="false" customHeight="true" outlineLevel="0" collapsed="false">
      <c r="A139" s="329" t="n">
        <v>36495</v>
      </c>
      <c r="B139" s="153" t="s">
        <v>292</v>
      </c>
      <c r="C139" s="59"/>
      <c r="D139" s="301"/>
      <c r="E139" s="325" t="n">
        <v>-65289</v>
      </c>
      <c r="G139" s="590" t="n">
        <v>36679</v>
      </c>
      <c r="H139" s="153"/>
      <c r="I139" s="59"/>
      <c r="J139" s="59"/>
      <c r="K139" s="324"/>
      <c r="L139" s="325" t="n">
        <v>-205355</v>
      </c>
      <c r="M139" s="59"/>
      <c r="N139" s="59"/>
      <c r="O139" s="59"/>
      <c r="P139" s="59"/>
    </row>
    <row r="140" customFormat="false" ht="12.75" hidden="false" customHeight="true" outlineLevel="0" collapsed="false">
      <c r="A140" s="329" t="n">
        <v>36526</v>
      </c>
      <c r="B140" s="153" t="s">
        <v>293</v>
      </c>
      <c r="C140" s="59"/>
      <c r="D140" s="324"/>
      <c r="E140" s="325" t="n">
        <f aca="false">9664-62817</f>
        <v>-53153</v>
      </c>
      <c r="G140" s="326" t="n">
        <v>36682</v>
      </c>
      <c r="H140" s="153"/>
      <c r="I140" s="59"/>
      <c r="J140" s="59"/>
      <c r="K140" s="324"/>
      <c r="L140" s="325" t="n">
        <v>332912</v>
      </c>
      <c r="M140" s="59"/>
      <c r="N140" s="59"/>
      <c r="O140" s="59"/>
      <c r="P140" s="59"/>
    </row>
    <row r="141" customFormat="false" ht="12.75" hidden="false" customHeight="true" outlineLevel="0" collapsed="false">
      <c r="A141" s="329" t="n">
        <v>36557</v>
      </c>
      <c r="B141" s="153" t="s">
        <v>294</v>
      </c>
      <c r="C141" s="59"/>
      <c r="D141" s="324"/>
      <c r="E141" s="325" t="n">
        <v>-33215</v>
      </c>
      <c r="G141" s="326" t="n">
        <v>36683</v>
      </c>
      <c r="H141" s="153"/>
      <c r="I141" s="59"/>
      <c r="J141" s="59"/>
      <c r="K141" s="324"/>
      <c r="L141" s="325" t="n">
        <v>20441</v>
      </c>
      <c r="M141" s="59"/>
      <c r="N141" s="59"/>
      <c r="O141" s="59"/>
      <c r="P141" s="59"/>
    </row>
    <row r="142" customFormat="false" ht="12.75" hidden="false" customHeight="true" outlineLevel="0" collapsed="false">
      <c r="A142" s="329" t="n">
        <v>36586</v>
      </c>
      <c r="B142" s="153" t="s">
        <v>295</v>
      </c>
      <c r="C142" s="153"/>
      <c r="D142" s="324"/>
      <c r="E142" s="325" t="n">
        <v>-28131</v>
      </c>
      <c r="G142" s="326" t="n">
        <v>36684</v>
      </c>
      <c r="H142" s="153"/>
      <c r="I142" s="59"/>
      <c r="J142" s="59"/>
      <c r="K142" s="324"/>
      <c r="L142" s="325" t="n">
        <v>-191572</v>
      </c>
      <c r="M142" s="59"/>
      <c r="N142" s="59"/>
      <c r="O142" s="59"/>
      <c r="P142" s="59"/>
    </row>
    <row r="143" customFormat="false" ht="12.75" hidden="false" customHeight="true" outlineLevel="0" collapsed="false">
      <c r="A143" s="329" t="n">
        <v>36617</v>
      </c>
      <c r="B143" s="153" t="s">
        <v>297</v>
      </c>
      <c r="C143" s="153"/>
      <c r="D143" s="324"/>
      <c r="E143" s="325" t="n">
        <v>-31089</v>
      </c>
      <c r="G143" s="326" t="n">
        <v>36685</v>
      </c>
      <c r="H143" s="153"/>
      <c r="I143" s="59"/>
      <c r="J143" s="59"/>
      <c r="K143" s="324"/>
      <c r="L143" s="325" t="n">
        <v>24474</v>
      </c>
      <c r="M143" s="59"/>
      <c r="N143" s="59"/>
      <c r="O143" s="59"/>
      <c r="P143" s="59"/>
    </row>
    <row r="144" customFormat="false" ht="12.75" hidden="false" customHeight="true" outlineLevel="0" collapsed="false">
      <c r="A144" s="329" t="n">
        <v>36647</v>
      </c>
      <c r="B144" s="153" t="s">
        <v>298</v>
      </c>
      <c r="C144" s="153"/>
      <c r="D144" s="324"/>
      <c r="E144" s="325" t="n">
        <v>-92738</v>
      </c>
      <c r="G144" s="326" t="n">
        <v>36686</v>
      </c>
      <c r="H144" s="153"/>
      <c r="I144" s="62"/>
      <c r="J144" s="588"/>
      <c r="K144" s="324"/>
      <c r="L144" s="325" t="n">
        <v>36071</v>
      </c>
      <c r="M144" s="59"/>
      <c r="N144" s="59"/>
      <c r="O144" s="59"/>
      <c r="P144" s="59"/>
    </row>
    <row r="145" customFormat="false" ht="12.75" hidden="false" customHeight="true" outlineLevel="0" collapsed="false">
      <c r="A145" s="329" t="n">
        <v>36678</v>
      </c>
      <c r="B145" s="153" t="s">
        <v>300</v>
      </c>
      <c r="C145" s="153"/>
      <c r="D145" s="324"/>
      <c r="E145" s="325" t="n">
        <v>-239525</v>
      </c>
      <c r="G145" s="326" t="n">
        <v>36689</v>
      </c>
      <c r="H145" s="153"/>
      <c r="I145" s="62"/>
      <c r="J145" s="588"/>
      <c r="K145" s="324"/>
      <c r="L145" s="325" t="n">
        <v>-463</v>
      </c>
      <c r="M145" s="59"/>
      <c r="N145" s="59"/>
      <c r="O145" s="59"/>
      <c r="P145" s="59"/>
    </row>
    <row r="146" customFormat="false" ht="12.75" hidden="false" customHeight="true" outlineLevel="0" collapsed="false">
      <c r="A146" s="329" t="n">
        <v>36708</v>
      </c>
      <c r="B146" s="153" t="s">
        <v>301</v>
      </c>
      <c r="C146" s="153"/>
      <c r="D146" s="324"/>
      <c r="E146" s="325" t="n">
        <v>-244025</v>
      </c>
      <c r="G146" s="326" t="n">
        <v>36690</v>
      </c>
      <c r="H146" s="153"/>
      <c r="I146" s="59"/>
      <c r="J146" s="149"/>
      <c r="K146" s="324"/>
      <c r="L146" s="325" t="n">
        <v>10546</v>
      </c>
      <c r="M146" s="59"/>
      <c r="N146" s="59"/>
      <c r="O146" s="59"/>
      <c r="P146" s="59"/>
    </row>
    <row r="147" customFormat="false" ht="12.75" hidden="false" customHeight="true" outlineLevel="0" collapsed="false">
      <c r="A147" s="329" t="n">
        <v>36739</v>
      </c>
      <c r="B147" s="153" t="s">
        <v>302</v>
      </c>
      <c r="C147" s="153"/>
      <c r="D147" s="324"/>
      <c r="E147" s="325" t="n">
        <v>-449671</v>
      </c>
      <c r="G147" s="326" t="n">
        <v>36691</v>
      </c>
      <c r="H147" s="153"/>
      <c r="I147" s="59"/>
      <c r="J147" s="59"/>
      <c r="K147" s="324"/>
      <c r="L147" s="325" t="n">
        <v>-3621</v>
      </c>
      <c r="M147" s="59"/>
      <c r="N147" s="59"/>
      <c r="O147" s="59"/>
      <c r="P147" s="59"/>
    </row>
    <row r="148" customFormat="false" ht="12.75" hidden="false" customHeight="true" outlineLevel="0" collapsed="false">
      <c r="A148" s="329" t="n">
        <v>36770</v>
      </c>
      <c r="B148" s="153" t="s">
        <v>303</v>
      </c>
      <c r="C148" s="153"/>
      <c r="D148" s="324"/>
      <c r="E148" s="325" t="n">
        <v>-454556</v>
      </c>
      <c r="G148" s="326" t="n">
        <v>36692</v>
      </c>
      <c r="H148" s="153"/>
      <c r="I148" s="59"/>
      <c r="J148" s="59"/>
      <c r="K148" s="324"/>
      <c r="L148" s="325" t="n">
        <v>47436</v>
      </c>
      <c r="M148" s="59"/>
      <c r="N148" s="59"/>
      <c r="O148" s="59"/>
      <c r="P148" s="59"/>
    </row>
    <row r="149" customFormat="false" ht="12.75" hidden="false" customHeight="true" outlineLevel="0" collapsed="false">
      <c r="A149" s="329" t="n">
        <v>36800</v>
      </c>
      <c r="B149" s="153" t="s">
        <v>304</v>
      </c>
      <c r="C149" s="153"/>
      <c r="D149" s="324"/>
      <c r="E149" s="325" t="n">
        <v>-476642</v>
      </c>
      <c r="G149" s="326" t="n">
        <v>36693</v>
      </c>
      <c r="H149" s="153"/>
      <c r="I149" s="59"/>
      <c r="J149" s="59"/>
      <c r="K149" s="324"/>
      <c r="L149" s="325" t="n">
        <v>335361</v>
      </c>
      <c r="M149" s="59"/>
      <c r="N149" s="59"/>
      <c r="O149" s="59"/>
      <c r="P149" s="59"/>
    </row>
    <row r="150" customFormat="false" ht="12.75" hidden="false" customHeight="true" outlineLevel="0" collapsed="false">
      <c r="A150" s="329"/>
      <c r="B150" s="153"/>
      <c r="C150" s="153"/>
      <c r="D150" s="324"/>
      <c r="E150" s="325"/>
      <c r="G150" s="326"/>
      <c r="H150" s="153"/>
      <c r="I150" s="59"/>
      <c r="J150" s="59"/>
      <c r="K150" s="324"/>
      <c r="L150" s="325"/>
      <c r="M150" s="59"/>
      <c r="N150" s="59"/>
      <c r="O150" s="59"/>
      <c r="P150" s="59"/>
    </row>
    <row r="151" customFormat="false" ht="12.75" hidden="false" customHeight="true" outlineLevel="0" collapsed="false">
      <c r="A151" s="329"/>
      <c r="B151" s="153"/>
      <c r="C151" s="153"/>
      <c r="D151" s="324"/>
      <c r="E151" s="325"/>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25"/>
      <c r="M157" s="59"/>
      <c r="N157" s="59"/>
      <c r="O157" s="59"/>
      <c r="P157" s="59"/>
    </row>
    <row r="158" customFormat="false" ht="12.75" hidden="false" customHeight="true" outlineLevel="0" collapsed="false">
      <c r="A158" s="329"/>
      <c r="B158" s="153"/>
      <c r="C158" s="153"/>
      <c r="D158" s="324"/>
      <c r="E158" s="334"/>
      <c r="G158" s="326"/>
      <c r="H158" s="153"/>
      <c r="I158" s="59"/>
      <c r="J158" s="59"/>
      <c r="K158" s="324"/>
      <c r="L158" s="325"/>
      <c r="M158" s="59"/>
      <c r="N158" s="59"/>
      <c r="O158" s="59"/>
      <c r="P158" s="59"/>
    </row>
    <row r="159" customFormat="false" ht="12.75" hidden="false" customHeight="true" outlineLevel="0" collapsed="false">
      <c r="A159" s="335"/>
      <c r="B159" s="153"/>
      <c r="C159" s="153"/>
      <c r="D159" s="336" t="s">
        <v>306</v>
      </c>
      <c r="E159" s="338" t="n">
        <f aca="false">SUM(E126:E158)</f>
        <v>-2581772</v>
      </c>
      <c r="G159" s="326"/>
      <c r="H159" s="153"/>
      <c r="I159" s="59"/>
      <c r="J159" s="59"/>
      <c r="K159" s="324"/>
      <c r="L159" s="334"/>
      <c r="M159" s="59"/>
      <c r="N159" s="59"/>
      <c r="O159" s="59"/>
      <c r="P159" s="59"/>
    </row>
    <row r="160" customFormat="false" ht="12.75" hidden="false" customHeight="true" outlineLevel="0" collapsed="false">
      <c r="A160" s="339"/>
      <c r="B160" s="340"/>
      <c r="C160" s="340"/>
      <c r="D160" s="340"/>
      <c r="E160" s="341"/>
      <c r="G160" s="335"/>
      <c r="H160" s="153"/>
      <c r="I160" s="59"/>
      <c r="J160" s="59"/>
      <c r="K160" s="336" t="s">
        <v>305</v>
      </c>
      <c r="L160" s="338"/>
      <c r="M160" s="59"/>
      <c r="N160" s="59"/>
      <c r="O160" s="59"/>
      <c r="P160" s="59"/>
    </row>
    <row r="161" customFormat="false" ht="12.75" hidden="false" customHeight="true" outlineLevel="0" collapsed="false">
      <c r="G161" s="339"/>
      <c r="H161" s="340"/>
      <c r="I161" s="340"/>
      <c r="J161" s="340"/>
      <c r="K161" s="340"/>
      <c r="L161" s="341"/>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c r="B165" s="153"/>
      <c r="C165" s="153"/>
      <c r="D165" s="324"/>
      <c r="E165" s="325"/>
      <c r="AJ165" s="59"/>
      <c r="AK165" s="59"/>
      <c r="AL165" s="59"/>
      <c r="AM165" s="59"/>
    </row>
    <row r="166" customFormat="false" ht="12.75" hidden="false" customHeight="true" outlineLevel="0" collapsed="false">
      <c r="A166" s="342"/>
      <c r="B166" s="153"/>
      <c r="C166" s="153"/>
      <c r="D166" s="324"/>
      <c r="E166" s="325"/>
      <c r="AJ166" s="59"/>
      <c r="AK166" s="59"/>
      <c r="AL166" s="59"/>
      <c r="AM166" s="59"/>
    </row>
    <row r="167" customFormat="false" ht="12.75" hidden="false" customHeight="true" outlineLevel="0" collapsed="false">
      <c r="A167" s="342"/>
      <c r="B167" s="153"/>
      <c r="C167" s="153"/>
      <c r="D167" s="324"/>
      <c r="E167" s="325"/>
      <c r="AJ167" s="59"/>
      <c r="AK167" s="59"/>
      <c r="AL167" s="59"/>
      <c r="AM167" s="59"/>
    </row>
    <row r="168" customFormat="false" ht="12.75" hidden="false" customHeight="true" outlineLevel="0" collapsed="false">
      <c r="A168" s="342"/>
      <c r="B168" s="153"/>
      <c r="C168" s="153"/>
      <c r="D168" s="324"/>
      <c r="E168" s="330"/>
      <c r="AJ168" s="59"/>
      <c r="AK168" s="59"/>
      <c r="AL168" s="59"/>
      <c r="AM168" s="59"/>
    </row>
    <row r="169" customFormat="false" ht="12.75" hidden="false" customHeight="true" outlineLevel="0" collapsed="false">
      <c r="A169" s="342"/>
      <c r="B169" s="153"/>
      <c r="C169" s="153"/>
      <c r="D169" s="324"/>
      <c r="E169" s="325"/>
      <c r="AJ169" s="59"/>
      <c r="AK169" s="59"/>
      <c r="AL169" s="59"/>
      <c r="AM169" s="59"/>
    </row>
    <row r="170" customFormat="false" ht="12.75" hidden="false" customHeight="true" outlineLevel="0" collapsed="false">
      <c r="A170" s="342"/>
      <c r="B170" s="153"/>
      <c r="C170" s="153"/>
      <c r="D170" s="324"/>
      <c r="E170" s="325"/>
      <c r="AJ170" s="59"/>
      <c r="AK170" s="59"/>
      <c r="AL170" s="59"/>
      <c r="AM170" s="59"/>
    </row>
    <row r="171" customFormat="false" ht="12.75" hidden="false" customHeight="true" outlineLevel="0" collapsed="false">
      <c r="A171" s="342"/>
      <c r="B171" s="153"/>
      <c r="C171" s="332"/>
      <c r="D171" s="346"/>
      <c r="E171" s="330"/>
      <c r="AJ171" s="59"/>
      <c r="AK171" s="59"/>
      <c r="AL171" s="59"/>
      <c r="AM171" s="59"/>
    </row>
    <row r="172" customFormat="false" ht="12.75" hidden="false" customHeight="true" outlineLevel="0" collapsed="false">
      <c r="A172" s="342"/>
      <c r="B172" s="327"/>
      <c r="C172" s="332"/>
      <c r="D172" s="346"/>
      <c r="E172" s="330"/>
      <c r="AJ172" s="59"/>
      <c r="AK172" s="59"/>
      <c r="AL172" s="59"/>
      <c r="AM172" s="59"/>
    </row>
    <row r="173" customFormat="false" ht="12.75" hidden="false" customHeight="true" outlineLevel="0" collapsed="false">
      <c r="A173" s="342"/>
      <c r="B173" s="327"/>
      <c r="C173" s="153"/>
      <c r="D173" s="324"/>
      <c r="E173" s="325"/>
      <c r="AJ173" s="59"/>
      <c r="AK173" s="59"/>
      <c r="AL173" s="59"/>
      <c r="AM173" s="59"/>
    </row>
    <row r="174" customFormat="false" ht="12.75" hidden="false" customHeight="true" outlineLevel="0" collapsed="false">
      <c r="A174" s="342"/>
      <c r="B174" s="153"/>
      <c r="C174" s="153"/>
      <c r="D174" s="324"/>
      <c r="E174" s="32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25"/>
      <c r="AJ176" s="59"/>
      <c r="AK176" s="59"/>
      <c r="AL176" s="59"/>
      <c r="AM176" s="59"/>
    </row>
    <row r="177" customFormat="false" ht="12.75" hidden="false" customHeight="true" outlineLevel="0" collapsed="false">
      <c r="A177" s="342"/>
      <c r="B177" s="153"/>
      <c r="C177" s="153"/>
      <c r="D177" s="324"/>
      <c r="E177" s="325"/>
      <c r="AJ177" s="59"/>
      <c r="AK177" s="59"/>
      <c r="AL177" s="59"/>
      <c r="AM177" s="59"/>
    </row>
    <row r="178" customFormat="false" ht="12.75" hidden="false" customHeight="true" outlineLevel="0" collapsed="false">
      <c r="A178" s="342"/>
      <c r="B178" s="62"/>
      <c r="C178" s="332"/>
      <c r="D178" s="346"/>
      <c r="E178" s="330"/>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0</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AJ188" s="59"/>
      <c r="AK188" s="59"/>
      <c r="AL188" s="59"/>
      <c r="AM188" s="59"/>
    </row>
    <row r="189" customFormat="false" ht="12.75" hidden="false" customHeight="true" outlineLevel="0" collapsed="false">
      <c r="A189" s="352" t="s">
        <v>331</v>
      </c>
      <c r="B189" s="350"/>
      <c r="C189" s="350"/>
      <c r="D189" s="350"/>
      <c r="E189" s="350"/>
      <c r="F189" s="350"/>
      <c r="M189" s="351"/>
      <c r="O189" s="59"/>
      <c r="P189" s="59"/>
      <c r="Q189" s="59"/>
      <c r="R189" s="59"/>
    </row>
    <row r="190" customFormat="false" ht="12.75" hidden="false" customHeight="true" outlineLevel="0" collapsed="false">
      <c r="A190" s="355" t="s">
        <v>332</v>
      </c>
      <c r="B190" s="356" t="s">
        <v>268</v>
      </c>
      <c r="C190" s="357" t="s">
        <v>333</v>
      </c>
      <c r="D190" s="358" t="s">
        <v>334</v>
      </c>
      <c r="E190" s="404" t="s">
        <v>269</v>
      </c>
      <c r="F190" s="404"/>
      <c r="G190" s="350"/>
      <c r="H190" s="350"/>
      <c r="I190" s="350"/>
      <c r="J190" s="350"/>
      <c r="K190" s="350"/>
      <c r="L190" s="350"/>
      <c r="M190" s="354" t="s">
        <v>270</v>
      </c>
      <c r="O190" s="59"/>
      <c r="P190" s="59"/>
      <c r="Q190" s="59"/>
      <c r="R190" s="59"/>
    </row>
    <row r="191" customFormat="false" ht="12.75" hidden="false" customHeight="true" outlineLevel="0" collapsed="false">
      <c r="A191" s="360"/>
      <c r="B191" s="361"/>
      <c r="C191" s="362"/>
      <c r="D191" s="324"/>
      <c r="E191" s="153"/>
      <c r="F191" s="153"/>
      <c r="G191" s="353"/>
      <c r="H191" s="353"/>
      <c r="I191" s="353"/>
      <c r="J191" s="353"/>
      <c r="K191" s="353"/>
      <c r="L191" s="3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c r="O195" s="59"/>
      <c r="P195" s="59"/>
      <c r="Q195" s="59"/>
      <c r="R195" s="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153"/>
      <c r="M213" s="359"/>
    </row>
    <row r="214" customFormat="false" ht="12.75" hidden="false" customHeight="true" outlineLevel="0" collapsed="false">
      <c r="A214" s="363"/>
      <c r="B214" s="361"/>
      <c r="C214" s="367"/>
      <c r="D214" s="324"/>
      <c r="E214" s="153"/>
      <c r="F214" s="153"/>
      <c r="G214" s="153"/>
      <c r="H214" s="153"/>
      <c r="I214" s="153"/>
      <c r="J214" s="153"/>
      <c r="K214" s="153"/>
      <c r="L214" s="153"/>
      <c r="M214" s="366" t="n">
        <f aca="false">SUM(M191:M213)</f>
        <v>0</v>
      </c>
    </row>
    <row r="215" customFormat="false" ht="12.75" hidden="false" customHeight="true" outlineLevel="0" collapsed="false">
      <c r="A215" s="368"/>
      <c r="B215" s="369"/>
      <c r="C215" s="340"/>
      <c r="D215" s="340"/>
      <c r="E215" s="340"/>
      <c r="F215" s="340"/>
      <c r="G215" s="153"/>
      <c r="H215" s="153"/>
      <c r="I215" s="153"/>
      <c r="J215" s="153"/>
      <c r="K215" s="153"/>
      <c r="L215" s="336" t="s">
        <v>335</v>
      </c>
      <c r="M215" s="341"/>
    </row>
    <row r="216" customFormat="false" ht="12.75" hidden="false" customHeight="true" outlineLevel="0" collapsed="false">
      <c r="G216" s="340"/>
      <c r="H216" s="340"/>
      <c r="I216" s="340"/>
      <c r="J216" s="340"/>
      <c r="K216" s="340"/>
      <c r="L216" s="340"/>
    </row>
    <row r="217" customFormat="false" ht="12.75" hidden="false" customHeight="true" outlineLevel="0" collapsed="false"/>
    <row r="218" customFormat="false" ht="12.75" hidden="false" customHeight="true" outlineLevel="0" collapsed="false">
      <c r="A218" s="371" t="s">
        <v>336</v>
      </c>
      <c r="B218" s="372"/>
      <c r="C218" s="372"/>
      <c r="D218" s="372"/>
      <c r="E218" s="372"/>
      <c r="F218" s="373"/>
      <c r="M218" s="370"/>
      <c r="N218" s="370"/>
    </row>
    <row r="219" customFormat="false" ht="12.75" hidden="false" customHeight="true" outlineLevel="0" collapsed="false">
      <c r="A219" s="374" t="s">
        <v>332</v>
      </c>
      <c r="B219" s="375" t="s">
        <v>268</v>
      </c>
      <c r="C219" s="376" t="s">
        <v>333</v>
      </c>
      <c r="D219" s="377" t="s">
        <v>334</v>
      </c>
      <c r="E219" s="377"/>
      <c r="F219" s="378" t="s">
        <v>270</v>
      </c>
      <c r="G219" s="370"/>
      <c r="H219" s="370"/>
      <c r="I219" s="370"/>
      <c r="J219" s="370"/>
      <c r="K219" s="370"/>
      <c r="L219" s="370"/>
      <c r="M219" s="370"/>
      <c r="N219" s="370"/>
    </row>
    <row r="220" customFormat="false" ht="12.75" hidden="false" customHeight="true" outlineLevel="0" collapsed="false">
      <c r="A220" s="380"/>
      <c r="B220" s="361" t="n">
        <v>36836</v>
      </c>
      <c r="C220" s="381" t="s">
        <v>372</v>
      </c>
      <c r="D220" s="153" t="s">
        <v>373</v>
      </c>
      <c r="E220" s="382"/>
      <c r="F220" s="383" t="n">
        <v>-220994</v>
      </c>
      <c r="G220" s="370"/>
      <c r="H220" s="370"/>
      <c r="I220" s="370"/>
      <c r="J220" s="370"/>
      <c r="K220" s="370"/>
      <c r="L220" s="370"/>
      <c r="M220" s="379"/>
      <c r="N220" s="379"/>
    </row>
    <row r="221" customFormat="false" ht="12.75" hidden="false" customHeight="true" outlineLevel="0" collapsed="false">
      <c r="A221" s="380"/>
      <c r="B221" s="361"/>
      <c r="C221" s="370"/>
      <c r="D221" s="385"/>
      <c r="E221" s="382"/>
      <c r="F221" s="405"/>
      <c r="G221" s="379"/>
      <c r="H221" s="379"/>
      <c r="I221" s="379"/>
      <c r="J221" s="379"/>
      <c r="K221" s="379"/>
      <c r="L221" s="379"/>
      <c r="M221" s="379"/>
      <c r="N221" s="379"/>
    </row>
    <row r="222" customFormat="false" ht="12.75" hidden="false" customHeight="true" outlineLevel="0" collapsed="false">
      <c r="A222" s="380"/>
      <c r="B222" s="361"/>
      <c r="C222" s="370"/>
      <c r="D222" s="385"/>
      <c r="E222" s="382"/>
      <c r="F222" s="384"/>
      <c r="G222" s="379"/>
      <c r="H222" s="379"/>
      <c r="I222" s="379"/>
      <c r="J222" s="379"/>
      <c r="K222" s="379"/>
      <c r="L222" s="379"/>
      <c r="M222" s="370"/>
      <c r="N222" s="370"/>
    </row>
    <row r="223" customFormat="false" ht="12.75" hidden="false" customHeight="true" outlineLevel="0" collapsed="false">
      <c r="A223" s="380"/>
      <c r="B223" s="361"/>
      <c r="C223" s="370"/>
      <c r="D223" s="385"/>
      <c r="E223" s="382"/>
      <c r="F223" s="384"/>
      <c r="G223" s="370"/>
      <c r="H223" s="370"/>
      <c r="I223" s="370"/>
      <c r="J223" s="370"/>
      <c r="K223" s="370"/>
      <c r="L223" s="370"/>
      <c r="M223" s="370"/>
      <c r="N223" s="370"/>
    </row>
    <row r="224" customFormat="false" ht="12.75" hidden="false" customHeight="true" outlineLevel="0" collapsed="false">
      <c r="A224" s="380"/>
      <c r="B224" s="361"/>
      <c r="C224" s="370"/>
      <c r="D224" s="385"/>
      <c r="E224" s="382"/>
      <c r="F224" s="384"/>
      <c r="G224" s="370"/>
      <c r="H224" s="370"/>
      <c r="I224" s="370"/>
      <c r="J224" s="370"/>
      <c r="K224" s="370"/>
      <c r="L224" s="370"/>
      <c r="M224" s="370"/>
      <c r="N224" s="370"/>
    </row>
    <row r="225" customFormat="false" ht="12.75" hidden="false" customHeight="true" outlineLevel="0" collapsed="false">
      <c r="A225" s="380"/>
      <c r="B225" s="361"/>
      <c r="C225" s="370"/>
      <c r="D225" s="385"/>
      <c r="E225" s="382"/>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4"/>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6" t="n">
        <f aca="false">SUM(F219:F237)</f>
        <v>-220994</v>
      </c>
      <c r="G238" s="370"/>
      <c r="H238" s="370"/>
      <c r="I238" s="370"/>
      <c r="J238" s="370"/>
      <c r="K238" s="370"/>
      <c r="L238" s="370"/>
      <c r="M238" s="370"/>
      <c r="N238" s="370"/>
    </row>
    <row r="239" customFormat="false" ht="12.75" hidden="false" customHeight="true" outlineLevel="0" collapsed="false">
      <c r="A239" s="388"/>
      <c r="B239" s="389"/>
      <c r="C239" s="390"/>
      <c r="D239" s="390"/>
      <c r="E239" s="391"/>
      <c r="F239" s="387"/>
      <c r="G239" s="370"/>
      <c r="H239" s="370"/>
      <c r="I239" s="370"/>
      <c r="J239" s="370"/>
      <c r="K239" s="370"/>
      <c r="L239" s="370"/>
      <c r="M239" s="370"/>
      <c r="N239" s="370"/>
    </row>
    <row r="240" customFormat="false" ht="12.75" hidden="false" customHeight="true" outlineLevel="0" collapsed="false">
      <c r="G240" s="370"/>
      <c r="H240" s="370"/>
      <c r="I240" s="370"/>
      <c r="J240" s="370"/>
      <c r="K240" s="370"/>
      <c r="L240" s="370"/>
    </row>
  </sheetData>
  <mergeCells count="11">
    <mergeCell ref="S6:T6"/>
    <mergeCell ref="K28:L28"/>
    <mergeCell ref="A41:B41"/>
    <mergeCell ref="AI42:AJ42"/>
    <mergeCell ref="A79:B79"/>
    <mergeCell ref="A121:B121"/>
    <mergeCell ref="B125:D125"/>
    <mergeCell ref="G125:K125"/>
    <mergeCell ref="B164:D164"/>
    <mergeCell ref="E190:F190"/>
    <mergeCell ref="D219:E219"/>
  </mergeCells>
  <printOptions headings="false" gridLines="false" gridLinesSet="true" horizontalCentered="true" verticalCentered="false"/>
  <pageMargins left="0.25" right="0.25" top="0.25" bottom="0.25" header="0.511811023622047" footer="0.25"/>
  <pageSetup paperSize="5" scale="100" fitToWidth="1" fitToHeight="1" pageOrder="downThenOver" orientation="landscape" blackAndWhite="false" draft="false" cellComments="none" horizontalDpi="300" verticalDpi="300" copies="1"/>
  <headerFooter differentFirst="false" differentOddEven="false">
    <oddHeader/>
    <oddFooter>&amp;L&amp;"Times New Roman,Italic"&amp;F/&amp;A  Prepared By: S. Mills (x3548)&amp;R&amp;"Times New Roman,Italic"&amp;D &amp;T</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6" topLeftCell="N41" activePane="bottomRight" state="frozen"/>
      <selection pane="topLeft" activeCell="A1" activeCellId="0" sqref="A1"/>
      <selection pane="topRight" activeCell="N1" activeCellId="0" sqref="N1"/>
      <selection pane="bottomLeft" activeCell="A41" activeCellId="0" sqref="A41"/>
      <selection pane="bottomRight" activeCell="S72" activeCellId="0" sqref="S72"/>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17.14"/>
    <col collapsed="false" customWidth="true" hidden="false" outlineLevel="0" max="4" min="3" style="193" width="14.85"/>
    <col collapsed="false" customWidth="true" hidden="false" outlineLevel="0" max="5" min="5" style="193" width="17.28"/>
    <col collapsed="false" customWidth="true" hidden="false" outlineLevel="0" max="11" min="6"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false" hidden="false" outlineLevel="0" max="38" min="38" style="193" width="9.14"/>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392" t="n">
        <f aca="false">M38</f>
        <v>0</v>
      </c>
      <c r="D1" s="59"/>
      <c r="E1" s="59"/>
      <c r="F1" s="59"/>
      <c r="G1" s="59"/>
      <c r="H1" s="59"/>
      <c r="I1" s="59"/>
      <c r="J1" s="59"/>
      <c r="K1" s="59"/>
      <c r="L1" s="59"/>
      <c r="M1" s="59"/>
      <c r="N1" s="59"/>
      <c r="O1" s="59"/>
    </row>
    <row r="2" customFormat="false" ht="12.75" hidden="false" customHeight="true" outlineLevel="0" collapsed="false">
      <c r="A2" s="198" t="s">
        <v>127</v>
      </c>
      <c r="D2" s="59"/>
      <c r="E2" s="59"/>
      <c r="F2" s="59"/>
      <c r="G2" s="59"/>
      <c r="H2" s="59"/>
      <c r="I2" s="59"/>
      <c r="J2" s="59"/>
      <c r="K2" s="59"/>
      <c r="L2" s="59"/>
      <c r="M2" s="59"/>
      <c r="N2" s="59"/>
      <c r="O2" s="59"/>
    </row>
    <row r="3" customFormat="false" ht="12.75" hidden="false" customHeight="true" outlineLevel="0" collapsed="false">
      <c r="A3" s="201" t="s">
        <v>128</v>
      </c>
      <c r="B3" s="581" t="s">
        <v>374</v>
      </c>
      <c r="C3" s="581" t="s">
        <v>42</v>
      </c>
      <c r="D3" s="59"/>
      <c r="E3" s="59"/>
      <c r="F3" s="59"/>
      <c r="G3" s="59"/>
      <c r="H3" s="59"/>
      <c r="I3" s="59"/>
      <c r="J3" s="59"/>
      <c r="K3" s="59"/>
      <c r="L3" s="59"/>
      <c r="M3" s="59"/>
      <c r="N3" s="59"/>
      <c r="O3" s="59"/>
    </row>
    <row r="4" customFormat="false" ht="12.75" hidden="false" customHeight="true" outlineLevel="0" collapsed="false">
      <c r="A4" s="201" t="s">
        <v>1</v>
      </c>
      <c r="B4" s="207" t="n">
        <f aca="false">Front!B4</f>
        <v>36831</v>
      </c>
      <c r="D4" s="59"/>
      <c r="E4" s="59"/>
      <c r="F4" s="59"/>
      <c r="G4" s="59"/>
      <c r="H4" s="59"/>
      <c r="I4" s="59"/>
      <c r="J4" s="59"/>
      <c r="K4" s="59"/>
      <c r="L4" s="59"/>
      <c r="M4" s="59"/>
      <c r="N4" s="59"/>
      <c r="O4" s="59"/>
    </row>
    <row r="5" customFormat="false" ht="12.75" hidden="false" customHeight="true" outlineLevel="0" collapsed="false">
      <c r="A5" s="201" t="s">
        <v>2</v>
      </c>
      <c r="B5" s="208" t="n">
        <f aca="false">Front!B5</f>
        <v>36847</v>
      </c>
      <c r="C5" s="394"/>
      <c r="V5" s="153"/>
      <c r="W5" s="153"/>
      <c r="X5" s="153"/>
      <c r="Y5" s="153"/>
      <c r="Z5" s="153"/>
      <c r="AA5" s="153"/>
    </row>
    <row r="6" customFormat="false" ht="12.75" hidden="false" customHeight="true" outlineLevel="0" collapsed="false">
      <c r="A6" s="201" t="s">
        <v>130</v>
      </c>
      <c r="B6" s="210" t="n">
        <f aca="false">Front!$H$12</f>
        <v>949856</v>
      </c>
      <c r="C6" s="394"/>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D7" s="218" t="s">
        <v>142</v>
      </c>
      <c r="E7" s="218" t="s">
        <v>143</v>
      </c>
      <c r="K7" s="214"/>
      <c r="L7" s="215" t="s">
        <v>137</v>
      </c>
      <c r="M7" s="215" t="s">
        <v>137</v>
      </c>
      <c r="N7" s="215" t="s">
        <v>137</v>
      </c>
      <c r="O7" s="215" t="s">
        <v>137</v>
      </c>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D9" s="262" t="n">
        <v>-3420079</v>
      </c>
      <c r="E9" s="262" t="n">
        <v>-3374456</v>
      </c>
      <c r="F9" s="59" t="s">
        <v>148</v>
      </c>
      <c r="G9" s="193" t="s">
        <v>149</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D10" s="193" t="n">
        <v>0</v>
      </c>
      <c r="E10" s="225" t="n">
        <v>0</v>
      </c>
      <c r="F10" s="59" t="s">
        <v>148</v>
      </c>
      <c r="G10" s="193" t="s">
        <v>149</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154</v>
      </c>
      <c r="D11" s="193" t="n">
        <v>0</v>
      </c>
      <c r="E11" s="225" t="n">
        <v>0</v>
      </c>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193" t="n">
        <v>0</v>
      </c>
      <c r="E12" s="225"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193" t="n">
        <v>0</v>
      </c>
      <c r="E13" s="225" t="n">
        <v>0</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E14" s="231" t="n">
        <f aca="false">+E159</f>
        <v>70309</v>
      </c>
      <c r="F14" s="193" t="s">
        <v>165</v>
      </c>
      <c r="K14" s="219" t="s">
        <v>166</v>
      </c>
      <c r="L14" s="232" t="n">
        <f aca="false">SUM(L9:L13)/1000000</f>
        <v>0</v>
      </c>
      <c r="M14" s="232" t="n">
        <f aca="false">SUM(M9:M13)/1000000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E15" s="231" t="n">
        <f aca="false">+L159</f>
        <v>0</v>
      </c>
      <c r="F15" s="193" t="s">
        <v>165</v>
      </c>
      <c r="K15" s="219" t="s">
        <v>169</v>
      </c>
      <c r="L15" s="94" t="n">
        <v>0</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E16" s="231" t="n">
        <f aca="false">+E185</f>
        <v>0</v>
      </c>
      <c r="F16" s="193" t="s">
        <v>165</v>
      </c>
      <c r="I16" s="238"/>
      <c r="J16" s="238"/>
      <c r="K16" s="219" t="s">
        <v>174</v>
      </c>
      <c r="L16" s="241" t="n">
        <v>0</v>
      </c>
      <c r="M16" s="241" t="n">
        <v>0</v>
      </c>
      <c r="N16" s="241" t="n">
        <v>0</v>
      </c>
      <c r="O16" s="241" t="n">
        <v>0</v>
      </c>
      <c r="P16" s="241" t="n">
        <v>0</v>
      </c>
      <c r="Q16" s="241" t="n">
        <v>0</v>
      </c>
      <c r="R16" s="398"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E19" s="248" t="n">
        <f aca="false">SUM(E9:E16)</f>
        <v>-3304147</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153"/>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f>
        <v>-3296541</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75" hidden="false" customHeight="true" outlineLevel="0" collapsed="false">
      <c r="A22" s="193" t="s">
        <v>181</v>
      </c>
      <c r="E22" s="262" t="n">
        <v>0</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75" hidden="false" customHeight="true" outlineLevel="0" collapsed="false">
      <c r="A23" s="193" t="s">
        <v>182</v>
      </c>
      <c r="E23" s="225" t="n">
        <v>0</v>
      </c>
      <c r="F23" s="59" t="s">
        <v>148</v>
      </c>
      <c r="G23" s="153"/>
      <c r="I23" s="153"/>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62"/>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-M214</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868008</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0</v>
      </c>
      <c r="F30" s="193" t="s">
        <v>193</v>
      </c>
      <c r="I30" s="153"/>
      <c r="J30" s="153"/>
      <c r="K30" s="219" t="s">
        <v>194</v>
      </c>
      <c r="L30" s="153"/>
      <c r="M30" s="226" t="n">
        <v>-3331545</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v>
      </c>
      <c r="N31" s="60" t="n">
        <f aca="false">M31</f>
        <v>0</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226" t="n">
        <v>868008</v>
      </c>
      <c r="N32" s="60"/>
      <c r="O32" s="153" t="s">
        <v>191</v>
      </c>
      <c r="P32" s="153"/>
      <c r="Q32" s="153"/>
      <c r="R32" s="220"/>
      <c r="AI32" s="59"/>
    </row>
    <row r="33" customFormat="false" ht="12.75" hidden="false" customHeight="true" outlineLevel="0" collapsed="false">
      <c r="A33" s="193" t="s">
        <v>357</v>
      </c>
      <c r="E33" s="231" t="n">
        <f aca="false">B68</f>
        <v>0</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27398</v>
      </c>
      <c r="N34" s="60" t="n">
        <f aca="false">B63</f>
        <v>0</v>
      </c>
      <c r="O34" s="153" t="s">
        <v>202</v>
      </c>
      <c r="P34" s="153"/>
      <c r="Q34" s="153"/>
      <c r="R34" s="220"/>
    </row>
    <row r="35" customFormat="false" ht="12.75" hidden="false" customHeight="true" outlineLevel="0" collapsed="false">
      <c r="A35" s="193" t="s">
        <v>203</v>
      </c>
      <c r="E35" s="231" t="n">
        <f aca="false">F238</f>
        <v>0</v>
      </c>
      <c r="F35" s="193" t="s">
        <v>193</v>
      </c>
      <c r="K35" s="219"/>
      <c r="L35" s="153"/>
      <c r="M35" s="60"/>
      <c r="N35" s="60"/>
      <c r="O35" s="153"/>
      <c r="P35" s="153"/>
      <c r="Q35" s="153"/>
      <c r="R35" s="220"/>
    </row>
    <row r="36" customFormat="false" ht="12.75" hidden="false" customHeight="true" outlineLevel="0" collapsed="false">
      <c r="A36" s="223" t="s">
        <v>204</v>
      </c>
      <c r="E36" s="248" t="n">
        <f aca="false">SUM(E29:E35)</f>
        <v>868008</v>
      </c>
      <c r="K36" s="219" t="s">
        <v>205</v>
      </c>
      <c r="L36" s="62"/>
      <c r="M36" s="60" t="n">
        <f aca="false">SUM(M30:M34)</f>
        <v>-2436139</v>
      </c>
      <c r="N36" s="60" t="n">
        <f aca="false">SUM(N30:N34)</f>
        <v>0</v>
      </c>
      <c r="O36" s="153"/>
      <c r="P36" s="153"/>
      <c r="Q36" s="153"/>
      <c r="R36" s="220"/>
    </row>
    <row r="37" customFormat="false" ht="12.75" hidden="false" customHeight="true" outlineLevel="0" collapsed="false">
      <c r="K37" s="265"/>
      <c r="L37" s="62"/>
      <c r="M37" s="62"/>
      <c r="N37" s="62"/>
      <c r="O37" s="153"/>
      <c r="P37" s="153"/>
      <c r="Q37" s="153"/>
      <c r="R37" s="220"/>
    </row>
    <row r="38" customFormat="false" ht="12.75" hidden="false" customHeight="true" outlineLevel="0" collapsed="false">
      <c r="A38" s="221" t="s">
        <v>206</v>
      </c>
      <c r="C38" s="226"/>
      <c r="E38" s="248" t="n">
        <f aca="false">+E36+E26+E19</f>
        <v>-2436139</v>
      </c>
      <c r="K38" s="219"/>
      <c r="L38" s="266" t="s">
        <v>207</v>
      </c>
      <c r="M38" s="124" t="n">
        <f aca="false">M36-E38</f>
        <v>0</v>
      </c>
      <c r="N38" s="124" t="n">
        <f aca="false">+N36-E26</f>
        <v>0</v>
      </c>
      <c r="O38" s="153"/>
      <c r="P38" s="153"/>
      <c r="Q38" s="153"/>
      <c r="R38" s="220"/>
      <c r="AN38" s="59"/>
      <c r="AO38" s="59"/>
      <c r="AP38" s="59"/>
      <c r="AQ38" s="59"/>
      <c r="AR38" s="59"/>
      <c r="AS38" s="59"/>
    </row>
    <row r="39" customFormat="false" ht="12.75" hidden="false" customHeight="true" outlineLevel="0" collapsed="false">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K40" s="153"/>
      <c r="L40" s="153"/>
      <c r="M40" s="153"/>
      <c r="N40" s="153"/>
      <c r="O40" s="153"/>
      <c r="P40" s="153"/>
      <c r="AJ40" s="59"/>
      <c r="AK40" s="59"/>
      <c r="AN40" s="59"/>
      <c r="AO40" s="59"/>
      <c r="AP40" s="59"/>
      <c r="AQ40" s="59"/>
      <c r="AR40" s="59"/>
      <c r="AS40" s="59"/>
    </row>
    <row r="41" customFormat="false" ht="12.75" hidden="false" customHeight="true" outlineLevel="0" collapsed="false">
      <c r="A41" s="271" t="s">
        <v>208</v>
      </c>
      <c r="B41" s="271"/>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SUM(C47:C76)-C61-C68-C69</f>
        <v>-4417</v>
      </c>
      <c r="D43" s="275" t="n">
        <f aca="false">SUM(D47:D76)-D61-D68-D69</f>
        <v>-449</v>
      </c>
      <c r="E43" s="275" t="n">
        <f aca="false">SUM(E47:E76)-E61-E68-E69</f>
        <v>18</v>
      </c>
      <c r="F43" s="275" t="n">
        <f aca="false">SUM(F47:F76)-F61-F68-F69</f>
        <v>0</v>
      </c>
      <c r="G43" s="275" t="n">
        <f aca="false">SUM(G47:G76)-G61-G68-G69</f>
        <v>0</v>
      </c>
      <c r="H43" s="275" t="n">
        <f aca="false">SUM(H47:H76)-H61-H68-H69</f>
        <v>-674</v>
      </c>
      <c r="I43" s="275" t="n">
        <f aca="false">SUM(I47:I76)-I61-I68-I69</f>
        <v>-1595</v>
      </c>
      <c r="J43" s="275" t="n">
        <f aca="false">SUM(J47:J76)-J61-J68-J69</f>
        <v>-2672</v>
      </c>
      <c r="K43" s="275" t="n">
        <f aca="false">SUM(K47:K76)-K61-K68-K69</f>
        <v>-3143</v>
      </c>
      <c r="L43" s="275" t="n">
        <f aca="false">SUM(L47:L76)-L61-L68-L69</f>
        <v>1863</v>
      </c>
      <c r="M43" s="275" t="n">
        <f aca="false">SUM(M47:M76)-M61-M68-M69</f>
        <v>0</v>
      </c>
      <c r="N43" s="275" t="n">
        <f aca="false">SUM(N47:N76)-N61-N68-N69</f>
        <v>0</v>
      </c>
      <c r="O43" s="275" t="n">
        <f aca="false">SUM(O47:O76)-O61-O68-O69</f>
        <v>-1996</v>
      </c>
      <c r="P43" s="275" t="n">
        <f aca="false">SUM(P47:P76)-P61-P68-P69</f>
        <v>-999</v>
      </c>
      <c r="Q43" s="275" t="n">
        <f aca="false">SUM(Q47:Q76)-P61-Q68-Q69</f>
        <v>-3337</v>
      </c>
      <c r="R43" s="275" t="n">
        <f aca="false">SUM(R47:R76)-Q61-R68-R69</f>
        <v>-824</v>
      </c>
      <c r="S43" s="275" t="n">
        <f aca="false">SUM(S47:S76)-R61-S68-S69</f>
        <v>45623</v>
      </c>
      <c r="T43" s="275" t="n">
        <f aca="false">SUM(T47:T76)-T61-T68-T69</f>
        <v>0</v>
      </c>
      <c r="U43" s="275" t="n">
        <f aca="false">SUM(U47:U76)-U61-U68-U69</f>
        <v>0</v>
      </c>
      <c r="V43" s="275" t="n">
        <f aca="false">SUM(V47:V76)-V61-V68-V69</f>
        <v>0</v>
      </c>
      <c r="W43" s="275" t="n">
        <f aca="false">SUM(W47:W76)-W61-W68-W69</f>
        <v>0</v>
      </c>
      <c r="X43" s="275" t="n">
        <f aca="false">SUM(X47:X76)-X61-X68-X69</f>
        <v>0</v>
      </c>
      <c r="Y43" s="275" t="n">
        <f aca="false">SUM(Y47:Y76)-Y61-Y68-Y69</f>
        <v>0</v>
      </c>
      <c r="Z43" s="275" t="n">
        <f aca="false">SUM(Z47:Z76)-Z61-Z68-Z69</f>
        <v>0</v>
      </c>
      <c r="AA43" s="275" t="n">
        <f aca="false">SUM(AA47:AA76)-AA61-AA68-AA69</f>
        <v>0</v>
      </c>
      <c r="AB43" s="275" t="n">
        <f aca="false">SUM(AB47:AB76)-AB61-AB68-AB69</f>
        <v>0</v>
      </c>
      <c r="AC43" s="275" t="n">
        <f aca="false">SUM(AC47:AC76)-AC61-AC68-AC69</f>
        <v>0</v>
      </c>
      <c r="AD43" s="275" t="n">
        <f aca="false">SUM(AD47:AD76)-AD61-AD68-AD69</f>
        <v>0</v>
      </c>
      <c r="AE43" s="275" t="n">
        <f aca="false">SUM(AE47:AE76)-AE61-AE68-AE69</f>
        <v>0</v>
      </c>
      <c r="AF43" s="275" t="n">
        <f aca="false">SUM(AF47:AF76)-AF61-AF68-AF69</f>
        <v>0</v>
      </c>
      <c r="AG43" s="275" t="n">
        <f aca="false">SUM(AG47:AG76)-AG61-AG68-AG69</f>
        <v>0</v>
      </c>
      <c r="AH43" s="59"/>
      <c r="AI43" s="276" t="s">
        <v>211</v>
      </c>
      <c r="AJ43" s="277" t="s">
        <v>212</v>
      </c>
      <c r="AK43" s="59"/>
      <c r="AL43" s="77"/>
      <c r="AN43" s="59"/>
      <c r="AO43" s="59"/>
      <c r="AP43" s="59"/>
      <c r="AQ43" s="59"/>
      <c r="AR43" s="59"/>
      <c r="AS43" s="59"/>
    </row>
    <row r="44" customFormat="false" ht="12.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310"/>
      <c r="D46" s="310"/>
      <c r="E46" s="310"/>
      <c r="F46" s="310"/>
      <c r="G46" s="310"/>
      <c r="H46" s="310"/>
      <c r="I46" s="310"/>
      <c r="J46" s="310"/>
      <c r="K46" s="310"/>
      <c r="L46" s="310"/>
      <c r="M46" s="310"/>
      <c r="N46" s="310"/>
      <c r="O46" s="226"/>
      <c r="P46" s="310"/>
      <c r="Q46" s="310"/>
      <c r="R46" s="310"/>
      <c r="S46" s="310"/>
      <c r="T46" s="310"/>
      <c r="U46" s="310"/>
      <c r="V46" s="310"/>
      <c r="W46" s="310"/>
      <c r="X46" s="310"/>
      <c r="Y46" s="310"/>
      <c r="Z46" s="310"/>
      <c r="AA46" s="310"/>
      <c r="AB46" s="310"/>
      <c r="AC46" s="310"/>
      <c r="AD46" s="310"/>
      <c r="AE46" s="310"/>
      <c r="AF46" s="310"/>
      <c r="AG46" s="311"/>
      <c r="AH46" s="59"/>
      <c r="AI46" s="287" t="n">
        <v>3</v>
      </c>
      <c r="AJ46" s="288" t="s">
        <v>217</v>
      </c>
      <c r="AK46" s="59"/>
      <c r="AL46" s="153"/>
      <c r="AN46" s="59"/>
      <c r="AO46" s="59"/>
      <c r="AP46" s="59"/>
      <c r="AQ46" s="59"/>
      <c r="AR46" s="59"/>
      <c r="AS46" s="59"/>
    </row>
    <row r="47" customFormat="false" ht="12.75" hidden="true" customHeight="true" outlineLevel="0" collapsed="false">
      <c r="A47" s="231" t="s">
        <v>218</v>
      </c>
      <c r="B47" s="294" t="n">
        <f aca="false">SUM(C47:AG47)</f>
        <v>0</v>
      </c>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300"/>
      <c r="AH47" s="59"/>
      <c r="AI47" s="287" t="n">
        <v>4</v>
      </c>
      <c r="AJ47" s="288" t="s">
        <v>219</v>
      </c>
      <c r="AK47" s="59"/>
      <c r="AL47" s="61"/>
      <c r="AM47" s="60"/>
      <c r="AN47" s="98"/>
      <c r="AO47" s="59"/>
      <c r="AP47" s="59"/>
      <c r="AQ47" s="59"/>
      <c r="AR47" s="59"/>
      <c r="AS47" s="59"/>
    </row>
    <row r="48" customFormat="false" ht="12.75" hidden="true" customHeight="true" outlineLevel="0" collapsed="false">
      <c r="A48" s="295" t="s">
        <v>220</v>
      </c>
      <c r="B48" s="294" t="n">
        <f aca="false">SUM(C48:AG48)</f>
        <v>0</v>
      </c>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300"/>
      <c r="AH48" s="59"/>
      <c r="AI48" s="287" t="n">
        <v>5</v>
      </c>
      <c r="AJ48" s="288" t="s">
        <v>221</v>
      </c>
      <c r="AK48" s="59"/>
      <c r="AL48" s="61"/>
      <c r="AM48" s="226"/>
      <c r="AN48" s="296"/>
      <c r="AO48" s="61"/>
      <c r="AP48" s="61"/>
      <c r="AQ48" s="61"/>
      <c r="AR48" s="61"/>
      <c r="AS48" s="61"/>
      <c r="AT48" s="199"/>
      <c r="AU48" s="199"/>
    </row>
    <row r="49" customFormat="false" ht="12.75" hidden="false" customHeight="true" outlineLevel="0" collapsed="false">
      <c r="A49" s="295" t="s">
        <v>222</v>
      </c>
      <c r="B49" s="294" t="n">
        <f aca="false">SUM(C49:AG49)</f>
        <v>-802</v>
      </c>
      <c r="C49" s="226"/>
      <c r="D49" s="226" t="n">
        <v>-802</v>
      </c>
      <c r="E49" s="226" t="n">
        <v>0</v>
      </c>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300"/>
      <c r="AH49" s="59"/>
      <c r="AI49" s="287" t="n">
        <v>6</v>
      </c>
      <c r="AJ49" s="288" t="s">
        <v>223</v>
      </c>
      <c r="AK49" s="59"/>
      <c r="AL49" s="61"/>
      <c r="AM49" s="226"/>
      <c r="AN49" s="296"/>
      <c r="AO49" s="61"/>
      <c r="AP49" s="61"/>
      <c r="AQ49" s="61"/>
      <c r="AR49" s="61"/>
      <c r="AS49" s="61"/>
      <c r="AT49" s="199"/>
      <c r="AU49" s="199"/>
    </row>
    <row r="50" customFormat="false" ht="12.75" hidden="true" customHeight="true" outlineLevel="0" collapsed="false">
      <c r="A50" s="295" t="s">
        <v>224</v>
      </c>
      <c r="B50" s="294" t="n">
        <f aca="false">SUM(C50:AG50)</f>
        <v>0</v>
      </c>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300"/>
      <c r="AH50" s="59"/>
      <c r="AI50" s="297" t="n">
        <v>7</v>
      </c>
      <c r="AJ50" s="298" t="s">
        <v>214</v>
      </c>
      <c r="AK50" s="59"/>
      <c r="AL50" s="60"/>
      <c r="AM50" s="60"/>
      <c r="AN50" s="296"/>
      <c r="AO50" s="61"/>
      <c r="AP50" s="61"/>
      <c r="AQ50" s="61"/>
      <c r="AR50" s="61"/>
      <c r="AS50" s="61"/>
      <c r="AT50" s="199"/>
      <c r="AU50" s="199"/>
    </row>
    <row r="51" customFormat="false" ht="12.75" hidden="false" customHeight="true" outlineLevel="0" collapsed="false">
      <c r="A51" s="295" t="s">
        <v>225</v>
      </c>
      <c r="B51" s="294" t="n">
        <f aca="false">SUM(C51:AG51)</f>
        <v>-12493</v>
      </c>
      <c r="C51" s="226" t="n">
        <v>-3763</v>
      </c>
      <c r="D51" s="226" t="n">
        <v>708</v>
      </c>
      <c r="E51" s="226" t="n">
        <v>-351</v>
      </c>
      <c r="F51" s="226"/>
      <c r="G51" s="226"/>
      <c r="H51" s="226" t="n">
        <v>641</v>
      </c>
      <c r="I51" s="226" t="n">
        <v>-1076</v>
      </c>
      <c r="J51" s="226" t="n">
        <v>-2306</v>
      </c>
      <c r="K51" s="226" t="n">
        <v>-2709</v>
      </c>
      <c r="L51" s="226" t="n">
        <v>2270</v>
      </c>
      <c r="M51" s="226"/>
      <c r="N51" s="226"/>
      <c r="O51" s="226" t="n">
        <v>-632</v>
      </c>
      <c r="P51" s="226" t="n">
        <v>-517</v>
      </c>
      <c r="Q51" s="226" t="n">
        <v>-2867</v>
      </c>
      <c r="R51" s="226" t="n">
        <v>-356</v>
      </c>
      <c r="S51" s="226" t="n">
        <v>-1535</v>
      </c>
      <c r="T51" s="226"/>
      <c r="U51" s="226"/>
      <c r="V51" s="226"/>
      <c r="W51" s="226"/>
      <c r="X51" s="226"/>
      <c r="Y51" s="226"/>
      <c r="Z51" s="226"/>
      <c r="AA51" s="226"/>
      <c r="AB51" s="226"/>
      <c r="AC51" s="226"/>
      <c r="AD51" s="226"/>
      <c r="AE51" s="226"/>
      <c r="AF51" s="226"/>
      <c r="AG51" s="300"/>
      <c r="AH51" s="59"/>
      <c r="AI51" s="199"/>
      <c r="AJ51" s="59"/>
      <c r="AK51" s="59"/>
      <c r="AL51" s="60"/>
      <c r="AM51" s="60"/>
      <c r="AN51" s="98"/>
      <c r="AO51" s="59"/>
      <c r="AP51" s="59"/>
      <c r="AQ51" s="59"/>
      <c r="AR51" s="59"/>
      <c r="AS51" s="59"/>
    </row>
    <row r="52" customFormat="false" ht="12.75" hidden="false" customHeight="true" outlineLevel="0" collapsed="false">
      <c r="A52" s="295" t="s">
        <v>226</v>
      </c>
      <c r="B52" s="294" t="n">
        <f aca="false">SUM(C52:AG52)</f>
        <v>0</v>
      </c>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300"/>
      <c r="AH52" s="59"/>
      <c r="AI52" s="199"/>
      <c r="AJ52" s="59"/>
      <c r="AK52" s="59"/>
      <c r="AL52" s="60"/>
      <c r="AM52" s="60"/>
      <c r="AN52" s="98"/>
      <c r="AO52" s="59"/>
      <c r="AP52" s="59"/>
      <c r="AQ52" s="59"/>
      <c r="AR52" s="59"/>
      <c r="AS52" s="59"/>
    </row>
    <row r="53" customFormat="false" ht="12.75" hidden="false" customHeight="true" outlineLevel="0" collapsed="false">
      <c r="A53" s="231" t="s">
        <v>227</v>
      </c>
      <c r="B53" s="294" t="n">
        <f aca="false">SUM(C53:AG53)</f>
        <v>48302</v>
      </c>
      <c r="C53" s="226"/>
      <c r="D53" s="226"/>
      <c r="E53" s="226" t="n">
        <v>768</v>
      </c>
      <c r="F53" s="226"/>
      <c r="G53" s="226"/>
      <c r="H53" s="226"/>
      <c r="I53" s="226"/>
      <c r="J53" s="226"/>
      <c r="K53" s="226"/>
      <c r="L53" s="226"/>
      <c r="M53" s="226"/>
      <c r="N53" s="226"/>
      <c r="O53" s="226"/>
      <c r="P53" s="226"/>
      <c r="Q53" s="226"/>
      <c r="R53" s="226"/>
      <c r="S53" s="226" t="n">
        <v>47534</v>
      </c>
      <c r="T53" s="226"/>
      <c r="U53" s="226"/>
      <c r="V53" s="226"/>
      <c r="W53" s="226"/>
      <c r="X53" s="226"/>
      <c r="Y53" s="226"/>
      <c r="Z53" s="226"/>
      <c r="AA53" s="226"/>
      <c r="AB53" s="226"/>
      <c r="AC53" s="226"/>
      <c r="AD53" s="226"/>
      <c r="AE53" s="226"/>
      <c r="AF53" s="226"/>
      <c r="AG53" s="300"/>
      <c r="AH53" s="59"/>
      <c r="AJ53" s="59"/>
      <c r="AK53" s="59"/>
      <c r="AL53" s="61"/>
      <c r="AM53" s="60"/>
      <c r="AN53" s="98"/>
      <c r="AO53" s="59"/>
      <c r="AP53" s="59"/>
      <c r="AQ53" s="59"/>
      <c r="AR53" s="59"/>
      <c r="AS53" s="59"/>
    </row>
    <row r="54" customFormat="false" ht="12.75" hidden="false" customHeight="true" outlineLevel="0" collapsed="false">
      <c r="A54" s="231" t="s">
        <v>359</v>
      </c>
      <c r="B54" s="294" t="n">
        <f aca="false">SUM(C54:AG54)</f>
        <v>0</v>
      </c>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300"/>
      <c r="AH54" s="59"/>
      <c r="AJ54" s="59"/>
      <c r="AK54" s="59"/>
      <c r="AL54" s="61"/>
      <c r="AM54" s="60"/>
      <c r="AN54" s="98"/>
      <c r="AO54" s="59"/>
      <c r="AP54" s="59"/>
      <c r="AQ54" s="59"/>
      <c r="AR54" s="59"/>
      <c r="AS54" s="59"/>
    </row>
    <row r="55" customFormat="false" ht="12.75" hidden="false" customHeight="true" outlineLevel="0" collapsed="false">
      <c r="A55" s="231" t="s">
        <v>229</v>
      </c>
      <c r="B55" s="294" t="n">
        <f aca="false">SUM(C55:AG55)</f>
        <v>0</v>
      </c>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300"/>
      <c r="AH55" s="59"/>
      <c r="AJ55" s="59"/>
      <c r="AK55" s="59"/>
      <c r="AL55" s="61"/>
      <c r="AM55" s="60"/>
      <c r="AN55" s="98"/>
      <c r="AO55" s="59"/>
      <c r="AP55" s="59"/>
      <c r="AQ55" s="59"/>
      <c r="AR55" s="59"/>
      <c r="AS55" s="59"/>
    </row>
    <row r="56" customFormat="false" ht="12.75" hidden="false" customHeight="true" outlineLevel="0" collapsed="false">
      <c r="A56" s="231" t="s">
        <v>230</v>
      </c>
      <c r="B56" s="294" t="n">
        <f aca="false">SUM(C56:AG56)</f>
        <v>0</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300"/>
      <c r="AH56" s="59"/>
      <c r="AI56" s="199"/>
      <c r="AJ56" s="59"/>
      <c r="AK56" s="59"/>
      <c r="AL56" s="61"/>
      <c r="AM56" s="60"/>
      <c r="AN56" s="98"/>
      <c r="AO56" s="59"/>
      <c r="AP56" s="59"/>
      <c r="AQ56" s="59"/>
      <c r="AR56" s="59"/>
      <c r="AS56" s="59"/>
    </row>
    <row r="57" customFormat="false" ht="12.75" hidden="false" customHeight="true" outlineLevel="0" collapsed="false">
      <c r="A57" s="295" t="s">
        <v>231</v>
      </c>
      <c r="B57" s="294" t="n">
        <f aca="false">SUM(C57:AG57)</f>
        <v>0</v>
      </c>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300"/>
      <c r="AH57" s="59"/>
      <c r="AI57" s="199"/>
      <c r="AJ57" s="59"/>
      <c r="AK57" s="59"/>
      <c r="AL57" s="61"/>
      <c r="AM57" s="60"/>
      <c r="AN57" s="98"/>
      <c r="AO57" s="59"/>
      <c r="AP57" s="59"/>
      <c r="AQ57" s="59"/>
      <c r="AR57" s="59"/>
      <c r="AS57" s="59"/>
    </row>
    <row r="58" customFormat="false" ht="18" hidden="false" customHeight="true" outlineLevel="0" collapsed="false">
      <c r="A58" s="295" t="s">
        <v>232</v>
      </c>
      <c r="B58" s="294" t="n">
        <f aca="false">SUM(C58:AG58)</f>
        <v>154</v>
      </c>
      <c r="C58" s="226" t="n">
        <v>-112</v>
      </c>
      <c r="D58" s="226" t="n">
        <v>96</v>
      </c>
      <c r="E58" s="226" t="n">
        <v>51</v>
      </c>
      <c r="F58" s="226"/>
      <c r="G58" s="226"/>
      <c r="H58" s="226" t="n">
        <v>36</v>
      </c>
      <c r="I58" s="226" t="n">
        <v>-69</v>
      </c>
      <c r="J58" s="226" t="n">
        <v>85</v>
      </c>
      <c r="K58" s="226" t="n">
        <v>17</v>
      </c>
      <c r="L58" s="226" t="n">
        <v>45</v>
      </c>
      <c r="M58" s="226"/>
      <c r="N58" s="226"/>
      <c r="O58" s="226" t="n">
        <v>-9</v>
      </c>
      <c r="P58" s="226" t="n">
        <v>-31</v>
      </c>
      <c r="Q58" s="226" t="n">
        <v>-18</v>
      </c>
      <c r="R58" s="226" t="n">
        <v>-15</v>
      </c>
      <c r="S58" s="193" t="n">
        <v>78</v>
      </c>
      <c r="T58" s="226"/>
      <c r="U58" s="226"/>
      <c r="V58" s="226"/>
      <c r="W58" s="581"/>
      <c r="X58" s="226"/>
      <c r="Y58" s="226"/>
      <c r="Z58" s="226"/>
      <c r="AA58" s="226"/>
      <c r="AB58" s="226"/>
      <c r="AC58" s="226"/>
      <c r="AD58" s="226"/>
      <c r="AE58" s="226"/>
      <c r="AF58" s="226"/>
      <c r="AG58" s="300"/>
      <c r="AH58" s="59"/>
      <c r="AI58" s="199"/>
      <c r="AJ58" s="59"/>
      <c r="AK58" s="59"/>
      <c r="AL58" s="61"/>
      <c r="AM58" s="60"/>
      <c r="AN58" s="296"/>
      <c r="AO58" s="61"/>
      <c r="AP58" s="61"/>
      <c r="AQ58" s="61"/>
      <c r="AR58" s="61"/>
      <c r="AS58" s="61"/>
      <c r="AT58" s="199"/>
      <c r="AU58" s="199"/>
      <c r="AV58" s="199"/>
      <c r="AW58" s="199"/>
      <c r="AX58" s="199"/>
    </row>
    <row r="59" customFormat="false" ht="12.75" hidden="false" customHeight="true" outlineLevel="0" collapsed="false">
      <c r="A59" s="295" t="s">
        <v>233</v>
      </c>
      <c r="B59" s="294" t="n">
        <f aca="false">SUM(C59:AG59)</f>
        <v>-7760</v>
      </c>
      <c r="C59" s="226" t="n">
        <v>-544</v>
      </c>
      <c r="D59" s="226" t="n">
        <v>-449</v>
      </c>
      <c r="E59" s="226" t="n">
        <v>-450</v>
      </c>
      <c r="F59" s="226"/>
      <c r="G59" s="226"/>
      <c r="H59" s="226" t="n">
        <v>-1351</v>
      </c>
      <c r="I59" s="226" t="n">
        <v>-451</v>
      </c>
      <c r="J59" s="226" t="n">
        <v>-450</v>
      </c>
      <c r="K59" s="226" t="n">
        <v>-451</v>
      </c>
      <c r="L59" s="226" t="n">
        <v>-451</v>
      </c>
      <c r="M59" s="226"/>
      <c r="N59" s="226"/>
      <c r="O59" s="226" t="n">
        <v>-1355</v>
      </c>
      <c r="P59" s="226" t="n">
        <v>-452</v>
      </c>
      <c r="Q59" s="226" t="n">
        <v>-452</v>
      </c>
      <c r="R59" s="226" t="n">
        <v>-452</v>
      </c>
      <c r="S59" s="193" t="n">
        <v>-452</v>
      </c>
      <c r="T59" s="226"/>
      <c r="U59" s="226"/>
      <c r="V59" s="226"/>
      <c r="W59" s="581"/>
      <c r="X59" s="226"/>
      <c r="Y59" s="226"/>
      <c r="Z59" s="226"/>
      <c r="AA59" s="226"/>
      <c r="AB59" s="226"/>
      <c r="AC59" s="226"/>
      <c r="AD59" s="226"/>
      <c r="AE59" s="226"/>
      <c r="AF59" s="226"/>
      <c r="AG59" s="300"/>
      <c r="AH59" s="59"/>
      <c r="AI59" s="199"/>
      <c r="AJ59" s="59"/>
      <c r="AK59" s="59"/>
      <c r="AL59" s="61"/>
      <c r="AM59" s="60"/>
      <c r="AN59" s="296"/>
      <c r="AO59" s="61"/>
      <c r="AP59" s="61"/>
      <c r="AQ59" s="61"/>
      <c r="AR59" s="61"/>
      <c r="AS59" s="61"/>
      <c r="AT59" s="199"/>
      <c r="AU59" s="199"/>
      <c r="AV59" s="199"/>
      <c r="AW59" s="199"/>
      <c r="AX59" s="199"/>
    </row>
    <row r="60" customFormat="false" ht="12.75" hidden="false" customHeight="true" outlineLevel="0" collapsed="false">
      <c r="A60" s="295" t="s">
        <v>234</v>
      </c>
      <c r="B60" s="294" t="n">
        <f aca="false">SUM(C60:AG60)</f>
        <v>0</v>
      </c>
      <c r="C60" s="226"/>
      <c r="D60" s="226"/>
      <c r="E60" s="226"/>
      <c r="F60" s="226"/>
      <c r="G60" s="226"/>
      <c r="H60" s="226"/>
      <c r="I60" s="226"/>
      <c r="J60" s="226"/>
      <c r="K60" s="226"/>
      <c r="L60" s="226"/>
      <c r="M60" s="226"/>
      <c r="O60" s="226"/>
      <c r="P60" s="226"/>
      <c r="Q60" s="226"/>
      <c r="R60" s="226"/>
      <c r="T60" s="226"/>
      <c r="U60" s="226"/>
      <c r="V60" s="226"/>
      <c r="W60" s="226"/>
      <c r="X60" s="226"/>
      <c r="Y60" s="226"/>
      <c r="Z60" s="226"/>
      <c r="AA60" s="226"/>
      <c r="AB60" s="226"/>
      <c r="AC60" s="226"/>
      <c r="AD60" s="226"/>
      <c r="AE60" s="226"/>
      <c r="AF60" s="226"/>
      <c r="AG60" s="300"/>
      <c r="AH60" s="59"/>
      <c r="AI60" s="199"/>
      <c r="AJ60" s="59"/>
      <c r="AK60" s="59"/>
      <c r="AL60" s="61"/>
      <c r="AM60" s="60"/>
      <c r="AN60" s="296"/>
      <c r="AO60" s="61"/>
      <c r="AP60" s="61"/>
      <c r="AQ60" s="61"/>
      <c r="AR60" s="61"/>
      <c r="AS60" s="61"/>
      <c r="AT60" s="199"/>
      <c r="AU60" s="199"/>
      <c r="AV60" s="199"/>
      <c r="AW60" s="199"/>
      <c r="AX60" s="199"/>
    </row>
    <row r="61" customFormat="false" ht="12.75" hidden="false" customHeight="true" outlineLevel="0" collapsed="false">
      <c r="A61" s="295" t="s">
        <v>235</v>
      </c>
      <c r="B61" s="294" t="n">
        <f aca="false">SUM(C61:AG61)</f>
        <v>0</v>
      </c>
      <c r="C61" s="226"/>
      <c r="D61" s="226"/>
      <c r="E61" s="226"/>
      <c r="F61" s="226"/>
      <c r="G61" s="226"/>
      <c r="H61" s="226"/>
      <c r="I61" s="226"/>
      <c r="J61" s="226"/>
      <c r="K61" s="226"/>
      <c r="L61" s="226"/>
      <c r="M61" s="226"/>
      <c r="N61" s="226"/>
      <c r="O61" s="226"/>
      <c r="P61" s="226"/>
      <c r="Q61" s="226"/>
      <c r="R61" s="226"/>
      <c r="T61" s="226"/>
      <c r="U61" s="226"/>
      <c r="V61" s="226"/>
      <c r="W61" s="226"/>
      <c r="X61" s="226"/>
      <c r="Y61" s="226"/>
      <c r="Z61" s="226"/>
      <c r="AA61" s="226"/>
      <c r="AB61" s="226"/>
      <c r="AC61" s="226"/>
      <c r="AD61" s="226"/>
      <c r="AE61" s="226"/>
      <c r="AF61" s="226"/>
      <c r="AG61" s="300"/>
      <c r="AH61" s="59"/>
      <c r="AJ61" s="59"/>
      <c r="AK61" s="59"/>
      <c r="AL61" s="61"/>
      <c r="AM61" s="60"/>
      <c r="AN61" s="98"/>
      <c r="AO61" s="59"/>
      <c r="AP61" s="59"/>
      <c r="AQ61" s="59"/>
      <c r="AR61" s="59"/>
      <c r="AS61" s="59"/>
    </row>
    <row r="62" customFormat="false" ht="12.75" hidden="false" customHeight="true" outlineLevel="0" collapsed="false">
      <c r="A62" s="295" t="s">
        <v>236</v>
      </c>
      <c r="B62" s="294" t="n">
        <f aca="false">SUM(C62:AG62)</f>
        <v>-3</v>
      </c>
      <c r="C62" s="226" t="n">
        <f aca="false">1+1</f>
        <v>2</v>
      </c>
      <c r="D62" s="226" t="n">
        <f aca="false">-1-1</f>
        <v>-2</v>
      </c>
      <c r="E62" s="226"/>
      <c r="F62" s="226"/>
      <c r="G62" s="226"/>
      <c r="H62" s="226"/>
      <c r="I62" s="226" t="n">
        <f aca="false">1</f>
        <v>1</v>
      </c>
      <c r="J62" s="60" t="n">
        <v>-1</v>
      </c>
      <c r="K62" s="226"/>
      <c r="L62" s="226" t="n">
        <v>-1</v>
      </c>
      <c r="M62" s="226"/>
      <c r="N62" s="226"/>
      <c r="O62" s="226"/>
      <c r="P62" s="226" t="n">
        <v>1</v>
      </c>
      <c r="Q62" s="226"/>
      <c r="R62" s="226" t="n">
        <f aca="false">-1</f>
        <v>-1</v>
      </c>
      <c r="S62" s="193" t="n">
        <v>-2</v>
      </c>
      <c r="T62" s="226"/>
      <c r="U62" s="226"/>
      <c r="V62" s="226"/>
      <c r="W62" s="226"/>
      <c r="X62" s="226"/>
      <c r="Y62" s="226"/>
      <c r="Z62" s="226"/>
      <c r="AA62" s="226"/>
      <c r="AB62" s="226"/>
      <c r="AC62" s="226"/>
      <c r="AD62" s="226"/>
      <c r="AE62" s="226"/>
      <c r="AF62" s="226"/>
      <c r="AG62" s="300"/>
      <c r="AH62" s="59"/>
      <c r="AJ62" s="59"/>
      <c r="AK62" s="59"/>
      <c r="AL62" s="61"/>
      <c r="AM62" s="60"/>
      <c r="AN62" s="98"/>
      <c r="AO62" s="98"/>
      <c r="AP62" s="59"/>
      <c r="AQ62" s="59"/>
      <c r="AR62" s="59"/>
      <c r="AS62" s="59"/>
    </row>
    <row r="63" customFormat="false" ht="12.75" hidden="true" customHeight="true" outlineLevel="0" collapsed="false">
      <c r="A63" s="295" t="s">
        <v>189</v>
      </c>
      <c r="B63" s="294" t="n">
        <f aca="false">SUM(C63:AG63)</f>
        <v>0</v>
      </c>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59"/>
      <c r="AI63" s="199"/>
      <c r="AJ63" s="59"/>
      <c r="AK63" s="59"/>
      <c r="AL63" s="61"/>
      <c r="AM63" s="60"/>
      <c r="AN63" s="98"/>
      <c r="AO63" s="59"/>
      <c r="AP63" s="59"/>
      <c r="AQ63" s="59"/>
      <c r="AR63" s="59"/>
      <c r="AS63" s="59"/>
    </row>
    <row r="64" customFormat="false" ht="12.75" hidden="true" customHeight="true" outlineLevel="0" collapsed="false">
      <c r="A64" s="295" t="s">
        <v>237</v>
      </c>
      <c r="B64" s="294" t="n">
        <f aca="false">SUM(C64:AG64)</f>
        <v>0</v>
      </c>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300"/>
      <c r="AH64" s="59"/>
      <c r="AI64" s="199"/>
      <c r="AJ64" s="59"/>
      <c r="AK64" s="59"/>
      <c r="AL64" s="60"/>
      <c r="AM64" s="60"/>
      <c r="AN64" s="59"/>
      <c r="AO64" s="59"/>
      <c r="AP64" s="59"/>
      <c r="AQ64" s="59"/>
      <c r="AR64" s="59"/>
      <c r="AS64" s="59"/>
    </row>
    <row r="65" customFormat="false" ht="12.75" hidden="true" customHeight="true" outlineLevel="0" collapsed="false">
      <c r="A65" s="231" t="s">
        <v>238</v>
      </c>
      <c r="B65" s="294" t="n">
        <f aca="false">SUM(C65:AG65)</f>
        <v>0</v>
      </c>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300"/>
      <c r="AH65" s="59"/>
      <c r="AJ65" s="59"/>
      <c r="AK65" s="59"/>
      <c r="AL65" s="61"/>
      <c r="AM65" s="60"/>
      <c r="AN65" s="59"/>
      <c r="AO65" s="59"/>
      <c r="AP65" s="59"/>
      <c r="AQ65" s="59"/>
      <c r="AR65" s="59"/>
      <c r="AS65" s="59"/>
    </row>
    <row r="66" customFormat="false" ht="12.75" hidden="true" customHeight="true" outlineLevel="0" collapsed="false">
      <c r="A66" s="231" t="s">
        <v>239</v>
      </c>
      <c r="B66" s="294" t="n">
        <f aca="false">SUM(C66:AG66)</f>
        <v>0</v>
      </c>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300"/>
      <c r="AH66" s="59"/>
      <c r="AI66" s="199"/>
      <c r="AJ66" s="59"/>
      <c r="AK66" s="59"/>
      <c r="AL66" s="61"/>
      <c r="AM66" s="60"/>
      <c r="AN66" s="59"/>
      <c r="AO66" s="59"/>
      <c r="AP66" s="59"/>
      <c r="AQ66" s="59"/>
      <c r="AR66" s="59"/>
      <c r="AS66" s="59"/>
    </row>
    <row r="67" customFormat="false" ht="12.75" hidden="true" customHeight="true" outlineLevel="0" collapsed="false">
      <c r="A67" s="231" t="s">
        <v>240</v>
      </c>
      <c r="B67" s="294" t="n">
        <f aca="false">SUM(C67:AG67)</f>
        <v>0</v>
      </c>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300"/>
      <c r="AH67" s="59"/>
      <c r="AI67" s="199"/>
      <c r="AJ67" s="59"/>
      <c r="AK67" s="59"/>
      <c r="AL67" s="61"/>
      <c r="AM67" s="60"/>
      <c r="AN67" s="59"/>
      <c r="AO67" s="59"/>
      <c r="AP67" s="59"/>
      <c r="AQ67" s="59"/>
      <c r="AR67" s="59"/>
      <c r="AS67" s="59"/>
    </row>
    <row r="68" customFormat="false" ht="12.75" hidden="true" customHeight="true" outlineLevel="0" collapsed="false">
      <c r="A68" s="231" t="s">
        <v>241</v>
      </c>
      <c r="B68" s="294" t="n">
        <f aca="false">SUM(C68:AG68)</f>
        <v>0</v>
      </c>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300"/>
      <c r="AH68" s="59"/>
      <c r="AJ68" s="59"/>
      <c r="AK68" s="59"/>
      <c r="AL68" s="61"/>
      <c r="AM68" s="60"/>
      <c r="AN68" s="59"/>
      <c r="AO68" s="59"/>
      <c r="AP68" s="59"/>
      <c r="AQ68" s="59"/>
      <c r="AR68" s="59"/>
      <c r="AS68" s="59"/>
    </row>
    <row r="69" customFormat="false" ht="12.75" hidden="true" customHeight="true" outlineLevel="0" collapsed="false">
      <c r="A69" s="295" t="s">
        <v>242</v>
      </c>
      <c r="B69" s="294" t="n">
        <f aca="false">SUM(C69:AG69)</f>
        <v>0</v>
      </c>
      <c r="C69" s="226"/>
      <c r="D69" s="226"/>
      <c r="E69" s="226"/>
      <c r="F69" s="226"/>
      <c r="G69" s="226"/>
      <c r="H69" s="226"/>
      <c r="I69" s="226"/>
      <c r="J69" s="226"/>
      <c r="K69" s="226"/>
      <c r="L69" s="226"/>
      <c r="M69" s="226"/>
      <c r="N69" s="226"/>
      <c r="O69" s="60"/>
      <c r="P69" s="226"/>
      <c r="Q69" s="226"/>
      <c r="R69" s="226"/>
      <c r="S69" s="226"/>
      <c r="T69" s="226"/>
      <c r="U69" s="226"/>
      <c r="V69" s="226"/>
      <c r="W69" s="226"/>
      <c r="X69" s="226"/>
      <c r="Y69" s="226"/>
      <c r="Z69" s="226"/>
      <c r="AA69" s="226"/>
      <c r="AB69" s="226"/>
      <c r="AC69" s="226"/>
      <c r="AD69" s="226"/>
      <c r="AE69" s="226"/>
      <c r="AF69" s="226"/>
      <c r="AG69" s="300"/>
      <c r="AH69" s="59"/>
      <c r="AI69" s="199"/>
      <c r="AJ69" s="59"/>
      <c r="AK69" s="59"/>
      <c r="AL69" s="61"/>
      <c r="AM69" s="60"/>
      <c r="AN69" s="59"/>
      <c r="AO69" s="59"/>
      <c r="AP69" s="59"/>
      <c r="AQ69" s="59"/>
      <c r="AR69" s="59"/>
      <c r="AS69" s="59"/>
    </row>
    <row r="70" customFormat="false" ht="12.75" hidden="true" customHeight="true" outlineLevel="0" collapsed="false">
      <c r="A70" s="231" t="s">
        <v>243</v>
      </c>
      <c r="B70" s="294" t="n">
        <f aca="false">SUM(C70:AG70)</f>
        <v>0</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300"/>
      <c r="AH70" s="59"/>
      <c r="AJ70" s="59"/>
      <c r="AK70" s="59"/>
      <c r="AL70" s="61"/>
      <c r="AM70" s="60"/>
      <c r="AN70" s="59"/>
      <c r="AO70" s="59"/>
      <c r="AP70" s="59"/>
      <c r="AQ70" s="59"/>
      <c r="AR70" s="59"/>
      <c r="AS70" s="59"/>
    </row>
    <row r="71" customFormat="false" ht="12.75" hidden="tru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300"/>
      <c r="AH71" s="59"/>
      <c r="AJ71" s="59"/>
      <c r="AK71" s="59"/>
      <c r="AL71" s="61"/>
      <c r="AM71" s="60"/>
    </row>
    <row r="72" customFormat="false" ht="12.75" hidden="false" customHeight="true" outlineLevel="0" collapsed="false">
      <c r="A72" s="231"/>
      <c r="B72" s="294"/>
      <c r="C72" s="60"/>
      <c r="D72" s="60"/>
      <c r="E72" s="60"/>
      <c r="F72" s="60"/>
      <c r="G72" s="60"/>
      <c r="H72" s="60"/>
      <c r="I72" s="60"/>
      <c r="J72" s="60"/>
      <c r="K72" s="60"/>
      <c r="L72" s="60"/>
      <c r="M72" s="60"/>
      <c r="N72" s="60"/>
      <c r="O72" s="226"/>
      <c r="P72" s="60"/>
      <c r="Q72" s="60"/>
      <c r="R72" s="60"/>
      <c r="S72" s="60"/>
      <c r="T72" s="60"/>
      <c r="U72" s="60"/>
      <c r="V72" s="60"/>
      <c r="W72" s="60"/>
      <c r="X72" s="60"/>
      <c r="Y72" s="60"/>
      <c r="Z72" s="60"/>
      <c r="AA72" s="60"/>
      <c r="AB72" s="60"/>
      <c r="AC72" s="60"/>
      <c r="AD72" s="60"/>
      <c r="AE72" s="60"/>
      <c r="AF72" s="60"/>
      <c r="AG72" s="301"/>
      <c r="AH72" s="59"/>
      <c r="AJ72" s="59"/>
      <c r="AK72" s="59"/>
      <c r="AL72" s="61"/>
      <c r="AM72" s="60"/>
    </row>
    <row r="73" customFormat="false" ht="12.75" hidden="false" customHeight="true" outlineLevel="0" collapsed="false">
      <c r="A73" s="231"/>
      <c r="B73" s="294"/>
      <c r="C73" s="60"/>
      <c r="D73" s="60"/>
      <c r="E73" s="60"/>
      <c r="F73" s="60"/>
      <c r="G73" s="60"/>
      <c r="H73" s="60"/>
      <c r="I73" s="60"/>
      <c r="J73" s="60"/>
      <c r="K73" s="60"/>
      <c r="L73" s="60"/>
      <c r="M73" s="60"/>
      <c r="N73" s="60"/>
      <c r="O73" s="226"/>
      <c r="P73" s="60"/>
      <c r="Q73" s="60"/>
      <c r="R73" s="60"/>
      <c r="S73" s="60"/>
      <c r="T73" s="60"/>
      <c r="U73" s="60"/>
      <c r="V73" s="60"/>
      <c r="W73" s="60"/>
      <c r="X73" s="60"/>
      <c r="Y73" s="60"/>
      <c r="Z73" s="60"/>
      <c r="AA73" s="60"/>
      <c r="AB73" s="60"/>
      <c r="AC73" s="60"/>
      <c r="AD73" s="60"/>
      <c r="AE73" s="60"/>
      <c r="AF73" s="60"/>
      <c r="AG73" s="301"/>
      <c r="AH73" s="59"/>
      <c r="AJ73" s="59"/>
      <c r="AK73" s="59"/>
      <c r="AL73" s="61"/>
      <c r="AM73" s="60"/>
    </row>
    <row r="74" customFormat="false" ht="12.75" hidden="false" customHeight="true" outlineLevel="0" collapsed="false">
      <c r="A74" s="231"/>
      <c r="B74" s="294"/>
      <c r="C74" s="60"/>
      <c r="D74" s="60"/>
      <c r="E74" s="60"/>
      <c r="F74" s="60"/>
      <c r="G74" s="60"/>
      <c r="H74" s="60"/>
      <c r="I74" s="60"/>
      <c r="J74" s="60"/>
      <c r="K74" s="60"/>
      <c r="L74" s="60"/>
      <c r="M74" s="60"/>
      <c r="N74" s="60"/>
      <c r="O74" s="226"/>
      <c r="P74" s="60"/>
      <c r="Q74" s="60"/>
      <c r="R74" s="60"/>
      <c r="S74" s="60"/>
      <c r="T74" s="60"/>
      <c r="U74" s="60"/>
      <c r="V74" s="60"/>
      <c r="W74" s="60"/>
      <c r="X74" s="60"/>
      <c r="Y74" s="60"/>
      <c r="Z74" s="60"/>
      <c r="AA74" s="60"/>
      <c r="AB74" s="60"/>
      <c r="AC74" s="60"/>
      <c r="AD74" s="60"/>
      <c r="AE74" s="60"/>
      <c r="AF74" s="60"/>
      <c r="AG74" s="301"/>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SUM(B47:B75)-B61-B67-B68-B69</f>
        <v>27398</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AH78" s="153"/>
      <c r="AJ78" s="153"/>
      <c r="AK78" s="226"/>
      <c r="AL78" s="61"/>
      <c r="AM78" s="60"/>
    </row>
    <row r="79" customFormat="false" ht="12.75" hidden="false" customHeight="true" outlineLevel="0" collapsed="false">
      <c r="A79" s="271" t="s">
        <v>340</v>
      </c>
      <c r="B79" s="271"/>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t="s">
        <v>210</v>
      </c>
      <c r="C81" s="275" t="n">
        <f aca="false">SUM(C85:C101)</f>
        <v>0</v>
      </c>
      <c r="D81" s="275" t="n">
        <f aca="false">SUM(D85:D101)</f>
        <v>0</v>
      </c>
      <c r="E81" s="275" t="n">
        <f aca="false">SUM(E85:E101)</f>
        <v>0</v>
      </c>
      <c r="F81" s="275" t="n">
        <f aca="false">SUM(F85:F101)</f>
        <v>0</v>
      </c>
      <c r="G81" s="275" t="n">
        <f aca="false">SUM(G85:G101)</f>
        <v>0</v>
      </c>
      <c r="H81" s="275" t="n">
        <f aca="false">SUM(H85:H101)</f>
        <v>0</v>
      </c>
      <c r="I81" s="275" t="n">
        <f aca="false">SUM(I85:I101)</f>
        <v>0</v>
      </c>
      <c r="J81" s="275" t="n">
        <f aca="false">SUM(J85:J101)</f>
        <v>0</v>
      </c>
      <c r="K81" s="275" t="n">
        <f aca="false">SUM(K85:K101)</f>
        <v>0</v>
      </c>
      <c r="L81" s="275" t="n">
        <f aca="false">SUM(L85:L101)</f>
        <v>0</v>
      </c>
      <c r="M81" s="275" t="n">
        <f aca="false">SUM(M85:M101)</f>
        <v>0</v>
      </c>
      <c r="N81" s="275" t="n">
        <f aca="false">SUM(N85:N101)</f>
        <v>0</v>
      </c>
      <c r="O81" s="275" t="n">
        <f aca="false">SUM(O85:O101)</f>
        <v>0</v>
      </c>
      <c r="P81" s="275" t="n">
        <f aca="false">SUM(P85:P101)</f>
        <v>0</v>
      </c>
      <c r="Q81" s="275" t="n">
        <f aca="false">SUM(Q85:Q101)</f>
        <v>0</v>
      </c>
      <c r="R81" s="275" t="n">
        <f aca="false">SUM(R85:R101)</f>
        <v>0</v>
      </c>
      <c r="S81" s="275" t="n">
        <f aca="false">SUM(S85:S101)</f>
        <v>0</v>
      </c>
      <c r="T81" s="275" t="n">
        <f aca="false">SUM(T85:T101)</f>
        <v>0</v>
      </c>
      <c r="U81" s="275" t="n">
        <f aca="false">SUM(U85:U101)</f>
        <v>0</v>
      </c>
      <c r="V81" s="275" t="n">
        <f aca="false">SUM(V85:V101)</f>
        <v>0</v>
      </c>
      <c r="W81" s="275" t="n">
        <f aca="false">SUM(W85:W101)</f>
        <v>0</v>
      </c>
      <c r="X81" s="275" t="n">
        <f aca="false">SUM(X85:X101)</f>
        <v>0</v>
      </c>
      <c r="Y81" s="275" t="n">
        <f aca="false">SUM(Y85:Y101)</f>
        <v>0</v>
      </c>
      <c r="Z81" s="275" t="n">
        <f aca="false">SUM(Z85:Z101)</f>
        <v>0</v>
      </c>
      <c r="AA81" s="275" t="n">
        <f aca="false">SUM(AA85:AA101)</f>
        <v>0</v>
      </c>
      <c r="AB81" s="275" t="n">
        <f aca="false">SUM(AB85:AB101)</f>
        <v>0</v>
      </c>
      <c r="AC81" s="275" t="n">
        <f aca="false">SUM(AC85:AC101)</f>
        <v>0</v>
      </c>
      <c r="AD81" s="275" t="n">
        <f aca="false">SUM(AD85:AD101)</f>
        <v>0</v>
      </c>
      <c r="AE81" s="275" t="n">
        <f aca="false">SUM(AE85:AE101)</f>
        <v>0</v>
      </c>
      <c r="AF81" s="275" t="n">
        <f aca="false">SUM(AF85:AF101)</f>
        <v>0</v>
      </c>
      <c r="AG81" s="275" t="n">
        <f aca="false">SUM(AG85:AG101)</f>
        <v>0</v>
      </c>
      <c r="AH81" s="59"/>
      <c r="AI81" s="76"/>
      <c r="AJ81" s="85"/>
      <c r="AK81" s="59"/>
      <c r="AL81" s="77"/>
      <c r="AN81" s="59"/>
      <c r="AO81" s="59"/>
      <c r="AP81" s="59"/>
      <c r="AQ81" s="59"/>
      <c r="AR81" s="59"/>
      <c r="AS81" s="59"/>
    </row>
    <row r="82" customFormat="false" ht="12.75" hidden="false" customHeight="true" outlineLevel="0" collapsed="false">
      <c r="A82" s="278" t="s">
        <v>248</v>
      </c>
      <c r="B82" s="279" t="n">
        <f aca="false">B44</f>
        <v>36831</v>
      </c>
      <c r="C82" s="280" t="n">
        <f aca="false">C44</f>
        <v>36831</v>
      </c>
      <c r="D82" s="280" t="n">
        <f aca="false">D44</f>
        <v>36832</v>
      </c>
      <c r="E82" s="280" t="n">
        <f aca="false">E44</f>
        <v>36833</v>
      </c>
      <c r="F82" s="280" t="n">
        <f aca="false">F44</f>
        <v>36834</v>
      </c>
      <c r="G82" s="280" t="n">
        <f aca="false">G44</f>
        <v>36835</v>
      </c>
      <c r="H82" s="280" t="n">
        <f aca="false">H44</f>
        <v>36836</v>
      </c>
      <c r="I82" s="280" t="n">
        <f aca="false">I44</f>
        <v>36837</v>
      </c>
      <c r="J82" s="280" t="n">
        <f aca="false">J44</f>
        <v>36838</v>
      </c>
      <c r="K82" s="280" t="n">
        <f aca="false">K44</f>
        <v>36839</v>
      </c>
      <c r="L82" s="280" t="n">
        <f aca="false">L44</f>
        <v>36840</v>
      </c>
      <c r="M82" s="280" t="n">
        <f aca="false">M44</f>
        <v>36841</v>
      </c>
      <c r="N82" s="280" t="n">
        <f aca="false">N44</f>
        <v>36842</v>
      </c>
      <c r="O82" s="280" t="n">
        <f aca="false">O44</f>
        <v>36843</v>
      </c>
      <c r="P82" s="280" t="n">
        <f aca="false">P44</f>
        <v>36844</v>
      </c>
      <c r="Q82" s="280" t="n">
        <f aca="false">Q44</f>
        <v>36845</v>
      </c>
      <c r="R82" s="280" t="n">
        <f aca="false">R44</f>
        <v>36846</v>
      </c>
      <c r="S82" s="280" t="n">
        <f aca="false">S44</f>
        <v>36847</v>
      </c>
      <c r="T82" s="280" t="n">
        <f aca="false">T44</f>
        <v>36848</v>
      </c>
      <c r="U82" s="280" t="n">
        <f aca="false">U44</f>
        <v>36849</v>
      </c>
      <c r="V82" s="280" t="n">
        <f aca="false">V44</f>
        <v>36850</v>
      </c>
      <c r="W82" s="280" t="n">
        <f aca="false">W44</f>
        <v>36851</v>
      </c>
      <c r="X82" s="280" t="n">
        <f aca="false">X44</f>
        <v>36852</v>
      </c>
      <c r="Y82" s="280" t="n">
        <f aca="false">Y44</f>
        <v>36853</v>
      </c>
      <c r="Z82" s="280" t="n">
        <f aca="false">Z44</f>
        <v>36854</v>
      </c>
      <c r="AA82" s="280" t="n">
        <f aca="false">AA44</f>
        <v>36855</v>
      </c>
      <c r="AB82" s="280" t="n">
        <f aca="false">AB44</f>
        <v>36856</v>
      </c>
      <c r="AC82" s="280" t="n">
        <f aca="false">AC44</f>
        <v>36857</v>
      </c>
      <c r="AD82" s="280" t="n">
        <f aca="false">AD44</f>
        <v>36858</v>
      </c>
      <c r="AE82" s="280" t="n">
        <f aca="false">AE44</f>
        <v>36859</v>
      </c>
      <c r="AF82" s="280" t="n">
        <f aca="false">AF44</f>
        <v>36860</v>
      </c>
      <c r="AG82" s="280" t="n">
        <f aca="false">AG44</f>
        <v>36861</v>
      </c>
      <c r="AH82" s="281"/>
      <c r="AI82" s="76"/>
      <c r="AJ82" s="309"/>
      <c r="AK82" s="281"/>
      <c r="AL82" s="284"/>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c r="DM82" s="281"/>
      <c r="DN82" s="281"/>
      <c r="DO82" s="281"/>
      <c r="DP82" s="281"/>
      <c r="DQ82" s="281"/>
      <c r="DR82" s="281"/>
      <c r="DS82" s="281"/>
      <c r="DT82" s="281"/>
      <c r="DU82" s="281"/>
      <c r="DV82" s="281"/>
      <c r="DW82" s="281"/>
      <c r="DX82" s="281"/>
      <c r="DY82" s="281"/>
      <c r="DZ82" s="281"/>
      <c r="EA82" s="281"/>
      <c r="EB82" s="281"/>
      <c r="EC82" s="281"/>
      <c r="ED82" s="281"/>
      <c r="EE82" s="281"/>
      <c r="EF82" s="281"/>
      <c r="EG82" s="281"/>
      <c r="EH82" s="281"/>
      <c r="EI82" s="281"/>
      <c r="EJ82" s="281"/>
      <c r="EK82" s="281"/>
      <c r="EL82" s="281"/>
      <c r="EM82" s="281"/>
      <c r="EN82" s="281"/>
      <c r="EO82" s="281"/>
      <c r="EP82" s="281"/>
      <c r="EQ82" s="281"/>
      <c r="ER82" s="281"/>
      <c r="ES82" s="281"/>
      <c r="ET82" s="281"/>
      <c r="EU82" s="281"/>
      <c r="EV82" s="281"/>
      <c r="EW82" s="281"/>
      <c r="EX82" s="281"/>
      <c r="EY82" s="281"/>
      <c r="EZ82" s="281"/>
      <c r="FA82" s="281"/>
      <c r="FB82" s="281"/>
      <c r="FC82" s="281"/>
      <c r="FD82" s="281"/>
      <c r="FE82" s="281"/>
      <c r="FF82" s="281"/>
      <c r="FG82" s="281"/>
      <c r="FH82" s="281"/>
      <c r="FI82" s="281"/>
      <c r="FJ82" s="281"/>
      <c r="FK82" s="281"/>
      <c r="FL82" s="281"/>
      <c r="FM82" s="281"/>
      <c r="FN82" s="281"/>
      <c r="FO82" s="281"/>
      <c r="FP82" s="281"/>
      <c r="FQ82" s="281"/>
      <c r="FR82" s="281"/>
      <c r="FS82" s="281"/>
      <c r="FT82" s="281"/>
      <c r="FU82" s="281"/>
      <c r="FV82" s="281"/>
      <c r="FW82" s="281"/>
      <c r="FX82" s="281"/>
      <c r="FY82" s="281"/>
      <c r="FZ82" s="281"/>
      <c r="GA82" s="281"/>
      <c r="GB82" s="281"/>
      <c r="GC82" s="281"/>
      <c r="GD82" s="281"/>
      <c r="GE82" s="281"/>
      <c r="GF82" s="281"/>
      <c r="GG82" s="281"/>
      <c r="GH82" s="281"/>
      <c r="GI82" s="281"/>
      <c r="GJ82" s="281"/>
      <c r="GK82" s="281"/>
      <c r="GL82" s="281"/>
      <c r="GM82" s="281"/>
      <c r="GN82" s="281"/>
      <c r="GO82" s="281"/>
      <c r="GP82" s="281"/>
      <c r="GQ82" s="281"/>
      <c r="GR82" s="281"/>
      <c r="GS82" s="281"/>
      <c r="GT82" s="281"/>
      <c r="GU82" s="281"/>
      <c r="GV82" s="281"/>
      <c r="GW82" s="281"/>
      <c r="GX82" s="281"/>
      <c r="GY82" s="281"/>
      <c r="GZ82" s="281"/>
      <c r="HA82" s="281"/>
      <c r="HB82" s="281"/>
      <c r="HC82" s="281"/>
      <c r="HD82" s="281"/>
      <c r="HE82" s="281"/>
      <c r="HF82" s="281"/>
      <c r="HG82" s="281"/>
      <c r="HH82" s="281"/>
      <c r="HI82" s="281"/>
      <c r="HJ82" s="281"/>
      <c r="HK82" s="281"/>
      <c r="HL82" s="281"/>
      <c r="HM82" s="281"/>
      <c r="HN82" s="281"/>
      <c r="HO82" s="281"/>
      <c r="HP82" s="281"/>
      <c r="HQ82" s="281"/>
      <c r="HR82" s="281"/>
      <c r="HS82" s="281"/>
      <c r="HT82" s="281"/>
      <c r="HU82" s="281"/>
      <c r="HV82" s="281"/>
      <c r="HW82" s="281"/>
      <c r="HX82" s="281"/>
      <c r="HY82" s="281"/>
      <c r="HZ82" s="281"/>
      <c r="IA82" s="281"/>
      <c r="IB82" s="281"/>
      <c r="IC82" s="281"/>
      <c r="ID82" s="281"/>
      <c r="IE82" s="281"/>
      <c r="IF82" s="281"/>
      <c r="IG82" s="281"/>
      <c r="IH82" s="281"/>
      <c r="II82" s="281"/>
      <c r="IJ82" s="281"/>
      <c r="IK82" s="281"/>
      <c r="IL82" s="281"/>
      <c r="IM82" s="281"/>
      <c r="IN82" s="281"/>
      <c r="IO82" s="281"/>
      <c r="IP82" s="281"/>
      <c r="IQ82" s="281"/>
      <c r="IR82" s="281"/>
      <c r="IS82" s="281"/>
      <c r="IT82" s="281"/>
      <c r="IU82" s="281"/>
      <c r="IV82" s="281"/>
      <c r="IW82" s="281"/>
    </row>
    <row r="83" customFormat="false" ht="12.75" hidden="false" customHeight="true" outlineLevel="0" collapsed="false">
      <c r="A83" s="285"/>
      <c r="B83" s="285"/>
      <c r="C83" s="286" t="str">
        <f aca="false">C45</f>
        <v>W</v>
      </c>
      <c r="D83" s="286" t="str">
        <f aca="false">D45</f>
        <v>R</v>
      </c>
      <c r="E83" s="286" t="str">
        <f aca="false">E45</f>
        <v>F</v>
      </c>
      <c r="F83" s="286" t="str">
        <f aca="false">F45</f>
        <v>S</v>
      </c>
      <c r="G83" s="286" t="str">
        <f aca="false">G45</f>
        <v>S</v>
      </c>
      <c r="H83" s="286" t="str">
        <f aca="false">H45</f>
        <v>M</v>
      </c>
      <c r="I83" s="286" t="str">
        <f aca="false">I45</f>
        <v>T</v>
      </c>
      <c r="J83" s="286" t="str">
        <f aca="false">J45</f>
        <v>W</v>
      </c>
      <c r="K83" s="286" t="str">
        <f aca="false">K45</f>
        <v>R</v>
      </c>
      <c r="L83" s="286" t="str">
        <f aca="false">L45</f>
        <v>F</v>
      </c>
      <c r="M83" s="286" t="str">
        <f aca="false">M45</f>
        <v>S</v>
      </c>
      <c r="N83" s="286" t="str">
        <f aca="false">N45</f>
        <v>S</v>
      </c>
      <c r="O83" s="286" t="str">
        <f aca="false">O45</f>
        <v>M</v>
      </c>
      <c r="P83" s="286" t="str">
        <f aca="false">P45</f>
        <v>T</v>
      </c>
      <c r="Q83" s="286" t="str">
        <f aca="false">Q45</f>
        <v>W</v>
      </c>
      <c r="R83" s="286" t="str">
        <f aca="false">R45</f>
        <v>R</v>
      </c>
      <c r="S83" s="286" t="str">
        <f aca="false">S45</f>
        <v>F</v>
      </c>
      <c r="T83" s="286" t="str">
        <f aca="false">T45</f>
        <v>S</v>
      </c>
      <c r="U83" s="286" t="str">
        <f aca="false">U45</f>
        <v>S</v>
      </c>
      <c r="V83" s="286" t="str">
        <f aca="false">V45</f>
        <v>M</v>
      </c>
      <c r="W83" s="286" t="str">
        <f aca="false">W45</f>
        <v>T</v>
      </c>
      <c r="X83" s="286" t="str">
        <f aca="false">X45</f>
        <v>W</v>
      </c>
      <c r="Y83" s="286" t="str">
        <f aca="false">Y45</f>
        <v>R</v>
      </c>
      <c r="Z83" s="286" t="str">
        <f aca="false">Z45</f>
        <v>F</v>
      </c>
      <c r="AA83" s="286" t="str">
        <f aca="false">AA45</f>
        <v>S</v>
      </c>
      <c r="AB83" s="286" t="str">
        <f aca="false">AB45</f>
        <v>S</v>
      </c>
      <c r="AC83" s="286" t="str">
        <f aca="false">AC45</f>
        <v>M</v>
      </c>
      <c r="AD83" s="286" t="str">
        <f aca="false">AD45</f>
        <v>T</v>
      </c>
      <c r="AE83" s="286" t="str">
        <f aca="false">AE45</f>
        <v>W</v>
      </c>
      <c r="AF83" s="286" t="str">
        <f aca="false">AF45</f>
        <v>R</v>
      </c>
      <c r="AG83" s="286" t="str">
        <f aca="false">AG45</f>
        <v>F</v>
      </c>
      <c r="AH83" s="59"/>
      <c r="AI83" s="76"/>
      <c r="AJ83" s="85"/>
      <c r="AK83" s="59"/>
      <c r="AL83" s="153"/>
      <c r="AN83" s="59"/>
      <c r="AO83" s="59"/>
      <c r="AP83" s="59"/>
      <c r="AQ83" s="59"/>
      <c r="AR83" s="59"/>
      <c r="AS83" s="59"/>
    </row>
    <row r="84" customFormat="false" ht="12.75" hidden="false" customHeight="true" outlineLevel="0" collapsed="false">
      <c r="A84" s="289"/>
      <c r="B84" s="290" t="s">
        <v>216</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1"/>
      <c r="AH84" s="153"/>
      <c r="AI84" s="199"/>
      <c r="AJ84" s="312"/>
      <c r="AK84" s="226"/>
      <c r="AL84" s="61"/>
      <c r="AM84" s="60"/>
    </row>
    <row r="85" customFormat="false" ht="12.75" hidden="false" customHeight="true" outlineLevel="0" collapsed="false">
      <c r="A85" s="231" t="s">
        <v>249</v>
      </c>
      <c r="B85" s="294" t="n">
        <f aca="false">SUM(C85:AG85)</f>
        <v>0</v>
      </c>
      <c r="C85" s="226" t="n">
        <v>0</v>
      </c>
      <c r="D85" s="226" t="n">
        <v>0</v>
      </c>
      <c r="E85" s="226" t="n">
        <v>0</v>
      </c>
      <c r="F85" s="226" t="n">
        <v>0</v>
      </c>
      <c r="G85" s="226" t="n">
        <v>0</v>
      </c>
      <c r="H85" s="226" t="n">
        <v>0</v>
      </c>
      <c r="I85" s="226" t="n">
        <v>0</v>
      </c>
      <c r="J85" s="226" t="n">
        <v>0</v>
      </c>
      <c r="K85" s="226" t="n">
        <v>0</v>
      </c>
      <c r="L85" s="226" t="n">
        <v>0</v>
      </c>
      <c r="M85" s="226" t="n">
        <v>0</v>
      </c>
      <c r="N85" s="226" t="n">
        <v>0</v>
      </c>
      <c r="O85" s="226" t="n">
        <v>0</v>
      </c>
      <c r="P85" s="226" t="n">
        <v>0</v>
      </c>
      <c r="Q85" s="226" t="n">
        <v>0</v>
      </c>
      <c r="R85" s="226" t="n">
        <v>0</v>
      </c>
      <c r="S85" s="226" t="n">
        <v>0</v>
      </c>
      <c r="T85" s="226" t="n">
        <v>0</v>
      </c>
      <c r="U85" s="226" t="n">
        <v>0</v>
      </c>
      <c r="V85" s="226" t="n">
        <v>0</v>
      </c>
      <c r="W85" s="226" t="n">
        <v>0</v>
      </c>
      <c r="X85" s="226" t="n">
        <v>0</v>
      </c>
      <c r="Y85" s="226" t="n">
        <v>0</v>
      </c>
      <c r="Z85" s="226" t="n">
        <v>0</v>
      </c>
      <c r="AA85" s="226" t="n">
        <v>0</v>
      </c>
      <c r="AB85" s="226" t="n">
        <v>0</v>
      </c>
      <c r="AC85" s="226" t="n">
        <v>0</v>
      </c>
      <c r="AD85" s="226" t="n">
        <v>0</v>
      </c>
      <c r="AE85" s="226" t="n">
        <v>0</v>
      </c>
      <c r="AF85" s="226" t="n">
        <v>0</v>
      </c>
      <c r="AG85" s="300" t="n">
        <v>0</v>
      </c>
      <c r="AH85" s="153"/>
      <c r="AJ85" s="153"/>
      <c r="AK85" s="226"/>
      <c r="AL85" s="61"/>
      <c r="AM85" s="60"/>
    </row>
    <row r="86" customFormat="false" ht="12.75" hidden="false" customHeight="true" outlineLevel="0" collapsed="false">
      <c r="A86" s="231" t="s">
        <v>250</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251</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252</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253</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254</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255</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256</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257</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258</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259</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260</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261</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c r="B98" s="294"/>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300"/>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SUM(B87:B101)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3"/>
      <c r="B126" s="153"/>
      <c r="C126" s="153"/>
      <c r="D126" s="324"/>
      <c r="E126" s="325"/>
      <c r="G126" s="403"/>
      <c r="H126" s="327"/>
      <c r="I126" s="153"/>
      <c r="J126" s="59"/>
      <c r="K126" s="328"/>
      <c r="L126" s="325"/>
      <c r="M126" s="59"/>
      <c r="N126" s="59"/>
      <c r="O126" s="59"/>
      <c r="P126" s="59"/>
    </row>
    <row r="127" customFormat="false" ht="12.75" hidden="false" customHeight="true" outlineLevel="0" collapsed="false">
      <c r="A127" s="329" t="n">
        <v>36281</v>
      </c>
      <c r="B127" s="153" t="s">
        <v>285</v>
      </c>
      <c r="C127" s="153"/>
      <c r="D127" s="324"/>
      <c r="E127" s="325" t="n">
        <f aca="false">-36+74</f>
        <v>38</v>
      </c>
      <c r="G127" s="326"/>
      <c r="H127" s="62"/>
      <c r="I127" s="332"/>
      <c r="J127" s="59"/>
      <c r="K127" s="328"/>
      <c r="L127" s="325"/>
      <c r="M127" s="59"/>
      <c r="N127" s="59"/>
      <c r="O127" s="59"/>
      <c r="P127" s="59"/>
    </row>
    <row r="128" customFormat="false" ht="12.75" hidden="false" customHeight="true" outlineLevel="0" collapsed="false">
      <c r="A128" s="329" t="n">
        <v>36312</v>
      </c>
      <c r="B128" s="153" t="s">
        <v>286</v>
      </c>
      <c r="C128" s="153"/>
      <c r="D128" s="324"/>
      <c r="E128" s="325" t="n">
        <f aca="false">-9+54</f>
        <v>45</v>
      </c>
      <c r="G128" s="326"/>
      <c r="H128" s="153"/>
      <c r="I128" s="59"/>
      <c r="J128" s="59"/>
      <c r="K128" s="328"/>
      <c r="L128" s="325"/>
      <c r="M128" s="59"/>
      <c r="N128" s="59"/>
      <c r="O128" s="59"/>
      <c r="P128" s="59"/>
    </row>
    <row r="129" customFormat="false" ht="12.75" hidden="false" customHeight="true" outlineLevel="0" collapsed="false">
      <c r="A129" s="329" t="n">
        <v>36342</v>
      </c>
      <c r="B129" s="153" t="s">
        <v>287</v>
      </c>
      <c r="C129" s="153"/>
      <c r="D129" s="324"/>
      <c r="E129" s="330" t="n">
        <f aca="false">-24+51</f>
        <v>27</v>
      </c>
      <c r="G129" s="326"/>
      <c r="H129" s="153"/>
      <c r="I129" s="59"/>
      <c r="J129" s="59"/>
      <c r="K129" s="324"/>
      <c r="L129" s="330"/>
      <c r="M129" s="59"/>
      <c r="N129" s="59"/>
      <c r="O129" s="59"/>
      <c r="P129" s="59"/>
    </row>
    <row r="130" customFormat="false" ht="12.75" hidden="false" customHeight="true" outlineLevel="0" collapsed="false">
      <c r="A130" s="329" t="n">
        <v>36373</v>
      </c>
      <c r="B130" s="153" t="s">
        <v>288</v>
      </c>
      <c r="C130" s="153"/>
      <c r="D130" s="324"/>
      <c r="E130" s="325" t="n">
        <f aca="false">6+36</f>
        <v>42</v>
      </c>
      <c r="G130" s="326"/>
      <c r="H130" s="153"/>
      <c r="I130" s="59"/>
      <c r="J130" s="59"/>
      <c r="K130" s="324"/>
      <c r="L130" s="325"/>
      <c r="M130" s="59"/>
      <c r="N130" s="59"/>
      <c r="O130" s="59"/>
      <c r="P130" s="59"/>
    </row>
    <row r="131" customFormat="false" ht="12.75" hidden="false" customHeight="true" outlineLevel="0" collapsed="false">
      <c r="A131" s="329" t="n">
        <v>36404</v>
      </c>
      <c r="B131" s="153" t="s">
        <v>289</v>
      </c>
      <c r="C131" s="153"/>
      <c r="D131" s="324"/>
      <c r="E131" s="325" t="n">
        <f aca="false">12+21</f>
        <v>33</v>
      </c>
      <c r="G131" s="326"/>
      <c r="H131" s="153"/>
      <c r="I131" s="59"/>
      <c r="J131" s="59"/>
      <c r="K131" s="324"/>
      <c r="L131" s="325"/>
      <c r="M131" s="59"/>
      <c r="N131" s="59"/>
      <c r="O131" s="59"/>
      <c r="P131" s="59"/>
    </row>
    <row r="132" customFormat="false" ht="12.75" hidden="false" customHeight="true" outlineLevel="0" collapsed="false">
      <c r="A132" s="329" t="n">
        <v>36434</v>
      </c>
      <c r="B132" s="153" t="s">
        <v>290</v>
      </c>
      <c r="C132" s="332"/>
      <c r="D132" s="346"/>
      <c r="E132" s="330" t="n">
        <f aca="false">-32-75</f>
        <v>-107</v>
      </c>
      <c r="G132" s="326"/>
      <c r="H132" s="59"/>
      <c r="I132" s="59"/>
      <c r="J132" s="59"/>
      <c r="K132" s="328"/>
      <c r="L132" s="330"/>
      <c r="M132" s="59"/>
      <c r="N132" s="59"/>
      <c r="O132" s="59"/>
      <c r="P132" s="59"/>
    </row>
    <row r="133" customFormat="false" ht="12.75" hidden="false" customHeight="true" outlineLevel="0" collapsed="false">
      <c r="A133" s="329" t="n">
        <v>36465</v>
      </c>
      <c r="B133" s="153" t="s">
        <v>291</v>
      </c>
      <c r="C133" s="332"/>
      <c r="D133" s="346"/>
      <c r="E133" s="330" t="n">
        <v>-329</v>
      </c>
      <c r="G133" s="326"/>
      <c r="H133" s="153"/>
      <c r="I133" s="59"/>
      <c r="J133" s="59"/>
      <c r="K133" s="324"/>
      <c r="L133" s="330"/>
      <c r="M133" s="59"/>
      <c r="N133" s="59"/>
      <c r="O133" s="59"/>
      <c r="P133" s="59"/>
    </row>
    <row r="134" customFormat="false" ht="12.75" hidden="false" customHeight="true" outlineLevel="0" collapsed="false">
      <c r="A134" s="329" t="n">
        <v>36495</v>
      </c>
      <c r="B134" s="153" t="s">
        <v>292</v>
      </c>
      <c r="C134" s="332"/>
      <c r="D134" s="346"/>
      <c r="E134" s="325" t="n">
        <v>-937</v>
      </c>
      <c r="G134" s="326"/>
      <c r="H134" s="153"/>
      <c r="I134" s="59"/>
      <c r="J134" s="59"/>
      <c r="K134" s="324"/>
      <c r="L134" s="325"/>
      <c r="M134" s="98"/>
      <c r="N134" s="60"/>
      <c r="O134" s="59"/>
      <c r="P134" s="59"/>
    </row>
    <row r="135" customFormat="false" ht="12.75" hidden="false" customHeight="true" outlineLevel="0" collapsed="false">
      <c r="A135" s="329" t="n">
        <v>36526</v>
      </c>
      <c r="B135" s="153" t="s">
        <v>293</v>
      </c>
      <c r="C135" s="153"/>
      <c r="D135" s="324"/>
      <c r="E135" s="325" t="n">
        <v>-1288</v>
      </c>
      <c r="G135" s="326"/>
      <c r="H135" s="153"/>
      <c r="I135" s="59"/>
      <c r="J135" s="59"/>
      <c r="K135" s="324"/>
      <c r="L135" s="325"/>
      <c r="M135" s="98"/>
      <c r="N135" s="59"/>
      <c r="O135" s="59"/>
      <c r="P135" s="59"/>
    </row>
    <row r="136" customFormat="false" ht="12.75" hidden="false" customHeight="true" outlineLevel="0" collapsed="false">
      <c r="A136" s="329" t="n">
        <v>36557</v>
      </c>
      <c r="B136" s="153" t="s">
        <v>294</v>
      </c>
      <c r="C136" s="153"/>
      <c r="D136" s="324"/>
      <c r="E136" s="325" t="n">
        <v>-1132</v>
      </c>
      <c r="G136" s="326"/>
      <c r="H136" s="153"/>
      <c r="I136" s="59"/>
      <c r="J136" s="59"/>
      <c r="K136" s="324"/>
      <c r="L136" s="325"/>
      <c r="M136" s="59"/>
      <c r="N136" s="98"/>
      <c r="O136" s="59"/>
      <c r="P136" s="59"/>
    </row>
    <row r="137" customFormat="false" ht="12.75" hidden="false" customHeight="true" outlineLevel="0" collapsed="false">
      <c r="A137" s="329" t="n">
        <v>36586</v>
      </c>
      <c r="B137" s="153" t="s">
        <v>295</v>
      </c>
      <c r="C137" s="153"/>
      <c r="D137" s="324"/>
      <c r="E137" s="325" t="n">
        <v>-2056</v>
      </c>
      <c r="G137" s="326"/>
      <c r="H137" s="153"/>
      <c r="I137" s="59"/>
      <c r="J137" s="59"/>
      <c r="K137" s="324"/>
      <c r="L137" s="325"/>
      <c r="M137" s="59"/>
      <c r="N137" s="98"/>
      <c r="O137" s="59"/>
      <c r="P137" s="59"/>
    </row>
    <row r="138" customFormat="false" ht="12.75" hidden="false" customHeight="true" outlineLevel="0" collapsed="false">
      <c r="A138" s="329" t="n">
        <v>36617</v>
      </c>
      <c r="B138" s="153" t="s">
        <v>297</v>
      </c>
      <c r="C138" s="153"/>
      <c r="D138" s="324"/>
      <c r="E138" s="325" t="n">
        <v>-972</v>
      </c>
      <c r="G138" s="326"/>
      <c r="H138" s="153"/>
      <c r="I138" s="59"/>
      <c r="J138" s="59"/>
      <c r="K138" s="324"/>
      <c r="L138" s="325"/>
      <c r="M138" s="59"/>
      <c r="N138" s="59"/>
      <c r="O138" s="59"/>
      <c r="P138" s="59"/>
    </row>
    <row r="139" customFormat="false" ht="12.75" hidden="false" customHeight="true" outlineLevel="0" collapsed="false">
      <c r="A139" s="329" t="n">
        <v>36647</v>
      </c>
      <c r="B139" s="153" t="s">
        <v>298</v>
      </c>
      <c r="C139" s="59"/>
      <c r="D139" s="301"/>
      <c r="E139" s="325" t="n">
        <v>1852</v>
      </c>
      <c r="G139" s="326"/>
      <c r="H139" s="153"/>
      <c r="I139" s="59"/>
      <c r="J139" s="59"/>
      <c r="K139" s="324"/>
      <c r="L139" s="325"/>
      <c r="M139" s="59"/>
      <c r="N139" s="59"/>
      <c r="O139" s="59"/>
      <c r="P139" s="59"/>
    </row>
    <row r="140" customFormat="false" ht="12.75" hidden="false" customHeight="true" outlineLevel="0" collapsed="false">
      <c r="A140" s="329" t="n">
        <v>36678</v>
      </c>
      <c r="B140" s="153" t="s">
        <v>300</v>
      </c>
      <c r="C140" s="59"/>
      <c r="D140" s="324"/>
      <c r="E140" s="325" t="n">
        <v>16339</v>
      </c>
      <c r="G140" s="326"/>
      <c r="H140" s="153"/>
      <c r="I140" s="59"/>
      <c r="J140" s="59"/>
      <c r="K140" s="324"/>
      <c r="L140" s="325"/>
      <c r="M140" s="59"/>
      <c r="N140" s="59"/>
      <c r="O140" s="59"/>
      <c r="P140" s="59"/>
    </row>
    <row r="141" customFormat="false" ht="12.75" hidden="false" customHeight="true" outlineLevel="0" collapsed="false">
      <c r="A141" s="329" t="n">
        <v>36708</v>
      </c>
      <c r="B141" s="153" t="s">
        <v>301</v>
      </c>
      <c r="C141" s="59"/>
      <c r="D141" s="324"/>
      <c r="E141" s="325" t="n">
        <v>13874</v>
      </c>
      <c r="G141" s="326"/>
      <c r="H141" s="153"/>
      <c r="I141" s="59"/>
      <c r="J141" s="59"/>
      <c r="K141" s="324"/>
      <c r="L141" s="325"/>
      <c r="M141" s="59"/>
      <c r="N141" s="59"/>
      <c r="O141" s="59"/>
      <c r="P141" s="59"/>
    </row>
    <row r="142" customFormat="false" ht="12.75" hidden="false" customHeight="true" outlineLevel="0" collapsed="false">
      <c r="A142" s="329" t="n">
        <v>36739</v>
      </c>
      <c r="B142" s="153" t="s">
        <v>302</v>
      </c>
      <c r="C142" s="153"/>
      <c r="D142" s="324"/>
      <c r="E142" s="325" t="n">
        <v>15171</v>
      </c>
      <c r="G142" s="326"/>
      <c r="H142" s="153"/>
      <c r="I142" s="59"/>
      <c r="J142" s="59"/>
      <c r="K142" s="324"/>
      <c r="L142" s="325"/>
      <c r="M142" s="59"/>
      <c r="N142" s="59"/>
      <c r="O142" s="59"/>
      <c r="P142" s="59"/>
    </row>
    <row r="143" customFormat="false" ht="12.75" hidden="false" customHeight="true" outlineLevel="0" collapsed="false">
      <c r="A143" s="329" t="n">
        <v>36770</v>
      </c>
      <c r="B143" s="153" t="s">
        <v>303</v>
      </c>
      <c r="C143" s="153"/>
      <c r="D143" s="324"/>
      <c r="E143" s="325" t="n">
        <v>14019</v>
      </c>
      <c r="G143" s="326"/>
      <c r="H143" s="153"/>
      <c r="I143" s="59"/>
      <c r="J143" s="59"/>
      <c r="K143" s="324"/>
      <c r="L143" s="325"/>
      <c r="M143" s="59"/>
      <c r="N143" s="59"/>
      <c r="O143" s="59"/>
      <c r="P143" s="59"/>
    </row>
    <row r="144" customFormat="false" ht="12.75" hidden="false" customHeight="true" outlineLevel="0" collapsed="false">
      <c r="A144" s="329" t="n">
        <v>36800</v>
      </c>
      <c r="B144" s="153" t="s">
        <v>304</v>
      </c>
      <c r="C144" s="153"/>
      <c r="D144" s="324"/>
      <c r="E144" s="325" t="n">
        <v>15690</v>
      </c>
      <c r="G144" s="326"/>
      <c r="H144" s="153"/>
      <c r="I144" s="59"/>
      <c r="J144" s="59"/>
      <c r="K144" s="324"/>
      <c r="L144" s="325"/>
      <c r="M144" s="59"/>
      <c r="N144" s="59"/>
      <c r="O144" s="59"/>
      <c r="P144" s="59"/>
    </row>
    <row r="145" customFormat="false" ht="12.75" hidden="false" customHeight="true" outlineLevel="0" collapsed="false">
      <c r="A145" s="329"/>
      <c r="B145" s="153"/>
      <c r="C145" s="153"/>
      <c r="D145" s="324"/>
      <c r="E145" s="325"/>
      <c r="G145" s="326"/>
      <c r="H145" s="153"/>
      <c r="I145" s="59"/>
      <c r="J145" s="59"/>
      <c r="K145" s="324"/>
      <c r="L145" s="325"/>
      <c r="M145" s="59"/>
      <c r="N145" s="59"/>
      <c r="O145" s="59"/>
      <c r="P145" s="59"/>
    </row>
    <row r="146" customFormat="false" ht="12.75" hidden="false" customHeight="true" outlineLevel="0" collapsed="false">
      <c r="A146" s="329"/>
      <c r="B146" s="153"/>
      <c r="C146" s="153"/>
      <c r="D146" s="324"/>
      <c r="E146" s="325"/>
      <c r="G146" s="326"/>
      <c r="H146" s="153"/>
      <c r="I146" s="59"/>
      <c r="J146" s="59"/>
      <c r="K146" s="324"/>
      <c r="L146" s="325"/>
      <c r="M146" s="59"/>
      <c r="N146" s="59"/>
      <c r="O146" s="59"/>
      <c r="P146" s="59"/>
    </row>
    <row r="147" customFormat="false" ht="12.75" hidden="false" customHeight="true" outlineLevel="0" collapsed="false">
      <c r="A147" s="329"/>
      <c r="B147" s="153"/>
      <c r="C147" s="153"/>
      <c r="D147" s="324"/>
      <c r="E147" s="325"/>
      <c r="G147" s="326"/>
      <c r="H147" s="153"/>
      <c r="I147" s="59"/>
      <c r="J147" s="59"/>
      <c r="K147" s="324"/>
      <c r="L147" s="325"/>
      <c r="M147" s="59"/>
      <c r="N147" s="59"/>
      <c r="O147" s="59"/>
      <c r="P147" s="59"/>
    </row>
    <row r="148" customFormat="false" ht="12.75" hidden="false" customHeight="true" outlineLevel="0" collapsed="false">
      <c r="A148" s="329"/>
      <c r="B148" s="153"/>
      <c r="C148" s="153"/>
      <c r="D148" s="324"/>
      <c r="E148" s="325"/>
      <c r="G148" s="326"/>
      <c r="H148" s="153"/>
      <c r="I148" s="59"/>
      <c r="J148" s="59"/>
      <c r="K148" s="324"/>
      <c r="L148" s="325"/>
      <c r="M148" s="59"/>
      <c r="N148" s="59"/>
      <c r="O148" s="59"/>
      <c r="P148" s="59"/>
    </row>
    <row r="149" customFormat="false" ht="12.75" hidden="false" customHeight="true" outlineLevel="0" collapsed="false">
      <c r="A149" s="329"/>
      <c r="B149" s="153"/>
      <c r="C149" s="153"/>
      <c r="D149" s="324"/>
      <c r="E149" s="325"/>
      <c r="G149" s="326"/>
      <c r="H149" s="153"/>
      <c r="I149" s="59"/>
      <c r="J149" s="59"/>
      <c r="K149" s="324"/>
      <c r="L149" s="325"/>
      <c r="M149" s="59"/>
      <c r="N149" s="59"/>
      <c r="O149" s="59"/>
      <c r="P149" s="59"/>
    </row>
    <row r="150" customFormat="false" ht="12.75" hidden="false" customHeight="true" outlineLevel="0" collapsed="false">
      <c r="A150" s="329"/>
      <c r="B150" s="153"/>
      <c r="C150" s="153"/>
      <c r="D150" s="324"/>
      <c r="E150" s="325"/>
      <c r="G150" s="326"/>
      <c r="H150" s="153"/>
      <c r="I150" s="59"/>
      <c r="J150" s="59"/>
      <c r="K150" s="324"/>
      <c r="L150" s="325"/>
      <c r="M150" s="59"/>
      <c r="N150" s="59"/>
      <c r="O150" s="59"/>
      <c r="P150" s="59"/>
    </row>
    <row r="151" customFormat="false" ht="12.75" hidden="false" customHeight="true" outlineLevel="0" collapsed="false">
      <c r="A151" s="329"/>
      <c r="B151" s="153"/>
      <c r="C151" s="153"/>
      <c r="D151" s="324"/>
      <c r="E151" s="325"/>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25"/>
      <c r="M157" s="59"/>
      <c r="N157" s="59"/>
      <c r="O157" s="59"/>
      <c r="P157" s="59"/>
    </row>
    <row r="158" customFormat="false" ht="12.75" hidden="false" customHeight="true" outlineLevel="0" collapsed="false">
      <c r="A158" s="329"/>
      <c r="B158" s="153"/>
      <c r="C158" s="153"/>
      <c r="D158" s="324"/>
      <c r="E158" s="334"/>
      <c r="G158" s="326"/>
      <c r="H158" s="153"/>
      <c r="I158" s="59"/>
      <c r="J158" s="59"/>
      <c r="K158" s="324"/>
      <c r="L158" s="334"/>
      <c r="M158" s="59"/>
      <c r="N158" s="59"/>
      <c r="O158" s="59"/>
      <c r="P158" s="59"/>
    </row>
    <row r="159" customFormat="false" ht="12.75" hidden="false" customHeight="true" outlineLevel="0" collapsed="false">
      <c r="A159" s="335"/>
      <c r="B159" s="153"/>
      <c r="C159" s="153"/>
      <c r="D159" s="336" t="s">
        <v>306</v>
      </c>
      <c r="E159" s="338" t="n">
        <f aca="false">SUM(E126:E158)</f>
        <v>70309</v>
      </c>
      <c r="G159" s="335"/>
      <c r="H159" s="153"/>
      <c r="I159" s="59"/>
      <c r="J159" s="59"/>
      <c r="K159" s="336" t="s">
        <v>305</v>
      </c>
      <c r="L159" s="338" t="n">
        <f aca="false">SUM(L126:L158)</f>
        <v>0</v>
      </c>
      <c r="M159" s="59"/>
      <c r="N159" s="59"/>
      <c r="O159" s="59"/>
      <c r="P159" s="59"/>
    </row>
    <row r="160" customFormat="false" ht="12.75" hidden="false" customHeight="true" outlineLevel="0" collapsed="false">
      <c r="A160" s="339"/>
      <c r="B160" s="340"/>
      <c r="C160" s="340"/>
      <c r="D160" s="340"/>
      <c r="E160" s="341"/>
      <c r="G160" s="339"/>
      <c r="H160" s="340"/>
      <c r="I160" s="340"/>
      <c r="J160" s="340"/>
      <c r="K160" s="340"/>
      <c r="L160" s="341"/>
      <c r="M160" s="59"/>
      <c r="N160" s="59"/>
      <c r="O160" s="59"/>
      <c r="P160" s="59"/>
    </row>
    <row r="161" customFormat="false" ht="12.75" hidden="false" customHeight="true" outlineLevel="0" collapsed="false">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c r="B165" s="153"/>
      <c r="C165" s="153"/>
      <c r="D165" s="324"/>
      <c r="E165" s="325"/>
      <c r="AJ165" s="59"/>
      <c r="AK165" s="59"/>
      <c r="AL165" s="59"/>
      <c r="AM165" s="59"/>
    </row>
    <row r="166" customFormat="false" ht="12.75" hidden="false" customHeight="true" outlineLevel="0" collapsed="false">
      <c r="A166" s="342"/>
      <c r="B166" s="153"/>
      <c r="C166" s="153"/>
      <c r="D166" s="324"/>
      <c r="E166" s="325"/>
      <c r="AJ166" s="59"/>
      <c r="AK166" s="59"/>
      <c r="AL166" s="59"/>
      <c r="AM166" s="59"/>
    </row>
    <row r="167" customFormat="false" ht="12.75" hidden="false" customHeight="true" outlineLevel="0" collapsed="false">
      <c r="A167" s="342"/>
      <c r="B167" s="153"/>
      <c r="C167" s="153"/>
      <c r="D167" s="324"/>
      <c r="E167" s="325"/>
      <c r="AJ167" s="59"/>
      <c r="AK167" s="59"/>
      <c r="AL167" s="59"/>
      <c r="AM167" s="59"/>
    </row>
    <row r="168" customFormat="false" ht="12.75" hidden="false" customHeight="true" outlineLevel="0" collapsed="false">
      <c r="A168" s="342"/>
      <c r="B168" s="153"/>
      <c r="C168" s="153"/>
      <c r="D168" s="324"/>
      <c r="E168" s="330"/>
      <c r="AJ168" s="59"/>
      <c r="AK168" s="59"/>
      <c r="AL168" s="59"/>
      <c r="AM168" s="59"/>
    </row>
    <row r="169" customFormat="false" ht="12.75" hidden="false" customHeight="true" outlineLevel="0" collapsed="false">
      <c r="A169" s="342"/>
      <c r="B169" s="153"/>
      <c r="C169" s="153"/>
      <c r="D169" s="324"/>
      <c r="E169" s="325"/>
      <c r="AJ169" s="59"/>
      <c r="AK169" s="59"/>
      <c r="AL169" s="59"/>
      <c r="AM169" s="59"/>
    </row>
    <row r="170" customFormat="false" ht="12.75" hidden="false" customHeight="true" outlineLevel="0" collapsed="false">
      <c r="A170" s="342"/>
      <c r="B170" s="153"/>
      <c r="C170" s="153"/>
      <c r="D170" s="324"/>
      <c r="E170" s="325"/>
      <c r="AJ170" s="59"/>
      <c r="AK170" s="59"/>
      <c r="AL170" s="59"/>
      <c r="AM170" s="59"/>
    </row>
    <row r="171" customFormat="false" ht="12.75" hidden="false" customHeight="true" outlineLevel="0" collapsed="false">
      <c r="A171" s="342"/>
      <c r="B171" s="153"/>
      <c r="C171" s="332"/>
      <c r="D171" s="346"/>
      <c r="E171" s="330"/>
      <c r="AJ171" s="59"/>
      <c r="AK171" s="59"/>
      <c r="AL171" s="59"/>
      <c r="AM171" s="59"/>
    </row>
    <row r="172" customFormat="false" ht="12.75" hidden="false" customHeight="true" outlineLevel="0" collapsed="false">
      <c r="A172" s="342"/>
      <c r="B172" s="327"/>
      <c r="C172" s="332"/>
      <c r="D172" s="346"/>
      <c r="E172" s="330"/>
      <c r="AJ172" s="59"/>
      <c r="AK172" s="59"/>
      <c r="AL172" s="59"/>
      <c r="AM172" s="59"/>
    </row>
    <row r="173" customFormat="false" ht="12.75" hidden="false" customHeight="true" outlineLevel="0" collapsed="false">
      <c r="A173" s="342"/>
      <c r="B173" s="327"/>
      <c r="C173" s="153"/>
      <c r="D173" s="324"/>
      <c r="E173" s="325"/>
      <c r="AJ173" s="59"/>
      <c r="AK173" s="59"/>
      <c r="AL173" s="59"/>
      <c r="AM173" s="59"/>
    </row>
    <row r="174" customFormat="false" ht="12.75" hidden="false" customHeight="true" outlineLevel="0" collapsed="false">
      <c r="A174" s="342"/>
      <c r="B174" s="153"/>
      <c r="C174" s="153"/>
      <c r="D174" s="324"/>
      <c r="E174" s="32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25"/>
      <c r="AJ176" s="59"/>
      <c r="AK176" s="59"/>
      <c r="AL176" s="59"/>
      <c r="AM176" s="59"/>
    </row>
    <row r="177" customFormat="false" ht="12.75" hidden="false" customHeight="true" outlineLevel="0" collapsed="false">
      <c r="A177" s="342"/>
      <c r="B177" s="153"/>
      <c r="C177" s="153"/>
      <c r="D177" s="324"/>
      <c r="E177" s="325"/>
      <c r="AJ177" s="59"/>
      <c r="AK177" s="59"/>
      <c r="AL177" s="59"/>
      <c r="AM177" s="59"/>
    </row>
    <row r="178" customFormat="false" ht="12.75" hidden="false" customHeight="true" outlineLevel="0" collapsed="false">
      <c r="A178" s="342"/>
      <c r="B178" s="62"/>
      <c r="C178" s="332"/>
      <c r="D178" s="346"/>
      <c r="E178" s="330"/>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0</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AJ188" s="59"/>
      <c r="AK188" s="59"/>
      <c r="AL188" s="59"/>
      <c r="AM188" s="59"/>
    </row>
    <row r="189" customFormat="false" ht="12.75" hidden="false" customHeight="true" outlineLevel="0" collapsed="false">
      <c r="A189" s="352" t="s">
        <v>331</v>
      </c>
      <c r="B189" s="350"/>
      <c r="C189" s="350"/>
      <c r="D189" s="350"/>
      <c r="E189" s="350"/>
      <c r="F189" s="350"/>
      <c r="G189" s="350"/>
      <c r="H189" s="350"/>
      <c r="I189" s="350"/>
      <c r="J189" s="350"/>
      <c r="K189" s="350"/>
      <c r="L189" s="350"/>
      <c r="M189" s="351"/>
      <c r="O189" s="59"/>
      <c r="P189" s="59"/>
      <c r="Q189" s="59"/>
      <c r="R189" s="59"/>
    </row>
    <row r="190" customFormat="false" ht="12.75" hidden="false" customHeight="true" outlineLevel="0" collapsed="false">
      <c r="A190" s="355" t="s">
        <v>332</v>
      </c>
      <c r="B190" s="356" t="s">
        <v>268</v>
      </c>
      <c r="C190" s="357" t="s">
        <v>333</v>
      </c>
      <c r="D190" s="358" t="s">
        <v>334</v>
      </c>
      <c r="E190" s="404" t="s">
        <v>269</v>
      </c>
      <c r="F190" s="404"/>
      <c r="G190" s="404"/>
      <c r="H190" s="404"/>
      <c r="I190" s="404"/>
      <c r="J190" s="404"/>
      <c r="K190" s="404"/>
      <c r="L190" s="404"/>
      <c r="M190" s="354" t="s">
        <v>270</v>
      </c>
      <c r="O190" s="59"/>
      <c r="P190" s="59"/>
      <c r="Q190" s="59"/>
      <c r="R190" s="59"/>
    </row>
    <row r="191" customFormat="false" ht="12.75" hidden="false" customHeight="true" outlineLevel="0" collapsed="false">
      <c r="A191" s="360"/>
      <c r="B191" s="361"/>
      <c r="C191" s="362"/>
      <c r="D191" s="324"/>
      <c r="E191" s="153"/>
      <c r="F191" s="153"/>
      <c r="G191" s="153"/>
      <c r="H191" s="153"/>
      <c r="I191" s="153"/>
      <c r="J191" s="153"/>
      <c r="K191" s="153"/>
      <c r="L191" s="1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c r="O195" s="59"/>
      <c r="P195" s="59"/>
      <c r="Q195" s="59"/>
      <c r="R195" s="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153"/>
      <c r="M213" s="359"/>
    </row>
    <row r="214" customFormat="false" ht="12.75" hidden="false" customHeight="true" outlineLevel="0" collapsed="false">
      <c r="A214" s="363"/>
      <c r="B214" s="361"/>
      <c r="C214" s="367"/>
      <c r="D214" s="324"/>
      <c r="E214" s="153"/>
      <c r="F214" s="153"/>
      <c r="G214" s="153"/>
      <c r="H214" s="153"/>
      <c r="I214" s="153"/>
      <c r="J214" s="153"/>
      <c r="K214" s="153"/>
      <c r="L214" s="336" t="s">
        <v>335</v>
      </c>
      <c r="M214" s="366" t="n">
        <f aca="false">SUM(M191:M213)</f>
        <v>0</v>
      </c>
    </row>
    <row r="215" customFormat="false" ht="12.75" hidden="false" customHeight="true" outlineLevel="0" collapsed="false">
      <c r="A215" s="368"/>
      <c r="B215" s="369"/>
      <c r="C215" s="340"/>
      <c r="D215" s="340"/>
      <c r="E215" s="340"/>
      <c r="F215" s="340"/>
      <c r="G215" s="340"/>
      <c r="H215" s="340"/>
      <c r="I215" s="340"/>
      <c r="J215" s="340"/>
      <c r="K215" s="340"/>
      <c r="L215" s="340"/>
      <c r="M215" s="341"/>
    </row>
    <row r="216" customFormat="false" ht="12.75" hidden="false" customHeight="true" outlineLevel="0" collapsed="false"/>
    <row r="217" customFormat="false" ht="12.75" hidden="false" customHeight="true" outlineLevel="0" collapsed="false"/>
    <row r="218" customFormat="false" ht="12.75" hidden="false" customHeight="true" outlineLevel="0" collapsed="false">
      <c r="A218" s="371" t="s">
        <v>336</v>
      </c>
      <c r="B218" s="372"/>
      <c r="C218" s="372"/>
      <c r="D218" s="372"/>
      <c r="E218" s="372"/>
      <c r="F218" s="373"/>
      <c r="G218" s="370"/>
      <c r="H218" s="370"/>
      <c r="I218" s="370"/>
      <c r="J218" s="370"/>
      <c r="K218" s="370"/>
      <c r="L218" s="370"/>
      <c r="M218" s="370"/>
      <c r="N218" s="370"/>
    </row>
    <row r="219" customFormat="false" ht="12.75" hidden="false" customHeight="true" outlineLevel="0" collapsed="false">
      <c r="A219" s="374" t="s">
        <v>332</v>
      </c>
      <c r="B219" s="375" t="s">
        <v>268</v>
      </c>
      <c r="C219" s="376" t="s">
        <v>333</v>
      </c>
      <c r="D219" s="377" t="s">
        <v>334</v>
      </c>
      <c r="E219" s="377"/>
      <c r="F219" s="378" t="s">
        <v>270</v>
      </c>
      <c r="G219" s="370"/>
      <c r="H219" s="370"/>
      <c r="I219" s="370"/>
      <c r="J219" s="370"/>
      <c r="K219" s="370"/>
      <c r="L219" s="370"/>
      <c r="M219" s="370"/>
      <c r="N219" s="370"/>
    </row>
    <row r="220" customFormat="false" ht="12.75" hidden="false" customHeight="true" outlineLevel="0" collapsed="false">
      <c r="A220" s="380"/>
      <c r="B220" s="361"/>
      <c r="C220" s="381"/>
      <c r="D220" s="153"/>
      <c r="E220" s="382"/>
      <c r="F220" s="383"/>
      <c r="G220" s="379"/>
      <c r="H220" s="379"/>
      <c r="I220" s="379"/>
      <c r="J220" s="379"/>
      <c r="K220" s="379"/>
      <c r="L220" s="379"/>
      <c r="M220" s="379"/>
      <c r="N220" s="379"/>
    </row>
    <row r="221" customFormat="false" ht="12.75" hidden="false" customHeight="true" outlineLevel="0" collapsed="false">
      <c r="A221" s="380"/>
      <c r="B221" s="361"/>
      <c r="C221" s="370"/>
      <c r="D221" s="385"/>
      <c r="E221" s="382"/>
      <c r="F221" s="405"/>
      <c r="G221" s="379"/>
      <c r="H221" s="379"/>
      <c r="I221" s="379"/>
      <c r="J221" s="379"/>
      <c r="K221" s="379"/>
      <c r="L221" s="379"/>
      <c r="M221" s="379"/>
      <c r="N221" s="379"/>
    </row>
    <row r="222" customFormat="false" ht="12.75" hidden="false" customHeight="true" outlineLevel="0" collapsed="false">
      <c r="A222" s="380"/>
      <c r="B222" s="361"/>
      <c r="C222" s="370"/>
      <c r="D222" s="385"/>
      <c r="E222" s="382"/>
      <c r="F222" s="384"/>
      <c r="G222" s="370"/>
      <c r="H222" s="370"/>
      <c r="I222" s="370"/>
      <c r="J222" s="370"/>
      <c r="K222" s="370"/>
      <c r="L222" s="370"/>
      <c r="M222" s="370"/>
      <c r="N222" s="370"/>
    </row>
    <row r="223" customFormat="false" ht="12.75" hidden="false" customHeight="true" outlineLevel="0" collapsed="false">
      <c r="A223" s="380"/>
      <c r="B223" s="361"/>
      <c r="C223" s="370"/>
      <c r="D223" s="385"/>
      <c r="E223" s="382"/>
      <c r="F223" s="384"/>
      <c r="G223" s="370"/>
      <c r="H223" s="370"/>
      <c r="I223" s="370"/>
      <c r="J223" s="370"/>
      <c r="K223" s="370"/>
      <c r="L223" s="370"/>
      <c r="M223" s="370"/>
      <c r="N223" s="370"/>
    </row>
    <row r="224" customFormat="false" ht="12.75" hidden="false" customHeight="true" outlineLevel="0" collapsed="false">
      <c r="A224" s="380"/>
      <c r="B224" s="361"/>
      <c r="C224" s="370"/>
      <c r="D224" s="385"/>
      <c r="E224" s="382"/>
      <c r="F224" s="384"/>
      <c r="G224" s="370"/>
      <c r="H224" s="370"/>
      <c r="I224" s="370"/>
      <c r="J224" s="370"/>
      <c r="K224" s="370"/>
      <c r="L224" s="370"/>
      <c r="M224" s="370"/>
      <c r="N224" s="370"/>
    </row>
    <row r="225" customFormat="false" ht="12.75" hidden="false" customHeight="true" outlineLevel="0" collapsed="false">
      <c r="A225" s="380"/>
      <c r="B225" s="361"/>
      <c r="C225" s="370"/>
      <c r="D225" s="385"/>
      <c r="E225" s="382"/>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4"/>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6" t="n">
        <f aca="false">SUM(F219:F237)</f>
        <v>0</v>
      </c>
      <c r="G238" s="370"/>
      <c r="H238" s="370"/>
      <c r="I238" s="370"/>
      <c r="J238" s="370"/>
      <c r="K238" s="370"/>
      <c r="L238" s="370"/>
      <c r="M238" s="370"/>
      <c r="N238" s="370"/>
    </row>
    <row r="239" customFormat="false" ht="12.75" hidden="false" customHeight="true" outlineLevel="0" collapsed="false">
      <c r="A239" s="388"/>
      <c r="B239" s="389"/>
      <c r="C239" s="390"/>
      <c r="D239" s="390"/>
      <c r="E239" s="391"/>
      <c r="F239" s="387"/>
      <c r="G239" s="370"/>
      <c r="H239" s="370"/>
      <c r="I239" s="370"/>
      <c r="J239" s="370"/>
      <c r="K239" s="370"/>
      <c r="L239" s="370"/>
      <c r="M239" s="370"/>
      <c r="N239" s="370"/>
    </row>
    <row r="240" customFormat="false" ht="12.75" hidden="false" customHeight="true" outlineLevel="0" collapsed="false"/>
  </sheetData>
  <mergeCells count="11">
    <mergeCell ref="S6:T6"/>
    <mergeCell ref="K28:L28"/>
    <mergeCell ref="A41:B41"/>
    <mergeCell ref="AI42:AJ42"/>
    <mergeCell ref="A79:B79"/>
    <mergeCell ref="A121:B121"/>
    <mergeCell ref="B125:D125"/>
    <mergeCell ref="G125:K125"/>
    <mergeCell ref="B164:D164"/>
    <mergeCell ref="E190:L190"/>
    <mergeCell ref="D219:E219"/>
  </mergeCells>
  <printOptions headings="false" gridLines="false" gridLinesSet="true" horizontalCentered="true" verticalCentered="false"/>
  <pageMargins left="0.25" right="0.25" top="0.25" bottom="0.25" header="0.511811023622047" footer="0.25"/>
  <pageSetup paperSize="5" scale="100" fitToWidth="1" fitToHeight="1" pageOrder="downThenOver" orientation="landscape" blackAndWhite="false" draft="false" cellComments="none" horizontalDpi="300" verticalDpi="300" copies="1"/>
  <headerFooter differentFirst="false" differentOddEven="false">
    <oddHeader/>
    <oddFooter>&amp;L&amp;"Times New Roman,Italic"&amp;F/&amp;A  Prepared By: S. Mills (x3548)&amp;R&amp;"Times New Roman,Italic"&amp;D &amp;T</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6" topLeftCell="N36" activePane="bottomRight" state="frozen"/>
      <selection pane="topLeft" activeCell="A1" activeCellId="0" sqref="A1"/>
      <selection pane="topRight" activeCell="N1" activeCellId="0" sqref="N1"/>
      <selection pane="bottomLeft" activeCell="A36" activeCellId="0" sqref="A36"/>
      <selection pane="bottomRight" activeCell="S53" activeCellId="0" sqref="S53"/>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4" min="2" style="193" width="14.85"/>
    <col collapsed="false" customWidth="true" hidden="false" outlineLevel="0" max="5" min="5" style="193" width="17.28"/>
    <col collapsed="false" customWidth="true" hidden="false" outlineLevel="0" max="11" min="6"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false" hidden="false" outlineLevel="0" max="38" min="38" style="193" width="9.14"/>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392" t="n">
        <f aca="false">M38</f>
        <v>0</v>
      </c>
      <c r="D1" s="59"/>
      <c r="E1" s="59"/>
      <c r="F1" s="59"/>
      <c r="G1" s="59"/>
      <c r="H1" s="59"/>
      <c r="I1" s="59"/>
      <c r="J1" s="59"/>
      <c r="K1" s="59"/>
      <c r="L1" s="59"/>
      <c r="M1" s="59"/>
      <c r="N1" s="59"/>
      <c r="O1" s="59"/>
    </row>
    <row r="2" customFormat="false" ht="12.75" hidden="false" customHeight="true" outlineLevel="0" collapsed="false">
      <c r="A2" s="198" t="s">
        <v>127</v>
      </c>
      <c r="D2" s="59"/>
      <c r="E2" s="59"/>
      <c r="F2" s="59"/>
      <c r="G2" s="59"/>
      <c r="H2" s="59"/>
      <c r="I2" s="59"/>
      <c r="J2" s="59"/>
      <c r="K2" s="59"/>
      <c r="L2" s="59"/>
      <c r="M2" s="59"/>
      <c r="N2" s="59"/>
      <c r="O2" s="59"/>
    </row>
    <row r="3" customFormat="false" ht="12.75" hidden="false" customHeight="true" outlineLevel="0" collapsed="false">
      <c r="A3" s="201" t="s">
        <v>128</v>
      </c>
      <c r="B3" s="581" t="s">
        <v>375</v>
      </c>
      <c r="C3" s="202" t="s">
        <v>42</v>
      </c>
      <c r="D3" s="59"/>
      <c r="E3" s="59"/>
      <c r="F3" s="59"/>
      <c r="G3" s="59"/>
      <c r="H3" s="59"/>
      <c r="I3" s="59"/>
      <c r="J3" s="59"/>
      <c r="K3" s="59"/>
      <c r="L3" s="59"/>
      <c r="M3" s="59"/>
      <c r="N3" s="59"/>
      <c r="O3" s="59"/>
    </row>
    <row r="4" customFormat="false" ht="12.75" hidden="false" customHeight="true" outlineLevel="0" collapsed="false">
      <c r="A4" s="201" t="s">
        <v>1</v>
      </c>
      <c r="B4" s="207" t="n">
        <f aca="false">Front!B4</f>
        <v>36831</v>
      </c>
      <c r="D4" s="59"/>
      <c r="E4" s="59"/>
      <c r="F4" s="59"/>
      <c r="G4" s="59"/>
      <c r="H4" s="59"/>
      <c r="I4" s="59"/>
      <c r="J4" s="59"/>
      <c r="K4" s="59"/>
      <c r="L4" s="59"/>
      <c r="M4" s="59"/>
      <c r="N4" s="59"/>
      <c r="O4" s="59"/>
    </row>
    <row r="5" customFormat="false" ht="12.75" hidden="false" customHeight="true" outlineLevel="0" collapsed="false">
      <c r="A5" s="201" t="s">
        <v>2</v>
      </c>
      <c r="B5" s="208" t="n">
        <f aca="false">Front!B5</f>
        <v>36847</v>
      </c>
      <c r="C5" s="394"/>
      <c r="V5" s="153"/>
      <c r="W5" s="153"/>
      <c r="X5" s="153"/>
      <c r="Y5" s="153"/>
      <c r="Z5" s="153"/>
      <c r="AA5" s="153"/>
    </row>
    <row r="6" customFormat="false" ht="12.75" hidden="false" customHeight="true" outlineLevel="0" collapsed="false">
      <c r="A6" s="201" t="s">
        <v>130</v>
      </c>
      <c r="B6" s="210" t="n">
        <f aca="false">Front!$F$12</f>
        <v>949834</v>
      </c>
      <c r="C6" s="394"/>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D7" s="218" t="s">
        <v>142</v>
      </c>
      <c r="E7" s="218" t="s">
        <v>143</v>
      </c>
      <c r="K7" s="214"/>
      <c r="L7" s="215" t="s">
        <v>137</v>
      </c>
      <c r="M7" s="215" t="s">
        <v>137</v>
      </c>
      <c r="N7" s="215" t="s">
        <v>137</v>
      </c>
      <c r="O7" s="215" t="s">
        <v>137</v>
      </c>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D9" s="262" t="n">
        <v>652989</v>
      </c>
      <c r="E9" s="262" t="n">
        <v>358751</v>
      </c>
      <c r="F9" s="59" t="s">
        <v>148</v>
      </c>
      <c r="G9" s="193" t="s">
        <v>149</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D10" s="225" t="n">
        <v>0</v>
      </c>
      <c r="E10" s="225" t="n">
        <v>0</v>
      </c>
      <c r="F10" s="59" t="s">
        <v>148</v>
      </c>
      <c r="G10" s="193" t="s">
        <v>149</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154</v>
      </c>
      <c r="E11" s="225"/>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193" t="n">
        <v>0</v>
      </c>
      <c r="E12" s="225"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193" t="n">
        <v>0</v>
      </c>
      <c r="E13" s="225" t="n">
        <v>0</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E14" s="231" t="n">
        <f aca="false">+E159</f>
        <v>22485</v>
      </c>
      <c r="F14" s="193" t="s">
        <v>165</v>
      </c>
      <c r="K14" s="219" t="s">
        <v>166</v>
      </c>
      <c r="L14" s="232" t="n">
        <f aca="false">SUM(L9:L13)/1000000</f>
        <v>0</v>
      </c>
      <c r="M14" s="232" t="n">
        <f aca="false">SUM(M9:M13)/1000000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E15" s="231" t="n">
        <f aca="false">+L160</f>
        <v>1810667</v>
      </c>
      <c r="F15" s="193" t="s">
        <v>165</v>
      </c>
      <c r="K15" s="219" t="s">
        <v>169</v>
      </c>
      <c r="L15" s="94" t="n">
        <v>0</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E16" s="231" t="n">
        <f aca="false">+E185</f>
        <v>0</v>
      </c>
      <c r="F16" s="193" t="s">
        <v>165</v>
      </c>
      <c r="I16" s="238"/>
      <c r="J16" s="238"/>
      <c r="K16" s="219" t="s">
        <v>174</v>
      </c>
      <c r="L16" s="241" t="n">
        <v>0</v>
      </c>
      <c r="M16" s="241" t="n">
        <v>0</v>
      </c>
      <c r="N16" s="241" t="n">
        <v>0</v>
      </c>
      <c r="O16" s="241" t="n">
        <v>0</v>
      </c>
      <c r="P16" s="241" t="n">
        <v>0</v>
      </c>
      <c r="Q16" s="241" t="n">
        <v>0</v>
      </c>
      <c r="R16" s="398"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E19" s="248" t="n">
        <f aca="false">SUM(E9:E16)</f>
        <v>2191903</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153"/>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f>
        <v>2191910</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75" hidden="false" customHeight="true" outlineLevel="0" collapsed="false">
      <c r="A22" s="193" t="s">
        <v>181</v>
      </c>
      <c r="E22" s="262" t="n">
        <v>0</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75" hidden="false" customHeight="true" outlineLevel="0" collapsed="false">
      <c r="A23" s="193" t="s">
        <v>182</v>
      </c>
      <c r="E23" s="225" t="n">
        <v>0</v>
      </c>
      <c r="F23" s="59" t="s">
        <v>148</v>
      </c>
      <c r="G23" s="153"/>
      <c r="I23" s="153"/>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62"/>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-M214</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183786</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-4718</v>
      </c>
      <c r="F30" s="193" t="s">
        <v>193</v>
      </c>
      <c r="I30" s="153"/>
      <c r="J30" s="153"/>
      <c r="K30" s="219" t="s">
        <v>194</v>
      </c>
      <c r="L30" s="153"/>
      <c r="M30" s="226" t="n">
        <v>1863146</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v>
      </c>
      <c r="N31" s="60" t="n">
        <f aca="false">M31</f>
        <v>0</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591" t="n">
        <v>183786</v>
      </c>
      <c r="N32" s="60"/>
      <c r="O32" s="153" t="s">
        <v>191</v>
      </c>
      <c r="P32" s="153"/>
      <c r="Q32" s="153"/>
      <c r="R32" s="220"/>
      <c r="AI32" s="59"/>
    </row>
    <row r="33" customFormat="false" ht="12.75" hidden="false" customHeight="true" outlineLevel="0" collapsed="false">
      <c r="A33" s="193" t="s">
        <v>357</v>
      </c>
      <c r="E33" s="231" t="n">
        <f aca="false">B68</f>
        <v>0</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328757</v>
      </c>
      <c r="N34" s="60" t="n">
        <f aca="false">B63</f>
        <v>0</v>
      </c>
      <c r="O34" s="153" t="s">
        <v>202</v>
      </c>
      <c r="P34" s="153"/>
      <c r="Q34" s="153"/>
      <c r="R34" s="220"/>
    </row>
    <row r="35" customFormat="false" ht="12.75" hidden="false" customHeight="true" outlineLevel="0" collapsed="false">
      <c r="A35" s="193" t="s">
        <v>203</v>
      </c>
      <c r="E35" s="231" t="n">
        <f aca="false">F238</f>
        <v>4718</v>
      </c>
      <c r="F35" s="193" t="s">
        <v>193</v>
      </c>
      <c r="K35" s="219"/>
      <c r="L35" s="153"/>
      <c r="M35" s="60"/>
      <c r="N35" s="60"/>
      <c r="O35" s="153"/>
      <c r="P35" s="153"/>
      <c r="Q35" s="153"/>
      <c r="R35" s="220"/>
    </row>
    <row r="36" customFormat="false" ht="12.75" hidden="false" customHeight="true" outlineLevel="0" collapsed="false">
      <c r="A36" s="223" t="s">
        <v>204</v>
      </c>
      <c r="E36" s="248" t="n">
        <f aca="false">SUM(E29:E35)</f>
        <v>183786</v>
      </c>
      <c r="K36" s="219" t="s">
        <v>205</v>
      </c>
      <c r="L36" s="62"/>
      <c r="M36" s="60" t="n">
        <f aca="false">SUM(M30:M34)</f>
        <v>2375689</v>
      </c>
      <c r="N36" s="60" t="n">
        <f aca="false">SUM(N30:N34)</f>
        <v>0</v>
      </c>
      <c r="O36" s="153"/>
      <c r="P36" s="153"/>
      <c r="Q36" s="153"/>
      <c r="R36" s="220"/>
    </row>
    <row r="37" customFormat="false" ht="12.75" hidden="false" customHeight="true" outlineLevel="0" collapsed="false">
      <c r="K37" s="265"/>
      <c r="L37" s="62"/>
      <c r="M37" s="62"/>
      <c r="N37" s="62"/>
      <c r="O37" s="153"/>
      <c r="P37" s="153"/>
      <c r="Q37" s="153"/>
      <c r="R37" s="220"/>
    </row>
    <row r="38" customFormat="false" ht="12.75" hidden="false" customHeight="true" outlineLevel="0" collapsed="false">
      <c r="A38" s="221" t="s">
        <v>206</v>
      </c>
      <c r="C38" s="226"/>
      <c r="E38" s="248" t="n">
        <f aca="false">+E36+E26+E19</f>
        <v>2375689</v>
      </c>
      <c r="K38" s="219"/>
      <c r="L38" s="266" t="s">
        <v>207</v>
      </c>
      <c r="M38" s="124" t="n">
        <f aca="false">M36-E38</f>
        <v>0</v>
      </c>
      <c r="N38" s="124" t="n">
        <f aca="false">+N36-E26</f>
        <v>0</v>
      </c>
      <c r="O38" s="153"/>
      <c r="P38" s="153"/>
      <c r="Q38" s="153"/>
      <c r="R38" s="220"/>
      <c r="AN38" s="59"/>
      <c r="AO38" s="59"/>
      <c r="AP38" s="59"/>
      <c r="AQ38" s="59"/>
      <c r="AR38" s="59"/>
      <c r="AS38" s="59"/>
    </row>
    <row r="39" customFormat="false" ht="12.75" hidden="false" customHeight="true" outlineLevel="0" collapsed="false">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K40" s="153"/>
      <c r="L40" s="153"/>
      <c r="M40" s="153"/>
      <c r="N40" s="153"/>
      <c r="O40" s="153"/>
      <c r="P40" s="153"/>
      <c r="AJ40" s="59"/>
      <c r="AK40" s="59"/>
      <c r="AN40" s="59"/>
      <c r="AO40" s="59"/>
      <c r="AP40" s="59"/>
      <c r="AQ40" s="59"/>
      <c r="AR40" s="59"/>
      <c r="AS40" s="59"/>
    </row>
    <row r="41" customFormat="false" ht="12.75" hidden="false" customHeight="true" outlineLevel="0" collapsed="false">
      <c r="A41" s="271" t="s">
        <v>208</v>
      </c>
      <c r="B41" s="271"/>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SUM(C47:C76)-C61-C68-C69</f>
        <v>35046</v>
      </c>
      <c r="D43" s="275" t="n">
        <f aca="false">SUM(D47:D76)-D61-D68-D69</f>
        <v>612351</v>
      </c>
      <c r="E43" s="275" t="n">
        <f aca="false">SUM(E47:E76)-E61-E68-E69</f>
        <v>-135193</v>
      </c>
      <c r="F43" s="275" t="n">
        <f aca="false">SUM(F47:F76)-F61-F68-F69</f>
        <v>0</v>
      </c>
      <c r="G43" s="275" t="n">
        <f aca="false">SUM(G47:G76)-G61-G68-G69</f>
        <v>0</v>
      </c>
      <c r="H43" s="275" t="n">
        <f aca="false">SUM(H47:H76)-H61-H68-H69</f>
        <v>58056</v>
      </c>
      <c r="I43" s="275" t="n">
        <f aca="false">SUM(I47:I76)-I61-I68-I69</f>
        <v>-122210</v>
      </c>
      <c r="J43" s="275" t="n">
        <f aca="false">SUM(J47:J76)-J61-J68-J69</f>
        <v>51404</v>
      </c>
      <c r="K43" s="275" t="n">
        <f aca="false">SUM(K47:K76)-K61-K68-K69</f>
        <v>-2959</v>
      </c>
      <c r="L43" s="275" t="n">
        <f aca="false">SUM(L47:L76)-L61-L68-L69</f>
        <v>34835</v>
      </c>
      <c r="M43" s="275" t="n">
        <f aca="false">SUM(M47:M76)-M61-M68-M69</f>
        <v>0</v>
      </c>
      <c r="N43" s="275" t="n">
        <f aca="false">SUM(N47:N76)-N61-N68-N69</f>
        <v>0</v>
      </c>
      <c r="O43" s="275" t="n">
        <f aca="false">SUM(O47:O76)-O61-O68-O69</f>
        <v>17072</v>
      </c>
      <c r="P43" s="275" t="n">
        <f aca="false">SUM(P47:P76)-P61-P68-P69</f>
        <v>-90081</v>
      </c>
      <c r="Q43" s="275" t="n">
        <f aca="false">SUM(Q47:Q76)-Q61-Q68-Q69</f>
        <v>-28487</v>
      </c>
      <c r="R43" s="275" t="n">
        <f aca="false">SUM(R47:R76)-R61-R68-R69</f>
        <v>-197236</v>
      </c>
      <c r="S43" s="275" t="n">
        <f aca="false">SUM(S47:S76)-S61-S68-S69</f>
        <v>96159</v>
      </c>
      <c r="T43" s="275" t="n">
        <f aca="false">SUM(T47:T76)-T61-T68-T69</f>
        <v>0</v>
      </c>
      <c r="U43" s="275" t="n">
        <f aca="false">SUM(U47:U76)-U61-U68-U69</f>
        <v>0</v>
      </c>
      <c r="V43" s="275" t="n">
        <f aca="false">SUM(V47:V76)-V61-V68-V69</f>
        <v>0</v>
      </c>
      <c r="W43" s="275" t="n">
        <f aca="false">SUM(W47:W76)-Y61-W68-W69</f>
        <v>0</v>
      </c>
      <c r="X43" s="275" t="n">
        <f aca="false">SUM(X47:X76)-Z61-X68-X69</f>
        <v>0</v>
      </c>
      <c r="Y43" s="275" t="n">
        <f aca="false">SUM(Y47:Y76)-AA61-Y68-Y69</f>
        <v>0</v>
      </c>
      <c r="Z43" s="275" t="n">
        <f aca="false">SUM(Z47:Z76)-AB61-Z68-Z69</f>
        <v>0</v>
      </c>
      <c r="AA43" s="275" t="n">
        <f aca="false">SUM(AA47:AA76)-AA61-AA68-AA69</f>
        <v>0</v>
      </c>
      <c r="AB43" s="275" t="n">
        <f aca="false">SUM(AB47:AB76)-AB61-AB68-AB69</f>
        <v>0</v>
      </c>
      <c r="AC43" s="275" t="n">
        <f aca="false">SUM(AC47:AC76)-AC61-AC68-AC69</f>
        <v>0</v>
      </c>
      <c r="AD43" s="275" t="n">
        <f aca="false">SUM(AD47:AD76)-AD61-AD68-AD69</f>
        <v>0</v>
      </c>
      <c r="AE43" s="275" t="n">
        <f aca="false">SUM(AE47:AE76)-AE61-AE68-AE69</f>
        <v>0</v>
      </c>
      <c r="AF43" s="275" t="n">
        <f aca="false">SUM(AF47:AF76)-AF61-AF68-AF69</f>
        <v>0</v>
      </c>
      <c r="AG43" s="275" t="n">
        <f aca="false">SUM(AG47:AG76)-AG61-AG68-AG69</f>
        <v>0</v>
      </c>
      <c r="AH43" s="59"/>
      <c r="AI43" s="276" t="s">
        <v>211</v>
      </c>
      <c r="AJ43" s="277" t="s">
        <v>212</v>
      </c>
      <c r="AK43" s="59"/>
      <c r="AL43" s="77"/>
      <c r="AN43" s="59"/>
      <c r="AO43" s="59"/>
      <c r="AP43" s="59"/>
      <c r="AQ43" s="59"/>
      <c r="AR43" s="59"/>
      <c r="AS43" s="59"/>
    </row>
    <row r="44" customFormat="false" ht="12.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1"/>
      <c r="AH46" s="59"/>
      <c r="AI46" s="287" t="n">
        <v>3</v>
      </c>
      <c r="AJ46" s="288" t="s">
        <v>217</v>
      </c>
      <c r="AK46" s="59"/>
      <c r="AL46" s="153"/>
      <c r="AN46" s="59"/>
      <c r="AO46" s="59"/>
      <c r="AP46" s="59"/>
      <c r="AQ46" s="59"/>
      <c r="AR46" s="59"/>
      <c r="AS46" s="59"/>
    </row>
    <row r="47" customFormat="false" ht="12.75" hidden="false" customHeight="true" outlineLevel="0" collapsed="false">
      <c r="A47" s="231" t="s">
        <v>218</v>
      </c>
      <c r="B47" s="294" t="n">
        <f aca="false">SUM(C47:AG47)</f>
        <v>-1848924</v>
      </c>
      <c r="C47" s="226" t="n">
        <f aca="false">-174792+204553+22597</f>
        <v>52358</v>
      </c>
      <c r="D47" s="226" t="n">
        <f aca="false">-75413+630325+15259</f>
        <v>570171</v>
      </c>
      <c r="E47" s="226" t="n">
        <f aca="false">-141657-3289</f>
        <v>-144946</v>
      </c>
      <c r="F47" s="226"/>
      <c r="G47" s="226"/>
      <c r="H47" s="226" t="n">
        <f aca="false">59889-321366</f>
        <v>-261477</v>
      </c>
      <c r="I47" s="226" t="n">
        <f aca="false">-205016-303184</f>
        <v>-508200</v>
      </c>
      <c r="J47" s="226" t="n">
        <f aca="false">53148-724857</f>
        <v>-671709</v>
      </c>
      <c r="K47" s="226" t="n">
        <f aca="false">23171+56697</f>
        <v>79868</v>
      </c>
      <c r="L47" s="226" t="n">
        <f aca="false">3687+119638</f>
        <v>123325</v>
      </c>
      <c r="M47" s="226"/>
      <c r="N47" s="226"/>
      <c r="O47" s="226" t="n">
        <f aca="false">-63492+302237</f>
        <v>238745</v>
      </c>
      <c r="P47" s="226" t="n">
        <f aca="false">-539180+753481</f>
        <v>214301</v>
      </c>
      <c r="Q47" s="226" t="n">
        <f aca="false">-422687+310901</f>
        <v>-111786</v>
      </c>
      <c r="R47" s="226" t="n">
        <f aca="false">348824-1888728</f>
        <v>-1539904</v>
      </c>
      <c r="S47" s="226" t="n">
        <f aca="false">-225693+336023</f>
        <v>110330</v>
      </c>
      <c r="T47" s="226"/>
      <c r="U47" s="226"/>
      <c r="V47" s="226"/>
      <c r="W47" s="226"/>
      <c r="X47" s="226"/>
      <c r="Y47" s="226"/>
      <c r="Z47" s="226"/>
      <c r="AA47" s="226"/>
      <c r="AB47" s="226"/>
      <c r="AC47" s="226"/>
      <c r="AD47" s="226"/>
      <c r="AE47" s="226"/>
      <c r="AF47" s="226"/>
      <c r="AG47" s="226"/>
      <c r="AH47" s="59"/>
      <c r="AI47" s="287" t="n">
        <v>4</v>
      </c>
      <c r="AJ47" s="288" t="s">
        <v>219</v>
      </c>
      <c r="AK47" s="59"/>
      <c r="AL47" s="61"/>
      <c r="AM47" s="60"/>
      <c r="AN47" s="98"/>
      <c r="AO47" s="59"/>
      <c r="AP47" s="59"/>
      <c r="AQ47" s="59"/>
      <c r="AR47" s="59"/>
      <c r="AS47" s="59"/>
    </row>
    <row r="48" customFormat="false" ht="12.75" hidden="false" customHeight="true" outlineLevel="0" collapsed="false">
      <c r="A48" s="295" t="s">
        <v>220</v>
      </c>
      <c r="B48" s="294" t="n">
        <f aca="false">SUM(C48:AG48)</f>
        <v>1927657</v>
      </c>
      <c r="C48" s="226" t="n">
        <v>-12691</v>
      </c>
      <c r="D48" s="226" t="n">
        <v>44476</v>
      </c>
      <c r="E48" s="226" t="n">
        <v>12490</v>
      </c>
      <c r="F48" s="226"/>
      <c r="G48" s="226"/>
      <c r="H48" s="226" t="n">
        <v>319145</v>
      </c>
      <c r="I48" s="226" t="n">
        <v>317787</v>
      </c>
      <c r="J48" s="226" t="n">
        <v>691505</v>
      </c>
      <c r="K48" s="226" t="n">
        <v>-101012</v>
      </c>
      <c r="L48" s="226" t="n">
        <v>-65620</v>
      </c>
      <c r="M48" s="226"/>
      <c r="N48" s="226"/>
      <c r="O48" s="226" t="n">
        <v>-163727</v>
      </c>
      <c r="P48" s="226" t="n">
        <v>-306594</v>
      </c>
      <c r="Q48" s="226" t="n">
        <v>-149055</v>
      </c>
      <c r="R48" s="226" t="n">
        <v>1340028</v>
      </c>
      <c r="S48" s="226" t="n">
        <v>925</v>
      </c>
      <c r="T48" s="226"/>
      <c r="U48" s="226"/>
      <c r="V48" s="226"/>
      <c r="W48" s="226"/>
      <c r="X48" s="226"/>
      <c r="Y48" s="226"/>
      <c r="Z48" s="226"/>
      <c r="AA48" s="226"/>
      <c r="AB48" s="226"/>
      <c r="AC48" s="226"/>
      <c r="AD48" s="226"/>
      <c r="AE48" s="226"/>
      <c r="AF48" s="226"/>
      <c r="AG48" s="226"/>
      <c r="AH48" s="59"/>
      <c r="AI48" s="287" t="n">
        <v>5</v>
      </c>
      <c r="AJ48" s="288" t="s">
        <v>221</v>
      </c>
      <c r="AK48" s="59"/>
      <c r="AL48" s="61"/>
      <c r="AM48" s="226"/>
      <c r="AN48" s="296"/>
      <c r="AO48" s="61"/>
      <c r="AP48" s="61"/>
      <c r="AQ48" s="61"/>
      <c r="AR48" s="61"/>
      <c r="AS48" s="61"/>
      <c r="AT48" s="199"/>
      <c r="AU48" s="199"/>
    </row>
    <row r="49" customFormat="false" ht="12.75" hidden="true" customHeight="true" outlineLevel="0" collapsed="false">
      <c r="A49" s="295" t="s">
        <v>222</v>
      </c>
      <c r="B49" s="294" t="n">
        <f aca="false">SUM(C49:AG49)</f>
        <v>0</v>
      </c>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59"/>
      <c r="AI49" s="287" t="n">
        <v>6</v>
      </c>
      <c r="AJ49" s="288" t="s">
        <v>223</v>
      </c>
      <c r="AK49" s="59"/>
      <c r="AL49" s="61"/>
      <c r="AM49" s="226"/>
      <c r="AN49" s="296"/>
      <c r="AO49" s="61"/>
      <c r="AP49" s="61"/>
      <c r="AQ49" s="61"/>
      <c r="AR49" s="61"/>
      <c r="AS49" s="61"/>
      <c r="AT49" s="199"/>
      <c r="AU49" s="199"/>
    </row>
    <row r="50" customFormat="false" ht="12.75" hidden="true" customHeight="true" outlineLevel="0" collapsed="false">
      <c r="A50" s="295" t="s">
        <v>224</v>
      </c>
      <c r="B50" s="294" t="n">
        <f aca="false">SUM(C50:AG50)</f>
        <v>0</v>
      </c>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59"/>
      <c r="AI50" s="297" t="n">
        <v>7</v>
      </c>
      <c r="AJ50" s="298" t="s">
        <v>214</v>
      </c>
      <c r="AK50" s="59"/>
      <c r="AL50" s="60"/>
      <c r="AM50" s="60"/>
      <c r="AN50" s="296"/>
      <c r="AO50" s="61"/>
      <c r="AP50" s="61"/>
      <c r="AQ50" s="61"/>
      <c r="AR50" s="61"/>
      <c r="AS50" s="61"/>
      <c r="AT50" s="199"/>
      <c r="AU50" s="199"/>
    </row>
    <row r="51" customFormat="false" ht="12.75" hidden="false" customHeight="true" outlineLevel="0" collapsed="false">
      <c r="A51" s="295" t="s">
        <v>225</v>
      </c>
      <c r="B51" s="294" t="n">
        <f aca="false">SUM(C51:AG51)</f>
        <v>97120</v>
      </c>
      <c r="C51" s="226" t="n">
        <v>-3117</v>
      </c>
      <c r="D51" s="226" t="n">
        <v>796</v>
      </c>
      <c r="E51" s="226" t="n">
        <f aca="false">-434-2139</f>
        <v>-2573</v>
      </c>
      <c r="F51" s="226"/>
      <c r="G51" s="226"/>
      <c r="H51" s="226" t="n">
        <v>959</v>
      </c>
      <c r="I51" s="226" t="n">
        <v>-791</v>
      </c>
      <c r="J51" s="226" t="n">
        <v>12310</v>
      </c>
      <c r="K51" s="226" t="n">
        <v>18444</v>
      </c>
      <c r="L51" s="226" t="n">
        <v>-15141</v>
      </c>
      <c r="M51" s="226"/>
      <c r="N51" s="226"/>
      <c r="O51" s="226" t="n">
        <v>4153</v>
      </c>
      <c r="P51" s="226" t="n">
        <v>3210</v>
      </c>
      <c r="Q51" s="226" t="n">
        <v>12465</v>
      </c>
      <c r="R51" s="226" t="n">
        <v>1421</v>
      </c>
      <c r="S51" s="226" t="n">
        <f aca="false">10610+54374</f>
        <v>64984</v>
      </c>
      <c r="T51" s="226"/>
      <c r="U51" s="226"/>
      <c r="V51" s="226"/>
      <c r="W51" s="226"/>
      <c r="X51" s="226"/>
      <c r="Y51" s="226"/>
      <c r="Z51" s="226"/>
      <c r="AA51" s="226"/>
      <c r="AB51" s="226"/>
      <c r="AC51" s="226"/>
      <c r="AD51" s="226"/>
      <c r="AE51" s="226"/>
      <c r="AF51" s="226"/>
      <c r="AG51" s="226"/>
      <c r="AH51" s="59"/>
      <c r="AI51" s="199"/>
      <c r="AJ51" s="59"/>
      <c r="AK51" s="59"/>
      <c r="AL51" s="60"/>
      <c r="AM51" s="60"/>
      <c r="AN51" s="98"/>
      <c r="AO51" s="59"/>
      <c r="AP51" s="59"/>
      <c r="AQ51" s="59"/>
      <c r="AR51" s="59"/>
      <c r="AS51" s="59"/>
    </row>
    <row r="52" customFormat="false" ht="12.75" hidden="true" customHeight="true" outlineLevel="0" collapsed="false">
      <c r="A52" s="295" t="s">
        <v>226</v>
      </c>
      <c r="B52" s="294" t="n">
        <f aca="false">SUM(C52:AG52)</f>
        <v>0</v>
      </c>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226"/>
      <c r="AH52" s="59"/>
      <c r="AI52" s="199"/>
      <c r="AJ52" s="59"/>
      <c r="AK52" s="59"/>
      <c r="AL52" s="60"/>
      <c r="AM52" s="60"/>
      <c r="AN52" s="98"/>
      <c r="AO52" s="59"/>
      <c r="AP52" s="59"/>
      <c r="AQ52" s="59"/>
      <c r="AR52" s="59"/>
      <c r="AS52" s="59"/>
    </row>
    <row r="53" customFormat="false" ht="12.75" hidden="false" customHeight="true" outlineLevel="0" collapsed="false">
      <c r="A53" s="231" t="s">
        <v>227</v>
      </c>
      <c r="B53" s="294" t="n">
        <f aca="false">SUM(C53:AG53)</f>
        <v>155022</v>
      </c>
      <c r="C53" s="226"/>
      <c r="D53" s="226" t="n">
        <v>-3092</v>
      </c>
      <c r="E53" s="226" t="n">
        <v>0</v>
      </c>
      <c r="F53" s="226"/>
      <c r="G53" s="226"/>
      <c r="H53" s="226"/>
      <c r="I53" s="226" t="n">
        <v>68793</v>
      </c>
      <c r="J53" s="226" t="n">
        <v>15784</v>
      </c>
      <c r="K53" s="226"/>
      <c r="L53" s="226" t="n">
        <v>-8094</v>
      </c>
      <c r="M53" s="226"/>
      <c r="N53" s="226"/>
      <c r="O53" s="226" t="n">
        <v>-61986</v>
      </c>
      <c r="P53" s="226"/>
      <c r="Q53" s="226" t="n">
        <v>223212</v>
      </c>
      <c r="R53" s="226"/>
      <c r="S53" s="226" t="n">
        <v>-79595</v>
      </c>
      <c r="T53" s="226"/>
      <c r="U53" s="226"/>
      <c r="V53" s="226"/>
      <c r="W53" s="226"/>
      <c r="X53" s="226"/>
      <c r="Y53" s="226"/>
      <c r="Z53" s="226"/>
      <c r="AA53" s="226"/>
      <c r="AB53" s="226"/>
      <c r="AC53" s="226"/>
      <c r="AD53" s="226"/>
      <c r="AE53" s="226"/>
      <c r="AF53" s="226"/>
      <c r="AG53" s="226"/>
      <c r="AH53" s="59"/>
      <c r="AJ53" s="59"/>
      <c r="AK53" s="59"/>
      <c r="AL53" s="61"/>
      <c r="AM53" s="60"/>
      <c r="AN53" s="98"/>
      <c r="AO53" s="59"/>
      <c r="AP53" s="59"/>
      <c r="AQ53" s="59"/>
      <c r="AR53" s="59"/>
      <c r="AS53" s="59"/>
    </row>
    <row r="54" customFormat="false" ht="12.75" hidden="true" customHeight="true" outlineLevel="0" collapsed="false">
      <c r="A54" s="231" t="s">
        <v>376</v>
      </c>
      <c r="B54" s="294" t="n">
        <f aca="false">SUM(C54:AG54)</f>
        <v>0</v>
      </c>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59"/>
      <c r="AJ54" s="59"/>
      <c r="AK54" s="59"/>
      <c r="AL54" s="61"/>
      <c r="AM54" s="60"/>
      <c r="AN54" s="98"/>
      <c r="AO54" s="59"/>
      <c r="AP54" s="59"/>
      <c r="AQ54" s="59"/>
      <c r="AR54" s="59"/>
      <c r="AS54" s="59"/>
    </row>
    <row r="55" customFormat="false" ht="12.75" hidden="false" customHeight="true" outlineLevel="0" collapsed="false">
      <c r="A55" s="231" t="s">
        <v>229</v>
      </c>
      <c r="B55" s="294" t="n">
        <f aca="false">SUM(C55:AG55)</f>
        <v>0</v>
      </c>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226"/>
      <c r="AH55" s="59"/>
      <c r="AJ55" s="59"/>
      <c r="AK55" s="59"/>
      <c r="AL55" s="61"/>
      <c r="AM55" s="60"/>
      <c r="AN55" s="98"/>
      <c r="AO55" s="59"/>
      <c r="AP55" s="59"/>
      <c r="AQ55" s="59"/>
      <c r="AR55" s="59"/>
      <c r="AS55" s="59"/>
    </row>
    <row r="56" customFormat="false" ht="12.75" hidden="false" customHeight="true" outlineLevel="0" collapsed="false">
      <c r="A56" s="231" t="s">
        <v>230</v>
      </c>
      <c r="B56" s="294" t="n">
        <f aca="false">SUM(C56:AG56)</f>
        <v>0</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59"/>
      <c r="AI56" s="199"/>
      <c r="AJ56" s="59"/>
      <c r="AK56" s="59"/>
      <c r="AL56" s="61"/>
      <c r="AM56" s="60"/>
      <c r="AN56" s="98"/>
      <c r="AO56" s="59"/>
      <c r="AP56" s="59"/>
      <c r="AQ56" s="59"/>
      <c r="AR56" s="59"/>
      <c r="AS56" s="59"/>
    </row>
    <row r="57" customFormat="false" ht="12.75" hidden="false" customHeight="true" outlineLevel="0" collapsed="false">
      <c r="A57" s="295" t="s">
        <v>231</v>
      </c>
      <c r="B57" s="294" t="n">
        <f aca="false">SUM(C57:AG57)</f>
        <v>0</v>
      </c>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59"/>
      <c r="AI57" s="199"/>
      <c r="AJ57" s="59"/>
      <c r="AK57" s="59"/>
      <c r="AL57" s="61"/>
      <c r="AM57" s="60"/>
      <c r="AN57" s="98"/>
      <c r="AO57" s="59"/>
      <c r="AP57" s="59"/>
      <c r="AQ57" s="59"/>
      <c r="AR57" s="59"/>
      <c r="AS57" s="59"/>
    </row>
    <row r="58" customFormat="false" ht="12.75" hidden="false" customHeight="true" outlineLevel="0" collapsed="false">
      <c r="A58" s="295" t="s">
        <v>232</v>
      </c>
      <c r="B58" s="294" t="n">
        <f aca="false">SUM(C58:AG58)</f>
        <v>169</v>
      </c>
      <c r="C58" s="226" t="n">
        <v>-18</v>
      </c>
      <c r="D58" s="226" t="n">
        <v>38</v>
      </c>
      <c r="E58" s="226" t="n">
        <v>24</v>
      </c>
      <c r="F58" s="226"/>
      <c r="G58" s="226"/>
      <c r="H58" s="226" t="n">
        <v>15</v>
      </c>
      <c r="I58" s="226" t="n">
        <v>-15</v>
      </c>
      <c r="J58" s="226" t="n">
        <v>85</v>
      </c>
      <c r="K58" s="226" t="n">
        <v>42</v>
      </c>
      <c r="L58" s="226" t="n">
        <v>8</v>
      </c>
      <c r="M58" s="226"/>
      <c r="N58" s="226"/>
      <c r="O58" s="226" t="n">
        <v>8</v>
      </c>
      <c r="P58" s="226" t="n">
        <v>-57</v>
      </c>
      <c r="Q58" s="226" t="n">
        <v>17</v>
      </c>
      <c r="R58" s="226" t="n">
        <v>-54</v>
      </c>
      <c r="S58" s="226" t="n">
        <v>76</v>
      </c>
      <c r="T58" s="226"/>
      <c r="U58" s="226"/>
      <c r="V58" s="226"/>
      <c r="W58" s="226"/>
      <c r="X58" s="226"/>
      <c r="Y58" s="226"/>
      <c r="Z58" s="226"/>
      <c r="AA58" s="226"/>
      <c r="AB58" s="226"/>
      <c r="AC58" s="226"/>
      <c r="AD58" s="226"/>
      <c r="AE58" s="226"/>
      <c r="AF58" s="226"/>
      <c r="AG58" s="226"/>
      <c r="AH58" s="59"/>
      <c r="AI58" s="199"/>
      <c r="AJ58" s="59"/>
      <c r="AK58" s="59"/>
      <c r="AL58" s="61"/>
      <c r="AM58" s="60"/>
      <c r="AN58" s="296"/>
      <c r="AO58" s="61"/>
      <c r="AP58" s="61"/>
      <c r="AQ58" s="61"/>
      <c r="AR58" s="61"/>
      <c r="AS58" s="61"/>
      <c r="AT58" s="199"/>
      <c r="AU58" s="199"/>
      <c r="AV58" s="199"/>
      <c r="AW58" s="199"/>
      <c r="AX58" s="199"/>
    </row>
    <row r="59" customFormat="false" ht="12.75" hidden="false" customHeight="true" outlineLevel="0" collapsed="false">
      <c r="A59" s="295" t="s">
        <v>233</v>
      </c>
      <c r="B59" s="294" t="n">
        <f aca="false">SUM(C59:AG59)</f>
        <v>-176</v>
      </c>
      <c r="C59" s="226" t="n">
        <v>-68</v>
      </c>
      <c r="D59" s="226" t="n">
        <v>-75</v>
      </c>
      <c r="E59" s="226" t="n">
        <v>-81</v>
      </c>
      <c r="F59" s="226"/>
      <c r="G59" s="226"/>
      <c r="H59" s="226" t="n">
        <v>-305</v>
      </c>
      <c r="I59" s="226" t="n">
        <v>-41</v>
      </c>
      <c r="J59" s="226" t="n">
        <v>-13</v>
      </c>
      <c r="K59" s="226" t="n">
        <v>111</v>
      </c>
      <c r="L59" s="226" t="n">
        <v>101</v>
      </c>
      <c r="M59" s="226"/>
      <c r="N59" s="226"/>
      <c r="O59" s="226" t="n">
        <v>264</v>
      </c>
      <c r="P59" s="226" t="n">
        <v>43</v>
      </c>
      <c r="Q59" s="226" t="n">
        <v>-91</v>
      </c>
      <c r="R59" s="226" t="n">
        <v>-145</v>
      </c>
      <c r="S59" s="226" t="n">
        <v>124</v>
      </c>
      <c r="T59" s="226"/>
      <c r="U59" s="226"/>
      <c r="V59" s="226"/>
      <c r="W59" s="226"/>
      <c r="X59" s="226"/>
      <c r="Y59" s="226"/>
      <c r="Z59" s="226"/>
      <c r="AA59" s="226"/>
      <c r="AB59" s="226"/>
      <c r="AC59" s="226"/>
      <c r="AD59" s="226"/>
      <c r="AE59" s="226"/>
      <c r="AF59" s="226"/>
      <c r="AG59" s="226"/>
      <c r="AH59" s="59"/>
      <c r="AI59" s="199"/>
      <c r="AJ59" s="59"/>
      <c r="AK59" s="59"/>
      <c r="AL59" s="61"/>
      <c r="AM59" s="60"/>
      <c r="AN59" s="296"/>
      <c r="AO59" s="61"/>
      <c r="AP59" s="61"/>
      <c r="AQ59" s="61"/>
      <c r="AR59" s="61"/>
      <c r="AS59" s="61"/>
      <c r="AT59" s="199"/>
      <c r="AU59" s="199"/>
      <c r="AV59" s="199"/>
      <c r="AW59" s="199"/>
      <c r="AX59" s="199"/>
    </row>
    <row r="60" customFormat="false" ht="12.75" hidden="false" customHeight="true" outlineLevel="0" collapsed="false">
      <c r="A60" s="295" t="s">
        <v>234</v>
      </c>
      <c r="B60" s="294" t="n">
        <f aca="false">SUM(C60:AG60)</f>
        <v>0</v>
      </c>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59"/>
      <c r="AI60" s="199"/>
      <c r="AJ60" s="59"/>
      <c r="AK60" s="59"/>
      <c r="AL60" s="61"/>
      <c r="AM60" s="60"/>
      <c r="AN60" s="296"/>
      <c r="AO60" s="61"/>
      <c r="AP60" s="61"/>
      <c r="AQ60" s="61"/>
      <c r="AR60" s="61"/>
      <c r="AS60" s="61"/>
      <c r="AT60" s="199"/>
      <c r="AU60" s="199"/>
      <c r="AV60" s="199"/>
      <c r="AW60" s="199"/>
      <c r="AX60" s="199"/>
    </row>
    <row r="61" customFormat="false" ht="12.75" hidden="false" customHeight="true" outlineLevel="0" collapsed="false">
      <c r="A61" s="295" t="s">
        <v>235</v>
      </c>
      <c r="B61" s="294" t="n">
        <f aca="false">SUM(C61:AG61)</f>
        <v>-4718</v>
      </c>
      <c r="C61" s="226"/>
      <c r="D61" s="226"/>
      <c r="E61" s="226"/>
      <c r="F61" s="226"/>
      <c r="G61" s="226"/>
      <c r="H61" s="226" t="n">
        <v>-4718</v>
      </c>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59"/>
      <c r="AJ61" s="59"/>
      <c r="AK61" s="59"/>
      <c r="AL61" s="61"/>
      <c r="AM61" s="60"/>
      <c r="AN61" s="98"/>
      <c r="AO61" s="59"/>
      <c r="AP61" s="59"/>
      <c r="AQ61" s="59"/>
      <c r="AR61" s="59"/>
      <c r="AS61" s="59"/>
    </row>
    <row r="62" customFormat="false" ht="12.75" hidden="false" customHeight="true" outlineLevel="0" collapsed="false">
      <c r="A62" s="295" t="s">
        <v>236</v>
      </c>
      <c r="B62" s="294" t="n">
        <f aca="false">SUM(C62:AG62)</f>
        <v>-2111</v>
      </c>
      <c r="C62" s="226" t="n">
        <f aca="false">-37-1381</f>
        <v>-1418</v>
      </c>
      <c r="D62" s="226" t="n">
        <f aca="false">-1+38</f>
        <v>37</v>
      </c>
      <c r="E62" s="226" t="n">
        <f aca="false">-89-17-1</f>
        <v>-107</v>
      </c>
      <c r="F62" s="226"/>
      <c r="G62" s="226"/>
      <c r="H62" s="226" t="n">
        <f aca="false">177-458</f>
        <v>-281</v>
      </c>
      <c r="I62" s="226" t="n">
        <f aca="false">17+241-1</f>
        <v>257</v>
      </c>
      <c r="J62" s="226" t="n">
        <f aca="false">130+3312</f>
        <v>3442</v>
      </c>
      <c r="K62" s="226" t="n">
        <f aca="false">-10-404+2</f>
        <v>-412</v>
      </c>
      <c r="L62" s="226" t="n">
        <f aca="false">-12+270-1-1</f>
        <v>256</v>
      </c>
      <c r="M62" s="226"/>
      <c r="N62" s="226"/>
      <c r="O62" s="226" t="n">
        <f aca="false">-106-279</f>
        <v>-385</v>
      </c>
      <c r="P62" s="226" t="n">
        <f aca="false">-125-859</f>
        <v>-984</v>
      </c>
      <c r="Q62" s="226" t="n">
        <f aca="false">-87-3162</f>
        <v>-3249</v>
      </c>
      <c r="R62" s="226" t="n">
        <f aca="false">265+1154-1</f>
        <v>1418</v>
      </c>
      <c r="S62" s="226" t="n">
        <f aca="false">-18-670+3</f>
        <v>-685</v>
      </c>
      <c r="T62" s="226"/>
      <c r="U62" s="226"/>
      <c r="V62" s="226"/>
      <c r="W62" s="226"/>
      <c r="X62" s="226"/>
      <c r="Y62" s="226"/>
      <c r="Z62" s="226"/>
      <c r="AA62" s="226"/>
      <c r="AB62" s="226"/>
      <c r="AC62" s="226"/>
      <c r="AD62" s="226"/>
      <c r="AE62" s="226"/>
      <c r="AF62" s="226"/>
      <c r="AG62" s="226"/>
      <c r="AH62" s="59"/>
      <c r="AJ62" s="59"/>
      <c r="AK62" s="59"/>
      <c r="AL62" s="61"/>
      <c r="AM62" s="60"/>
      <c r="AN62" s="98"/>
      <c r="AO62" s="98"/>
      <c r="AP62" s="59"/>
      <c r="AQ62" s="59"/>
      <c r="AR62" s="59"/>
      <c r="AS62" s="59"/>
    </row>
    <row r="63" customFormat="false" ht="12.75" hidden="true" customHeight="true" outlineLevel="0" collapsed="false">
      <c r="A63" s="295" t="s">
        <v>189</v>
      </c>
      <c r="B63" s="294" t="n">
        <f aca="false">SUM(C63:AG63)</f>
        <v>0</v>
      </c>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59"/>
      <c r="AI63" s="199"/>
      <c r="AJ63" s="59"/>
      <c r="AK63" s="59"/>
      <c r="AL63" s="61"/>
      <c r="AM63" s="60"/>
      <c r="AN63" s="98"/>
      <c r="AO63" s="59"/>
      <c r="AP63" s="59"/>
      <c r="AQ63" s="59"/>
      <c r="AR63" s="59"/>
      <c r="AS63" s="59"/>
    </row>
    <row r="64" customFormat="false" ht="12.75" hidden="true" customHeight="true" outlineLevel="0" collapsed="false">
      <c r="A64" s="295" t="s">
        <v>237</v>
      </c>
      <c r="B64" s="294" t="n">
        <f aca="false">SUM(C64:AG64)</f>
        <v>0</v>
      </c>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59"/>
      <c r="AI64" s="199"/>
      <c r="AJ64" s="59"/>
      <c r="AK64" s="59"/>
      <c r="AL64" s="60"/>
      <c r="AM64" s="60"/>
      <c r="AN64" s="59"/>
      <c r="AO64" s="59"/>
      <c r="AP64" s="59"/>
      <c r="AQ64" s="59"/>
      <c r="AR64" s="59"/>
      <c r="AS64" s="59"/>
    </row>
    <row r="65" customFormat="false" ht="12.75" hidden="true" customHeight="true" outlineLevel="0" collapsed="false">
      <c r="A65" s="231" t="s">
        <v>238</v>
      </c>
      <c r="B65" s="294" t="n">
        <f aca="false">SUM(C65:AG65)</f>
        <v>0</v>
      </c>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59"/>
      <c r="AJ65" s="59"/>
      <c r="AK65" s="59"/>
      <c r="AL65" s="61"/>
      <c r="AM65" s="60"/>
      <c r="AN65" s="59"/>
      <c r="AO65" s="59"/>
      <c r="AP65" s="59"/>
      <c r="AQ65" s="59"/>
      <c r="AR65" s="59"/>
      <c r="AS65" s="59"/>
    </row>
    <row r="66" customFormat="false" ht="12.75" hidden="true" customHeight="true" outlineLevel="0" collapsed="false">
      <c r="A66" s="231" t="s">
        <v>239</v>
      </c>
      <c r="B66" s="294" t="n">
        <f aca="false">SUM(C66:AG66)</f>
        <v>0</v>
      </c>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59"/>
      <c r="AI66" s="199"/>
      <c r="AJ66" s="59"/>
      <c r="AK66" s="59"/>
      <c r="AL66" s="61"/>
      <c r="AM66" s="60"/>
      <c r="AN66" s="59"/>
      <c r="AO66" s="59"/>
      <c r="AP66" s="59"/>
      <c r="AQ66" s="59"/>
      <c r="AR66" s="59"/>
      <c r="AS66" s="59"/>
    </row>
    <row r="67" customFormat="false" ht="12.75" hidden="true" customHeight="true" outlineLevel="0" collapsed="false">
      <c r="A67" s="231" t="s">
        <v>240</v>
      </c>
      <c r="B67" s="294" t="n">
        <f aca="false">SUM(C67:AG67)</f>
        <v>0</v>
      </c>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59"/>
      <c r="AI67" s="199"/>
      <c r="AJ67" s="59"/>
      <c r="AK67" s="59"/>
      <c r="AL67" s="61"/>
      <c r="AM67" s="60"/>
      <c r="AN67" s="59"/>
      <c r="AO67" s="59"/>
      <c r="AP67" s="59"/>
      <c r="AQ67" s="59"/>
      <c r="AR67" s="59"/>
      <c r="AS67" s="59"/>
    </row>
    <row r="68" customFormat="false" ht="12.75" hidden="true" customHeight="true" outlineLevel="0" collapsed="false">
      <c r="A68" s="231" t="s">
        <v>241</v>
      </c>
      <c r="B68" s="294" t="n">
        <f aca="false">SUM(C68:AG68)</f>
        <v>0</v>
      </c>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59"/>
      <c r="AJ68" s="59"/>
      <c r="AK68" s="59"/>
      <c r="AL68" s="61"/>
      <c r="AM68" s="60"/>
      <c r="AN68" s="59"/>
      <c r="AO68" s="59"/>
      <c r="AP68" s="59"/>
      <c r="AQ68" s="59"/>
      <c r="AR68" s="59"/>
      <c r="AS68" s="59"/>
    </row>
    <row r="69" customFormat="false" ht="12.75" hidden="true" customHeight="true" outlineLevel="0" collapsed="false">
      <c r="A69" s="295" t="s">
        <v>242</v>
      </c>
      <c r="B69" s="294" t="n">
        <f aca="false">SUM(C69:AG69)</f>
        <v>0</v>
      </c>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59"/>
      <c r="AI69" s="199"/>
      <c r="AJ69" s="59"/>
      <c r="AK69" s="59"/>
      <c r="AL69" s="61"/>
      <c r="AM69" s="60"/>
      <c r="AN69" s="59"/>
      <c r="AO69" s="59"/>
      <c r="AP69" s="59"/>
      <c r="AQ69" s="59"/>
      <c r="AR69" s="59"/>
      <c r="AS69" s="59"/>
    </row>
    <row r="70" customFormat="false" ht="12.75" hidden="true" customHeight="true" outlineLevel="0" collapsed="false">
      <c r="A70" s="231" t="s">
        <v>243</v>
      </c>
      <c r="B70" s="294" t="n">
        <f aca="false">SUM(C70:AG70)</f>
        <v>0</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59"/>
      <c r="AJ70" s="59"/>
      <c r="AK70" s="59"/>
      <c r="AL70" s="61"/>
      <c r="AM70" s="60"/>
      <c r="AN70" s="59"/>
      <c r="AO70" s="59"/>
      <c r="AP70" s="59"/>
      <c r="AQ70" s="59"/>
      <c r="AR70" s="59"/>
      <c r="AS70" s="59"/>
    </row>
    <row r="71" customFormat="false" ht="12.75" hidden="fals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59"/>
      <c r="AJ71" s="59"/>
      <c r="AK71" s="59"/>
      <c r="AL71" s="61"/>
      <c r="AM71" s="60"/>
    </row>
    <row r="72" customFormat="false" ht="12.75" hidden="false" customHeight="true" outlineLevel="0" collapsed="false">
      <c r="A72" s="231"/>
      <c r="B72" s="294"/>
      <c r="C72" s="60"/>
      <c r="D72" s="60"/>
      <c r="E72" s="60"/>
      <c r="F72" s="60"/>
      <c r="G72" s="60"/>
      <c r="H72" s="60"/>
      <c r="I72" s="60"/>
      <c r="J72" s="60"/>
      <c r="K72" s="60"/>
      <c r="L72" s="60"/>
      <c r="M72" s="60"/>
      <c r="N72" s="60"/>
      <c r="O72" s="60"/>
      <c r="P72" s="60"/>
      <c r="Q72" s="60"/>
      <c r="R72" s="60"/>
      <c r="S72" s="60"/>
      <c r="T72" s="60"/>
      <c r="U72" s="60"/>
      <c r="V72" s="60"/>
      <c r="W72" s="226"/>
      <c r="X72" s="226"/>
      <c r="Y72" s="226"/>
      <c r="Z72" s="226"/>
      <c r="AA72" s="226"/>
      <c r="AB72" s="226"/>
      <c r="AC72" s="226"/>
      <c r="AD72" s="226"/>
      <c r="AE72" s="226"/>
      <c r="AF72" s="226"/>
      <c r="AG72" s="226"/>
      <c r="AH72" s="59"/>
      <c r="AJ72" s="59"/>
      <c r="AK72" s="59"/>
      <c r="AL72" s="61"/>
      <c r="AM72" s="60"/>
    </row>
    <row r="73" customFormat="false" ht="12.75" hidden="false" customHeight="true" outlineLevel="0" collapsed="false">
      <c r="A73" s="231"/>
      <c r="B73" s="294"/>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301"/>
      <c r="AH73" s="59"/>
      <c r="AJ73" s="59"/>
      <c r="AK73" s="59"/>
      <c r="AL73" s="61"/>
      <c r="AM73" s="60"/>
    </row>
    <row r="74" customFormat="false" ht="12.75" hidden="false" customHeight="true" outlineLevel="0" collapsed="false">
      <c r="A74" s="231"/>
      <c r="B74" s="294"/>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301"/>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SUM(B47:B75)-B61-B67-B68-B69</f>
        <v>328757</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AH78" s="153"/>
      <c r="AJ78" s="153"/>
      <c r="AK78" s="226"/>
      <c r="AL78" s="61"/>
      <c r="AM78" s="60"/>
    </row>
    <row r="79" customFormat="false" ht="12.75" hidden="false" customHeight="true" outlineLevel="0" collapsed="false">
      <c r="A79" s="271" t="s">
        <v>340</v>
      </c>
      <c r="B79" s="271"/>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t="s">
        <v>210</v>
      </c>
      <c r="C81" s="275" t="n">
        <f aca="false">SUM(C85:C101)</f>
        <v>0</v>
      </c>
      <c r="D81" s="275" t="n">
        <f aca="false">SUM(D85:D101)</f>
        <v>0</v>
      </c>
      <c r="E81" s="275" t="n">
        <f aca="false">SUM(E85:E101)</f>
        <v>0</v>
      </c>
      <c r="F81" s="275" t="n">
        <f aca="false">SUM(F85:F101)</f>
        <v>0</v>
      </c>
      <c r="G81" s="275" t="n">
        <f aca="false">SUM(G85:G101)</f>
        <v>0</v>
      </c>
      <c r="H81" s="275" t="n">
        <f aca="false">SUM(H85:H101)</f>
        <v>0</v>
      </c>
      <c r="I81" s="275" t="n">
        <f aca="false">SUM(I85:I101)</f>
        <v>0</v>
      </c>
      <c r="J81" s="275" t="n">
        <f aca="false">SUM(J85:J101)</f>
        <v>0</v>
      </c>
      <c r="K81" s="275" t="n">
        <f aca="false">SUM(K85:K101)</f>
        <v>0</v>
      </c>
      <c r="L81" s="275" t="n">
        <f aca="false">SUM(L85:L101)</f>
        <v>0</v>
      </c>
      <c r="M81" s="275" t="n">
        <f aca="false">SUM(M85:M101)</f>
        <v>0</v>
      </c>
      <c r="N81" s="275" t="n">
        <f aca="false">SUM(N85:N101)</f>
        <v>0</v>
      </c>
      <c r="O81" s="275" t="n">
        <f aca="false">SUM(O85:O101)</f>
        <v>0</v>
      </c>
      <c r="P81" s="275" t="n">
        <f aca="false">SUM(P85:P101)</f>
        <v>0</v>
      </c>
      <c r="Q81" s="275" t="n">
        <f aca="false">SUM(Q85:Q101)</f>
        <v>0</v>
      </c>
      <c r="R81" s="275" t="n">
        <f aca="false">SUM(R85:R101)</f>
        <v>0</v>
      </c>
      <c r="S81" s="275" t="n">
        <f aca="false">SUM(S85:S101)</f>
        <v>0</v>
      </c>
      <c r="T81" s="275" t="n">
        <f aca="false">SUM(T85:T101)</f>
        <v>0</v>
      </c>
      <c r="U81" s="275" t="n">
        <f aca="false">SUM(U85:U101)</f>
        <v>0</v>
      </c>
      <c r="V81" s="275" t="n">
        <f aca="false">SUM(V85:V101)</f>
        <v>0</v>
      </c>
      <c r="W81" s="275" t="n">
        <f aca="false">SUM(W85:W101)</f>
        <v>0</v>
      </c>
      <c r="X81" s="275" t="n">
        <f aca="false">SUM(X85:X101)</f>
        <v>0</v>
      </c>
      <c r="Y81" s="275" t="n">
        <f aca="false">SUM(Y85:Y101)</f>
        <v>0</v>
      </c>
      <c r="Z81" s="275" t="n">
        <f aca="false">SUM(Z85:Z101)</f>
        <v>0</v>
      </c>
      <c r="AA81" s="275" t="n">
        <f aca="false">SUM(AA85:AA101)</f>
        <v>0</v>
      </c>
      <c r="AB81" s="275" t="n">
        <f aca="false">SUM(AB85:AB101)</f>
        <v>0</v>
      </c>
      <c r="AC81" s="275" t="n">
        <f aca="false">SUM(AC85:AC101)</f>
        <v>0</v>
      </c>
      <c r="AD81" s="275" t="n">
        <f aca="false">SUM(AD85:AD101)</f>
        <v>0</v>
      </c>
      <c r="AE81" s="275" t="n">
        <f aca="false">SUM(AE85:AE101)</f>
        <v>0</v>
      </c>
      <c r="AF81" s="275" t="n">
        <f aca="false">SUM(AF85:AF101)</f>
        <v>0</v>
      </c>
      <c r="AG81" s="275" t="n">
        <f aca="false">SUM(AG85:AG101)</f>
        <v>0</v>
      </c>
      <c r="AH81" s="59"/>
      <c r="AI81" s="76"/>
      <c r="AJ81" s="85"/>
      <c r="AK81" s="59"/>
      <c r="AL81" s="77"/>
      <c r="AN81" s="59"/>
      <c r="AO81" s="59"/>
      <c r="AP81" s="59"/>
      <c r="AQ81" s="59"/>
      <c r="AR81" s="59"/>
      <c r="AS81" s="59"/>
    </row>
    <row r="82" customFormat="false" ht="12.75" hidden="false" customHeight="true" outlineLevel="0" collapsed="false">
      <c r="A82" s="278" t="s">
        <v>248</v>
      </c>
      <c r="B82" s="279" t="n">
        <f aca="false">B44</f>
        <v>36831</v>
      </c>
      <c r="C82" s="280" t="n">
        <f aca="false">C44</f>
        <v>36831</v>
      </c>
      <c r="D82" s="280" t="n">
        <f aca="false">D44</f>
        <v>36832</v>
      </c>
      <c r="E82" s="280" t="n">
        <f aca="false">E44</f>
        <v>36833</v>
      </c>
      <c r="F82" s="280" t="n">
        <f aca="false">F44</f>
        <v>36834</v>
      </c>
      <c r="G82" s="280" t="n">
        <f aca="false">G44</f>
        <v>36835</v>
      </c>
      <c r="H82" s="280" t="n">
        <f aca="false">H44</f>
        <v>36836</v>
      </c>
      <c r="I82" s="280" t="n">
        <f aca="false">I44</f>
        <v>36837</v>
      </c>
      <c r="J82" s="280" t="n">
        <f aca="false">J44</f>
        <v>36838</v>
      </c>
      <c r="K82" s="280" t="n">
        <f aca="false">K44</f>
        <v>36839</v>
      </c>
      <c r="L82" s="280" t="n">
        <f aca="false">L44</f>
        <v>36840</v>
      </c>
      <c r="M82" s="280" t="n">
        <f aca="false">M44</f>
        <v>36841</v>
      </c>
      <c r="N82" s="280" t="n">
        <f aca="false">N44</f>
        <v>36842</v>
      </c>
      <c r="O82" s="280" t="n">
        <f aca="false">O44</f>
        <v>36843</v>
      </c>
      <c r="P82" s="280" t="n">
        <f aca="false">P44</f>
        <v>36844</v>
      </c>
      <c r="Q82" s="280" t="n">
        <f aca="false">Q44</f>
        <v>36845</v>
      </c>
      <c r="R82" s="280" t="n">
        <f aca="false">R44</f>
        <v>36846</v>
      </c>
      <c r="S82" s="280" t="n">
        <f aca="false">S44</f>
        <v>36847</v>
      </c>
      <c r="T82" s="280" t="n">
        <f aca="false">T44</f>
        <v>36848</v>
      </c>
      <c r="U82" s="280" t="n">
        <f aca="false">U44</f>
        <v>36849</v>
      </c>
      <c r="V82" s="280" t="n">
        <f aca="false">V44</f>
        <v>36850</v>
      </c>
      <c r="W82" s="280" t="n">
        <f aca="false">W44</f>
        <v>36851</v>
      </c>
      <c r="X82" s="280" t="n">
        <f aca="false">X44</f>
        <v>36852</v>
      </c>
      <c r="Y82" s="280" t="n">
        <f aca="false">Y44</f>
        <v>36853</v>
      </c>
      <c r="Z82" s="280" t="n">
        <f aca="false">Z44</f>
        <v>36854</v>
      </c>
      <c r="AA82" s="280" t="n">
        <f aca="false">AA44</f>
        <v>36855</v>
      </c>
      <c r="AB82" s="280" t="n">
        <f aca="false">AB44</f>
        <v>36856</v>
      </c>
      <c r="AC82" s="280" t="n">
        <f aca="false">AC44</f>
        <v>36857</v>
      </c>
      <c r="AD82" s="280" t="n">
        <f aca="false">AD44</f>
        <v>36858</v>
      </c>
      <c r="AE82" s="280" t="n">
        <f aca="false">AE44</f>
        <v>36859</v>
      </c>
      <c r="AF82" s="280" t="n">
        <f aca="false">AF44</f>
        <v>36860</v>
      </c>
      <c r="AG82" s="280" t="n">
        <f aca="false">AG44</f>
        <v>36861</v>
      </c>
      <c r="AH82" s="281"/>
      <c r="AI82" s="76"/>
      <c r="AJ82" s="309"/>
      <c r="AK82" s="281"/>
      <c r="AL82" s="284"/>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c r="DM82" s="281"/>
      <c r="DN82" s="281"/>
      <c r="DO82" s="281"/>
      <c r="DP82" s="281"/>
      <c r="DQ82" s="281"/>
      <c r="DR82" s="281"/>
      <c r="DS82" s="281"/>
      <c r="DT82" s="281"/>
      <c r="DU82" s="281"/>
      <c r="DV82" s="281"/>
      <c r="DW82" s="281"/>
      <c r="DX82" s="281"/>
      <c r="DY82" s="281"/>
      <c r="DZ82" s="281"/>
      <c r="EA82" s="281"/>
      <c r="EB82" s="281"/>
      <c r="EC82" s="281"/>
      <c r="ED82" s="281"/>
      <c r="EE82" s="281"/>
      <c r="EF82" s="281"/>
      <c r="EG82" s="281"/>
      <c r="EH82" s="281"/>
      <c r="EI82" s="281"/>
      <c r="EJ82" s="281"/>
      <c r="EK82" s="281"/>
      <c r="EL82" s="281"/>
      <c r="EM82" s="281"/>
      <c r="EN82" s="281"/>
      <c r="EO82" s="281"/>
      <c r="EP82" s="281"/>
      <c r="EQ82" s="281"/>
      <c r="ER82" s="281"/>
      <c r="ES82" s="281"/>
      <c r="ET82" s="281"/>
      <c r="EU82" s="281"/>
      <c r="EV82" s="281"/>
      <c r="EW82" s="281"/>
      <c r="EX82" s="281"/>
      <c r="EY82" s="281"/>
      <c r="EZ82" s="281"/>
      <c r="FA82" s="281"/>
      <c r="FB82" s="281"/>
      <c r="FC82" s="281"/>
      <c r="FD82" s="281"/>
      <c r="FE82" s="281"/>
      <c r="FF82" s="281"/>
      <c r="FG82" s="281"/>
      <c r="FH82" s="281"/>
      <c r="FI82" s="281"/>
      <c r="FJ82" s="281"/>
      <c r="FK82" s="281"/>
      <c r="FL82" s="281"/>
      <c r="FM82" s="281"/>
      <c r="FN82" s="281"/>
      <c r="FO82" s="281"/>
      <c r="FP82" s="281"/>
      <c r="FQ82" s="281"/>
      <c r="FR82" s="281"/>
      <c r="FS82" s="281"/>
      <c r="FT82" s="281"/>
      <c r="FU82" s="281"/>
      <c r="FV82" s="281"/>
      <c r="FW82" s="281"/>
      <c r="FX82" s="281"/>
      <c r="FY82" s="281"/>
      <c r="FZ82" s="281"/>
      <c r="GA82" s="281"/>
      <c r="GB82" s="281"/>
      <c r="GC82" s="281"/>
      <c r="GD82" s="281"/>
      <c r="GE82" s="281"/>
      <c r="GF82" s="281"/>
      <c r="GG82" s="281"/>
      <c r="GH82" s="281"/>
      <c r="GI82" s="281"/>
      <c r="GJ82" s="281"/>
      <c r="GK82" s="281"/>
      <c r="GL82" s="281"/>
      <c r="GM82" s="281"/>
      <c r="GN82" s="281"/>
      <c r="GO82" s="281"/>
      <c r="GP82" s="281"/>
      <c r="GQ82" s="281"/>
      <c r="GR82" s="281"/>
      <c r="GS82" s="281"/>
      <c r="GT82" s="281"/>
      <c r="GU82" s="281"/>
      <c r="GV82" s="281"/>
      <c r="GW82" s="281"/>
      <c r="GX82" s="281"/>
      <c r="GY82" s="281"/>
      <c r="GZ82" s="281"/>
      <c r="HA82" s="281"/>
      <c r="HB82" s="281"/>
      <c r="HC82" s="281"/>
      <c r="HD82" s="281"/>
      <c r="HE82" s="281"/>
      <c r="HF82" s="281"/>
      <c r="HG82" s="281"/>
      <c r="HH82" s="281"/>
      <c r="HI82" s="281"/>
      <c r="HJ82" s="281"/>
      <c r="HK82" s="281"/>
      <c r="HL82" s="281"/>
      <c r="HM82" s="281"/>
      <c r="HN82" s="281"/>
      <c r="HO82" s="281"/>
      <c r="HP82" s="281"/>
      <c r="HQ82" s="281"/>
      <c r="HR82" s="281"/>
      <c r="HS82" s="281"/>
      <c r="HT82" s="281"/>
      <c r="HU82" s="281"/>
      <c r="HV82" s="281"/>
      <c r="HW82" s="281"/>
      <c r="HX82" s="281"/>
      <c r="HY82" s="281"/>
      <c r="HZ82" s="281"/>
      <c r="IA82" s="281"/>
      <c r="IB82" s="281"/>
      <c r="IC82" s="281"/>
      <c r="ID82" s="281"/>
      <c r="IE82" s="281"/>
      <c r="IF82" s="281"/>
      <c r="IG82" s="281"/>
      <c r="IH82" s="281"/>
      <c r="II82" s="281"/>
      <c r="IJ82" s="281"/>
      <c r="IK82" s="281"/>
      <c r="IL82" s="281"/>
      <c r="IM82" s="281"/>
      <c r="IN82" s="281"/>
      <c r="IO82" s="281"/>
      <c r="IP82" s="281"/>
      <c r="IQ82" s="281"/>
      <c r="IR82" s="281"/>
      <c r="IS82" s="281"/>
      <c r="IT82" s="281"/>
      <c r="IU82" s="281"/>
      <c r="IV82" s="281"/>
      <c r="IW82" s="281"/>
    </row>
    <row r="83" customFormat="false" ht="12.75" hidden="false" customHeight="true" outlineLevel="0" collapsed="false">
      <c r="A83" s="285"/>
      <c r="B83" s="285"/>
      <c r="C83" s="286" t="str">
        <f aca="false">C45</f>
        <v>W</v>
      </c>
      <c r="D83" s="286" t="str">
        <f aca="false">D45</f>
        <v>R</v>
      </c>
      <c r="E83" s="286" t="str">
        <f aca="false">E45</f>
        <v>F</v>
      </c>
      <c r="F83" s="286" t="str">
        <f aca="false">F45</f>
        <v>S</v>
      </c>
      <c r="G83" s="286" t="str">
        <f aca="false">G45</f>
        <v>S</v>
      </c>
      <c r="H83" s="286" t="str">
        <f aca="false">H45</f>
        <v>M</v>
      </c>
      <c r="I83" s="286" t="str">
        <f aca="false">I45</f>
        <v>T</v>
      </c>
      <c r="J83" s="286" t="str">
        <f aca="false">J45</f>
        <v>W</v>
      </c>
      <c r="K83" s="286" t="str">
        <f aca="false">K45</f>
        <v>R</v>
      </c>
      <c r="L83" s="286" t="str">
        <f aca="false">L45</f>
        <v>F</v>
      </c>
      <c r="M83" s="286" t="str">
        <f aca="false">M45</f>
        <v>S</v>
      </c>
      <c r="N83" s="286" t="str">
        <f aca="false">N45</f>
        <v>S</v>
      </c>
      <c r="O83" s="286" t="str">
        <f aca="false">O45</f>
        <v>M</v>
      </c>
      <c r="P83" s="286" t="str">
        <f aca="false">P45</f>
        <v>T</v>
      </c>
      <c r="Q83" s="286" t="str">
        <f aca="false">Q45</f>
        <v>W</v>
      </c>
      <c r="R83" s="286" t="str">
        <f aca="false">R45</f>
        <v>R</v>
      </c>
      <c r="S83" s="286" t="str">
        <f aca="false">S45</f>
        <v>F</v>
      </c>
      <c r="T83" s="286" t="str">
        <f aca="false">T45</f>
        <v>S</v>
      </c>
      <c r="U83" s="286" t="str">
        <f aca="false">U45</f>
        <v>S</v>
      </c>
      <c r="V83" s="286" t="str">
        <f aca="false">V45</f>
        <v>M</v>
      </c>
      <c r="W83" s="286" t="str">
        <f aca="false">W45</f>
        <v>T</v>
      </c>
      <c r="X83" s="286" t="str">
        <f aca="false">X45</f>
        <v>W</v>
      </c>
      <c r="Y83" s="286" t="str">
        <f aca="false">Y45</f>
        <v>R</v>
      </c>
      <c r="Z83" s="286" t="str">
        <f aca="false">Z45</f>
        <v>F</v>
      </c>
      <c r="AA83" s="286" t="str">
        <f aca="false">AA45</f>
        <v>S</v>
      </c>
      <c r="AB83" s="286" t="str">
        <f aca="false">AB45</f>
        <v>S</v>
      </c>
      <c r="AC83" s="286" t="str">
        <f aca="false">AC45</f>
        <v>M</v>
      </c>
      <c r="AD83" s="286" t="str">
        <f aca="false">AD45</f>
        <v>T</v>
      </c>
      <c r="AE83" s="286" t="str">
        <f aca="false">AE45</f>
        <v>W</v>
      </c>
      <c r="AF83" s="286" t="str">
        <f aca="false">AF45</f>
        <v>R</v>
      </c>
      <c r="AG83" s="286" t="str">
        <f aca="false">AG45</f>
        <v>F</v>
      </c>
      <c r="AH83" s="59"/>
      <c r="AI83" s="76"/>
      <c r="AJ83" s="85"/>
      <c r="AK83" s="59"/>
      <c r="AL83" s="153"/>
      <c r="AN83" s="59"/>
      <c r="AO83" s="59"/>
      <c r="AP83" s="59"/>
      <c r="AQ83" s="59"/>
      <c r="AR83" s="59"/>
      <c r="AS83" s="59"/>
    </row>
    <row r="84" customFormat="false" ht="12.75" hidden="false" customHeight="true" outlineLevel="0" collapsed="false">
      <c r="A84" s="289"/>
      <c r="B84" s="290" t="s">
        <v>216</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1"/>
      <c r="AH84" s="153"/>
      <c r="AI84" s="199"/>
      <c r="AJ84" s="312"/>
      <c r="AK84" s="226"/>
      <c r="AL84" s="61"/>
      <c r="AM84" s="60"/>
    </row>
    <row r="85" customFormat="false" ht="12.75" hidden="false" customHeight="true" outlineLevel="0" collapsed="false">
      <c r="A85" s="231" t="s">
        <v>249</v>
      </c>
      <c r="B85" s="294" t="n">
        <f aca="false">SUM(C85:AG85)</f>
        <v>0</v>
      </c>
      <c r="C85" s="226" t="n">
        <v>0</v>
      </c>
      <c r="D85" s="226" t="n">
        <v>0</v>
      </c>
      <c r="E85" s="226" t="n">
        <v>0</v>
      </c>
      <c r="F85" s="226" t="n">
        <v>0</v>
      </c>
      <c r="G85" s="226" t="n">
        <v>0</v>
      </c>
      <c r="H85" s="226" t="n">
        <v>0</v>
      </c>
      <c r="I85" s="226" t="n">
        <v>0</v>
      </c>
      <c r="J85" s="226" t="n">
        <v>0</v>
      </c>
      <c r="K85" s="226" t="n">
        <v>0</v>
      </c>
      <c r="L85" s="226" t="n">
        <v>0</v>
      </c>
      <c r="M85" s="226" t="n">
        <v>0</v>
      </c>
      <c r="N85" s="226" t="n">
        <v>0</v>
      </c>
      <c r="O85" s="226" t="n">
        <v>0</v>
      </c>
      <c r="P85" s="226" t="n">
        <v>0</v>
      </c>
      <c r="Q85" s="226" t="n">
        <v>0</v>
      </c>
      <c r="R85" s="226" t="n">
        <v>0</v>
      </c>
      <c r="S85" s="226" t="n">
        <v>0</v>
      </c>
      <c r="T85" s="226" t="n">
        <v>0</v>
      </c>
      <c r="U85" s="226" t="n">
        <v>0</v>
      </c>
      <c r="V85" s="226" t="n">
        <v>0</v>
      </c>
      <c r="W85" s="226" t="n">
        <v>0</v>
      </c>
      <c r="X85" s="226" t="n">
        <v>0</v>
      </c>
      <c r="Y85" s="226" t="n">
        <v>0</v>
      </c>
      <c r="Z85" s="226" t="n">
        <v>0</v>
      </c>
      <c r="AA85" s="226" t="n">
        <v>0</v>
      </c>
      <c r="AB85" s="226" t="n">
        <v>0</v>
      </c>
      <c r="AC85" s="226" t="n">
        <v>0</v>
      </c>
      <c r="AD85" s="226" t="n">
        <v>0</v>
      </c>
      <c r="AE85" s="226" t="n">
        <v>0</v>
      </c>
      <c r="AF85" s="226" t="n">
        <v>0</v>
      </c>
      <c r="AG85" s="300" t="n">
        <v>0</v>
      </c>
      <c r="AH85" s="153"/>
      <c r="AJ85" s="153"/>
      <c r="AK85" s="226"/>
      <c r="AL85" s="61"/>
      <c r="AM85" s="60"/>
    </row>
    <row r="86" customFormat="false" ht="12.75" hidden="false" customHeight="true" outlineLevel="0" collapsed="false">
      <c r="A86" s="231" t="s">
        <v>250</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251</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252</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253</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254</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255</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256</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257</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258</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259</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260</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261</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c r="B98" s="294"/>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300"/>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SUM(B87:B101)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9" t="n">
        <v>36678</v>
      </c>
      <c r="B126" s="153" t="s">
        <v>300</v>
      </c>
      <c r="C126" s="153"/>
      <c r="D126" s="324"/>
      <c r="E126" s="325" t="n">
        <v>1333</v>
      </c>
      <c r="G126" s="326"/>
      <c r="H126" s="153"/>
      <c r="I126" s="59"/>
      <c r="J126" s="59"/>
      <c r="K126" s="324"/>
      <c r="L126" s="325" t="n">
        <v>2286001</v>
      </c>
      <c r="M126" s="59"/>
      <c r="N126" s="59"/>
      <c r="O126" s="59"/>
      <c r="P126" s="59"/>
    </row>
    <row r="127" customFormat="false" ht="12.75" hidden="false" customHeight="true" outlineLevel="0" collapsed="false">
      <c r="A127" s="329" t="n">
        <v>36708</v>
      </c>
      <c r="B127" s="153" t="s">
        <v>301</v>
      </c>
      <c r="C127" s="153"/>
      <c r="D127" s="324"/>
      <c r="E127" s="325" t="n">
        <v>3795</v>
      </c>
      <c r="G127" s="326" t="n">
        <v>36831</v>
      </c>
      <c r="H127" s="153"/>
      <c r="I127" s="59"/>
      <c r="J127" s="59"/>
      <c r="K127" s="324"/>
      <c r="L127" s="325" t="n">
        <v>204553</v>
      </c>
      <c r="M127" s="59"/>
      <c r="N127" s="59"/>
      <c r="O127" s="59"/>
      <c r="P127" s="59"/>
    </row>
    <row r="128" customFormat="false" ht="12.75" hidden="false" customHeight="true" outlineLevel="0" collapsed="false">
      <c r="A128" s="329" t="n">
        <v>36739</v>
      </c>
      <c r="B128" s="153" t="s">
        <v>302</v>
      </c>
      <c r="C128" s="153"/>
      <c r="D128" s="324"/>
      <c r="E128" s="325" t="n">
        <v>5376</v>
      </c>
      <c r="G128" s="326" t="n">
        <v>36832</v>
      </c>
      <c r="H128" s="153"/>
      <c r="I128" s="59"/>
      <c r="J128" s="59"/>
      <c r="K128" s="324"/>
      <c r="L128" s="325" t="n">
        <v>630325</v>
      </c>
      <c r="M128" s="59"/>
      <c r="N128" s="59"/>
      <c r="O128" s="59"/>
      <c r="P128" s="59"/>
    </row>
    <row r="129" customFormat="false" ht="12.75" hidden="false" customHeight="true" outlineLevel="0" collapsed="false">
      <c r="A129" s="329" t="n">
        <v>36770</v>
      </c>
      <c r="B129" s="153" t="s">
        <v>303</v>
      </c>
      <c r="C129" s="153"/>
      <c r="D129" s="324"/>
      <c r="E129" s="330" t="n">
        <v>5554</v>
      </c>
      <c r="G129" s="326" t="n">
        <v>36833</v>
      </c>
      <c r="H129" s="153"/>
      <c r="I129" s="59"/>
      <c r="J129" s="59"/>
      <c r="K129" s="324"/>
      <c r="L129" s="325" t="n">
        <v>-3289</v>
      </c>
      <c r="M129" s="59"/>
      <c r="N129" s="59"/>
      <c r="O129" s="59"/>
      <c r="P129" s="59"/>
    </row>
    <row r="130" customFormat="false" ht="12.75" hidden="false" customHeight="true" outlineLevel="0" collapsed="false">
      <c r="A130" s="329" t="n">
        <v>36800</v>
      </c>
      <c r="B130" s="153" t="s">
        <v>304</v>
      </c>
      <c r="C130" s="153"/>
      <c r="D130" s="324"/>
      <c r="E130" s="330" t="n">
        <v>6427</v>
      </c>
      <c r="G130" s="326" t="n">
        <v>36834</v>
      </c>
      <c r="H130" s="153"/>
      <c r="I130" s="59"/>
      <c r="J130" s="59"/>
      <c r="K130" s="324"/>
      <c r="L130" s="592"/>
      <c r="M130" s="59"/>
      <c r="N130" s="59"/>
      <c r="O130" s="59"/>
      <c r="P130" s="59"/>
    </row>
    <row r="131" customFormat="false" ht="12.75" hidden="false" customHeight="true" outlineLevel="0" collapsed="false">
      <c r="A131" s="329"/>
      <c r="B131" s="153"/>
      <c r="C131" s="153"/>
      <c r="D131" s="324"/>
      <c r="E131" s="325"/>
      <c r="G131" s="326" t="n">
        <v>36835</v>
      </c>
      <c r="H131" s="153"/>
      <c r="I131" s="59"/>
      <c r="J131" s="59"/>
      <c r="K131" s="324"/>
      <c r="L131" s="592"/>
      <c r="M131" s="59"/>
      <c r="N131" s="59"/>
      <c r="O131" s="59"/>
      <c r="P131" s="59"/>
    </row>
    <row r="132" customFormat="false" ht="12.75" hidden="false" customHeight="true" outlineLevel="0" collapsed="false">
      <c r="A132" s="329"/>
      <c r="B132" s="153"/>
      <c r="C132" s="332"/>
      <c r="D132" s="346"/>
      <c r="E132" s="330"/>
      <c r="G132" s="326" t="n">
        <v>36836</v>
      </c>
      <c r="H132" s="59"/>
      <c r="I132" s="59"/>
      <c r="J132" s="59"/>
      <c r="K132" s="328"/>
      <c r="L132" s="330" t="n">
        <v>-321366</v>
      </c>
      <c r="M132" s="59"/>
      <c r="N132" s="59"/>
      <c r="O132" s="59"/>
      <c r="P132" s="59"/>
    </row>
    <row r="133" customFormat="false" ht="12.75" hidden="false" customHeight="true" outlineLevel="0" collapsed="false">
      <c r="A133" s="329"/>
      <c r="B133" s="153"/>
      <c r="C133" s="332"/>
      <c r="D133" s="346"/>
      <c r="E133" s="330"/>
      <c r="G133" s="326" t="n">
        <v>36837</v>
      </c>
      <c r="H133" s="153"/>
      <c r="I133" s="59"/>
      <c r="J133" s="59"/>
      <c r="K133" s="324"/>
      <c r="L133" s="330" t="n">
        <v>-303184</v>
      </c>
      <c r="M133" s="59"/>
      <c r="N133" s="59"/>
      <c r="O133" s="59"/>
      <c r="P133" s="59"/>
    </row>
    <row r="134" customFormat="false" ht="12.75" hidden="false" customHeight="true" outlineLevel="0" collapsed="false">
      <c r="A134" s="329"/>
      <c r="B134" s="153"/>
      <c r="C134" s="332"/>
      <c r="D134" s="346"/>
      <c r="E134" s="330"/>
      <c r="G134" s="326" t="n">
        <v>36838</v>
      </c>
      <c r="H134" s="153"/>
      <c r="I134" s="59"/>
      <c r="J134" s="59"/>
      <c r="K134" s="324"/>
      <c r="L134" s="325" t="n">
        <v>-724857</v>
      </c>
      <c r="M134" s="98"/>
      <c r="N134" s="60"/>
      <c r="O134" s="59"/>
      <c r="P134" s="59"/>
    </row>
    <row r="135" customFormat="false" ht="12.75" hidden="false" customHeight="true" outlineLevel="0" collapsed="false">
      <c r="A135" s="329"/>
      <c r="B135" s="153"/>
      <c r="C135" s="153"/>
      <c r="D135" s="324"/>
      <c r="E135" s="325"/>
      <c r="G135" s="326" t="n">
        <v>36839</v>
      </c>
      <c r="H135" s="153"/>
      <c r="I135" s="59"/>
      <c r="J135" s="59"/>
      <c r="K135" s="324"/>
      <c r="L135" s="325" t="n">
        <v>56697</v>
      </c>
      <c r="M135" s="98"/>
      <c r="N135" s="59"/>
      <c r="O135" s="59"/>
      <c r="P135" s="59"/>
    </row>
    <row r="136" customFormat="false" ht="12.75" hidden="false" customHeight="true" outlineLevel="0" collapsed="false">
      <c r="A136" s="329"/>
      <c r="B136" s="153"/>
      <c r="C136" s="153"/>
      <c r="D136" s="324"/>
      <c r="E136" s="325"/>
      <c r="G136" s="326" t="n">
        <v>36840</v>
      </c>
      <c r="H136" s="153"/>
      <c r="I136" s="59"/>
      <c r="J136" s="59"/>
      <c r="K136" s="324"/>
      <c r="L136" s="325" t="n">
        <v>119638</v>
      </c>
      <c r="M136" s="59"/>
      <c r="N136" s="98"/>
      <c r="O136" s="59"/>
      <c r="P136" s="59"/>
    </row>
    <row r="137" customFormat="false" ht="12.75" hidden="false" customHeight="true" outlineLevel="0" collapsed="false">
      <c r="A137" s="329"/>
      <c r="B137" s="153"/>
      <c r="C137" s="153"/>
      <c r="D137" s="324"/>
      <c r="E137" s="325"/>
      <c r="G137" s="326" t="n">
        <v>36841</v>
      </c>
      <c r="H137" s="153"/>
      <c r="I137" s="59"/>
      <c r="J137" s="59"/>
      <c r="K137" s="324"/>
      <c r="L137" s="325"/>
      <c r="M137" s="59"/>
      <c r="N137" s="98"/>
      <c r="O137" s="59"/>
      <c r="P137" s="59"/>
    </row>
    <row r="138" customFormat="false" ht="12.75" hidden="false" customHeight="true" outlineLevel="0" collapsed="false">
      <c r="A138" s="329"/>
      <c r="B138" s="153"/>
      <c r="C138" s="333"/>
      <c r="D138" s="324"/>
      <c r="E138" s="325"/>
      <c r="G138" s="326" t="n">
        <v>36842</v>
      </c>
      <c r="H138" s="153"/>
      <c r="I138" s="59"/>
      <c r="J138" s="59"/>
      <c r="K138" s="324"/>
      <c r="L138" s="325"/>
      <c r="M138" s="59"/>
      <c r="N138" s="59"/>
      <c r="O138" s="59"/>
      <c r="P138" s="59"/>
    </row>
    <row r="139" customFormat="false" ht="12.75" hidden="false" customHeight="true" outlineLevel="0" collapsed="false">
      <c r="A139" s="329"/>
      <c r="B139" s="153"/>
      <c r="C139" s="59"/>
      <c r="D139" s="301"/>
      <c r="E139" s="325"/>
      <c r="G139" s="326" t="n">
        <v>36843</v>
      </c>
      <c r="H139" s="153"/>
      <c r="I139" s="59"/>
      <c r="J139" s="59"/>
      <c r="K139" s="324"/>
      <c r="L139" s="325" t="n">
        <v>302237</v>
      </c>
      <c r="M139" s="59"/>
      <c r="N139" s="59"/>
      <c r="O139" s="59"/>
      <c r="P139" s="59"/>
    </row>
    <row r="140" customFormat="false" ht="12.75" hidden="false" customHeight="true" outlineLevel="0" collapsed="false">
      <c r="A140" s="329"/>
      <c r="B140" s="59"/>
      <c r="C140" s="59"/>
      <c r="D140" s="324"/>
      <c r="E140" s="325"/>
      <c r="G140" s="326" t="n">
        <v>36844</v>
      </c>
      <c r="H140" s="153"/>
      <c r="I140" s="59"/>
      <c r="J140" s="59"/>
      <c r="K140" s="324"/>
      <c r="L140" s="325" t="n">
        <v>753481</v>
      </c>
      <c r="M140" s="59"/>
      <c r="N140" s="59"/>
      <c r="O140" s="59"/>
      <c r="P140" s="59"/>
    </row>
    <row r="141" customFormat="false" ht="12.75" hidden="false" customHeight="true" outlineLevel="0" collapsed="false">
      <c r="A141" s="329"/>
      <c r="B141" s="59"/>
      <c r="C141" s="59"/>
      <c r="D141" s="324"/>
      <c r="E141" s="325"/>
      <c r="G141" s="326" t="n">
        <v>36845</v>
      </c>
      <c r="H141" s="153"/>
      <c r="I141" s="59"/>
      <c r="J141" s="59"/>
      <c r="K141" s="324"/>
      <c r="L141" s="325" t="n">
        <v>310901</v>
      </c>
      <c r="M141" s="59"/>
      <c r="N141" s="59"/>
      <c r="O141" s="59"/>
      <c r="P141" s="59"/>
    </row>
    <row r="142" customFormat="false" ht="12.75" hidden="false" customHeight="true" outlineLevel="0" collapsed="false">
      <c r="A142" s="329"/>
      <c r="B142" s="153"/>
      <c r="C142" s="153"/>
      <c r="D142" s="324"/>
      <c r="E142" s="325"/>
      <c r="G142" s="326" t="n">
        <v>36846</v>
      </c>
      <c r="H142" s="153"/>
      <c r="I142" s="59"/>
      <c r="J142" s="59"/>
      <c r="K142" s="324"/>
      <c r="L142" s="325" t="n">
        <v>-1888728</v>
      </c>
      <c r="M142" s="59"/>
      <c r="N142" s="59"/>
      <c r="O142" s="59"/>
      <c r="P142" s="59"/>
    </row>
    <row r="143" customFormat="false" ht="12.75" hidden="false" customHeight="true" outlineLevel="0" collapsed="false">
      <c r="A143" s="329"/>
      <c r="B143" s="153"/>
      <c r="C143" s="153"/>
      <c r="D143" s="324"/>
      <c r="E143" s="325"/>
      <c r="G143" s="326" t="n">
        <v>36847</v>
      </c>
      <c r="H143" s="153"/>
      <c r="I143" s="59"/>
      <c r="J143" s="59"/>
      <c r="K143" s="324"/>
      <c r="L143" s="325" t="n">
        <v>336023</v>
      </c>
      <c r="M143" s="59"/>
      <c r="N143" s="59"/>
      <c r="O143" s="59"/>
      <c r="P143" s="59"/>
    </row>
    <row r="144" customFormat="false" ht="12.75" hidden="false" customHeight="true" outlineLevel="0" collapsed="false">
      <c r="A144" s="329"/>
      <c r="B144" s="153"/>
      <c r="C144" s="153"/>
      <c r="D144" s="324"/>
      <c r="E144" s="325"/>
      <c r="G144" s="326" t="n">
        <v>36848</v>
      </c>
      <c r="H144" s="153"/>
      <c r="I144" s="59"/>
      <c r="J144" s="59"/>
      <c r="K144" s="324"/>
      <c r="L144" s="325"/>
      <c r="M144" s="59"/>
      <c r="N144" s="59"/>
      <c r="O144" s="59"/>
      <c r="P144" s="59"/>
    </row>
    <row r="145" customFormat="false" ht="12.75" hidden="false" customHeight="true" outlineLevel="0" collapsed="false">
      <c r="A145" s="329"/>
      <c r="B145" s="153"/>
      <c r="C145" s="153"/>
      <c r="D145" s="324"/>
      <c r="E145" s="325"/>
      <c r="G145" s="326" t="n">
        <v>36849</v>
      </c>
      <c r="H145" s="153"/>
      <c r="I145" s="59"/>
      <c r="J145" s="59"/>
      <c r="K145" s="324"/>
      <c r="L145" s="325"/>
      <c r="M145" s="59"/>
      <c r="N145" s="59"/>
      <c r="O145" s="59"/>
      <c r="P145" s="59"/>
    </row>
    <row r="146" customFormat="false" ht="12.75" hidden="false" customHeight="true" outlineLevel="0" collapsed="false">
      <c r="A146" s="329"/>
      <c r="B146" s="153"/>
      <c r="C146" s="153"/>
      <c r="D146" s="324"/>
      <c r="E146" s="325"/>
      <c r="G146" s="326" t="n">
        <v>36850</v>
      </c>
      <c r="H146" s="153"/>
      <c r="I146" s="59"/>
      <c r="J146" s="59"/>
      <c r="K146" s="324"/>
      <c r="L146" s="325"/>
      <c r="M146" s="59"/>
      <c r="N146" s="59"/>
      <c r="O146" s="59"/>
      <c r="P146" s="59"/>
    </row>
    <row r="147" customFormat="false" ht="12.75" hidden="false" customHeight="true" outlineLevel="0" collapsed="false">
      <c r="A147" s="329"/>
      <c r="B147" s="153"/>
      <c r="C147" s="153"/>
      <c r="D147" s="324"/>
      <c r="E147" s="325"/>
      <c r="G147" s="326" t="n">
        <v>36851</v>
      </c>
      <c r="H147" s="153"/>
      <c r="I147" s="59"/>
      <c r="J147" s="59"/>
      <c r="K147" s="324"/>
      <c r="L147" s="325"/>
      <c r="M147" s="59"/>
      <c r="N147" s="59"/>
      <c r="O147" s="59"/>
      <c r="P147" s="59"/>
    </row>
    <row r="148" customFormat="false" ht="12.75" hidden="false" customHeight="true" outlineLevel="0" collapsed="false">
      <c r="A148" s="329"/>
      <c r="B148" s="153"/>
      <c r="C148" s="153"/>
      <c r="D148" s="324"/>
      <c r="E148" s="325"/>
      <c r="G148" s="326" t="n">
        <v>36852</v>
      </c>
      <c r="H148" s="153"/>
      <c r="I148" s="59"/>
      <c r="J148" s="59"/>
      <c r="K148" s="324"/>
      <c r="L148" s="325"/>
      <c r="M148" s="59"/>
      <c r="N148" s="59"/>
      <c r="O148" s="59"/>
      <c r="P148" s="59"/>
    </row>
    <row r="149" customFormat="false" ht="12.75" hidden="false" customHeight="true" outlineLevel="0" collapsed="false">
      <c r="A149" s="329"/>
      <c r="B149" s="153"/>
      <c r="C149" s="153"/>
      <c r="D149" s="324"/>
      <c r="E149" s="325"/>
      <c r="G149" s="326" t="n">
        <v>36853</v>
      </c>
      <c r="H149" s="153"/>
      <c r="I149" s="59"/>
      <c r="J149" s="59"/>
      <c r="K149" s="324"/>
      <c r="L149" s="325"/>
      <c r="M149" s="59"/>
      <c r="N149" s="59"/>
      <c r="O149" s="59"/>
      <c r="P149" s="59"/>
    </row>
    <row r="150" customFormat="false" ht="12.75" hidden="false" customHeight="true" outlineLevel="0" collapsed="false">
      <c r="A150" s="329"/>
      <c r="B150" s="153"/>
      <c r="C150" s="153"/>
      <c r="D150" s="324"/>
      <c r="E150" s="325"/>
      <c r="G150" s="326"/>
      <c r="H150" s="153"/>
      <c r="I150" s="59"/>
      <c r="J150" s="59"/>
      <c r="K150" s="324"/>
      <c r="L150" s="325"/>
      <c r="M150" s="59"/>
      <c r="N150" s="59"/>
      <c r="O150" s="59"/>
      <c r="P150" s="59"/>
    </row>
    <row r="151" customFormat="false" ht="12.75" hidden="false" customHeight="true" outlineLevel="0" collapsed="false">
      <c r="A151" s="329"/>
      <c r="B151" s="153"/>
      <c r="C151" s="153"/>
      <c r="D151" s="324"/>
      <c r="E151" s="325"/>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t="s">
        <v>377</v>
      </c>
      <c r="H156" s="153"/>
      <c r="I156" s="59"/>
      <c r="J156" s="59"/>
      <c r="K156" s="324"/>
      <c r="L156" s="325" t="n">
        <f aca="false">-2139+54374</f>
        <v>52235</v>
      </c>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25"/>
      <c r="M157" s="59"/>
      <c r="N157" s="59"/>
      <c r="O157" s="59"/>
      <c r="P157" s="59"/>
    </row>
    <row r="158" customFormat="false" ht="12.75" hidden="false" customHeight="true" outlineLevel="0" collapsed="false">
      <c r="A158" s="329"/>
      <c r="B158" s="153"/>
      <c r="C158" s="153"/>
      <c r="D158" s="324"/>
      <c r="E158" s="334"/>
      <c r="G158" s="326"/>
      <c r="H158" s="153"/>
      <c r="I158" s="59"/>
      <c r="J158" s="59"/>
      <c r="K158" s="324"/>
      <c r="L158" s="325"/>
      <c r="M158" s="59"/>
      <c r="N158" s="59"/>
      <c r="O158" s="59"/>
      <c r="P158" s="59"/>
    </row>
    <row r="159" customFormat="false" ht="12.75" hidden="false" customHeight="true" outlineLevel="0" collapsed="false">
      <c r="A159" s="335"/>
      <c r="B159" s="153"/>
      <c r="C159" s="153"/>
      <c r="D159" s="336" t="s">
        <v>306</v>
      </c>
      <c r="E159" s="338" t="n">
        <f aca="false">SUM(E126:E158)</f>
        <v>22485</v>
      </c>
      <c r="G159" s="326"/>
      <c r="H159" s="153"/>
      <c r="I159" s="59"/>
      <c r="J159" s="59"/>
      <c r="K159" s="324"/>
      <c r="L159" s="334"/>
      <c r="M159" s="59"/>
      <c r="N159" s="59"/>
      <c r="O159" s="59"/>
      <c r="P159" s="59"/>
    </row>
    <row r="160" customFormat="false" ht="12.75" hidden="false" customHeight="true" outlineLevel="0" collapsed="false">
      <c r="A160" s="339"/>
      <c r="B160" s="340"/>
      <c r="C160" s="340"/>
      <c r="D160" s="340"/>
      <c r="E160" s="341"/>
      <c r="G160" s="335"/>
      <c r="H160" s="153"/>
      <c r="I160" s="59"/>
      <c r="J160" s="59"/>
      <c r="K160" s="336" t="s">
        <v>305</v>
      </c>
      <c r="L160" s="593" t="n">
        <f aca="false">SUM(L126:L159)</f>
        <v>1810667</v>
      </c>
      <c r="M160" s="59"/>
      <c r="N160" s="59"/>
      <c r="O160" s="59"/>
      <c r="P160" s="59"/>
    </row>
    <row r="161" customFormat="false" ht="12.75" hidden="false" customHeight="true" outlineLevel="0" collapsed="false">
      <c r="G161" s="339"/>
      <c r="H161" s="340"/>
      <c r="I161" s="340"/>
      <c r="J161" s="340"/>
      <c r="K161" s="340"/>
      <c r="L161" s="341"/>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c r="B165" s="153"/>
      <c r="C165" s="153"/>
      <c r="D165" s="324"/>
      <c r="E165" s="325"/>
      <c r="AJ165" s="59"/>
      <c r="AK165" s="59"/>
      <c r="AL165" s="59"/>
      <c r="AM165" s="59"/>
    </row>
    <row r="166" customFormat="false" ht="12.75" hidden="false" customHeight="true" outlineLevel="0" collapsed="false">
      <c r="A166" s="342"/>
      <c r="B166" s="153"/>
      <c r="C166" s="153"/>
      <c r="D166" s="324"/>
      <c r="E166" s="325"/>
      <c r="AJ166" s="59"/>
      <c r="AK166" s="59"/>
      <c r="AL166" s="59"/>
      <c r="AM166" s="59"/>
    </row>
    <row r="167" customFormat="false" ht="12.75" hidden="false" customHeight="true" outlineLevel="0" collapsed="false">
      <c r="A167" s="342"/>
      <c r="B167" s="153"/>
      <c r="C167" s="153"/>
      <c r="D167" s="324"/>
      <c r="E167" s="325"/>
      <c r="AJ167" s="59"/>
      <c r="AK167" s="59"/>
      <c r="AL167" s="59"/>
      <c r="AM167" s="59"/>
    </row>
    <row r="168" customFormat="false" ht="12.75" hidden="false" customHeight="true" outlineLevel="0" collapsed="false">
      <c r="A168" s="342"/>
      <c r="B168" s="153"/>
      <c r="C168" s="153"/>
      <c r="D168" s="324"/>
      <c r="E168" s="330"/>
      <c r="AJ168" s="59"/>
      <c r="AK168" s="59"/>
      <c r="AL168" s="59"/>
      <c r="AM168" s="59"/>
    </row>
    <row r="169" customFormat="false" ht="12.75" hidden="false" customHeight="true" outlineLevel="0" collapsed="false">
      <c r="A169" s="342"/>
      <c r="B169" s="153"/>
      <c r="C169" s="153"/>
      <c r="D169" s="324"/>
      <c r="E169" s="325"/>
      <c r="AJ169" s="59"/>
      <c r="AK169" s="59"/>
      <c r="AL169" s="59"/>
      <c r="AM169" s="59"/>
    </row>
    <row r="170" customFormat="false" ht="12.75" hidden="false" customHeight="true" outlineLevel="0" collapsed="false">
      <c r="A170" s="342"/>
      <c r="B170" s="153"/>
      <c r="C170" s="153"/>
      <c r="D170" s="324"/>
      <c r="E170" s="325"/>
      <c r="AJ170" s="59"/>
      <c r="AK170" s="59"/>
      <c r="AL170" s="59"/>
      <c r="AM170" s="59"/>
    </row>
    <row r="171" customFormat="false" ht="12.75" hidden="false" customHeight="true" outlineLevel="0" collapsed="false">
      <c r="A171" s="342"/>
      <c r="B171" s="153"/>
      <c r="C171" s="332"/>
      <c r="D171" s="346"/>
      <c r="E171" s="330"/>
      <c r="AJ171" s="59"/>
      <c r="AK171" s="59"/>
      <c r="AL171" s="59"/>
      <c r="AM171" s="59"/>
    </row>
    <row r="172" customFormat="false" ht="12.75" hidden="false" customHeight="true" outlineLevel="0" collapsed="false">
      <c r="A172" s="342"/>
      <c r="B172" s="327"/>
      <c r="C172" s="332"/>
      <c r="D172" s="346"/>
      <c r="E172" s="330"/>
      <c r="AJ172" s="59"/>
      <c r="AK172" s="59"/>
      <c r="AL172" s="59"/>
      <c r="AM172" s="59"/>
    </row>
    <row r="173" customFormat="false" ht="12.75" hidden="false" customHeight="true" outlineLevel="0" collapsed="false">
      <c r="A173" s="342"/>
      <c r="B173" s="327"/>
      <c r="C173" s="153"/>
      <c r="D173" s="324"/>
      <c r="E173" s="325"/>
      <c r="AJ173" s="59"/>
      <c r="AK173" s="59"/>
      <c r="AL173" s="59"/>
      <c r="AM173" s="59"/>
    </row>
    <row r="174" customFormat="false" ht="12.75" hidden="false" customHeight="true" outlineLevel="0" collapsed="false">
      <c r="A174" s="342"/>
      <c r="B174" s="153"/>
      <c r="C174" s="153"/>
      <c r="D174" s="324"/>
      <c r="E174" s="32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25"/>
      <c r="AJ176" s="59"/>
      <c r="AK176" s="59"/>
      <c r="AL176" s="59"/>
      <c r="AM176" s="59"/>
    </row>
    <row r="177" customFormat="false" ht="12.75" hidden="false" customHeight="true" outlineLevel="0" collapsed="false">
      <c r="A177" s="342"/>
      <c r="B177" s="153"/>
      <c r="C177" s="153"/>
      <c r="D177" s="324"/>
      <c r="E177" s="325"/>
      <c r="AJ177" s="59"/>
      <c r="AK177" s="59"/>
      <c r="AL177" s="59"/>
      <c r="AM177" s="59"/>
    </row>
    <row r="178" customFormat="false" ht="12.75" hidden="false" customHeight="true" outlineLevel="0" collapsed="false">
      <c r="A178" s="342"/>
      <c r="B178" s="62"/>
      <c r="C178" s="332"/>
      <c r="D178" s="346"/>
      <c r="E178" s="330"/>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0</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AJ188" s="59"/>
      <c r="AK188" s="59"/>
      <c r="AL188" s="59"/>
      <c r="AM188" s="59"/>
    </row>
    <row r="189" customFormat="false" ht="12.75" hidden="false" customHeight="true" outlineLevel="0" collapsed="false">
      <c r="A189" s="352" t="s">
        <v>331</v>
      </c>
      <c r="B189" s="350"/>
      <c r="C189" s="350"/>
      <c r="D189" s="350"/>
      <c r="E189" s="350"/>
      <c r="F189" s="350"/>
      <c r="M189" s="351"/>
      <c r="O189" s="59"/>
      <c r="P189" s="59"/>
      <c r="Q189" s="59"/>
      <c r="R189" s="59"/>
    </row>
    <row r="190" customFormat="false" ht="12.75" hidden="false" customHeight="true" outlineLevel="0" collapsed="false">
      <c r="A190" s="355" t="s">
        <v>332</v>
      </c>
      <c r="B190" s="356" t="s">
        <v>268</v>
      </c>
      <c r="C190" s="357" t="s">
        <v>333</v>
      </c>
      <c r="D190" s="358" t="s">
        <v>334</v>
      </c>
      <c r="E190" s="404" t="s">
        <v>269</v>
      </c>
      <c r="F190" s="404"/>
      <c r="G190" s="350"/>
      <c r="H190" s="350"/>
      <c r="I190" s="350"/>
      <c r="J190" s="350"/>
      <c r="K190" s="350"/>
      <c r="L190" s="350"/>
      <c r="M190" s="354" t="s">
        <v>270</v>
      </c>
      <c r="O190" s="59"/>
      <c r="P190" s="59"/>
      <c r="Q190" s="59"/>
      <c r="R190" s="59"/>
    </row>
    <row r="191" customFormat="false" ht="12.75" hidden="false" customHeight="true" outlineLevel="0" collapsed="false">
      <c r="A191" s="360"/>
      <c r="B191" s="361"/>
      <c r="C191" s="362"/>
      <c r="D191" s="324"/>
      <c r="E191" s="153"/>
      <c r="F191" s="153"/>
      <c r="G191" s="353"/>
      <c r="H191" s="353"/>
      <c r="I191" s="353"/>
      <c r="J191" s="353"/>
      <c r="K191" s="353"/>
      <c r="L191" s="3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c r="O195" s="59"/>
      <c r="P195" s="59"/>
      <c r="Q195" s="59"/>
      <c r="R195" s="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153"/>
      <c r="M213" s="359"/>
    </row>
    <row r="214" customFormat="false" ht="12.75" hidden="false" customHeight="true" outlineLevel="0" collapsed="false">
      <c r="A214" s="363"/>
      <c r="B214" s="361"/>
      <c r="C214" s="367"/>
      <c r="D214" s="324"/>
      <c r="E214" s="153"/>
      <c r="F214" s="153"/>
      <c r="G214" s="153"/>
      <c r="H214" s="153"/>
      <c r="I214" s="153"/>
      <c r="J214" s="153"/>
      <c r="K214" s="153"/>
      <c r="L214" s="153"/>
      <c r="M214" s="366" t="n">
        <f aca="false">SUM(M191:M213)</f>
        <v>0</v>
      </c>
    </row>
    <row r="215" customFormat="false" ht="12.75" hidden="false" customHeight="true" outlineLevel="0" collapsed="false">
      <c r="A215" s="368"/>
      <c r="B215" s="369"/>
      <c r="C215" s="340"/>
      <c r="D215" s="340"/>
      <c r="E215" s="340"/>
      <c r="F215" s="340"/>
      <c r="G215" s="153"/>
      <c r="H215" s="153"/>
      <c r="I215" s="153"/>
      <c r="J215" s="153"/>
      <c r="K215" s="153"/>
      <c r="L215" s="336" t="s">
        <v>335</v>
      </c>
      <c r="M215" s="341"/>
    </row>
    <row r="216" customFormat="false" ht="12.75" hidden="false" customHeight="true" outlineLevel="0" collapsed="false">
      <c r="G216" s="340"/>
      <c r="H216" s="340"/>
      <c r="I216" s="340"/>
      <c r="J216" s="340"/>
      <c r="K216" s="340"/>
      <c r="L216" s="340"/>
    </row>
    <row r="217" customFormat="false" ht="12.75" hidden="false" customHeight="true" outlineLevel="0" collapsed="false"/>
    <row r="218" customFormat="false" ht="12.75" hidden="false" customHeight="true" outlineLevel="0" collapsed="false">
      <c r="A218" s="371" t="s">
        <v>336</v>
      </c>
      <c r="B218" s="372"/>
      <c r="C218" s="372"/>
      <c r="D218" s="372"/>
      <c r="E218" s="372"/>
      <c r="F218" s="373"/>
      <c r="M218" s="370"/>
      <c r="N218" s="370"/>
    </row>
    <row r="219" customFormat="false" ht="12.75" hidden="false" customHeight="true" outlineLevel="0" collapsed="false">
      <c r="A219" s="374" t="s">
        <v>332</v>
      </c>
      <c r="B219" s="375" t="s">
        <v>268</v>
      </c>
      <c r="C219" s="376" t="s">
        <v>333</v>
      </c>
      <c r="D219" s="377" t="s">
        <v>334</v>
      </c>
      <c r="E219" s="377"/>
      <c r="F219" s="378" t="s">
        <v>270</v>
      </c>
      <c r="G219" s="370"/>
      <c r="H219" s="370"/>
      <c r="I219" s="370"/>
      <c r="J219" s="370"/>
      <c r="K219" s="370"/>
      <c r="L219" s="370"/>
      <c r="M219" s="370"/>
      <c r="N219" s="370"/>
    </row>
    <row r="220" customFormat="false" ht="12.75" hidden="false" customHeight="true" outlineLevel="0" collapsed="false">
      <c r="A220" s="380"/>
      <c r="B220" s="361"/>
      <c r="C220" s="381"/>
      <c r="D220" s="153"/>
      <c r="E220" s="382"/>
      <c r="F220" s="383"/>
      <c r="G220" s="370"/>
      <c r="H220" s="370"/>
      <c r="I220" s="370"/>
      <c r="J220" s="370"/>
      <c r="K220" s="370"/>
      <c r="L220" s="370"/>
      <c r="M220" s="379"/>
      <c r="N220" s="379"/>
    </row>
    <row r="221" customFormat="false" ht="12.75" hidden="false" customHeight="true" outlineLevel="0" collapsed="false">
      <c r="A221" s="380"/>
      <c r="B221" s="361"/>
      <c r="C221" s="370" t="s">
        <v>378</v>
      </c>
      <c r="D221" s="385" t="s">
        <v>379</v>
      </c>
      <c r="E221" s="382"/>
      <c r="F221" s="405" t="n">
        <v>72424</v>
      </c>
      <c r="G221" s="379"/>
      <c r="H221" s="379"/>
      <c r="I221" s="379"/>
      <c r="J221" s="379"/>
      <c r="K221" s="379"/>
      <c r="L221" s="379"/>
      <c r="M221" s="379"/>
      <c r="N221" s="379"/>
    </row>
    <row r="222" customFormat="false" ht="12.75" hidden="false" customHeight="true" outlineLevel="0" collapsed="false">
      <c r="A222" s="380"/>
      <c r="B222" s="361"/>
      <c r="C222" s="370" t="s">
        <v>380</v>
      </c>
      <c r="D222" s="385" t="s">
        <v>381</v>
      </c>
      <c r="E222" s="382"/>
      <c r="F222" s="384" t="n">
        <v>-67706</v>
      </c>
      <c r="G222" s="379"/>
      <c r="H222" s="379"/>
      <c r="I222" s="379"/>
      <c r="J222" s="379"/>
      <c r="K222" s="379"/>
      <c r="L222" s="379"/>
      <c r="M222" s="370"/>
      <c r="N222" s="370"/>
    </row>
    <row r="223" customFormat="false" ht="12.75" hidden="false" customHeight="true" outlineLevel="0" collapsed="false">
      <c r="A223" s="380"/>
      <c r="B223" s="361"/>
      <c r="C223" s="370"/>
      <c r="D223" s="385"/>
      <c r="E223" s="382"/>
      <c r="F223" s="384"/>
      <c r="G223" s="370"/>
      <c r="H223" s="370"/>
      <c r="I223" s="370"/>
      <c r="J223" s="370"/>
      <c r="K223" s="370"/>
      <c r="L223" s="370"/>
      <c r="M223" s="370"/>
      <c r="N223" s="370"/>
    </row>
    <row r="224" customFormat="false" ht="12.75" hidden="false" customHeight="true" outlineLevel="0" collapsed="false">
      <c r="A224" s="380"/>
      <c r="B224" s="361"/>
      <c r="C224" s="370"/>
      <c r="D224" s="385"/>
      <c r="E224" s="382"/>
      <c r="F224" s="384"/>
      <c r="G224" s="370"/>
      <c r="H224" s="370"/>
      <c r="I224" s="370"/>
      <c r="J224" s="370"/>
      <c r="K224" s="370"/>
      <c r="L224" s="370"/>
      <c r="M224" s="370"/>
      <c r="N224" s="370"/>
    </row>
    <row r="225" customFormat="false" ht="12.75" hidden="false" customHeight="true" outlineLevel="0" collapsed="false">
      <c r="A225" s="380"/>
      <c r="B225" s="361"/>
      <c r="C225" s="370"/>
      <c r="D225" s="385"/>
      <c r="E225" s="382"/>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4"/>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6" t="n">
        <f aca="false">SUM(F219:F237)</f>
        <v>4718</v>
      </c>
      <c r="G238" s="370"/>
      <c r="H238" s="370"/>
      <c r="I238" s="370"/>
      <c r="J238" s="370"/>
      <c r="K238" s="370"/>
      <c r="L238" s="370"/>
      <c r="M238" s="370"/>
      <c r="N238" s="370"/>
    </row>
    <row r="239" customFormat="false" ht="12.75" hidden="false" customHeight="true" outlineLevel="0" collapsed="false">
      <c r="A239" s="388"/>
      <c r="B239" s="389"/>
      <c r="C239" s="390"/>
      <c r="D239" s="390"/>
      <c r="E239" s="391"/>
      <c r="F239" s="387"/>
      <c r="G239" s="370"/>
      <c r="H239" s="370"/>
      <c r="I239" s="370"/>
      <c r="J239" s="370"/>
      <c r="K239" s="370"/>
      <c r="L239" s="370"/>
      <c r="M239" s="370"/>
      <c r="N239" s="370"/>
    </row>
    <row r="240" customFormat="false" ht="12.75" hidden="false" customHeight="true" outlineLevel="0" collapsed="false">
      <c r="G240" s="370"/>
      <c r="H240" s="370"/>
      <c r="I240" s="370"/>
      <c r="J240" s="370"/>
      <c r="K240" s="370"/>
      <c r="L240" s="370"/>
    </row>
  </sheetData>
  <mergeCells count="11">
    <mergeCell ref="S6:T6"/>
    <mergeCell ref="K28:L28"/>
    <mergeCell ref="A41:B41"/>
    <mergeCell ref="AI42:AJ42"/>
    <mergeCell ref="A79:B79"/>
    <mergeCell ref="A121:B121"/>
    <mergeCell ref="B125:D125"/>
    <mergeCell ref="G125:K125"/>
    <mergeCell ref="B164:D164"/>
    <mergeCell ref="E190:F190"/>
    <mergeCell ref="D219:E219"/>
  </mergeCells>
  <printOptions headings="false" gridLines="false" gridLinesSet="true" horizontalCentered="true" verticalCentered="false"/>
  <pageMargins left="0.25" right="0.25" top="0.25" bottom="0.25" header="0.511811023622047" footer="0.25"/>
  <pageSetup paperSize="5" scale="100" fitToWidth="1" fitToHeight="1" pageOrder="downThenOver" orientation="landscape" blackAndWhite="false" draft="false" cellComments="none" horizontalDpi="300" verticalDpi="300" copies="1"/>
  <headerFooter differentFirst="false" differentOddEven="false">
    <oddHeader/>
    <oddFooter>&amp;L&amp;"Times New Roman,Italic"&amp;F/&amp;A  Prepared By: S. Mills (x3548)&amp;R&amp;"Times New Roman,Italic"&amp;D &amp;T</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6" topLeftCell="C7" activePane="bottomRight" state="frozen"/>
      <selection pane="topLeft" activeCell="A1" activeCellId="0" sqref="A1"/>
      <selection pane="topRight" activeCell="C1" activeCellId="0" sqref="C1"/>
      <selection pane="bottomLeft" activeCell="A7" activeCellId="0" sqref="A7"/>
      <selection pane="bottomRight" activeCell="D9" activeCellId="0" sqref="D9:D13"/>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23.7"/>
    <col collapsed="false" customWidth="true" hidden="false" outlineLevel="0" max="4" min="3" style="193" width="14.85"/>
    <col collapsed="false" customWidth="true" hidden="false" outlineLevel="0" max="5" min="5" style="193" width="17.28"/>
    <col collapsed="false" customWidth="true" hidden="false" outlineLevel="0" max="11" min="6"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false" hidden="false" outlineLevel="0" max="38" min="38" style="193" width="9.14"/>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392" t="n">
        <f aca="false">M38</f>
        <v>0</v>
      </c>
      <c r="D1" s="59"/>
      <c r="E1" s="59"/>
      <c r="F1" s="59"/>
      <c r="G1" s="59"/>
      <c r="H1" s="59"/>
      <c r="I1" s="59"/>
      <c r="J1" s="59"/>
      <c r="K1" s="59"/>
      <c r="L1" s="59"/>
      <c r="M1" s="59"/>
      <c r="N1" s="59"/>
      <c r="O1" s="59"/>
    </row>
    <row r="2" customFormat="false" ht="12.75" hidden="false" customHeight="true" outlineLevel="0" collapsed="false">
      <c r="A2" s="198" t="s">
        <v>127</v>
      </c>
      <c r="D2" s="59"/>
      <c r="E2" s="59"/>
      <c r="F2" s="59"/>
      <c r="G2" s="59"/>
      <c r="H2" s="59"/>
      <c r="I2" s="59"/>
      <c r="J2" s="59"/>
      <c r="K2" s="59"/>
      <c r="L2" s="59"/>
      <c r="M2" s="59"/>
      <c r="N2" s="59"/>
      <c r="O2" s="59"/>
    </row>
    <row r="3" customFormat="false" ht="12.75" hidden="false" customHeight="true" outlineLevel="0" collapsed="false">
      <c r="A3" s="201" t="s">
        <v>128</v>
      </c>
      <c r="B3" s="581" t="s">
        <v>382</v>
      </c>
      <c r="C3" s="581" t="s">
        <v>42</v>
      </c>
      <c r="D3" s="59"/>
      <c r="E3" s="59"/>
      <c r="F3" s="59"/>
      <c r="G3" s="59"/>
      <c r="H3" s="59"/>
      <c r="I3" s="59"/>
      <c r="J3" s="59"/>
      <c r="K3" s="59"/>
      <c r="L3" s="59"/>
      <c r="M3" s="59"/>
      <c r="N3" s="59"/>
      <c r="O3" s="59"/>
    </row>
    <row r="4" customFormat="false" ht="12.75" hidden="false" customHeight="true" outlineLevel="0" collapsed="false">
      <c r="A4" s="201" t="s">
        <v>1</v>
      </c>
      <c r="B4" s="207" t="n">
        <f aca="false">Front!B4</f>
        <v>36831</v>
      </c>
      <c r="D4" s="59"/>
      <c r="E4" s="59"/>
      <c r="F4" s="59"/>
      <c r="G4" s="59"/>
      <c r="H4" s="59"/>
      <c r="I4" s="59"/>
      <c r="J4" s="59"/>
      <c r="K4" s="59"/>
      <c r="L4" s="59"/>
      <c r="M4" s="59"/>
      <c r="N4" s="59"/>
      <c r="O4" s="59"/>
    </row>
    <row r="5" customFormat="false" ht="12.75" hidden="false" customHeight="true" outlineLevel="0" collapsed="false">
      <c r="A5" s="201" t="s">
        <v>2</v>
      </c>
      <c r="B5" s="208" t="n">
        <f aca="false">Front!B5</f>
        <v>36847</v>
      </c>
      <c r="C5" s="394"/>
      <c r="V5" s="153"/>
      <c r="W5" s="153"/>
      <c r="X5" s="153"/>
      <c r="Y5" s="153"/>
      <c r="Z5" s="153"/>
      <c r="AA5" s="153"/>
    </row>
    <row r="6" customFormat="false" ht="12.75" hidden="false" customHeight="true" outlineLevel="0" collapsed="false">
      <c r="A6" s="201" t="s">
        <v>130</v>
      </c>
      <c r="B6" s="210" t="n">
        <v>894200</v>
      </c>
      <c r="C6" s="394"/>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B7" s="407"/>
      <c r="D7" s="218" t="s">
        <v>142</v>
      </c>
      <c r="E7" s="218" t="s">
        <v>143</v>
      </c>
      <c r="K7" s="214"/>
      <c r="L7" s="215" t="s">
        <v>137</v>
      </c>
      <c r="M7" s="215" t="s">
        <v>137</v>
      </c>
      <c r="N7" s="215" t="s">
        <v>137</v>
      </c>
      <c r="O7" s="215" t="s">
        <v>137</v>
      </c>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D9" s="262" t="n">
        <v>0</v>
      </c>
      <c r="E9" s="262" t="n">
        <v>0</v>
      </c>
      <c r="F9" s="59" t="s">
        <v>148</v>
      </c>
      <c r="G9" s="193" t="s">
        <v>149</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D10" s="225" t="n">
        <v>0</v>
      </c>
      <c r="E10" s="225" t="n">
        <v>0</v>
      </c>
      <c r="F10" s="59" t="s">
        <v>148</v>
      </c>
      <c r="G10" s="193" t="s">
        <v>149</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361</v>
      </c>
      <c r="D11" s="225" t="n">
        <v>0</v>
      </c>
      <c r="E11" s="225" t="n">
        <v>0</v>
      </c>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225" t="n">
        <v>0</v>
      </c>
      <c r="E12" s="225"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225" t="n">
        <v>0</v>
      </c>
      <c r="E13" s="225" t="n">
        <v>0</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E14" s="231" t="n">
        <f aca="false">E159</f>
        <v>280546</v>
      </c>
      <c r="F14" s="193" t="s">
        <v>165</v>
      </c>
      <c r="K14" s="219" t="s">
        <v>166</v>
      </c>
      <c r="L14" s="232" t="n">
        <f aca="false">SUM(L9:L13)/1000000</f>
        <v>0</v>
      </c>
      <c r="M14" s="232" t="n">
        <f aca="false">SUM(M9:M13)/1000000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E15" s="231" t="n">
        <v>0</v>
      </c>
      <c r="F15" s="193" t="s">
        <v>165</v>
      </c>
      <c r="K15" s="219" t="s">
        <v>169</v>
      </c>
      <c r="L15" s="94" t="n">
        <v>0</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E16" s="231" t="n">
        <f aca="false">+E185</f>
        <v>0</v>
      </c>
      <c r="F16" s="193" t="s">
        <v>165</v>
      </c>
      <c r="I16" s="238"/>
      <c r="J16" s="238"/>
      <c r="K16" s="219" t="s">
        <v>174</v>
      </c>
      <c r="L16" s="241" t="n">
        <v>0</v>
      </c>
      <c r="M16" s="241" t="n">
        <v>0</v>
      </c>
      <c r="N16" s="241" t="n">
        <v>0</v>
      </c>
      <c r="O16" s="241" t="n">
        <v>0</v>
      </c>
      <c r="P16" s="241" t="n">
        <v>0</v>
      </c>
      <c r="Q16" s="241" t="n">
        <v>0</v>
      </c>
      <c r="R16" s="398"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E19" s="248" t="n">
        <f aca="false">SUM(E9:E16)</f>
        <v>280546</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153"/>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f>
        <v>280546</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75" hidden="false" customHeight="true" outlineLevel="0" collapsed="false">
      <c r="A22" s="193" t="s">
        <v>181</v>
      </c>
      <c r="E22" s="262" t="n">
        <v>0</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75" hidden="false" customHeight="true" outlineLevel="0" collapsed="false">
      <c r="A23" s="193" t="s">
        <v>182</v>
      </c>
      <c r="E23" s="225" t="n">
        <f aca="false">B63</f>
        <v>0</v>
      </c>
      <c r="F23" s="59" t="s">
        <v>148</v>
      </c>
      <c r="G23" s="153"/>
      <c r="I23" s="153"/>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62"/>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-M214</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-2577247</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0</v>
      </c>
      <c r="F30" s="193" t="s">
        <v>193</v>
      </c>
      <c r="I30" s="153"/>
      <c r="J30" s="153"/>
      <c r="K30" s="219" t="s">
        <v>194</v>
      </c>
      <c r="L30" s="153"/>
      <c r="M30" s="226" t="n">
        <v>280546</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v>
      </c>
      <c r="N31" s="60" t="n">
        <f aca="false">M31</f>
        <v>0</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226" t="n">
        <v>-2577247</v>
      </c>
      <c r="N32" s="60"/>
      <c r="O32" s="153" t="s">
        <v>191</v>
      </c>
      <c r="P32" s="153"/>
      <c r="Q32" s="153"/>
      <c r="R32" s="220"/>
      <c r="AI32" s="59"/>
    </row>
    <row r="33" customFormat="false" ht="12.75" hidden="false" customHeight="true" outlineLevel="0" collapsed="false">
      <c r="A33" s="193" t="s">
        <v>357</v>
      </c>
      <c r="E33" s="231" t="n">
        <f aca="false">B68</f>
        <v>0</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0</v>
      </c>
      <c r="N34" s="60" t="n">
        <f aca="false">B63</f>
        <v>0</v>
      </c>
      <c r="O34" s="153" t="s">
        <v>202</v>
      </c>
      <c r="P34" s="153"/>
      <c r="Q34" s="153"/>
      <c r="R34" s="220"/>
    </row>
    <row r="35" customFormat="false" ht="12.75" hidden="false" customHeight="true" outlineLevel="0" collapsed="false">
      <c r="A35" s="193" t="s">
        <v>203</v>
      </c>
      <c r="E35" s="231" t="n">
        <f aca="false">F238</f>
        <v>0</v>
      </c>
      <c r="F35" s="193" t="s">
        <v>193</v>
      </c>
      <c r="K35" s="219"/>
      <c r="L35" s="153"/>
      <c r="M35" s="60"/>
      <c r="N35" s="60"/>
      <c r="O35" s="153"/>
      <c r="P35" s="153"/>
      <c r="Q35" s="153"/>
      <c r="R35" s="220"/>
    </row>
    <row r="36" customFormat="false" ht="12.75" hidden="false" customHeight="true" outlineLevel="0" collapsed="false">
      <c r="A36" s="223" t="s">
        <v>204</v>
      </c>
      <c r="E36" s="248" t="n">
        <f aca="false">SUM(E29:E35)</f>
        <v>-2577247</v>
      </c>
      <c r="K36" s="219" t="s">
        <v>205</v>
      </c>
      <c r="L36" s="62"/>
      <c r="M36" s="60" t="n">
        <f aca="false">SUM(M30:M34)</f>
        <v>-2296701</v>
      </c>
      <c r="N36" s="60" t="n">
        <f aca="false">SUM(N30:N34)</f>
        <v>0</v>
      </c>
      <c r="O36" s="153"/>
      <c r="P36" s="153"/>
      <c r="Q36" s="153"/>
      <c r="R36" s="220"/>
    </row>
    <row r="37" customFormat="false" ht="12.75" hidden="false" customHeight="true" outlineLevel="0" collapsed="false">
      <c r="K37" s="265"/>
      <c r="L37" s="62"/>
      <c r="M37" s="62"/>
      <c r="N37" s="62"/>
      <c r="O37" s="153"/>
      <c r="P37" s="153"/>
      <c r="Q37" s="153"/>
      <c r="R37" s="220"/>
    </row>
    <row r="38" customFormat="false" ht="12.75" hidden="false" customHeight="true" outlineLevel="0" collapsed="false">
      <c r="A38" s="221" t="s">
        <v>206</v>
      </c>
      <c r="C38" s="226"/>
      <c r="E38" s="248" t="n">
        <f aca="false">+E36+E26+E19</f>
        <v>-2296701</v>
      </c>
      <c r="K38" s="219"/>
      <c r="L38" s="266" t="s">
        <v>207</v>
      </c>
      <c r="M38" s="124" t="n">
        <f aca="false">M36-E38</f>
        <v>0</v>
      </c>
      <c r="N38" s="124" t="n">
        <f aca="false">+N36-E26</f>
        <v>0</v>
      </c>
      <c r="O38" s="153"/>
      <c r="P38" s="153"/>
      <c r="Q38" s="153"/>
      <c r="R38" s="220"/>
      <c r="AN38" s="59"/>
      <c r="AO38" s="59"/>
      <c r="AP38" s="59"/>
      <c r="AQ38" s="59"/>
      <c r="AR38" s="59"/>
      <c r="AS38" s="59"/>
    </row>
    <row r="39" customFormat="false" ht="12.75" hidden="false" customHeight="true" outlineLevel="0" collapsed="false">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K40" s="153"/>
      <c r="L40" s="153"/>
      <c r="M40" s="153"/>
      <c r="N40" s="153"/>
      <c r="O40" s="153"/>
      <c r="P40" s="153"/>
      <c r="AJ40" s="59"/>
      <c r="AK40" s="59"/>
      <c r="AN40" s="59"/>
      <c r="AO40" s="59"/>
      <c r="AP40" s="59"/>
      <c r="AQ40" s="59"/>
      <c r="AR40" s="59"/>
      <c r="AS40" s="59"/>
    </row>
    <row r="41" customFormat="false" ht="12.75" hidden="false" customHeight="true" outlineLevel="0" collapsed="false">
      <c r="A41" s="271" t="s">
        <v>208</v>
      </c>
      <c r="B41" s="271"/>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SUM(C47:C71)-C61-C68-C69</f>
        <v>0</v>
      </c>
      <c r="D43" s="275" t="n">
        <f aca="false">SUM(D47:D71)-D61-D68-D69</f>
        <v>0</v>
      </c>
      <c r="E43" s="275" t="n">
        <f aca="false">SUM(E47:E71)-E61-E68-E69</f>
        <v>0</v>
      </c>
      <c r="F43" s="275" t="n">
        <f aca="false">SUM(F47:F71)-F61-F68-F69</f>
        <v>0</v>
      </c>
      <c r="G43" s="275" t="n">
        <f aca="false">SUM(G47:G71)-G61-G68-G69</f>
        <v>0</v>
      </c>
      <c r="H43" s="275" t="n">
        <f aca="false">SUM(H47:H71)-I61-H68-H69</f>
        <v>0</v>
      </c>
      <c r="I43" s="275" t="n">
        <f aca="false">SUM(I47:I71)-J61-I68-I69</f>
        <v>0</v>
      </c>
      <c r="J43" s="275" t="n">
        <f aca="false">SUM(J47:J71)-K61-J68-J69</f>
        <v>0</v>
      </c>
      <c r="K43" s="275" t="n">
        <f aca="false">SUM(K47:K71)-K61-K68-K69</f>
        <v>0</v>
      </c>
      <c r="L43" s="275" t="n">
        <f aca="false">SUM(L47:L71)-L61-L68-L69</f>
        <v>0</v>
      </c>
      <c r="M43" s="275" t="n">
        <f aca="false">SUM(M47:M71)-M61-M68-M69</f>
        <v>0</v>
      </c>
      <c r="N43" s="275" t="n">
        <f aca="false">SUM(N47:N71)-N61-N68-N69</f>
        <v>0</v>
      </c>
      <c r="O43" s="275" t="n">
        <f aca="false">SUM(O47:O71)-O61-O68-O69</f>
        <v>0</v>
      </c>
      <c r="P43" s="275" t="n">
        <f aca="false">SUM(P47:P71)-P61-P68-P69</f>
        <v>0</v>
      </c>
      <c r="Q43" s="275" t="n">
        <f aca="false">SUM(Q47:Q71)-Q61-Q68-Q69</f>
        <v>0</v>
      </c>
      <c r="R43" s="275" t="n">
        <f aca="false">SUM(R47:R71)-R61-R68-R69</f>
        <v>0</v>
      </c>
      <c r="S43" s="275" t="n">
        <f aca="false">SUM(S47:S71)-T61-S68-S69</f>
        <v>0</v>
      </c>
      <c r="T43" s="275" t="e">
        <f aca="false">SUM(T47:T71)-#REF!-T68-T69</f>
        <v>#REF!</v>
      </c>
      <c r="U43" s="275" t="n">
        <f aca="false">SUM(U47:U71)-U61-U68-U69</f>
        <v>0</v>
      </c>
      <c r="V43" s="275" t="n">
        <f aca="false">SUM(V47:V71)-V61-V68-V69</f>
        <v>0</v>
      </c>
      <c r="W43" s="275" t="n">
        <f aca="false">SUM(W47:W71)-W61-W68-W69</f>
        <v>0</v>
      </c>
      <c r="X43" s="275" t="n">
        <f aca="false">SUM(X47:X71)-Y61-X68-X69</f>
        <v>0</v>
      </c>
      <c r="Y43" s="275" t="n">
        <f aca="false">SUM(Y47:Y71)-Z61-Y68-Y69</f>
        <v>0</v>
      </c>
      <c r="Z43" s="275" t="n">
        <f aca="false">SUM(Z47:Z71)-AA61-Z68-Z69</f>
        <v>0</v>
      </c>
      <c r="AA43" s="275" t="n">
        <f aca="false">SUM(AA47:AA71)-AA61-AA68-AA69</f>
        <v>0</v>
      </c>
      <c r="AB43" s="275" t="n">
        <f aca="false">SUM(AB47:AB71)-AB61-AB68-AB69</f>
        <v>0</v>
      </c>
      <c r="AC43" s="275" t="n">
        <f aca="false">SUM(AC47:AC71)-AC61-AC68-AC69</f>
        <v>0</v>
      </c>
      <c r="AD43" s="275" t="n">
        <f aca="false">SUM(AD47:AD71)-AD61-AD68-AD69</f>
        <v>0</v>
      </c>
      <c r="AE43" s="275" t="n">
        <f aca="false">SUM(AE47:AE71)-AE61-AE68-AE69</f>
        <v>0</v>
      </c>
      <c r="AF43" s="275" t="n">
        <f aca="false">SUM(AF47:AF71)-AF61-AF68-AF69</f>
        <v>0</v>
      </c>
      <c r="AG43" s="275" t="n">
        <f aca="false">SUM(AG47:AG71)-AG61-AG68-AG69</f>
        <v>0</v>
      </c>
      <c r="AH43" s="59"/>
      <c r="AI43" s="276" t="s">
        <v>211</v>
      </c>
      <c r="AJ43" s="277" t="s">
        <v>212</v>
      </c>
      <c r="AK43" s="59"/>
      <c r="AL43" s="77"/>
      <c r="AN43" s="59"/>
      <c r="AO43" s="59"/>
      <c r="AP43" s="59"/>
      <c r="AQ43" s="59"/>
      <c r="AR43" s="59"/>
      <c r="AS43" s="59"/>
    </row>
    <row r="44" customFormat="false" ht="12.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310"/>
      <c r="D46" s="310"/>
      <c r="E46" s="310"/>
      <c r="F46" s="310"/>
      <c r="G46" s="310"/>
      <c r="H46" s="310"/>
      <c r="I46" s="310"/>
      <c r="J46" s="310"/>
      <c r="K46" s="310"/>
      <c r="L46" s="310"/>
      <c r="M46" s="310"/>
      <c r="N46" s="310"/>
      <c r="O46" s="310"/>
      <c r="P46" s="310"/>
      <c r="Q46" s="310"/>
      <c r="R46" s="310"/>
      <c r="S46" s="310"/>
      <c r="T46" s="310"/>
      <c r="U46" s="310"/>
      <c r="V46" s="310"/>
      <c r="W46" s="310"/>
      <c r="X46" s="594" t="s">
        <v>383</v>
      </c>
      <c r="Y46" s="595"/>
      <c r="Z46" s="595"/>
      <c r="AA46" s="595"/>
      <c r="AB46" s="310"/>
      <c r="AC46" s="310"/>
      <c r="AD46" s="310"/>
      <c r="AE46" s="310"/>
      <c r="AF46" s="310"/>
      <c r="AG46" s="311"/>
      <c r="AH46" s="59"/>
      <c r="AI46" s="287" t="n">
        <v>3</v>
      </c>
      <c r="AJ46" s="288" t="s">
        <v>217</v>
      </c>
      <c r="AK46" s="59"/>
      <c r="AL46" s="153"/>
      <c r="AN46" s="59"/>
      <c r="AO46" s="59"/>
      <c r="AP46" s="59"/>
      <c r="AQ46" s="59"/>
      <c r="AR46" s="59"/>
      <c r="AS46" s="59"/>
    </row>
    <row r="47" customFormat="false" ht="12.75" hidden="false" customHeight="true" outlineLevel="0" collapsed="false">
      <c r="A47" s="231" t="s">
        <v>218</v>
      </c>
      <c r="B47" s="294" t="n">
        <f aca="false">SUM(C47:AG47)</f>
        <v>0</v>
      </c>
      <c r="C47" s="226"/>
      <c r="D47" s="226"/>
      <c r="E47" s="226"/>
      <c r="F47" s="226"/>
      <c r="G47" s="226"/>
      <c r="H47" s="226"/>
      <c r="I47" s="226"/>
      <c r="J47" s="226"/>
      <c r="K47" s="226"/>
      <c r="L47" s="226"/>
      <c r="M47" s="226"/>
      <c r="N47" s="226"/>
      <c r="O47" s="226"/>
      <c r="P47" s="226"/>
      <c r="Q47" s="226"/>
      <c r="R47" s="226"/>
      <c r="T47" s="226"/>
      <c r="U47" s="226"/>
      <c r="V47" s="226"/>
      <c r="W47" s="226"/>
      <c r="X47" s="124"/>
      <c r="Y47" s="226"/>
      <c r="Z47" s="226"/>
      <c r="AA47" s="226"/>
      <c r="AB47" s="226"/>
      <c r="AC47" s="226"/>
      <c r="AD47" s="226"/>
      <c r="AE47" s="226"/>
      <c r="AF47" s="226"/>
      <c r="AG47" s="226"/>
      <c r="AH47" s="226"/>
      <c r="AI47" s="226" t="n">
        <v>4</v>
      </c>
      <c r="AJ47" s="226" t="s">
        <v>219</v>
      </c>
      <c r="AK47" s="226"/>
      <c r="AL47" s="226"/>
      <c r="AM47" s="226"/>
      <c r="AN47" s="226"/>
      <c r="AO47" s="226"/>
      <c r="AP47" s="226"/>
      <c r="AQ47" s="226"/>
      <c r="AR47" s="226"/>
      <c r="AS47" s="226"/>
      <c r="AT47" s="226"/>
      <c r="AU47" s="226"/>
      <c r="AV47" s="226"/>
      <c r="AW47" s="226"/>
      <c r="AX47" s="226"/>
      <c r="AY47" s="226"/>
      <c r="AZ47" s="226"/>
      <c r="BA47" s="226"/>
      <c r="BB47" s="226"/>
      <c r="BC47" s="226"/>
      <c r="BD47" s="226"/>
      <c r="BE47" s="226"/>
      <c r="BF47" s="226"/>
      <c r="BG47" s="226"/>
      <c r="BH47" s="226"/>
      <c r="BI47" s="226"/>
      <c r="BJ47" s="226"/>
      <c r="BK47" s="226"/>
      <c r="BL47" s="226"/>
      <c r="BM47" s="226"/>
      <c r="BN47" s="226"/>
      <c r="BO47" s="226"/>
      <c r="BP47" s="226"/>
      <c r="BQ47" s="226"/>
    </row>
    <row r="48" customFormat="false" ht="12.75" hidden="false" customHeight="true" outlineLevel="0" collapsed="false">
      <c r="A48" s="295" t="s">
        <v>220</v>
      </c>
      <c r="B48" s="294" t="n">
        <f aca="false">SUM(C48:AG48)</f>
        <v>0</v>
      </c>
      <c r="C48" s="226"/>
      <c r="D48" s="226"/>
      <c r="E48" s="226"/>
      <c r="F48" s="226"/>
      <c r="G48" s="226"/>
      <c r="H48" s="226"/>
      <c r="I48" s="226"/>
      <c r="J48" s="226"/>
      <c r="K48" s="226"/>
      <c r="L48" s="226"/>
      <c r="M48" s="226"/>
      <c r="N48" s="226"/>
      <c r="O48" s="226"/>
      <c r="P48" s="226"/>
      <c r="Q48" s="226"/>
      <c r="R48" s="226"/>
      <c r="T48" s="226"/>
      <c r="U48" s="226"/>
      <c r="V48" s="226"/>
      <c r="W48" s="226"/>
      <c r="X48" s="226"/>
      <c r="Y48" s="226"/>
      <c r="Z48" s="226"/>
      <c r="AA48" s="226"/>
      <c r="AB48" s="226"/>
      <c r="AC48" s="226"/>
      <c r="AD48" s="226"/>
      <c r="AE48" s="226"/>
      <c r="AF48" s="226"/>
      <c r="AG48" s="226"/>
      <c r="AH48" s="226"/>
      <c r="AI48" s="226" t="n">
        <v>5</v>
      </c>
      <c r="AJ48" s="226" t="s">
        <v>221</v>
      </c>
      <c r="AK48" s="226"/>
      <c r="AL48" s="226"/>
      <c r="AM48" s="226"/>
      <c r="AN48" s="226"/>
      <c r="AO48" s="226"/>
      <c r="AP48" s="226"/>
      <c r="AQ48" s="226"/>
      <c r="AR48" s="226"/>
      <c r="AS48" s="226"/>
      <c r="AT48" s="226"/>
      <c r="AU48" s="226"/>
      <c r="AV48" s="226"/>
      <c r="AW48" s="226"/>
      <c r="AX48" s="226"/>
      <c r="AY48" s="226"/>
      <c r="AZ48" s="226"/>
      <c r="BA48" s="226"/>
      <c r="BB48" s="226"/>
      <c r="BC48" s="226"/>
      <c r="BD48" s="226"/>
      <c r="BE48" s="226"/>
      <c r="BF48" s="226"/>
      <c r="BG48" s="226"/>
      <c r="BH48" s="226"/>
      <c r="BI48" s="226"/>
      <c r="BJ48" s="226"/>
      <c r="BK48" s="226"/>
      <c r="BL48" s="226"/>
      <c r="BM48" s="226"/>
      <c r="BN48" s="226"/>
      <c r="BO48" s="226"/>
      <c r="BP48" s="226"/>
      <c r="BQ48" s="226"/>
    </row>
    <row r="49" customFormat="false" ht="12.75" hidden="true" customHeight="true" outlineLevel="0" collapsed="false">
      <c r="A49" s="295" t="s">
        <v>222</v>
      </c>
      <c r="B49" s="294" t="n">
        <f aca="false">SUM(C49:AG49)</f>
        <v>0</v>
      </c>
      <c r="C49" s="226"/>
      <c r="D49" s="226"/>
      <c r="E49" s="226"/>
      <c r="F49" s="226"/>
      <c r="G49" s="226"/>
      <c r="H49" s="226"/>
      <c r="I49" s="226"/>
      <c r="J49" s="226"/>
      <c r="K49" s="226"/>
      <c r="L49" s="226"/>
      <c r="M49" s="226"/>
      <c r="N49" s="226"/>
      <c r="O49" s="226"/>
      <c r="P49" s="226"/>
      <c r="Q49" s="226"/>
      <c r="R49" s="226"/>
      <c r="T49" s="226"/>
      <c r="U49" s="226"/>
      <c r="V49" s="226"/>
      <c r="W49" s="226"/>
      <c r="X49" s="226"/>
      <c r="Y49" s="226"/>
      <c r="Z49" s="226"/>
      <c r="AA49" s="226"/>
      <c r="AB49" s="226"/>
      <c r="AC49" s="226"/>
      <c r="AD49" s="226"/>
      <c r="AE49" s="226"/>
      <c r="AF49" s="226"/>
      <c r="AG49" s="226"/>
      <c r="AH49" s="226"/>
      <c r="AI49" s="226" t="n">
        <v>6</v>
      </c>
      <c r="AJ49" s="226" t="s">
        <v>223</v>
      </c>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c r="BM49" s="226"/>
      <c r="BN49" s="226"/>
      <c r="BO49" s="226"/>
      <c r="BP49" s="226"/>
      <c r="BQ49" s="226"/>
    </row>
    <row r="50" customFormat="false" ht="12.75" hidden="true" customHeight="true" outlineLevel="0" collapsed="false">
      <c r="A50" s="295" t="s">
        <v>224</v>
      </c>
      <c r="B50" s="294" t="n">
        <f aca="false">SUM(C50:AG50)</f>
        <v>0</v>
      </c>
      <c r="C50" s="226"/>
      <c r="D50" s="226"/>
      <c r="E50" s="226"/>
      <c r="F50" s="226"/>
      <c r="G50" s="226"/>
      <c r="H50" s="226"/>
      <c r="I50" s="226"/>
      <c r="J50" s="226"/>
      <c r="K50" s="226"/>
      <c r="L50" s="226"/>
      <c r="M50" s="226"/>
      <c r="N50" s="226"/>
      <c r="O50" s="226"/>
      <c r="P50" s="226"/>
      <c r="Q50" s="226"/>
      <c r="R50" s="226"/>
      <c r="T50" s="226"/>
      <c r="U50" s="226"/>
      <c r="V50" s="226"/>
      <c r="W50" s="226"/>
      <c r="X50" s="226"/>
      <c r="Y50" s="226"/>
      <c r="Z50" s="226"/>
      <c r="AA50" s="226"/>
      <c r="AB50" s="226"/>
      <c r="AC50" s="226"/>
      <c r="AD50" s="226"/>
      <c r="AE50" s="226"/>
      <c r="AF50" s="226"/>
      <c r="AG50" s="226"/>
      <c r="AH50" s="226"/>
      <c r="AI50" s="226" t="n">
        <v>7</v>
      </c>
      <c r="AJ50" s="226" t="s">
        <v>214</v>
      </c>
      <c r="AK50" s="226"/>
      <c r="AL50" s="226"/>
      <c r="AM50" s="226"/>
      <c r="AN50" s="226"/>
      <c r="AO50" s="226"/>
      <c r="AP50" s="226"/>
      <c r="AQ50" s="226"/>
      <c r="AR50" s="226"/>
      <c r="AS50" s="226"/>
      <c r="AT50" s="226"/>
      <c r="AU50" s="226"/>
      <c r="AV50" s="226"/>
      <c r="AW50" s="226"/>
      <c r="AX50" s="226"/>
      <c r="AY50" s="226"/>
      <c r="AZ50" s="226"/>
      <c r="BA50" s="226"/>
      <c r="BB50" s="226"/>
      <c r="BC50" s="226"/>
      <c r="BD50" s="226"/>
      <c r="BE50" s="226"/>
      <c r="BF50" s="226"/>
      <c r="BG50" s="226"/>
      <c r="BH50" s="226"/>
      <c r="BI50" s="226"/>
      <c r="BJ50" s="226"/>
      <c r="BK50" s="226"/>
      <c r="BL50" s="226"/>
      <c r="BM50" s="226"/>
      <c r="BN50" s="226"/>
      <c r="BO50" s="226"/>
      <c r="BP50" s="226"/>
      <c r="BQ50" s="226"/>
    </row>
    <row r="51" customFormat="false" ht="12.75" hidden="false" customHeight="true" outlineLevel="0" collapsed="false">
      <c r="A51" s="295" t="s">
        <v>225</v>
      </c>
      <c r="B51" s="294" t="n">
        <f aca="false">SUM(C51:AG51)</f>
        <v>0</v>
      </c>
      <c r="C51" s="226"/>
      <c r="D51" s="226"/>
      <c r="E51" s="226"/>
      <c r="F51" s="226"/>
      <c r="G51" s="226"/>
      <c r="H51" s="226"/>
      <c r="I51" s="226"/>
      <c r="J51" s="226"/>
      <c r="K51" s="226"/>
      <c r="L51" s="226"/>
      <c r="M51" s="226"/>
      <c r="N51" s="226"/>
      <c r="O51" s="226"/>
      <c r="P51" s="226"/>
      <c r="Q51" s="226"/>
      <c r="R51" s="226"/>
      <c r="T51" s="226"/>
      <c r="U51" s="226"/>
      <c r="V51" s="226"/>
      <c r="W51" s="226"/>
      <c r="X51" s="226"/>
      <c r="Y51" s="226"/>
      <c r="Z51" s="226"/>
      <c r="AA51" s="226"/>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c r="BM51" s="226"/>
      <c r="BN51" s="226"/>
      <c r="BO51" s="226"/>
      <c r="BP51" s="226"/>
      <c r="BQ51" s="226"/>
    </row>
    <row r="52" customFormat="false" ht="12.75" hidden="true" customHeight="true" outlineLevel="0" collapsed="false">
      <c r="A52" s="295" t="s">
        <v>226</v>
      </c>
      <c r="B52" s="294" t="n">
        <f aca="false">SUM(C52:AG52)</f>
        <v>0</v>
      </c>
      <c r="C52" s="226"/>
      <c r="D52" s="226"/>
      <c r="E52" s="226"/>
      <c r="F52" s="226"/>
      <c r="G52" s="226"/>
      <c r="H52" s="226"/>
      <c r="I52" s="226"/>
      <c r="J52" s="226"/>
      <c r="K52" s="226"/>
      <c r="L52" s="226"/>
      <c r="M52" s="226"/>
      <c r="N52" s="226"/>
      <c r="O52" s="226"/>
      <c r="P52" s="226"/>
      <c r="Q52" s="226"/>
      <c r="R52" s="226"/>
      <c r="T52" s="226"/>
      <c r="U52" s="226"/>
      <c r="V52" s="226"/>
      <c r="W52" s="226"/>
      <c r="X52" s="226"/>
      <c r="Y52" s="226"/>
      <c r="Z52" s="226"/>
      <c r="AA52" s="226"/>
      <c r="AB52" s="226"/>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c r="BM52" s="226"/>
      <c r="BN52" s="226"/>
      <c r="BO52" s="226"/>
      <c r="BP52" s="226"/>
      <c r="BQ52" s="226"/>
    </row>
    <row r="53" customFormat="false" ht="12.75" hidden="false" customHeight="true" outlineLevel="0" collapsed="false">
      <c r="A53" s="231" t="s">
        <v>227</v>
      </c>
      <c r="B53" s="294" t="n">
        <f aca="false">SUM(C53:AG53)</f>
        <v>0</v>
      </c>
      <c r="C53" s="226"/>
      <c r="D53" s="226"/>
      <c r="E53" s="226"/>
      <c r="F53" s="226"/>
      <c r="G53" s="226"/>
      <c r="H53" s="226"/>
      <c r="I53" s="226"/>
      <c r="J53" s="226"/>
      <c r="K53" s="226"/>
      <c r="L53" s="226"/>
      <c r="M53" s="226"/>
      <c r="N53" s="226"/>
      <c r="O53" s="226"/>
      <c r="P53" s="226"/>
      <c r="Q53" s="226"/>
      <c r="R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c r="BM53" s="226"/>
      <c r="BN53" s="226"/>
      <c r="BO53" s="226"/>
      <c r="BP53" s="226"/>
      <c r="BQ53" s="226"/>
    </row>
    <row r="54" customFormat="false" ht="12.75" hidden="true" customHeight="true" outlineLevel="0" collapsed="false">
      <c r="A54" s="231" t="s">
        <v>359</v>
      </c>
      <c r="B54" s="294" t="n">
        <f aca="false">SUM(C54:AG54)</f>
        <v>0</v>
      </c>
      <c r="C54" s="226"/>
      <c r="D54" s="226"/>
      <c r="E54" s="226"/>
      <c r="F54" s="226"/>
      <c r="G54" s="226"/>
      <c r="H54" s="226"/>
      <c r="I54" s="226"/>
      <c r="J54" s="226"/>
      <c r="K54" s="226"/>
      <c r="L54" s="226"/>
      <c r="M54" s="226"/>
      <c r="N54" s="226"/>
      <c r="O54" s="226"/>
      <c r="P54" s="226"/>
      <c r="Q54" s="226"/>
      <c r="R54" s="226"/>
      <c r="T54" s="226"/>
      <c r="U54" s="226"/>
      <c r="V54" s="226"/>
      <c r="W54" s="226"/>
      <c r="X54" s="226"/>
      <c r="Y54" s="226"/>
      <c r="Z54" s="226"/>
      <c r="AA54" s="226"/>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row>
    <row r="55" customFormat="false" ht="12.75" hidden="false" customHeight="true" outlineLevel="0" collapsed="false">
      <c r="A55" s="231" t="s">
        <v>229</v>
      </c>
      <c r="B55" s="294" t="n">
        <f aca="false">SUM(C55:AG55)</f>
        <v>0</v>
      </c>
      <c r="C55" s="226"/>
      <c r="D55" s="226"/>
      <c r="E55" s="226"/>
      <c r="F55" s="226"/>
      <c r="G55" s="226"/>
      <c r="H55" s="226"/>
      <c r="I55" s="226"/>
      <c r="J55" s="226"/>
      <c r="K55" s="226"/>
      <c r="L55" s="226"/>
      <c r="M55" s="226"/>
      <c r="N55" s="226"/>
      <c r="O55" s="226"/>
      <c r="P55" s="226"/>
      <c r="Q55" s="226"/>
      <c r="R55" s="226"/>
      <c r="T55" s="226"/>
      <c r="U55" s="226"/>
      <c r="V55" s="226"/>
      <c r="W55" s="226"/>
      <c r="X55" s="226"/>
      <c r="Y55" s="226"/>
      <c r="Z55" s="226"/>
      <c r="AA55" s="226"/>
      <c r="AB55" s="226"/>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c r="BM55" s="226"/>
      <c r="BN55" s="226"/>
      <c r="BO55" s="226"/>
      <c r="BP55" s="226"/>
      <c r="BQ55" s="226"/>
    </row>
    <row r="56" customFormat="false" ht="12.75" hidden="false" customHeight="true" outlineLevel="0" collapsed="false">
      <c r="A56" s="231" t="s">
        <v>230</v>
      </c>
      <c r="B56" s="294" t="n">
        <f aca="false">SUM(C56:AG56)</f>
        <v>0</v>
      </c>
      <c r="C56" s="226"/>
      <c r="D56" s="226"/>
      <c r="E56" s="226"/>
      <c r="F56" s="226"/>
      <c r="G56" s="226"/>
      <c r="H56" s="226"/>
      <c r="I56" s="226"/>
      <c r="J56" s="226"/>
      <c r="K56" s="226"/>
      <c r="L56" s="226"/>
      <c r="M56" s="226"/>
      <c r="N56" s="226"/>
      <c r="O56" s="226"/>
      <c r="P56" s="226"/>
      <c r="Q56" s="226"/>
      <c r="R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row>
    <row r="57" customFormat="false" ht="12.75" hidden="false" customHeight="true" outlineLevel="0" collapsed="false">
      <c r="A57" s="295" t="s">
        <v>231</v>
      </c>
      <c r="B57" s="294" t="n">
        <f aca="false">SUM(C57:AG57)</f>
        <v>0</v>
      </c>
      <c r="C57" s="226"/>
      <c r="D57" s="226"/>
      <c r="E57" s="226"/>
      <c r="F57" s="226"/>
      <c r="G57" s="226"/>
      <c r="H57" s="226"/>
      <c r="I57" s="226"/>
      <c r="J57" s="226"/>
      <c r="K57" s="226"/>
      <c r="L57" s="226"/>
      <c r="M57" s="226"/>
      <c r="N57" s="226"/>
      <c r="O57" s="226"/>
      <c r="P57" s="226"/>
      <c r="Q57" s="226"/>
      <c r="R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c r="BE57" s="226"/>
      <c r="BF57" s="226"/>
      <c r="BG57" s="226"/>
      <c r="BH57" s="226"/>
      <c r="BI57" s="226"/>
      <c r="BJ57" s="226"/>
      <c r="BK57" s="226"/>
      <c r="BL57" s="226"/>
      <c r="BM57" s="226"/>
      <c r="BN57" s="226"/>
      <c r="BO57" s="226"/>
      <c r="BP57" s="226"/>
      <c r="BQ57" s="226"/>
    </row>
    <row r="58" customFormat="false" ht="12.75" hidden="false" customHeight="true" outlineLevel="0" collapsed="false">
      <c r="A58" s="295" t="s">
        <v>232</v>
      </c>
      <c r="B58" s="294" t="n">
        <f aca="false">SUM(C58:AG58)</f>
        <v>0</v>
      </c>
      <c r="C58" s="226"/>
      <c r="D58" s="226"/>
      <c r="E58" s="226"/>
      <c r="F58" s="226"/>
      <c r="G58" s="226"/>
      <c r="H58" s="226"/>
      <c r="I58" s="226"/>
      <c r="J58" s="226"/>
      <c r="K58" s="226"/>
      <c r="L58" s="226"/>
      <c r="M58" s="226"/>
      <c r="N58" s="226"/>
      <c r="O58" s="226"/>
      <c r="P58" s="226"/>
      <c r="Q58" s="226"/>
      <c r="R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row>
    <row r="59" customFormat="false" ht="12.75" hidden="false" customHeight="true" outlineLevel="0" collapsed="false">
      <c r="A59" s="295" t="s">
        <v>233</v>
      </c>
      <c r="B59" s="294" t="n">
        <f aca="false">SUM(C59:AG59)</f>
        <v>0</v>
      </c>
      <c r="C59" s="226"/>
      <c r="D59" s="226"/>
      <c r="E59" s="226"/>
      <c r="F59" s="226"/>
      <c r="G59" s="226"/>
      <c r="H59" s="226"/>
      <c r="I59" s="226"/>
      <c r="J59" s="226"/>
      <c r="K59" s="226"/>
      <c r="L59" s="226"/>
      <c r="M59" s="226"/>
      <c r="N59" s="226"/>
      <c r="O59" s="226"/>
      <c r="P59" s="226"/>
      <c r="Q59" s="226"/>
      <c r="R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row>
    <row r="60" customFormat="false" ht="12.75" hidden="false" customHeight="true" outlineLevel="0" collapsed="false">
      <c r="A60" s="295" t="s">
        <v>234</v>
      </c>
      <c r="B60" s="294" t="n">
        <f aca="false">SUM(C60:AG60)</f>
        <v>0</v>
      </c>
      <c r="C60" s="226"/>
      <c r="D60" s="226"/>
      <c r="E60" s="226"/>
      <c r="F60" s="226"/>
      <c r="G60" s="226"/>
      <c r="H60" s="226"/>
      <c r="I60" s="226"/>
      <c r="J60" s="226"/>
      <c r="K60" s="226"/>
      <c r="L60" s="226"/>
      <c r="M60" s="226"/>
      <c r="N60" s="226"/>
      <c r="O60" s="226"/>
      <c r="P60" s="226"/>
      <c r="Q60" s="226"/>
      <c r="R60" s="226"/>
      <c r="T60" s="226"/>
      <c r="U60" s="226"/>
      <c r="V60" s="226"/>
      <c r="W60" s="226"/>
      <c r="X60" s="226"/>
      <c r="Y60" s="226"/>
      <c r="Z60" s="226"/>
      <c r="AA60" s="226"/>
      <c r="AB60" s="226"/>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row>
    <row r="61" customFormat="false" ht="12.75" hidden="false" customHeight="true" outlineLevel="0" collapsed="false">
      <c r="A61" s="295" t="s">
        <v>235</v>
      </c>
      <c r="B61" s="294" t="n">
        <f aca="false">SUM(C61:AG61)</f>
        <v>0</v>
      </c>
      <c r="C61" s="226"/>
      <c r="D61" s="226"/>
      <c r="E61" s="226"/>
      <c r="F61" s="226"/>
      <c r="G61" s="226"/>
      <c r="H61" s="226"/>
      <c r="I61" s="226"/>
      <c r="J61" s="226"/>
      <c r="K61" s="226"/>
      <c r="L61" s="226"/>
      <c r="M61" s="226"/>
      <c r="N61" s="226"/>
      <c r="O61" s="226"/>
      <c r="P61" s="226"/>
      <c r="Q61" s="226"/>
      <c r="R61" s="226"/>
      <c r="T61" s="226"/>
      <c r="U61" s="226"/>
      <c r="V61" s="226"/>
      <c r="W61" s="226"/>
      <c r="X61" s="226"/>
      <c r="Y61" s="226"/>
      <c r="Z61" s="226"/>
      <c r="AA61" s="226"/>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row>
    <row r="62" customFormat="false" ht="12.75" hidden="false" customHeight="true" outlineLevel="0" collapsed="false">
      <c r="A62" s="295" t="s">
        <v>236</v>
      </c>
      <c r="B62" s="294" t="n">
        <f aca="false">SUM(C62:AG62)</f>
        <v>0</v>
      </c>
      <c r="C62" s="226"/>
      <c r="D62" s="226"/>
      <c r="E62" s="226"/>
      <c r="F62" s="226"/>
      <c r="G62" s="226"/>
      <c r="H62" s="226"/>
      <c r="I62" s="226"/>
      <c r="J62" s="226"/>
      <c r="K62" s="226"/>
      <c r="L62" s="226"/>
      <c r="M62" s="226"/>
      <c r="N62" s="226"/>
      <c r="O62" s="226"/>
      <c r="P62" s="226"/>
      <c r="Q62" s="226"/>
      <c r="R62" s="226"/>
      <c r="T62" s="226"/>
      <c r="U62" s="226"/>
      <c r="V62" s="226"/>
      <c r="W62" s="226"/>
      <c r="X62" s="226"/>
      <c r="Y62" s="226"/>
      <c r="Z62" s="226"/>
      <c r="AA62" s="226"/>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row>
    <row r="63" customFormat="false" ht="12.75" hidden="true" customHeight="true" outlineLevel="0" collapsed="false">
      <c r="A63" s="295" t="s">
        <v>189</v>
      </c>
      <c r="B63" s="294" t="n">
        <f aca="false">SUM(C63:AG63)</f>
        <v>0</v>
      </c>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row>
    <row r="64" customFormat="false" ht="12.75" hidden="true" customHeight="true" outlineLevel="0" collapsed="false">
      <c r="A64" s="295" t="s">
        <v>237</v>
      </c>
      <c r="B64" s="294" t="n">
        <f aca="false">SUM(C64:AG64)</f>
        <v>0</v>
      </c>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row>
    <row r="65" customFormat="false" ht="12.75" hidden="true" customHeight="true" outlineLevel="0" collapsed="false">
      <c r="A65" s="231" t="s">
        <v>238</v>
      </c>
      <c r="B65" s="294" t="n">
        <f aca="false">SUM(C65:AG65)</f>
        <v>0</v>
      </c>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row>
    <row r="66" customFormat="false" ht="12.75" hidden="true" customHeight="true" outlineLevel="0" collapsed="false">
      <c r="A66" s="231" t="s">
        <v>239</v>
      </c>
      <c r="B66" s="294" t="n">
        <f aca="false">SUM(C66:AG66)</f>
        <v>0</v>
      </c>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c r="BM66" s="226"/>
      <c r="BN66" s="226"/>
      <c r="BO66" s="226"/>
      <c r="BP66" s="226"/>
      <c r="BQ66" s="226"/>
    </row>
    <row r="67" customFormat="false" ht="12.75" hidden="true" customHeight="true" outlineLevel="0" collapsed="false">
      <c r="A67" s="231" t="s">
        <v>240</v>
      </c>
      <c r="B67" s="294" t="n">
        <f aca="false">SUM(C67:AG67)</f>
        <v>0</v>
      </c>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c r="BM67" s="226"/>
      <c r="BN67" s="226"/>
      <c r="BO67" s="226"/>
      <c r="BP67" s="226"/>
      <c r="BQ67" s="226"/>
    </row>
    <row r="68" customFormat="false" ht="12.75" hidden="true" customHeight="true" outlineLevel="0" collapsed="false">
      <c r="A68" s="231" t="s">
        <v>241</v>
      </c>
      <c r="B68" s="294" t="n">
        <f aca="false">SUM(C68:AG68)</f>
        <v>0</v>
      </c>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c r="BM68" s="226"/>
      <c r="BN68" s="226"/>
      <c r="BO68" s="226"/>
      <c r="BP68" s="226"/>
      <c r="BQ68" s="226"/>
    </row>
    <row r="69" customFormat="false" ht="12.75" hidden="true" customHeight="true" outlineLevel="0" collapsed="false">
      <c r="A69" s="295" t="s">
        <v>242</v>
      </c>
      <c r="B69" s="294" t="n">
        <f aca="false">SUM(C69:AG69)</f>
        <v>0</v>
      </c>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c r="BM69" s="226"/>
      <c r="BN69" s="226"/>
      <c r="BO69" s="226"/>
      <c r="BP69" s="226"/>
      <c r="BQ69" s="226"/>
    </row>
    <row r="70" customFormat="false" ht="12.75" hidden="true" customHeight="true" outlineLevel="0" collapsed="false">
      <c r="A70" s="231" t="s">
        <v>243</v>
      </c>
      <c r="B70" s="294" t="n">
        <f aca="false">SUM(C70:AG70)</f>
        <v>0</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6"/>
      <c r="AY70" s="226"/>
      <c r="AZ70" s="226"/>
      <c r="BA70" s="226"/>
      <c r="BB70" s="226"/>
      <c r="BC70" s="226"/>
      <c r="BD70" s="226"/>
      <c r="BE70" s="226"/>
      <c r="BF70" s="226"/>
      <c r="BG70" s="226"/>
      <c r="BH70" s="226"/>
      <c r="BI70" s="226"/>
      <c r="BJ70" s="226"/>
      <c r="BK70" s="226"/>
      <c r="BL70" s="226"/>
      <c r="BM70" s="226"/>
      <c r="BN70" s="226"/>
      <c r="BO70" s="226"/>
      <c r="BP70" s="226"/>
      <c r="BQ70" s="226"/>
    </row>
    <row r="71" customFormat="false" ht="12.75" hidden="fals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c r="BM71" s="226"/>
      <c r="BN71" s="226"/>
      <c r="BO71" s="226"/>
      <c r="BP71" s="226"/>
      <c r="BQ71" s="226"/>
    </row>
    <row r="72" customFormat="false" ht="12.75" hidden="false" customHeight="true" outlineLevel="0" collapsed="false">
      <c r="A72" s="231"/>
      <c r="B72" s="584" t="s">
        <v>362</v>
      </c>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301"/>
      <c r="AH72" s="59"/>
      <c r="AJ72" s="59"/>
      <c r="AK72" s="59"/>
      <c r="AL72" s="61"/>
      <c r="AM72" s="60"/>
    </row>
    <row r="73" customFormat="false" ht="12.75" hidden="false" customHeight="true" outlineLevel="0" collapsed="false">
      <c r="A73" s="231" t="s">
        <v>363</v>
      </c>
      <c r="B73" s="294" t="n">
        <f aca="false">E22</f>
        <v>0</v>
      </c>
      <c r="C73" s="226"/>
      <c r="D73" s="226"/>
      <c r="E73" s="226"/>
      <c r="F73" s="226"/>
      <c r="G73" s="226"/>
      <c r="H73" s="226"/>
      <c r="I73" s="226"/>
      <c r="J73" s="226"/>
      <c r="K73" s="226"/>
      <c r="L73" s="226"/>
      <c r="M73" s="226"/>
      <c r="N73" s="226"/>
      <c r="O73" s="226"/>
      <c r="P73" s="226"/>
      <c r="Q73" s="226"/>
      <c r="R73" s="226"/>
      <c r="S73" s="226"/>
      <c r="T73" s="226"/>
      <c r="U73" s="226"/>
      <c r="V73" s="226"/>
      <c r="W73" s="226"/>
      <c r="X73" s="226"/>
      <c r="Y73" s="226"/>
      <c r="Z73" s="226"/>
      <c r="AA73" s="226"/>
      <c r="AB73" s="226"/>
      <c r="AC73" s="226"/>
      <c r="AD73" s="226"/>
      <c r="AE73" s="226"/>
      <c r="AF73" s="226"/>
      <c r="AG73" s="226"/>
      <c r="AH73" s="59"/>
      <c r="AJ73" s="59"/>
      <c r="AK73" s="59"/>
      <c r="AL73" s="61"/>
      <c r="AM73" s="60"/>
    </row>
    <row r="74" customFormat="false" ht="12.75" hidden="false" customHeight="true" outlineLevel="0" collapsed="false">
      <c r="A74" s="231" t="s">
        <v>364</v>
      </c>
      <c r="B74" s="294" t="n">
        <f aca="false">SUM(C74:AG74)</f>
        <v>0</v>
      </c>
      <c r="C74" s="226"/>
      <c r="D74" s="226"/>
      <c r="E74" s="226"/>
      <c r="F74" s="226"/>
      <c r="G74" s="226"/>
      <c r="H74" s="226"/>
      <c r="I74" s="226"/>
      <c r="J74" s="226"/>
      <c r="K74" s="226"/>
      <c r="L74" s="226"/>
      <c r="M74" s="226"/>
      <c r="N74" s="226"/>
      <c r="O74" s="226"/>
      <c r="P74" s="226"/>
      <c r="Q74" s="226"/>
      <c r="R74" s="226"/>
      <c r="S74" s="226"/>
      <c r="T74" s="226"/>
      <c r="U74" s="226"/>
      <c r="V74" s="226"/>
      <c r="W74" s="226"/>
      <c r="X74" s="226"/>
      <c r="Y74" s="226"/>
      <c r="Z74" s="226"/>
      <c r="AA74" s="226"/>
      <c r="AB74" s="226"/>
      <c r="AC74" s="226"/>
      <c r="AD74" s="226"/>
      <c r="AE74" s="226"/>
      <c r="AF74" s="226"/>
      <c r="AG74" s="300"/>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SUM(B47:B75)-B61-B67-B68-B69</f>
        <v>0</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AH78" s="153"/>
      <c r="AJ78" s="153"/>
      <c r="AK78" s="226"/>
      <c r="AL78" s="61"/>
      <c r="AM78" s="60"/>
    </row>
    <row r="79" customFormat="false" ht="12.75" hidden="false" customHeight="true" outlineLevel="0" collapsed="false">
      <c r="A79" s="271" t="s">
        <v>340</v>
      </c>
      <c r="B79" s="271"/>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t="s">
        <v>210</v>
      </c>
      <c r="C81" s="275" t="n">
        <f aca="false">SUM(C85:C101)</f>
        <v>0</v>
      </c>
      <c r="D81" s="275" t="n">
        <f aca="false">SUM(D85:D101)</f>
        <v>0</v>
      </c>
      <c r="E81" s="275" t="n">
        <f aca="false">SUM(E85:E101)</f>
        <v>0</v>
      </c>
      <c r="F81" s="275" t="n">
        <f aca="false">SUM(F85:F101)</f>
        <v>0</v>
      </c>
      <c r="G81" s="275" t="n">
        <f aca="false">SUM(G85:G101)</f>
        <v>0</v>
      </c>
      <c r="H81" s="275" t="n">
        <f aca="false">SUM(H85:H101)</f>
        <v>0</v>
      </c>
      <c r="I81" s="275" t="n">
        <f aca="false">SUM(I85:I101)</f>
        <v>0</v>
      </c>
      <c r="J81" s="275" t="n">
        <f aca="false">SUM(J85:J101)</f>
        <v>0</v>
      </c>
      <c r="K81" s="275" t="n">
        <f aca="false">SUM(K85:K101)</f>
        <v>0</v>
      </c>
      <c r="L81" s="275" t="n">
        <f aca="false">SUM(L85:L101)</f>
        <v>0</v>
      </c>
      <c r="M81" s="275" t="n">
        <f aca="false">SUM(M85:M101)</f>
        <v>0</v>
      </c>
      <c r="N81" s="275" t="n">
        <f aca="false">SUM(N85:N101)</f>
        <v>0</v>
      </c>
      <c r="O81" s="275" t="n">
        <f aca="false">SUM(O85:O101)</f>
        <v>0</v>
      </c>
      <c r="P81" s="275" t="n">
        <f aca="false">SUM(P85:P101)</f>
        <v>0</v>
      </c>
      <c r="Q81" s="275" t="n">
        <f aca="false">SUM(Q85:Q101)</f>
        <v>0</v>
      </c>
      <c r="R81" s="275" t="n">
        <f aca="false">SUM(R85:R101)</f>
        <v>0</v>
      </c>
      <c r="S81" s="275" t="n">
        <f aca="false">SUM(S85:S101)</f>
        <v>0</v>
      </c>
      <c r="T81" s="275" t="n">
        <f aca="false">SUM(T85:T101)</f>
        <v>0</v>
      </c>
      <c r="U81" s="275" t="n">
        <f aca="false">SUM(U85:U101)</f>
        <v>0</v>
      </c>
      <c r="V81" s="275" t="n">
        <f aca="false">SUM(V85:V101)</f>
        <v>0</v>
      </c>
      <c r="W81" s="275" t="n">
        <f aca="false">SUM(W85:W101)</f>
        <v>0</v>
      </c>
      <c r="X81" s="275" t="n">
        <f aca="false">SUM(X85:X101)</f>
        <v>0</v>
      </c>
      <c r="Y81" s="275" t="n">
        <f aca="false">SUM(Y85:Y101)</f>
        <v>0</v>
      </c>
      <c r="Z81" s="275" t="n">
        <f aca="false">SUM(Z85:Z101)</f>
        <v>0</v>
      </c>
      <c r="AA81" s="275" t="n">
        <f aca="false">SUM(AA85:AA101)</f>
        <v>0</v>
      </c>
      <c r="AB81" s="275" t="n">
        <f aca="false">SUM(AB85:AB101)</f>
        <v>0</v>
      </c>
      <c r="AC81" s="275" t="n">
        <f aca="false">SUM(AC85:AC101)</f>
        <v>0</v>
      </c>
      <c r="AD81" s="275" t="n">
        <f aca="false">SUM(AD85:AD101)</f>
        <v>0</v>
      </c>
      <c r="AE81" s="275" t="n">
        <f aca="false">SUM(AE85:AE101)</f>
        <v>0</v>
      </c>
      <c r="AF81" s="275" t="n">
        <f aca="false">SUM(AF85:AF101)</f>
        <v>0</v>
      </c>
      <c r="AG81" s="275" t="n">
        <f aca="false">SUM(AG85:AG101)</f>
        <v>0</v>
      </c>
      <c r="AH81" s="59"/>
      <c r="AI81" s="76"/>
      <c r="AJ81" s="85"/>
      <c r="AK81" s="59"/>
      <c r="AL81" s="77"/>
      <c r="AN81" s="59"/>
      <c r="AO81" s="59"/>
      <c r="AP81" s="59"/>
      <c r="AQ81" s="59"/>
      <c r="AR81" s="59"/>
      <c r="AS81" s="59"/>
    </row>
    <row r="82" customFormat="false" ht="12.75" hidden="false" customHeight="true" outlineLevel="0" collapsed="false">
      <c r="A82" s="278" t="s">
        <v>248</v>
      </c>
      <c r="B82" s="279" t="n">
        <f aca="false">B44</f>
        <v>36831</v>
      </c>
      <c r="C82" s="280" t="n">
        <f aca="false">C44</f>
        <v>36831</v>
      </c>
      <c r="D82" s="280" t="n">
        <f aca="false">D44</f>
        <v>36832</v>
      </c>
      <c r="E82" s="280" t="n">
        <f aca="false">E44</f>
        <v>36833</v>
      </c>
      <c r="F82" s="280" t="n">
        <f aca="false">F44</f>
        <v>36834</v>
      </c>
      <c r="G82" s="280" t="n">
        <f aca="false">G44</f>
        <v>36835</v>
      </c>
      <c r="H82" s="280" t="n">
        <f aca="false">H44</f>
        <v>36836</v>
      </c>
      <c r="I82" s="280" t="n">
        <f aca="false">I44</f>
        <v>36837</v>
      </c>
      <c r="J82" s="280" t="n">
        <f aca="false">J44</f>
        <v>36838</v>
      </c>
      <c r="K82" s="280" t="n">
        <f aca="false">K44</f>
        <v>36839</v>
      </c>
      <c r="L82" s="280" t="n">
        <f aca="false">L44</f>
        <v>36840</v>
      </c>
      <c r="M82" s="280" t="n">
        <f aca="false">M44</f>
        <v>36841</v>
      </c>
      <c r="N82" s="280" t="n">
        <f aca="false">N44</f>
        <v>36842</v>
      </c>
      <c r="O82" s="280" t="n">
        <f aca="false">O44</f>
        <v>36843</v>
      </c>
      <c r="P82" s="280" t="n">
        <f aca="false">P44</f>
        <v>36844</v>
      </c>
      <c r="Q82" s="280" t="n">
        <f aca="false">Q44</f>
        <v>36845</v>
      </c>
      <c r="R82" s="280" t="n">
        <f aca="false">R44</f>
        <v>36846</v>
      </c>
      <c r="S82" s="280" t="n">
        <f aca="false">S44</f>
        <v>36847</v>
      </c>
      <c r="T82" s="280" t="n">
        <f aca="false">T44</f>
        <v>36848</v>
      </c>
      <c r="U82" s="280" t="n">
        <f aca="false">U44</f>
        <v>36849</v>
      </c>
      <c r="V82" s="280" t="n">
        <f aca="false">V44</f>
        <v>36850</v>
      </c>
      <c r="W82" s="280" t="n">
        <f aca="false">W44</f>
        <v>36851</v>
      </c>
      <c r="X82" s="280" t="n">
        <f aca="false">X44</f>
        <v>36852</v>
      </c>
      <c r="Y82" s="280" t="n">
        <f aca="false">Y44</f>
        <v>36853</v>
      </c>
      <c r="Z82" s="280" t="n">
        <f aca="false">Z44</f>
        <v>36854</v>
      </c>
      <c r="AA82" s="280" t="n">
        <f aca="false">AA44</f>
        <v>36855</v>
      </c>
      <c r="AB82" s="280" t="n">
        <f aca="false">AB44</f>
        <v>36856</v>
      </c>
      <c r="AC82" s="280" t="n">
        <f aca="false">AC44</f>
        <v>36857</v>
      </c>
      <c r="AD82" s="280" t="n">
        <f aca="false">AD44</f>
        <v>36858</v>
      </c>
      <c r="AE82" s="280" t="n">
        <f aca="false">AE44</f>
        <v>36859</v>
      </c>
      <c r="AF82" s="280" t="n">
        <f aca="false">AF44</f>
        <v>36860</v>
      </c>
      <c r="AG82" s="280" t="n">
        <f aca="false">AG44</f>
        <v>36861</v>
      </c>
      <c r="AH82" s="281"/>
      <c r="AI82" s="76"/>
      <c r="AJ82" s="309"/>
      <c r="AK82" s="281"/>
      <c r="AL82" s="284"/>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c r="DM82" s="281"/>
      <c r="DN82" s="281"/>
      <c r="DO82" s="281"/>
      <c r="DP82" s="281"/>
      <c r="DQ82" s="281"/>
      <c r="DR82" s="281"/>
      <c r="DS82" s="281"/>
      <c r="DT82" s="281"/>
      <c r="DU82" s="281"/>
      <c r="DV82" s="281"/>
      <c r="DW82" s="281"/>
      <c r="DX82" s="281"/>
      <c r="DY82" s="281"/>
      <c r="DZ82" s="281"/>
      <c r="EA82" s="281"/>
      <c r="EB82" s="281"/>
      <c r="EC82" s="281"/>
      <c r="ED82" s="281"/>
      <c r="EE82" s="281"/>
      <c r="EF82" s="281"/>
      <c r="EG82" s="281"/>
      <c r="EH82" s="281"/>
      <c r="EI82" s="281"/>
      <c r="EJ82" s="281"/>
      <c r="EK82" s="281"/>
      <c r="EL82" s="281"/>
      <c r="EM82" s="281"/>
      <c r="EN82" s="281"/>
      <c r="EO82" s="281"/>
      <c r="EP82" s="281"/>
      <c r="EQ82" s="281"/>
      <c r="ER82" s="281"/>
      <c r="ES82" s="281"/>
      <c r="ET82" s="281"/>
      <c r="EU82" s="281"/>
      <c r="EV82" s="281"/>
      <c r="EW82" s="281"/>
      <c r="EX82" s="281"/>
      <c r="EY82" s="281"/>
      <c r="EZ82" s="281"/>
      <c r="FA82" s="281"/>
      <c r="FB82" s="281"/>
      <c r="FC82" s="281"/>
      <c r="FD82" s="281"/>
      <c r="FE82" s="281"/>
      <c r="FF82" s="281"/>
      <c r="FG82" s="281"/>
      <c r="FH82" s="281"/>
      <c r="FI82" s="281"/>
      <c r="FJ82" s="281"/>
      <c r="FK82" s="281"/>
      <c r="FL82" s="281"/>
      <c r="FM82" s="281"/>
      <c r="FN82" s="281"/>
      <c r="FO82" s="281"/>
      <c r="FP82" s="281"/>
      <c r="FQ82" s="281"/>
      <c r="FR82" s="281"/>
      <c r="FS82" s="281"/>
      <c r="FT82" s="281"/>
      <c r="FU82" s="281"/>
      <c r="FV82" s="281"/>
      <c r="FW82" s="281"/>
      <c r="FX82" s="281"/>
      <c r="FY82" s="281"/>
      <c r="FZ82" s="281"/>
      <c r="GA82" s="281"/>
      <c r="GB82" s="281"/>
      <c r="GC82" s="281"/>
      <c r="GD82" s="281"/>
      <c r="GE82" s="281"/>
      <c r="GF82" s="281"/>
      <c r="GG82" s="281"/>
      <c r="GH82" s="281"/>
      <c r="GI82" s="281"/>
      <c r="GJ82" s="281"/>
      <c r="GK82" s="281"/>
      <c r="GL82" s="281"/>
      <c r="GM82" s="281"/>
      <c r="GN82" s="281"/>
      <c r="GO82" s="281"/>
      <c r="GP82" s="281"/>
      <c r="GQ82" s="281"/>
      <c r="GR82" s="281"/>
      <c r="GS82" s="281"/>
      <c r="GT82" s="281"/>
      <c r="GU82" s="281"/>
      <c r="GV82" s="281"/>
      <c r="GW82" s="281"/>
      <c r="GX82" s="281"/>
      <c r="GY82" s="281"/>
      <c r="GZ82" s="281"/>
      <c r="HA82" s="281"/>
      <c r="HB82" s="281"/>
      <c r="HC82" s="281"/>
      <c r="HD82" s="281"/>
      <c r="HE82" s="281"/>
      <c r="HF82" s="281"/>
      <c r="HG82" s="281"/>
      <c r="HH82" s="281"/>
      <c r="HI82" s="281"/>
      <c r="HJ82" s="281"/>
      <c r="HK82" s="281"/>
      <c r="HL82" s="281"/>
      <c r="HM82" s="281"/>
      <c r="HN82" s="281"/>
      <c r="HO82" s="281"/>
      <c r="HP82" s="281"/>
      <c r="HQ82" s="281"/>
      <c r="HR82" s="281"/>
      <c r="HS82" s="281"/>
      <c r="HT82" s="281"/>
      <c r="HU82" s="281"/>
      <c r="HV82" s="281"/>
      <c r="HW82" s="281"/>
      <c r="HX82" s="281"/>
      <c r="HY82" s="281"/>
      <c r="HZ82" s="281"/>
      <c r="IA82" s="281"/>
      <c r="IB82" s="281"/>
      <c r="IC82" s="281"/>
      <c r="ID82" s="281"/>
      <c r="IE82" s="281"/>
      <c r="IF82" s="281"/>
      <c r="IG82" s="281"/>
      <c r="IH82" s="281"/>
      <c r="II82" s="281"/>
      <c r="IJ82" s="281"/>
      <c r="IK82" s="281"/>
      <c r="IL82" s="281"/>
      <c r="IM82" s="281"/>
      <c r="IN82" s="281"/>
      <c r="IO82" s="281"/>
      <c r="IP82" s="281"/>
      <c r="IQ82" s="281"/>
      <c r="IR82" s="281"/>
      <c r="IS82" s="281"/>
      <c r="IT82" s="281"/>
      <c r="IU82" s="281"/>
      <c r="IV82" s="281"/>
      <c r="IW82" s="281"/>
    </row>
    <row r="83" customFormat="false" ht="12.75" hidden="false" customHeight="true" outlineLevel="0" collapsed="false">
      <c r="A83" s="285"/>
      <c r="B83" s="285"/>
      <c r="C83" s="286" t="str">
        <f aca="false">C45</f>
        <v>W</v>
      </c>
      <c r="D83" s="286" t="str">
        <f aca="false">D45</f>
        <v>R</v>
      </c>
      <c r="E83" s="286" t="str">
        <f aca="false">E45</f>
        <v>F</v>
      </c>
      <c r="F83" s="286" t="str">
        <f aca="false">F45</f>
        <v>S</v>
      </c>
      <c r="G83" s="286" t="str">
        <f aca="false">G45</f>
        <v>S</v>
      </c>
      <c r="H83" s="286" t="str">
        <f aca="false">H45</f>
        <v>M</v>
      </c>
      <c r="I83" s="286" t="str">
        <f aca="false">I45</f>
        <v>T</v>
      </c>
      <c r="J83" s="286" t="str">
        <f aca="false">J45</f>
        <v>W</v>
      </c>
      <c r="K83" s="286" t="str">
        <f aca="false">K45</f>
        <v>R</v>
      </c>
      <c r="L83" s="286" t="str">
        <f aca="false">L45</f>
        <v>F</v>
      </c>
      <c r="M83" s="286" t="str">
        <f aca="false">M45</f>
        <v>S</v>
      </c>
      <c r="N83" s="286" t="str">
        <f aca="false">N45</f>
        <v>S</v>
      </c>
      <c r="O83" s="286" t="str">
        <f aca="false">O45</f>
        <v>M</v>
      </c>
      <c r="P83" s="286" t="str">
        <f aca="false">P45</f>
        <v>T</v>
      </c>
      <c r="Q83" s="286" t="str">
        <f aca="false">Q45</f>
        <v>W</v>
      </c>
      <c r="R83" s="286" t="str">
        <f aca="false">R45</f>
        <v>R</v>
      </c>
      <c r="S83" s="286" t="str">
        <f aca="false">S45</f>
        <v>F</v>
      </c>
      <c r="T83" s="286" t="str">
        <f aca="false">T45</f>
        <v>S</v>
      </c>
      <c r="U83" s="286" t="str">
        <f aca="false">U45</f>
        <v>S</v>
      </c>
      <c r="V83" s="286" t="str">
        <f aca="false">V45</f>
        <v>M</v>
      </c>
      <c r="W83" s="286" t="str">
        <f aca="false">W45</f>
        <v>T</v>
      </c>
      <c r="X83" s="286" t="str">
        <f aca="false">X45</f>
        <v>W</v>
      </c>
      <c r="Y83" s="286" t="str">
        <f aca="false">Y45</f>
        <v>R</v>
      </c>
      <c r="Z83" s="286" t="str">
        <f aca="false">Z45</f>
        <v>F</v>
      </c>
      <c r="AA83" s="286" t="str">
        <f aca="false">AA45</f>
        <v>S</v>
      </c>
      <c r="AB83" s="286" t="str">
        <f aca="false">AB45</f>
        <v>S</v>
      </c>
      <c r="AC83" s="286" t="str">
        <f aca="false">AC45</f>
        <v>M</v>
      </c>
      <c r="AD83" s="286" t="str">
        <f aca="false">AD45</f>
        <v>T</v>
      </c>
      <c r="AE83" s="286" t="str">
        <f aca="false">AE45</f>
        <v>W</v>
      </c>
      <c r="AF83" s="286" t="str">
        <f aca="false">AF45</f>
        <v>R</v>
      </c>
      <c r="AG83" s="286" t="str">
        <f aca="false">AG45</f>
        <v>F</v>
      </c>
      <c r="AH83" s="59"/>
      <c r="AI83" s="76"/>
      <c r="AJ83" s="85"/>
      <c r="AK83" s="59"/>
      <c r="AL83" s="153"/>
      <c r="AN83" s="59"/>
      <c r="AO83" s="59"/>
      <c r="AP83" s="59"/>
      <c r="AQ83" s="59"/>
      <c r="AR83" s="59"/>
      <c r="AS83" s="59"/>
    </row>
    <row r="84" customFormat="false" ht="12.75" hidden="false" customHeight="true" outlineLevel="0" collapsed="false">
      <c r="A84" s="289"/>
      <c r="B84" s="290" t="s">
        <v>216</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1"/>
      <c r="AH84" s="153"/>
      <c r="AI84" s="199"/>
      <c r="AJ84" s="312"/>
      <c r="AK84" s="226"/>
      <c r="AL84" s="61"/>
      <c r="AM84" s="60"/>
    </row>
    <row r="85" customFormat="false" ht="12.75" hidden="false" customHeight="true" outlineLevel="0" collapsed="false">
      <c r="A85" s="231" t="s">
        <v>249</v>
      </c>
      <c r="B85" s="294" t="n">
        <f aca="false">SUM(C85:AG85)</f>
        <v>0</v>
      </c>
      <c r="C85" s="226" t="n">
        <v>0</v>
      </c>
      <c r="D85" s="226" t="n">
        <v>0</v>
      </c>
      <c r="E85" s="226" t="n">
        <v>0</v>
      </c>
      <c r="F85" s="226" t="n">
        <v>0</v>
      </c>
      <c r="G85" s="226" t="n">
        <v>0</v>
      </c>
      <c r="H85" s="226" t="n">
        <v>0</v>
      </c>
      <c r="I85" s="226" t="n">
        <v>0</v>
      </c>
      <c r="J85" s="226" t="n">
        <v>0</v>
      </c>
      <c r="K85" s="226" t="n">
        <v>0</v>
      </c>
      <c r="L85" s="226" t="n">
        <v>0</v>
      </c>
      <c r="M85" s="226" t="n">
        <v>0</v>
      </c>
      <c r="N85" s="226" t="n">
        <v>0</v>
      </c>
      <c r="O85" s="226" t="n">
        <v>0</v>
      </c>
      <c r="P85" s="226" t="n">
        <v>0</v>
      </c>
      <c r="Q85" s="226" t="n">
        <v>0</v>
      </c>
      <c r="R85" s="226" t="n">
        <v>0</v>
      </c>
      <c r="S85" s="226" t="n">
        <v>0</v>
      </c>
      <c r="T85" s="226" t="n">
        <v>0</v>
      </c>
      <c r="U85" s="226" t="n">
        <v>0</v>
      </c>
      <c r="V85" s="226" t="n">
        <v>0</v>
      </c>
      <c r="W85" s="226" t="n">
        <v>0</v>
      </c>
      <c r="X85" s="226" t="n">
        <v>0</v>
      </c>
      <c r="Y85" s="226" t="n">
        <v>0</v>
      </c>
      <c r="Z85" s="226" t="n">
        <v>0</v>
      </c>
      <c r="AA85" s="226" t="n">
        <v>0</v>
      </c>
      <c r="AB85" s="226" t="n">
        <v>0</v>
      </c>
      <c r="AC85" s="226" t="n">
        <v>0</v>
      </c>
      <c r="AD85" s="226" t="n">
        <v>0</v>
      </c>
      <c r="AE85" s="226" t="n">
        <v>0</v>
      </c>
      <c r="AF85" s="226" t="n">
        <v>0</v>
      </c>
      <c r="AG85" s="300" t="n">
        <v>0</v>
      </c>
      <c r="AH85" s="153"/>
      <c r="AJ85" s="153"/>
      <c r="AK85" s="226"/>
      <c r="AL85" s="61"/>
      <c r="AM85" s="60"/>
    </row>
    <row r="86" customFormat="false" ht="12.75" hidden="false" customHeight="true" outlineLevel="0" collapsed="false">
      <c r="A86" s="231" t="s">
        <v>250</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251</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252</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253</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254</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255</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256</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257</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258</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259</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260</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261</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c r="B98" s="294"/>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300"/>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SUM(B87:B101)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3" t="s">
        <v>365</v>
      </c>
      <c r="B126" s="153" t="s">
        <v>366</v>
      </c>
      <c r="C126" s="153"/>
      <c r="D126" s="324"/>
      <c r="E126" s="325"/>
      <c r="G126" s="403"/>
      <c r="H126" s="327"/>
      <c r="I126" s="153"/>
      <c r="J126" s="586"/>
      <c r="K126" s="328"/>
      <c r="L126" s="325"/>
      <c r="M126" s="59"/>
      <c r="N126" s="59"/>
      <c r="O126" s="59"/>
      <c r="P126" s="59"/>
    </row>
    <row r="127" customFormat="false" ht="12.75" hidden="false" customHeight="true" outlineLevel="0" collapsed="false">
      <c r="A127" s="323" t="s">
        <v>368</v>
      </c>
      <c r="B127" s="153" t="s">
        <v>369</v>
      </c>
      <c r="C127" s="153"/>
      <c r="D127" s="324"/>
      <c r="E127" s="325"/>
      <c r="G127" s="331"/>
      <c r="H127" s="153"/>
      <c r="I127" s="59"/>
      <c r="J127" s="59"/>
      <c r="K127" s="324"/>
      <c r="L127" s="325"/>
      <c r="M127" s="59"/>
      <c r="N127" s="59"/>
      <c r="O127" s="59"/>
      <c r="P127" s="59"/>
    </row>
    <row r="128" customFormat="false" ht="12.75" hidden="false" customHeight="true" outlineLevel="0" collapsed="false">
      <c r="A128" s="329" t="n">
        <v>36161</v>
      </c>
      <c r="B128" s="153" t="s">
        <v>279</v>
      </c>
      <c r="C128" s="153"/>
      <c r="D128" s="324"/>
      <c r="E128" s="325"/>
      <c r="G128" s="326"/>
      <c r="H128" s="59"/>
      <c r="I128" s="59"/>
      <c r="J128" s="587"/>
      <c r="K128" s="328"/>
      <c r="L128" s="330"/>
      <c r="M128" s="59"/>
      <c r="N128" s="59"/>
      <c r="O128" s="59"/>
      <c r="P128" s="59"/>
    </row>
    <row r="129" customFormat="false" ht="12.75" hidden="false" customHeight="true" outlineLevel="0" collapsed="false">
      <c r="A129" s="329" t="n">
        <v>36192</v>
      </c>
      <c r="B129" s="153" t="s">
        <v>280</v>
      </c>
      <c r="C129" s="153"/>
      <c r="D129" s="324"/>
      <c r="E129" s="330"/>
      <c r="G129" s="326"/>
      <c r="H129" s="153"/>
      <c r="I129" s="59"/>
      <c r="J129" s="587"/>
      <c r="K129" s="324"/>
      <c r="L129" s="330"/>
      <c r="M129" s="59"/>
      <c r="N129" s="59"/>
      <c r="O129" s="59"/>
      <c r="P129" s="59"/>
    </row>
    <row r="130" customFormat="false" ht="12.75" hidden="false" customHeight="true" outlineLevel="0" collapsed="false">
      <c r="A130" s="329" t="n">
        <v>36220</v>
      </c>
      <c r="B130" s="153" t="s">
        <v>283</v>
      </c>
      <c r="C130" s="153"/>
      <c r="D130" s="324"/>
      <c r="E130" s="325"/>
      <c r="G130" s="326"/>
      <c r="H130" s="153"/>
      <c r="I130" s="59"/>
      <c r="J130" s="588"/>
      <c r="K130" s="324"/>
      <c r="L130" s="325"/>
      <c r="M130" s="59"/>
      <c r="N130" s="59"/>
      <c r="O130" s="59"/>
      <c r="P130" s="59"/>
    </row>
    <row r="131" customFormat="false" ht="12.75" hidden="false" customHeight="true" outlineLevel="0" collapsed="false">
      <c r="A131" s="329" t="n">
        <v>36251</v>
      </c>
      <c r="B131" s="153" t="s">
        <v>284</v>
      </c>
      <c r="C131" s="153"/>
      <c r="D131" s="324"/>
      <c r="E131" s="325"/>
      <c r="G131" s="326"/>
      <c r="H131" s="153"/>
      <c r="I131" s="59"/>
      <c r="J131" s="589"/>
      <c r="K131" s="324"/>
      <c r="L131" s="325"/>
      <c r="M131" s="59"/>
      <c r="N131" s="59"/>
      <c r="O131" s="59"/>
      <c r="P131" s="59"/>
    </row>
    <row r="132" customFormat="false" ht="12.75" hidden="false" customHeight="true" outlineLevel="0" collapsed="false">
      <c r="A132" s="329" t="n">
        <v>36281</v>
      </c>
      <c r="B132" s="153" t="s">
        <v>285</v>
      </c>
      <c r="C132" s="332"/>
      <c r="D132" s="346"/>
      <c r="E132" s="330"/>
      <c r="G132" s="331"/>
      <c r="H132" s="153"/>
      <c r="I132" s="59"/>
      <c r="J132" s="59"/>
      <c r="K132" s="324"/>
      <c r="L132" s="330"/>
      <c r="M132" s="59"/>
      <c r="N132" s="59"/>
      <c r="O132" s="59"/>
      <c r="P132" s="59"/>
    </row>
    <row r="133" customFormat="false" ht="12.75" hidden="false" customHeight="true" outlineLevel="0" collapsed="false">
      <c r="A133" s="329" t="n">
        <v>36312</v>
      </c>
      <c r="B133" s="153" t="s">
        <v>286</v>
      </c>
      <c r="C133" s="332"/>
      <c r="D133" s="346"/>
      <c r="E133" s="330"/>
      <c r="G133" s="326"/>
      <c r="H133" s="153"/>
      <c r="I133" s="59"/>
      <c r="J133" s="149"/>
      <c r="K133" s="324"/>
      <c r="L133" s="330"/>
      <c r="M133" s="59"/>
      <c r="N133" s="59"/>
      <c r="O133" s="59"/>
      <c r="P133" s="59"/>
    </row>
    <row r="134" customFormat="false" ht="12.75" hidden="false" customHeight="true" outlineLevel="0" collapsed="false">
      <c r="A134" s="329" t="n">
        <v>36342</v>
      </c>
      <c r="B134" s="153" t="s">
        <v>287</v>
      </c>
      <c r="C134" s="332"/>
      <c r="D134" s="346"/>
      <c r="E134" s="325"/>
      <c r="G134" s="326"/>
      <c r="H134" s="153"/>
      <c r="I134" s="59"/>
      <c r="J134" s="59"/>
      <c r="K134" s="324"/>
      <c r="L134" s="325"/>
      <c r="M134" s="98"/>
      <c r="N134" s="60"/>
      <c r="O134" s="59"/>
      <c r="P134" s="59"/>
    </row>
    <row r="135" customFormat="false" ht="12.75" hidden="false" customHeight="true" outlineLevel="0" collapsed="false">
      <c r="A135" s="329" t="n">
        <v>36373</v>
      </c>
      <c r="B135" s="153" t="s">
        <v>288</v>
      </c>
      <c r="C135" s="153"/>
      <c r="D135" s="324"/>
      <c r="E135" s="325"/>
      <c r="G135" s="326"/>
      <c r="H135" s="153"/>
      <c r="I135" s="59"/>
      <c r="J135" s="59"/>
      <c r="K135" s="324"/>
      <c r="L135" s="325"/>
      <c r="M135" s="98"/>
      <c r="N135" s="59"/>
      <c r="O135" s="59"/>
      <c r="P135" s="59"/>
    </row>
    <row r="136" customFormat="false" ht="12.75" hidden="false" customHeight="true" outlineLevel="0" collapsed="false">
      <c r="A136" s="329" t="n">
        <v>36404</v>
      </c>
      <c r="B136" s="153" t="s">
        <v>289</v>
      </c>
      <c r="C136" s="153"/>
      <c r="D136" s="324"/>
      <c r="E136" s="325"/>
      <c r="G136" s="326"/>
      <c r="H136" s="153"/>
      <c r="I136" s="59"/>
      <c r="J136" s="59"/>
      <c r="K136" s="324"/>
      <c r="L136" s="325"/>
      <c r="M136" s="59"/>
      <c r="N136" s="98"/>
      <c r="O136" s="59"/>
      <c r="P136" s="59"/>
    </row>
    <row r="137" customFormat="false" ht="12.75" hidden="false" customHeight="true" outlineLevel="0" collapsed="false">
      <c r="A137" s="329" t="n">
        <v>36434</v>
      </c>
      <c r="B137" s="153" t="s">
        <v>290</v>
      </c>
      <c r="C137" s="153"/>
      <c r="D137" s="324"/>
      <c r="E137" s="325"/>
      <c r="G137" s="326"/>
      <c r="H137" s="153"/>
      <c r="I137" s="62"/>
      <c r="J137" s="62"/>
      <c r="K137" s="324"/>
      <c r="L137" s="325"/>
      <c r="M137" s="59"/>
      <c r="N137" s="98"/>
      <c r="O137" s="59"/>
      <c r="P137" s="59"/>
    </row>
    <row r="138" customFormat="false" ht="12.75" hidden="false" customHeight="true" outlineLevel="0" collapsed="false">
      <c r="A138" s="329" t="n">
        <v>36465</v>
      </c>
      <c r="B138" s="153" t="s">
        <v>291</v>
      </c>
      <c r="C138" s="333"/>
      <c r="D138" s="324"/>
      <c r="E138" s="325"/>
      <c r="G138" s="326"/>
      <c r="H138" s="153"/>
      <c r="I138" s="588"/>
      <c r="J138" s="62"/>
      <c r="K138" s="324"/>
      <c r="L138" s="325"/>
      <c r="M138" s="59"/>
      <c r="N138" s="59"/>
      <c r="O138" s="59"/>
      <c r="P138" s="59"/>
    </row>
    <row r="139" customFormat="false" ht="12.75" hidden="false" customHeight="true" outlineLevel="0" collapsed="false">
      <c r="A139" s="329" t="n">
        <v>36495</v>
      </c>
      <c r="B139" s="153" t="s">
        <v>292</v>
      </c>
      <c r="C139" s="59"/>
      <c r="D139" s="301"/>
      <c r="E139" s="325"/>
      <c r="G139" s="326"/>
      <c r="H139" s="153"/>
      <c r="I139" s="59"/>
      <c r="J139" s="59"/>
      <c r="K139" s="324"/>
      <c r="L139" s="325"/>
      <c r="M139" s="59"/>
      <c r="N139" s="59"/>
      <c r="O139" s="59"/>
      <c r="P139" s="59"/>
    </row>
    <row r="140" customFormat="false" ht="12.75" hidden="false" customHeight="true" outlineLevel="0" collapsed="false">
      <c r="A140" s="329" t="n">
        <v>36526</v>
      </c>
      <c r="B140" s="153" t="s">
        <v>293</v>
      </c>
      <c r="C140" s="59"/>
      <c r="D140" s="324"/>
      <c r="E140" s="325" t="n">
        <f aca="false">2398-15140</f>
        <v>-12742</v>
      </c>
      <c r="G140" s="326"/>
      <c r="H140" s="153"/>
      <c r="I140" s="59"/>
      <c r="J140" s="59"/>
      <c r="K140" s="324"/>
      <c r="L140" s="325"/>
      <c r="M140" s="59"/>
      <c r="N140" s="59"/>
      <c r="O140" s="59"/>
      <c r="P140" s="59"/>
    </row>
    <row r="141" customFormat="false" ht="12.75" hidden="false" customHeight="true" outlineLevel="0" collapsed="false">
      <c r="A141" s="329" t="n">
        <v>36557</v>
      </c>
      <c r="B141" s="153" t="s">
        <v>294</v>
      </c>
      <c r="C141" s="59"/>
      <c r="D141" s="324"/>
      <c r="E141" s="325" t="n">
        <v>-38040</v>
      </c>
      <c r="G141" s="596"/>
      <c r="H141" s="153"/>
      <c r="I141" s="59"/>
      <c r="J141" s="59"/>
      <c r="K141" s="324"/>
      <c r="L141" s="597"/>
      <c r="M141" s="59"/>
      <c r="N141" s="59"/>
      <c r="O141" s="59"/>
      <c r="P141" s="59"/>
    </row>
    <row r="142" customFormat="false" ht="12.75" hidden="false" customHeight="true" outlineLevel="0" collapsed="false">
      <c r="A142" s="329" t="n">
        <v>36586</v>
      </c>
      <c r="B142" s="153" t="s">
        <v>295</v>
      </c>
      <c r="C142" s="153"/>
      <c r="D142" s="324"/>
      <c r="E142" s="325" t="n">
        <v>-31368</v>
      </c>
      <c r="G142" s="326"/>
      <c r="H142" s="153"/>
      <c r="I142" s="59"/>
      <c r="J142" s="59"/>
      <c r="K142" s="324"/>
      <c r="L142" s="325"/>
      <c r="M142" s="59"/>
      <c r="N142" s="59"/>
      <c r="O142" s="59"/>
      <c r="P142" s="59"/>
    </row>
    <row r="143" customFormat="false" ht="12.75" hidden="false" customHeight="true" outlineLevel="0" collapsed="false">
      <c r="A143" s="329" t="n">
        <v>36617</v>
      </c>
      <c r="B143" s="153" t="s">
        <v>297</v>
      </c>
      <c r="C143" s="153"/>
      <c r="D143" s="324"/>
      <c r="E143" s="325" t="n">
        <v>-3234</v>
      </c>
      <c r="G143" s="326"/>
      <c r="H143" s="153"/>
      <c r="I143" s="59"/>
      <c r="J143" s="59"/>
      <c r="K143" s="324"/>
      <c r="L143" s="325"/>
      <c r="M143" s="59"/>
      <c r="N143" s="59"/>
      <c r="O143" s="59"/>
      <c r="P143" s="59"/>
    </row>
    <row r="144" customFormat="false" ht="12.75" hidden="false" customHeight="true" outlineLevel="0" collapsed="false">
      <c r="A144" s="329" t="n">
        <v>36647</v>
      </c>
      <c r="B144" s="153" t="s">
        <v>298</v>
      </c>
      <c r="C144" s="153"/>
      <c r="D144" s="324"/>
      <c r="E144" s="325" t="n">
        <v>-15730</v>
      </c>
      <c r="G144" s="326"/>
      <c r="H144" s="153"/>
      <c r="I144" s="62"/>
      <c r="J144" s="588"/>
      <c r="K144" s="324"/>
      <c r="L144" s="325"/>
      <c r="M144" s="59"/>
      <c r="N144" s="59"/>
      <c r="O144" s="59"/>
      <c r="P144" s="59"/>
    </row>
    <row r="145" customFormat="false" ht="12.75" hidden="false" customHeight="true" outlineLevel="0" collapsed="false">
      <c r="A145" s="329" t="n">
        <v>36678</v>
      </c>
      <c r="B145" s="153" t="s">
        <v>300</v>
      </c>
      <c r="C145" s="153"/>
      <c r="D145" s="324"/>
      <c r="E145" s="325" t="n">
        <v>-42401</v>
      </c>
      <c r="G145" s="326"/>
      <c r="H145" s="153"/>
      <c r="I145" s="62"/>
      <c r="J145" s="588"/>
      <c r="K145" s="324"/>
      <c r="L145" s="325"/>
      <c r="M145" s="59"/>
      <c r="N145" s="59"/>
      <c r="O145" s="59"/>
      <c r="P145" s="59"/>
    </row>
    <row r="146" customFormat="false" ht="12.75" hidden="false" customHeight="true" outlineLevel="0" collapsed="false">
      <c r="A146" s="329" t="n">
        <v>36708</v>
      </c>
      <c r="B146" s="153" t="s">
        <v>301</v>
      </c>
      <c r="C146" s="153"/>
      <c r="D146" s="324"/>
      <c r="E146" s="325" t="n">
        <v>-2005</v>
      </c>
      <c r="G146" s="326"/>
      <c r="H146" s="153"/>
      <c r="I146" s="59"/>
      <c r="J146" s="149"/>
      <c r="K146" s="324"/>
      <c r="L146" s="325"/>
      <c r="M146" s="59"/>
      <c r="N146" s="59"/>
      <c r="O146" s="59"/>
      <c r="P146" s="59"/>
    </row>
    <row r="147" customFormat="false" ht="12.75" hidden="false" customHeight="true" outlineLevel="0" collapsed="false">
      <c r="A147" s="329" t="n">
        <v>36739</v>
      </c>
      <c r="B147" s="153" t="s">
        <v>302</v>
      </c>
      <c r="C147" s="153"/>
      <c r="D147" s="324"/>
      <c r="E147" s="325" t="n">
        <v>160980</v>
      </c>
      <c r="G147" s="326"/>
      <c r="H147" s="153"/>
      <c r="I147" s="59"/>
      <c r="J147" s="59"/>
      <c r="K147" s="324"/>
      <c r="L147" s="325"/>
      <c r="M147" s="59"/>
      <c r="N147" s="59"/>
      <c r="O147" s="59"/>
      <c r="P147" s="59"/>
    </row>
    <row r="148" customFormat="false" ht="12.75" hidden="false" customHeight="true" outlineLevel="0" collapsed="false">
      <c r="A148" s="329" t="n">
        <v>36770</v>
      </c>
      <c r="B148" s="153" t="s">
        <v>303</v>
      </c>
      <c r="C148" s="153"/>
      <c r="D148" s="324"/>
      <c r="E148" s="325" t="n">
        <v>172343</v>
      </c>
      <c r="G148" s="326"/>
      <c r="H148" s="153"/>
      <c r="I148" s="59"/>
      <c r="J148" s="59"/>
      <c r="K148" s="324"/>
      <c r="L148" s="325"/>
      <c r="M148" s="59"/>
      <c r="N148" s="59"/>
      <c r="O148" s="59"/>
      <c r="P148" s="59"/>
    </row>
    <row r="149" customFormat="false" ht="12.75" hidden="false" customHeight="true" outlineLevel="0" collapsed="false">
      <c r="A149" s="329" t="n">
        <v>36800</v>
      </c>
      <c r="B149" s="153" t="s">
        <v>304</v>
      </c>
      <c r="C149" s="153"/>
      <c r="D149" s="324"/>
      <c r="E149" s="325" t="n">
        <v>92743</v>
      </c>
      <c r="G149" s="326"/>
      <c r="H149" s="153"/>
      <c r="I149" s="59"/>
      <c r="J149" s="59"/>
      <c r="K149" s="324"/>
      <c r="L149" s="325"/>
      <c r="M149" s="59"/>
      <c r="N149" s="59"/>
      <c r="O149" s="59"/>
      <c r="P149" s="59"/>
    </row>
    <row r="150" customFormat="false" ht="12.75" hidden="false" customHeight="true" outlineLevel="0" collapsed="false">
      <c r="A150" s="329"/>
      <c r="B150" s="153"/>
      <c r="C150" s="153"/>
      <c r="D150" s="324"/>
      <c r="E150" s="325"/>
      <c r="G150" s="326"/>
      <c r="H150" s="153"/>
      <c r="I150" s="59"/>
      <c r="J150" s="59"/>
      <c r="K150" s="324"/>
      <c r="L150" s="325"/>
      <c r="M150" s="59"/>
      <c r="N150" s="59"/>
      <c r="O150" s="59"/>
      <c r="P150" s="59"/>
    </row>
    <row r="151" customFormat="false" ht="12.75" hidden="false" customHeight="true" outlineLevel="0" collapsed="false">
      <c r="A151" s="329"/>
      <c r="B151" s="153"/>
      <c r="C151" s="153"/>
      <c r="D151" s="324"/>
      <c r="E151" s="325"/>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25"/>
      <c r="M157" s="59"/>
      <c r="N157" s="59"/>
      <c r="O157" s="59"/>
      <c r="P157" s="59"/>
    </row>
    <row r="158" customFormat="false" ht="12.75" hidden="false" customHeight="true" outlineLevel="0" collapsed="false">
      <c r="A158" s="329"/>
      <c r="B158" s="153"/>
      <c r="C158" s="153"/>
      <c r="D158" s="324"/>
      <c r="E158" s="334"/>
      <c r="G158" s="326"/>
      <c r="H158" s="153"/>
      <c r="I158" s="59"/>
      <c r="J158" s="59"/>
      <c r="K158" s="324"/>
      <c r="L158" s="325"/>
      <c r="M158" s="59"/>
      <c r="N158" s="59"/>
      <c r="O158" s="59"/>
      <c r="P158" s="59"/>
    </row>
    <row r="159" customFormat="false" ht="12.75" hidden="false" customHeight="true" outlineLevel="0" collapsed="false">
      <c r="A159" s="335"/>
      <c r="B159" s="153"/>
      <c r="C159" s="153"/>
      <c r="D159" s="336" t="s">
        <v>306</v>
      </c>
      <c r="E159" s="338" t="n">
        <f aca="false">SUM(E126:E158)</f>
        <v>280546</v>
      </c>
      <c r="G159" s="326"/>
      <c r="H159" s="153"/>
      <c r="I159" s="59"/>
      <c r="J159" s="59"/>
      <c r="K159" s="324"/>
      <c r="L159" s="334"/>
      <c r="M159" s="59"/>
      <c r="N159" s="59"/>
      <c r="O159" s="59"/>
      <c r="P159" s="59"/>
    </row>
    <row r="160" customFormat="false" ht="12.75" hidden="false" customHeight="true" outlineLevel="0" collapsed="false">
      <c r="A160" s="339"/>
      <c r="B160" s="340"/>
      <c r="C160" s="340"/>
      <c r="D160" s="340"/>
      <c r="E160" s="341"/>
      <c r="G160" s="335"/>
      <c r="H160" s="153"/>
      <c r="I160" s="59"/>
      <c r="J160" s="59"/>
      <c r="K160" s="336" t="s">
        <v>305</v>
      </c>
      <c r="L160" s="338" t="n">
        <f aca="false">SUM(L126:L159)</f>
        <v>0</v>
      </c>
      <c r="M160" s="59"/>
      <c r="N160" s="59"/>
      <c r="O160" s="59"/>
      <c r="P160" s="59"/>
    </row>
    <row r="161" customFormat="false" ht="12.75" hidden="false" customHeight="true" outlineLevel="0" collapsed="false">
      <c r="G161" s="339"/>
      <c r="H161" s="340"/>
      <c r="I161" s="340"/>
      <c r="J161" s="340"/>
      <c r="K161" s="340"/>
      <c r="L161" s="341"/>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153" t="s">
        <v>303</v>
      </c>
      <c r="C164" s="598"/>
      <c r="D164" s="599"/>
      <c r="E164" s="321" t="s">
        <v>270</v>
      </c>
      <c r="AJ164" s="59"/>
      <c r="AK164" s="59"/>
      <c r="AL164" s="59"/>
      <c r="AM164" s="59"/>
    </row>
    <row r="165" customFormat="false" ht="12.75" hidden="false" customHeight="true" outlineLevel="0" collapsed="false">
      <c r="A165" s="342"/>
      <c r="B165" s="153" t="s">
        <v>303</v>
      </c>
      <c r="C165" s="153"/>
      <c r="D165" s="324"/>
      <c r="E165" s="325"/>
      <c r="AJ165" s="59"/>
      <c r="AK165" s="59"/>
      <c r="AL165" s="59"/>
      <c r="AM165" s="59"/>
    </row>
    <row r="166" customFormat="false" ht="12.75" hidden="false" customHeight="true" outlineLevel="0" collapsed="false">
      <c r="A166" s="342"/>
      <c r="B166" s="153"/>
      <c r="C166" s="153"/>
      <c r="D166" s="324"/>
      <c r="E166" s="325"/>
      <c r="AJ166" s="59"/>
      <c r="AK166" s="59"/>
      <c r="AL166" s="59"/>
      <c r="AM166" s="59"/>
    </row>
    <row r="167" customFormat="false" ht="12.75" hidden="false" customHeight="true" outlineLevel="0" collapsed="false">
      <c r="A167" s="342"/>
      <c r="B167" s="153"/>
      <c r="C167" s="153"/>
      <c r="D167" s="324"/>
      <c r="E167" s="325"/>
      <c r="AJ167" s="59"/>
      <c r="AK167" s="59"/>
      <c r="AL167" s="59"/>
      <c r="AM167" s="59"/>
    </row>
    <row r="168" customFormat="false" ht="12.75" hidden="false" customHeight="true" outlineLevel="0" collapsed="false">
      <c r="A168" s="342"/>
      <c r="B168" s="153"/>
      <c r="C168" s="153"/>
      <c r="D168" s="324"/>
      <c r="E168" s="330"/>
      <c r="AJ168" s="59"/>
      <c r="AK168" s="59"/>
      <c r="AL168" s="59"/>
      <c r="AM168" s="59"/>
    </row>
    <row r="169" customFormat="false" ht="12.75" hidden="false" customHeight="true" outlineLevel="0" collapsed="false">
      <c r="A169" s="342"/>
      <c r="B169" s="153"/>
      <c r="C169" s="153"/>
      <c r="D169" s="324"/>
      <c r="E169" s="325"/>
      <c r="AJ169" s="59"/>
      <c r="AK169" s="59"/>
      <c r="AL169" s="59"/>
      <c r="AM169" s="59"/>
    </row>
    <row r="170" customFormat="false" ht="12.75" hidden="false" customHeight="true" outlineLevel="0" collapsed="false">
      <c r="A170" s="342"/>
      <c r="B170" s="153"/>
      <c r="C170" s="153"/>
      <c r="D170" s="324"/>
      <c r="E170" s="325"/>
      <c r="AJ170" s="59"/>
      <c r="AK170" s="59"/>
      <c r="AL170" s="59"/>
      <c r="AM170" s="59"/>
    </row>
    <row r="171" customFormat="false" ht="12.75" hidden="false" customHeight="true" outlineLevel="0" collapsed="false">
      <c r="A171" s="342"/>
      <c r="B171" s="153"/>
      <c r="C171" s="332"/>
      <c r="D171" s="346"/>
      <c r="E171" s="330"/>
      <c r="AJ171" s="59"/>
      <c r="AK171" s="59"/>
      <c r="AL171" s="59"/>
      <c r="AM171" s="59"/>
    </row>
    <row r="172" customFormat="false" ht="12.75" hidden="false" customHeight="true" outlineLevel="0" collapsed="false">
      <c r="A172" s="342"/>
      <c r="B172" s="327"/>
      <c r="C172" s="332"/>
      <c r="D172" s="346"/>
      <c r="E172" s="330"/>
      <c r="AJ172" s="59"/>
      <c r="AK172" s="59"/>
      <c r="AL172" s="59"/>
      <c r="AM172" s="59"/>
    </row>
    <row r="173" customFormat="false" ht="12.75" hidden="false" customHeight="true" outlineLevel="0" collapsed="false">
      <c r="A173" s="342"/>
      <c r="B173" s="327"/>
      <c r="C173" s="153"/>
      <c r="D173" s="324"/>
      <c r="E173" s="325"/>
      <c r="AJ173" s="59"/>
      <c r="AK173" s="59"/>
      <c r="AL173" s="59"/>
      <c r="AM173" s="59"/>
    </row>
    <row r="174" customFormat="false" ht="12.75" hidden="false" customHeight="true" outlineLevel="0" collapsed="false">
      <c r="A174" s="342"/>
      <c r="B174" s="153"/>
      <c r="C174" s="153"/>
      <c r="D174" s="324"/>
      <c r="E174" s="32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25"/>
      <c r="AJ176" s="59"/>
      <c r="AK176" s="59"/>
      <c r="AL176" s="59"/>
      <c r="AM176" s="59"/>
    </row>
    <row r="177" customFormat="false" ht="12.75" hidden="false" customHeight="true" outlineLevel="0" collapsed="false">
      <c r="A177" s="342"/>
      <c r="B177" s="153"/>
      <c r="C177" s="153"/>
      <c r="D177" s="324"/>
      <c r="E177" s="325"/>
      <c r="AJ177" s="59"/>
      <c r="AK177" s="59"/>
      <c r="AL177" s="59"/>
      <c r="AM177" s="59"/>
    </row>
    <row r="178" customFormat="false" ht="12.75" hidden="false" customHeight="true" outlineLevel="0" collapsed="false">
      <c r="A178" s="342"/>
      <c r="B178" s="62"/>
      <c r="C178" s="332"/>
      <c r="D178" s="346"/>
      <c r="E178" s="330"/>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0</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AJ188" s="59"/>
      <c r="AK188" s="59"/>
      <c r="AL188" s="59"/>
      <c r="AM188" s="59"/>
    </row>
    <row r="189" customFormat="false" ht="12.75" hidden="false" customHeight="true" outlineLevel="0" collapsed="false">
      <c r="A189" s="352" t="s">
        <v>331</v>
      </c>
      <c r="B189" s="350"/>
      <c r="C189" s="350"/>
      <c r="D189" s="350"/>
      <c r="E189" s="350"/>
      <c r="F189" s="350"/>
      <c r="M189" s="351"/>
      <c r="O189" s="59"/>
      <c r="P189" s="59"/>
      <c r="Q189" s="59"/>
      <c r="R189" s="59"/>
    </row>
    <row r="190" customFormat="false" ht="12.75" hidden="false" customHeight="true" outlineLevel="0" collapsed="false">
      <c r="A190" s="355" t="s">
        <v>332</v>
      </c>
      <c r="B190" s="356" t="s">
        <v>268</v>
      </c>
      <c r="C190" s="357" t="s">
        <v>333</v>
      </c>
      <c r="D190" s="358" t="s">
        <v>334</v>
      </c>
      <c r="E190" s="404" t="s">
        <v>269</v>
      </c>
      <c r="F190" s="404"/>
      <c r="G190" s="350"/>
      <c r="H190" s="350"/>
      <c r="I190" s="350"/>
      <c r="J190" s="350"/>
      <c r="K190" s="350"/>
      <c r="L190" s="350"/>
      <c r="M190" s="354" t="s">
        <v>270</v>
      </c>
      <c r="O190" s="59"/>
      <c r="P190" s="59"/>
      <c r="Q190" s="59"/>
      <c r="R190" s="59"/>
    </row>
    <row r="191" customFormat="false" ht="12.75" hidden="false" customHeight="true" outlineLevel="0" collapsed="false">
      <c r="A191" s="360"/>
      <c r="B191" s="361"/>
      <c r="C191" s="362"/>
      <c r="D191" s="324"/>
      <c r="E191" s="153"/>
      <c r="F191" s="153"/>
      <c r="G191" s="353"/>
      <c r="H191" s="353"/>
      <c r="I191" s="353"/>
      <c r="J191" s="353"/>
      <c r="K191" s="353"/>
      <c r="L191" s="3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c r="O195" s="59"/>
      <c r="P195" s="59"/>
      <c r="Q195" s="59"/>
      <c r="R195" s="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153"/>
      <c r="M213" s="359"/>
    </row>
    <row r="214" customFormat="false" ht="12.75" hidden="false" customHeight="true" outlineLevel="0" collapsed="false">
      <c r="A214" s="363"/>
      <c r="B214" s="361"/>
      <c r="C214" s="367"/>
      <c r="D214" s="324"/>
      <c r="E214" s="153"/>
      <c r="F214" s="153"/>
      <c r="G214" s="153"/>
      <c r="H214" s="153"/>
      <c r="I214" s="153"/>
      <c r="J214" s="153"/>
      <c r="K214" s="153"/>
      <c r="L214" s="153"/>
      <c r="M214" s="366" t="n">
        <f aca="false">SUM(M191:M213)</f>
        <v>0</v>
      </c>
    </row>
    <row r="215" customFormat="false" ht="12.75" hidden="false" customHeight="true" outlineLevel="0" collapsed="false">
      <c r="A215" s="368"/>
      <c r="B215" s="369"/>
      <c r="C215" s="340"/>
      <c r="D215" s="340"/>
      <c r="E215" s="340"/>
      <c r="F215" s="340"/>
      <c r="G215" s="153"/>
      <c r="H215" s="153"/>
      <c r="I215" s="153"/>
      <c r="J215" s="153"/>
      <c r="K215" s="153"/>
      <c r="L215" s="336" t="s">
        <v>335</v>
      </c>
      <c r="M215" s="341"/>
    </row>
    <row r="216" customFormat="false" ht="12.75" hidden="false" customHeight="true" outlineLevel="0" collapsed="false">
      <c r="G216" s="340"/>
      <c r="H216" s="340"/>
      <c r="I216" s="340"/>
      <c r="J216" s="340"/>
      <c r="K216" s="340"/>
      <c r="L216" s="340"/>
    </row>
    <row r="217" customFormat="false" ht="12.75" hidden="false" customHeight="true" outlineLevel="0" collapsed="false"/>
    <row r="218" customFormat="false" ht="12.75" hidden="false" customHeight="true" outlineLevel="0" collapsed="false">
      <c r="A218" s="371" t="s">
        <v>336</v>
      </c>
      <c r="B218" s="372"/>
      <c r="C218" s="372"/>
      <c r="D218" s="372"/>
      <c r="E218" s="372"/>
      <c r="F218" s="373"/>
      <c r="M218" s="370"/>
      <c r="N218" s="370"/>
    </row>
    <row r="219" customFormat="false" ht="12.75" hidden="false" customHeight="true" outlineLevel="0" collapsed="false">
      <c r="A219" s="374" t="s">
        <v>332</v>
      </c>
      <c r="B219" s="375" t="s">
        <v>268</v>
      </c>
      <c r="C219" s="376" t="s">
        <v>333</v>
      </c>
      <c r="D219" s="377" t="s">
        <v>334</v>
      </c>
      <c r="E219" s="377"/>
      <c r="F219" s="378" t="s">
        <v>270</v>
      </c>
      <c r="G219" s="370"/>
      <c r="H219" s="370"/>
      <c r="I219" s="370"/>
      <c r="J219" s="370"/>
      <c r="K219" s="370"/>
      <c r="L219" s="370"/>
      <c r="M219" s="370"/>
      <c r="N219" s="370"/>
    </row>
    <row r="220" customFormat="false" ht="12.75" hidden="false" customHeight="true" outlineLevel="0" collapsed="false">
      <c r="A220" s="380"/>
      <c r="B220" s="361"/>
      <c r="C220" s="381"/>
      <c r="D220" s="153"/>
      <c r="E220" s="382"/>
      <c r="F220" s="383"/>
      <c r="G220" s="370"/>
      <c r="H220" s="370"/>
      <c r="I220" s="370"/>
      <c r="J220" s="370"/>
      <c r="K220" s="370"/>
      <c r="L220" s="370"/>
      <c r="M220" s="379"/>
      <c r="N220" s="379"/>
    </row>
    <row r="221" customFormat="false" ht="12.75" hidden="false" customHeight="true" outlineLevel="0" collapsed="false">
      <c r="A221" s="380"/>
      <c r="B221" s="361"/>
      <c r="C221" s="370"/>
      <c r="D221" s="385"/>
      <c r="E221" s="382"/>
      <c r="F221" s="405"/>
      <c r="G221" s="379"/>
      <c r="H221" s="379"/>
      <c r="I221" s="379"/>
      <c r="J221" s="379"/>
      <c r="K221" s="379"/>
      <c r="L221" s="379"/>
      <c r="M221" s="379"/>
      <c r="N221" s="379"/>
    </row>
    <row r="222" customFormat="false" ht="12.75" hidden="false" customHeight="true" outlineLevel="0" collapsed="false">
      <c r="A222" s="380"/>
      <c r="B222" s="361"/>
      <c r="C222" s="370"/>
      <c r="D222" s="385"/>
      <c r="E222" s="382"/>
      <c r="F222" s="384"/>
      <c r="G222" s="379"/>
      <c r="H222" s="379"/>
      <c r="I222" s="379"/>
      <c r="J222" s="379"/>
      <c r="K222" s="379"/>
      <c r="L222" s="379"/>
      <c r="M222" s="370"/>
      <c r="N222" s="370"/>
    </row>
    <row r="223" customFormat="false" ht="12.75" hidden="false" customHeight="true" outlineLevel="0" collapsed="false">
      <c r="A223" s="380"/>
      <c r="B223" s="361"/>
      <c r="C223" s="370"/>
      <c r="D223" s="385"/>
      <c r="E223" s="382"/>
      <c r="F223" s="384"/>
      <c r="G223" s="370"/>
      <c r="H223" s="370"/>
      <c r="I223" s="370"/>
      <c r="J223" s="370"/>
      <c r="K223" s="370"/>
      <c r="L223" s="370"/>
      <c r="M223" s="370"/>
      <c r="N223" s="370"/>
    </row>
    <row r="224" customFormat="false" ht="12.75" hidden="false" customHeight="true" outlineLevel="0" collapsed="false">
      <c r="A224" s="380"/>
      <c r="B224" s="361"/>
      <c r="C224" s="370"/>
      <c r="D224" s="385"/>
      <c r="E224" s="382"/>
      <c r="F224" s="384"/>
      <c r="G224" s="370"/>
      <c r="H224" s="370"/>
      <c r="I224" s="370"/>
      <c r="J224" s="370"/>
      <c r="K224" s="370"/>
      <c r="L224" s="370"/>
      <c r="M224" s="370"/>
      <c r="N224" s="370"/>
    </row>
    <row r="225" customFormat="false" ht="12.75" hidden="false" customHeight="true" outlineLevel="0" collapsed="false">
      <c r="A225" s="380"/>
      <c r="B225" s="361"/>
      <c r="C225" s="370"/>
      <c r="D225" s="385"/>
      <c r="E225" s="382"/>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4"/>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6" t="n">
        <f aca="false">SUM(F219:F237)</f>
        <v>0</v>
      </c>
      <c r="G238" s="370"/>
      <c r="H238" s="370"/>
      <c r="I238" s="370"/>
      <c r="J238" s="370"/>
      <c r="K238" s="370"/>
      <c r="L238" s="370"/>
      <c r="M238" s="370"/>
      <c r="N238" s="370"/>
    </row>
    <row r="239" customFormat="false" ht="12.75" hidden="false" customHeight="true" outlineLevel="0" collapsed="false">
      <c r="A239" s="388"/>
      <c r="B239" s="389"/>
      <c r="C239" s="390"/>
      <c r="D239" s="390"/>
      <c r="E239" s="391"/>
      <c r="F239" s="387"/>
      <c r="G239" s="370"/>
      <c r="H239" s="370"/>
      <c r="I239" s="370"/>
      <c r="J239" s="370"/>
      <c r="K239" s="370"/>
      <c r="L239" s="370"/>
      <c r="M239" s="370"/>
      <c r="N239" s="370"/>
    </row>
    <row r="240" customFormat="false" ht="12.75" hidden="false" customHeight="true" outlineLevel="0" collapsed="false">
      <c r="G240" s="370"/>
      <c r="H240" s="370"/>
      <c r="I240" s="370"/>
      <c r="J240" s="370"/>
      <c r="K240" s="370"/>
      <c r="L240" s="370"/>
    </row>
  </sheetData>
  <mergeCells count="10">
    <mergeCell ref="S6:T6"/>
    <mergeCell ref="K28:L28"/>
    <mergeCell ref="A41:B41"/>
    <mergeCell ref="AI42:AJ42"/>
    <mergeCell ref="A79:B79"/>
    <mergeCell ref="A121:B121"/>
    <mergeCell ref="B125:D125"/>
    <mergeCell ref="G125:K125"/>
    <mergeCell ref="E190:F190"/>
    <mergeCell ref="D219:E219"/>
  </mergeCells>
  <printOptions headings="false" gridLines="false" gridLinesSet="true" horizontalCentered="true" verticalCentered="false"/>
  <pageMargins left="0.25" right="0.25" top="0.25" bottom="0.25" header="0.511811023622047" footer="0.25"/>
  <pageSetup paperSize="5" scale="100" fitToWidth="1" fitToHeight="1" pageOrder="downThenOver" orientation="landscape" blackAndWhite="false" draft="false" cellComments="none" horizontalDpi="300" verticalDpi="300" copies="1"/>
  <headerFooter differentFirst="false" differentOddEven="false">
    <oddHeader/>
    <oddFooter>&amp;L&amp;"Times New Roman,Italic"&amp;F/&amp;A  Prepared By: S. Mills (x3548)&amp;R&amp;"Times New Roman,Italic"&amp;D &amp;T</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42"/>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D21" activeCellId="0" sqref="D21"/>
    </sheetView>
  </sheetViews>
  <sheetFormatPr defaultColWidth="9.13671875" defaultRowHeight="12.75" customHeight="true" zeroHeight="false" outlineLevelRow="0" outlineLevelCol="0"/>
  <cols>
    <col collapsed="false" customWidth="true" hidden="false" outlineLevel="0" max="1" min="1" style="394" width="16.84"/>
    <col collapsed="false" customWidth="true" hidden="false" outlineLevel="0" max="2" min="2" style="600" width="4.28"/>
    <col collapsed="false" customWidth="true" hidden="false" outlineLevel="0" max="3" min="3" style="59" width="2.28"/>
    <col collapsed="false" customWidth="true" hidden="false" outlineLevel="0" max="4" min="4" style="59" width="9.85"/>
    <col collapsed="false" customWidth="true" hidden="true" outlineLevel="0" max="5" min="5" style="601" width="10.71"/>
    <col collapsed="false" customWidth="true" hidden="false" outlineLevel="0" max="6" min="6" style="59" width="12.42"/>
    <col collapsed="false" customWidth="false" hidden="false" outlineLevel="0" max="8" min="7" style="59" width="9.14"/>
    <col collapsed="false" customWidth="true" hidden="false" outlineLevel="0" max="9" min="9" style="59" width="4.41"/>
    <col collapsed="false" customWidth="false" hidden="false" outlineLevel="0" max="257" min="10" style="59" width="9.14"/>
  </cols>
  <sheetData>
    <row r="1" customFormat="false" ht="12.75" hidden="false" customHeight="false" outlineLevel="0" collapsed="false">
      <c r="G1" s="602" t="s">
        <v>384</v>
      </c>
      <c r="H1" s="603"/>
      <c r="I1" s="603"/>
      <c r="J1" s="604" t="n">
        <v>1.4539</v>
      </c>
    </row>
    <row r="2" customFormat="false" ht="12.75" hidden="false" customHeight="false" outlineLevel="0" collapsed="false">
      <c r="D2" s="605" t="s">
        <v>385</v>
      </c>
      <c r="E2" s="606" t="s">
        <v>386</v>
      </c>
      <c r="F2" s="605" t="s">
        <v>387</v>
      </c>
      <c r="G2" s="607" t="s">
        <v>388</v>
      </c>
      <c r="H2" s="608"/>
      <c r="I2" s="608"/>
      <c r="J2" s="609" t="n">
        <v>1.48332068965517</v>
      </c>
    </row>
    <row r="3" customFormat="false" ht="12.75" hidden="false" customHeight="true" outlineLevel="0" collapsed="false">
      <c r="A3" s="610"/>
      <c r="B3" s="611"/>
      <c r="C3" s="251"/>
      <c r="D3" s="612" t="s">
        <v>389</v>
      </c>
      <c r="E3" s="613" t="s">
        <v>390</v>
      </c>
      <c r="F3" s="612" t="s">
        <v>391</v>
      </c>
      <c r="G3" s="62"/>
    </row>
    <row r="4" customFormat="false" ht="12.75" hidden="false" customHeight="false" outlineLevel="0" collapsed="false">
      <c r="A4" s="394" t="n">
        <f aca="false">PriceAlberta!C$44</f>
        <v>36831</v>
      </c>
      <c r="B4" s="614" t="str">
        <f aca="false">PriceAlberta!C$45</f>
        <v>W</v>
      </c>
      <c r="D4" s="615" t="n">
        <v>1.5332</v>
      </c>
      <c r="E4" s="601" t="n">
        <f aca="false">D4</f>
        <v>1.5332</v>
      </c>
      <c r="F4" s="616" t="str">
        <f aca="false">IF(A4=PriceAlberta!$B$5,SpotRates!E4,"")</f>
        <v/>
      </c>
      <c r="G4" s="617"/>
    </row>
    <row r="5" customFormat="false" ht="12.75" hidden="false" customHeight="false" outlineLevel="0" collapsed="false">
      <c r="A5" s="394" t="n">
        <f aca="false">PriceAlberta!D$44</f>
        <v>36832</v>
      </c>
      <c r="B5" s="614" t="str">
        <f aca="false">PriceAlberta!D$45</f>
        <v>R</v>
      </c>
      <c r="D5" s="618" t="n">
        <v>1.531</v>
      </c>
      <c r="E5" s="601" t="n">
        <f aca="false">AVERAGE(D$4:D5)</f>
        <v>1.5321</v>
      </c>
      <c r="F5" s="616" t="str">
        <f aca="false">IF(A5=PriceAlberta!$B$5,SpotRates!E5,"")</f>
        <v/>
      </c>
    </row>
    <row r="6" customFormat="false" ht="12.75" hidden="false" customHeight="false" outlineLevel="0" collapsed="false">
      <c r="A6" s="394" t="n">
        <f aca="false">PriceAlberta!E$44</f>
        <v>36833</v>
      </c>
      <c r="B6" s="614" t="str">
        <f aca="false">PriceAlberta!E$45</f>
        <v>F</v>
      </c>
      <c r="D6" s="618" t="n">
        <v>1.532</v>
      </c>
      <c r="E6" s="601" t="n">
        <f aca="false">AVERAGE(D$4:D6)</f>
        <v>1.53206666666667</v>
      </c>
      <c r="F6" s="616" t="str">
        <f aca="false">IF(A6=PriceAlberta!$B$5,SpotRates!E6,"")</f>
        <v/>
      </c>
    </row>
    <row r="7" customFormat="false" ht="12.75" hidden="false" customHeight="false" outlineLevel="0" collapsed="false">
      <c r="A7" s="394" t="n">
        <f aca="false">PriceAlberta!F$44</f>
        <v>36834</v>
      </c>
      <c r="B7" s="614" t="str">
        <f aca="false">PriceAlberta!F$45</f>
        <v>S</v>
      </c>
      <c r="D7" s="618" t="n">
        <f aca="false">D6</f>
        <v>1.532</v>
      </c>
      <c r="E7" s="601" t="n">
        <f aca="false">AVERAGE(D$4:D7)</f>
        <v>1.53205</v>
      </c>
      <c r="F7" s="616" t="str">
        <f aca="false">IF(A7=PriceAlberta!$B$5,SpotRates!E7,"")</f>
        <v/>
      </c>
      <c r="H7" s="618" t="n">
        <v>1.522</v>
      </c>
      <c r="I7" s="619" t="s">
        <v>392</v>
      </c>
    </row>
    <row r="8" customFormat="false" ht="12.75" hidden="false" customHeight="false" outlineLevel="0" collapsed="false">
      <c r="A8" s="394" t="n">
        <f aca="false">PriceAlberta!G$44</f>
        <v>36835</v>
      </c>
      <c r="B8" s="614" t="str">
        <f aca="false">PriceAlberta!G$45</f>
        <v>S</v>
      </c>
      <c r="D8" s="618" t="n">
        <f aca="false">D7</f>
        <v>1.532</v>
      </c>
      <c r="E8" s="601" t="n">
        <f aca="false">AVERAGE(D$4:D8)</f>
        <v>1.53204</v>
      </c>
      <c r="F8" s="616" t="str">
        <f aca="false">IF(A8=PriceAlberta!$B$5,SpotRates!E8,"")</f>
        <v/>
      </c>
      <c r="H8" s="618"/>
    </row>
    <row r="9" customFormat="false" ht="12.75" hidden="false" customHeight="false" outlineLevel="0" collapsed="false">
      <c r="A9" s="394" t="n">
        <f aca="false">PriceAlberta!H$44</f>
        <v>36836</v>
      </c>
      <c r="B9" s="614" t="str">
        <f aca="false">PriceAlberta!H$45</f>
        <v>M</v>
      </c>
      <c r="D9" s="618" t="n">
        <v>1.53</v>
      </c>
      <c r="E9" s="601" t="n">
        <f aca="false">AVERAGE(D$4:D9)</f>
        <v>1.5317</v>
      </c>
      <c r="F9" s="601" t="str">
        <f aca="false">IF(A9=PriceAlberta!$B$5,SpotRates!E9,"")</f>
        <v/>
      </c>
    </row>
    <row r="10" customFormat="false" ht="13.5" hidden="false" customHeight="true" outlineLevel="0" collapsed="false">
      <c r="A10" s="394" t="n">
        <f aca="false">PriceAlberta!I$44</f>
        <v>36837</v>
      </c>
      <c r="B10" s="614" t="str">
        <f aca="false">PriceAlberta!I$45</f>
        <v>T</v>
      </c>
      <c r="D10" s="618" t="n">
        <v>1.5332</v>
      </c>
      <c r="E10" s="601" t="n">
        <f aca="false">AVERAGE(D$4:D10)</f>
        <v>1.53191428571429</v>
      </c>
      <c r="F10" s="616" t="str">
        <f aca="false">IF(A10=PriceAlberta!$B$5,SpotRates!E10,"")</f>
        <v/>
      </c>
    </row>
    <row r="11" customFormat="false" ht="13.5" hidden="false" customHeight="true" outlineLevel="0" collapsed="false">
      <c r="A11" s="394" t="n">
        <f aca="false">PriceAlberta!J$44</f>
        <v>36838</v>
      </c>
      <c r="B11" s="614" t="str">
        <f aca="false">PriceAlberta!J$45</f>
        <v>W</v>
      </c>
      <c r="D11" s="618" t="n">
        <v>1.54</v>
      </c>
      <c r="E11" s="601" t="n">
        <f aca="false">AVERAGE(D$4:D11)</f>
        <v>1.532925</v>
      </c>
      <c r="F11" s="616" t="str">
        <f aca="false">IF(A11=PriceAlberta!$B$5,SpotRates!E11,"")</f>
        <v/>
      </c>
    </row>
    <row r="12" customFormat="false" ht="12.75" hidden="false" customHeight="false" outlineLevel="0" collapsed="false">
      <c r="A12" s="394" t="n">
        <f aca="false">PriceAlberta!K$44</f>
        <v>36839</v>
      </c>
      <c r="B12" s="614" t="str">
        <f aca="false">PriceAlberta!K$45</f>
        <v>R</v>
      </c>
      <c r="D12" s="618" t="n">
        <v>1.548</v>
      </c>
      <c r="E12" s="601" t="n">
        <f aca="false">AVERAGE(D$4:D12)</f>
        <v>1.5346</v>
      </c>
      <c r="F12" s="616" t="str">
        <f aca="false">IF(A12=PriceAlberta!$B$5,SpotRates!E12,"")</f>
        <v/>
      </c>
    </row>
    <row r="13" customFormat="false" ht="12.75" hidden="false" customHeight="false" outlineLevel="0" collapsed="false">
      <c r="A13" s="394" t="n">
        <f aca="false">PriceAlberta!L$44</f>
        <v>36840</v>
      </c>
      <c r="B13" s="614" t="str">
        <f aca="false">PriceAlberta!L$45</f>
        <v>F</v>
      </c>
      <c r="D13" s="618" t="n">
        <v>1.5412</v>
      </c>
      <c r="E13" s="601" t="n">
        <f aca="false">AVERAGE(D$4:D13)</f>
        <v>1.53526</v>
      </c>
      <c r="F13" s="616" t="str">
        <f aca="false">IF(A13=PriceAlberta!$B$5,SpotRates!E13,"")</f>
        <v/>
      </c>
    </row>
    <row r="14" customFormat="false" ht="12.75" hidden="false" customHeight="false" outlineLevel="0" collapsed="false">
      <c r="A14" s="394" t="n">
        <f aca="false">PriceAlberta!M$44</f>
        <v>36841</v>
      </c>
      <c r="B14" s="614" t="str">
        <f aca="false">PriceAlberta!M$45</f>
        <v>S</v>
      </c>
      <c r="D14" s="618" t="n">
        <f aca="false">D13</f>
        <v>1.5412</v>
      </c>
      <c r="E14" s="601" t="n">
        <f aca="false">AVERAGE(D$4:D14)</f>
        <v>1.5358</v>
      </c>
      <c r="F14" s="616" t="str">
        <f aca="false">IF(A14=PriceAlberta!$B$5,SpotRates!E14,"")</f>
        <v/>
      </c>
    </row>
    <row r="15" customFormat="false" ht="12.75" hidden="false" customHeight="false" outlineLevel="0" collapsed="false">
      <c r="A15" s="394" t="n">
        <f aca="false">PriceAlberta!N$44</f>
        <v>36842</v>
      </c>
      <c r="B15" s="614" t="str">
        <f aca="false">PriceAlberta!N$45</f>
        <v>S</v>
      </c>
      <c r="D15" s="618" t="n">
        <f aca="false">D14</f>
        <v>1.5412</v>
      </c>
      <c r="E15" s="601" t="n">
        <f aca="false">AVERAGE(D$4:D15)</f>
        <v>1.53625</v>
      </c>
      <c r="F15" s="616" t="str">
        <f aca="false">IF(A15=PriceAlberta!$B$5,SpotRates!E15,"")</f>
        <v/>
      </c>
    </row>
    <row r="16" customFormat="false" ht="12.75" hidden="false" customHeight="false" outlineLevel="0" collapsed="false">
      <c r="A16" s="394" t="n">
        <f aca="false">PriceAlberta!O$44</f>
        <v>36843</v>
      </c>
      <c r="B16" s="614" t="str">
        <f aca="false">PriceAlberta!O$45</f>
        <v>M</v>
      </c>
      <c r="D16" s="618" t="n">
        <v>1.543</v>
      </c>
      <c r="E16" s="601" t="n">
        <f aca="false">AVERAGE(D$4:D16)</f>
        <v>1.53676923076923</v>
      </c>
      <c r="F16" s="616" t="str">
        <f aca="false">IF(A16=PriceAlberta!$B$5,SpotRates!E16,"")</f>
        <v/>
      </c>
    </row>
    <row r="17" customFormat="false" ht="12.75" hidden="false" customHeight="false" outlineLevel="0" collapsed="false">
      <c r="A17" s="394" t="n">
        <f aca="false">PriceAlberta!P$44</f>
        <v>36844</v>
      </c>
      <c r="B17" s="614" t="str">
        <f aca="false">PriceAlberta!P$45</f>
        <v>T</v>
      </c>
      <c r="D17" s="618" t="n">
        <v>1.5445</v>
      </c>
      <c r="E17" s="601" t="n">
        <f aca="false">AVERAGE(D$4:D17)</f>
        <v>1.53732142857143</v>
      </c>
      <c r="F17" s="616" t="str">
        <f aca="false">IF(A17=PriceAlberta!$B$5,SpotRates!E17,"")</f>
        <v/>
      </c>
    </row>
    <row r="18" customFormat="false" ht="12.75" hidden="false" customHeight="false" outlineLevel="0" collapsed="false">
      <c r="A18" s="394" t="n">
        <f aca="false">PriceAlberta!Q$44</f>
        <v>36845</v>
      </c>
      <c r="B18" s="614" t="str">
        <f aca="false">PriceAlberta!Q$45</f>
        <v>W</v>
      </c>
      <c r="D18" s="618" t="n">
        <v>1.553</v>
      </c>
      <c r="E18" s="601" t="n">
        <f aca="false">AVERAGE(D$4:D18)</f>
        <v>1.53836666666667</v>
      </c>
      <c r="F18" s="616" t="str">
        <f aca="false">IF(A18=PriceAlberta!$B$5,SpotRates!E18,"")</f>
        <v/>
      </c>
    </row>
    <row r="19" customFormat="false" ht="12.75" hidden="false" customHeight="false" outlineLevel="0" collapsed="false">
      <c r="A19" s="394" t="n">
        <f aca="false">PriceAlberta!R$44</f>
        <v>36846</v>
      </c>
      <c r="B19" s="614" t="str">
        <f aca="false">PriceAlberta!R$45</f>
        <v>R</v>
      </c>
      <c r="D19" s="618" t="n">
        <v>1.554</v>
      </c>
      <c r="E19" s="601" t="n">
        <f aca="false">AVERAGE(D$4:D19)</f>
        <v>1.53934375</v>
      </c>
      <c r="F19" s="616" t="str">
        <f aca="false">IF(A19=PriceAlberta!$B$5,SpotRates!E19,"")</f>
        <v/>
      </c>
    </row>
    <row r="20" customFormat="false" ht="12.75" hidden="false" customHeight="false" outlineLevel="0" collapsed="false">
      <c r="A20" s="394" t="n">
        <f aca="false">PriceAlberta!S$44</f>
        <v>36847</v>
      </c>
      <c r="B20" s="614" t="str">
        <f aca="false">PriceAlberta!S$45</f>
        <v>F</v>
      </c>
      <c r="D20" s="618" t="n">
        <v>1.5585</v>
      </c>
      <c r="E20" s="601" t="n">
        <f aca="false">AVERAGE(D$4:D20)</f>
        <v>1.54047058823529</v>
      </c>
      <c r="F20" s="616" t="n">
        <f aca="false">IF(A20=PriceAlberta!$B$5,SpotRates!E20,"")</f>
        <v>1.54047058823529</v>
      </c>
    </row>
    <row r="21" customFormat="false" ht="12.75" hidden="false" customHeight="false" outlineLevel="0" collapsed="false">
      <c r="A21" s="394" t="n">
        <f aca="false">PriceAlberta!T$44</f>
        <v>36848</v>
      </c>
      <c r="B21" s="614" t="str">
        <f aca="false">PriceAlberta!T$45</f>
        <v>S</v>
      </c>
      <c r="D21" s="618" t="n">
        <f aca="false">D20</f>
        <v>1.5585</v>
      </c>
      <c r="E21" s="601" t="n">
        <f aca="false">AVERAGE(D$4:D21)</f>
        <v>1.54147222222222</v>
      </c>
      <c r="F21" s="616" t="str">
        <f aca="false">IF(A21=PriceAlberta!$B$5,SpotRates!E21,"")</f>
        <v/>
      </c>
    </row>
    <row r="22" customFormat="false" ht="12.75" hidden="false" customHeight="false" outlineLevel="0" collapsed="false">
      <c r="A22" s="394" t="n">
        <f aca="false">PriceAlberta!U$44</f>
        <v>36849</v>
      </c>
      <c r="B22" s="614" t="str">
        <f aca="false">PriceAlberta!U$45</f>
        <v>S</v>
      </c>
      <c r="D22" s="618" t="n">
        <f aca="false">D21</f>
        <v>1.5585</v>
      </c>
      <c r="E22" s="601" t="n">
        <f aca="false">AVERAGE(D$4:D22)</f>
        <v>1.54236842105263</v>
      </c>
      <c r="F22" s="616" t="str">
        <f aca="false">IF(A22=PriceAlberta!$B$5,SpotRates!E22,"")</f>
        <v/>
      </c>
    </row>
    <row r="23" customFormat="false" ht="12.75" hidden="false" customHeight="false" outlineLevel="0" collapsed="false">
      <c r="A23" s="394" t="n">
        <f aca="false">PriceAlberta!V$44</f>
        <v>36850</v>
      </c>
      <c r="B23" s="614" t="str">
        <f aca="false">PriceAlberta!V$45</f>
        <v>M</v>
      </c>
      <c r="D23" s="618" t="n">
        <f aca="false">D22</f>
        <v>1.5585</v>
      </c>
      <c r="E23" s="601" t="n">
        <f aca="false">AVERAGE(D$4:D23)</f>
        <v>1.543175</v>
      </c>
      <c r="F23" s="616" t="str">
        <f aca="false">IF(A23=PriceAlberta!$B$5,SpotRates!E23,"")</f>
        <v/>
      </c>
    </row>
    <row r="24" customFormat="false" ht="12.75" hidden="false" customHeight="false" outlineLevel="0" collapsed="false">
      <c r="A24" s="394" t="n">
        <f aca="false">PriceAlberta!W$44</f>
        <v>36851</v>
      </c>
      <c r="B24" s="614" t="str">
        <f aca="false">PriceAlberta!W$45</f>
        <v>T</v>
      </c>
      <c r="D24" s="618" t="n">
        <f aca="false">D23</f>
        <v>1.5585</v>
      </c>
      <c r="E24" s="601" t="n">
        <f aca="false">AVERAGE(D$4:D24)</f>
        <v>1.54390476190476</v>
      </c>
      <c r="F24" s="616" t="str">
        <f aca="false">IF(A24=PriceAlberta!$B$5,SpotRates!E24,"")</f>
        <v/>
      </c>
    </row>
    <row r="25" customFormat="false" ht="12.75" hidden="false" customHeight="false" outlineLevel="0" collapsed="false">
      <c r="A25" s="394" t="n">
        <f aca="false">PriceAlberta!X$44</f>
        <v>36852</v>
      </c>
      <c r="B25" s="614" t="str">
        <f aca="false">PriceAlberta!X$45</f>
        <v>W</v>
      </c>
      <c r="D25" s="618" t="n">
        <f aca="false">D24</f>
        <v>1.5585</v>
      </c>
      <c r="E25" s="601" t="n">
        <f aca="false">AVERAGE(D$4:D25)</f>
        <v>1.54456818181818</v>
      </c>
      <c r="F25" s="616" t="str">
        <f aca="false">IF(A25=PriceAlberta!$B$5,SpotRates!E25,"")</f>
        <v/>
      </c>
    </row>
    <row r="26" customFormat="false" ht="12.75" hidden="false" customHeight="false" outlineLevel="0" collapsed="false">
      <c r="A26" s="394" t="n">
        <f aca="false">PriceAlberta!Y$44</f>
        <v>36853</v>
      </c>
      <c r="B26" s="614" t="str">
        <f aca="false">PriceAlberta!Y$45</f>
        <v>R</v>
      </c>
      <c r="D26" s="618" t="n">
        <f aca="false">D25</f>
        <v>1.5585</v>
      </c>
      <c r="E26" s="601" t="n">
        <f aca="false">AVERAGE(D$4:D26)</f>
        <v>1.54517391304348</v>
      </c>
      <c r="F26" s="616" t="str">
        <f aca="false">IF(A26=PriceAlberta!$B$5,SpotRates!E26,"")</f>
        <v/>
      </c>
    </row>
    <row r="27" customFormat="false" ht="12.75" hidden="false" customHeight="false" outlineLevel="0" collapsed="false">
      <c r="A27" s="394" t="n">
        <f aca="false">PriceAlberta!Z$44</f>
        <v>36854</v>
      </c>
      <c r="B27" s="614" t="str">
        <f aca="false">PriceAlberta!Z$45</f>
        <v>F</v>
      </c>
      <c r="D27" s="618" t="n">
        <f aca="false">D26</f>
        <v>1.5585</v>
      </c>
      <c r="E27" s="601" t="n">
        <f aca="false">AVERAGE(D$4:D27)</f>
        <v>1.54572916666667</v>
      </c>
      <c r="F27" s="616" t="str">
        <f aca="false">IF(A27=PriceAlberta!$B$5,SpotRates!E27,"")</f>
        <v/>
      </c>
    </row>
    <row r="28" customFormat="false" ht="12.75" hidden="false" customHeight="false" outlineLevel="0" collapsed="false">
      <c r="A28" s="394" t="n">
        <f aca="false">PriceAlberta!AA$44</f>
        <v>36855</v>
      </c>
      <c r="B28" s="614" t="str">
        <f aca="false">PriceAlberta!AA$45</f>
        <v>S</v>
      </c>
      <c r="D28" s="618" t="n">
        <f aca="false">D27</f>
        <v>1.5585</v>
      </c>
      <c r="E28" s="601" t="n">
        <f aca="false">AVERAGE(D$4:D28)</f>
        <v>1.54624</v>
      </c>
      <c r="F28" s="616" t="str">
        <f aca="false">IF(A28=PriceAlberta!$B$5,SpotRates!E28,"")</f>
        <v/>
      </c>
    </row>
    <row r="29" customFormat="false" ht="12.75" hidden="false" customHeight="false" outlineLevel="0" collapsed="false">
      <c r="A29" s="394" t="n">
        <f aca="false">PriceAlberta!AB$44</f>
        <v>36856</v>
      </c>
      <c r="B29" s="614" t="str">
        <f aca="false">PriceAlberta!AB$45</f>
        <v>S</v>
      </c>
      <c r="D29" s="618" t="n">
        <f aca="false">D28</f>
        <v>1.5585</v>
      </c>
      <c r="E29" s="601" t="n">
        <f aca="false">AVERAGE(D$4:D29)</f>
        <v>1.54671153846154</v>
      </c>
      <c r="F29" s="616" t="str">
        <f aca="false">IF(A29=PriceAlberta!$B$5,SpotRates!E29,"")</f>
        <v/>
      </c>
    </row>
    <row r="30" customFormat="false" ht="12.75" hidden="false" customHeight="false" outlineLevel="0" collapsed="false">
      <c r="A30" s="394" t="n">
        <f aca="false">PriceAlberta!AC$44</f>
        <v>36857</v>
      </c>
      <c r="B30" s="614" t="str">
        <f aca="false">PriceAlberta!AC$45</f>
        <v>M</v>
      </c>
      <c r="D30" s="618" t="n">
        <f aca="false">D29</f>
        <v>1.5585</v>
      </c>
      <c r="E30" s="601" t="n">
        <f aca="false">AVERAGE(D$4:D30)</f>
        <v>1.54714814814815</v>
      </c>
      <c r="F30" s="616" t="str">
        <f aca="false">IF(A30=PriceAlberta!$B$5,SpotRates!E30,"")</f>
        <v/>
      </c>
    </row>
    <row r="31" customFormat="false" ht="12.75" hidden="false" customHeight="false" outlineLevel="0" collapsed="false">
      <c r="A31" s="394" t="n">
        <f aca="false">PriceAlberta!AD$44</f>
        <v>36858</v>
      </c>
      <c r="B31" s="614" t="str">
        <f aca="false">PriceAlberta!AD$45</f>
        <v>T</v>
      </c>
      <c r="D31" s="618" t="n">
        <f aca="false">D30</f>
        <v>1.5585</v>
      </c>
      <c r="E31" s="601" t="n">
        <f aca="false">AVERAGE(D$4:D31)</f>
        <v>1.54755357142857</v>
      </c>
      <c r="F31" s="601" t="str">
        <f aca="false">IF(A31=PriceAlberta!$B$5,SpotRates!E31,"")</f>
        <v/>
      </c>
    </row>
    <row r="32" customFormat="false" ht="12.75" hidden="false" customHeight="false" outlineLevel="0" collapsed="false">
      <c r="A32" s="394" t="n">
        <f aca="false">PriceAlberta!AE$44</f>
        <v>36859</v>
      </c>
      <c r="B32" s="614" t="str">
        <f aca="false">PriceAlberta!AE$45</f>
        <v>W</v>
      </c>
      <c r="D32" s="618" t="n">
        <f aca="false">D31</f>
        <v>1.5585</v>
      </c>
      <c r="E32" s="601" t="n">
        <f aca="false">AVERAGE(D$4:D32)</f>
        <v>1.54793103448276</v>
      </c>
      <c r="F32" s="616" t="str">
        <f aca="false">IF(A32=PriceAlberta!$B$5,SpotRates!E32,"")</f>
        <v/>
      </c>
    </row>
    <row r="33" customFormat="false" ht="12.75" hidden="false" customHeight="false" outlineLevel="0" collapsed="false">
      <c r="A33" s="394" t="n">
        <f aca="false">PriceAlberta!AF$44</f>
        <v>36860</v>
      </c>
      <c r="B33" s="614" t="str">
        <f aca="false">PriceAlberta!AF$45</f>
        <v>R</v>
      </c>
      <c r="D33" s="618" t="n">
        <f aca="false">D32</f>
        <v>1.5585</v>
      </c>
      <c r="E33" s="601" t="n">
        <f aca="false">AVERAGE(D$4:D33)</f>
        <v>1.54828333333333</v>
      </c>
      <c r="F33" s="616" t="str">
        <f aca="false">IF(A33=PriceAlberta!$B$5,SpotRates!E33,"")</f>
        <v/>
      </c>
    </row>
    <row r="34" customFormat="false" ht="12.75" hidden="false" customHeight="false" outlineLevel="0" collapsed="false">
      <c r="A34" s="394" t="n">
        <f aca="false">PriceAlberta!AG$44</f>
        <v>36861</v>
      </c>
      <c r="B34" s="614" t="str">
        <f aca="false">PriceAlberta!AG$45</f>
        <v>F</v>
      </c>
      <c r="D34" s="618" t="n">
        <f aca="false">D33</f>
        <v>1.5585</v>
      </c>
      <c r="E34" s="601" t="n">
        <f aca="false">AVERAGE(D$4:D34)</f>
        <v>1.54861290322581</v>
      </c>
      <c r="F34" s="616" t="str">
        <f aca="false">IF(A34=PriceAlberta!$B$5,SpotRates!E34,"")</f>
        <v/>
      </c>
    </row>
    <row r="35" customFormat="false" ht="12.75" hidden="false" customHeight="false" outlineLevel="0" collapsed="false">
      <c r="D35" s="620"/>
      <c r="F35" s="616"/>
    </row>
    <row r="36" customFormat="false" ht="12.75" hidden="false" customHeight="false" outlineLevel="0" collapsed="false">
      <c r="A36" s="394" t="s">
        <v>393</v>
      </c>
      <c r="D36" s="620" t="n">
        <f aca="false">D34</f>
        <v>1.5585</v>
      </c>
      <c r="F36" s="621" t="n">
        <f aca="false">SUM(F4:F34)</f>
        <v>1.54047058823529</v>
      </c>
    </row>
    <row r="37" customFormat="false" ht="12.75" hidden="false" customHeight="false" outlineLevel="0" collapsed="false">
      <c r="D37" s="622"/>
      <c r="F37" s="623"/>
    </row>
    <row r="38" customFormat="false" ht="12.75" hidden="false" customHeight="false" outlineLevel="0" collapsed="false">
      <c r="F38" s="623"/>
    </row>
    <row r="39" customFormat="false" ht="12.75" hidden="false" customHeight="false" outlineLevel="0" collapsed="false">
      <c r="F39" s="623"/>
    </row>
    <row r="40" customFormat="false" ht="12.75" hidden="false" customHeight="false" outlineLevel="0" collapsed="false">
      <c r="F40" s="623"/>
    </row>
    <row r="42" customFormat="false" ht="15" hidden="false" customHeight="true" outlineLevel="0" collapsed="false"/>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G2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624" width="20.13"/>
    <col collapsed="false" customWidth="true" hidden="false" outlineLevel="0" max="2" min="2" style="624" width="46.28"/>
    <col collapsed="false" customWidth="true" hidden="false" outlineLevel="0" max="3" min="3" style="624" width="11.56"/>
    <col collapsed="false" customWidth="true" hidden="false" outlineLevel="0" max="4" min="4" style="625" width="9.99"/>
    <col collapsed="false" customWidth="true" hidden="false" outlineLevel="0" max="5" min="5" style="626" width="9.14"/>
    <col collapsed="false" customWidth="true" hidden="false" outlineLevel="0" max="6" min="6" style="625" width="14.41"/>
    <col collapsed="false" customWidth="true" hidden="false" outlineLevel="0" max="7" min="7" style="627" width="63.7"/>
  </cols>
  <sheetData>
    <row r="1" customFormat="false" ht="16.5" hidden="false" customHeight="false" outlineLevel="0" collapsed="false">
      <c r="A1" s="628" t="s">
        <v>394</v>
      </c>
    </row>
    <row r="2" customFormat="false" ht="12.75" hidden="false" customHeight="false" outlineLevel="0" collapsed="false">
      <c r="A2" s="629" t="s">
        <v>395</v>
      </c>
      <c r="B2" s="630" t="n">
        <f aca="false">+AlbertaIndex!B5</f>
        <v>36847</v>
      </c>
      <c r="C2" s="630"/>
      <c r="D2" s="631"/>
    </row>
    <row r="4" customFormat="false" ht="12.75" hidden="false" customHeight="false" outlineLevel="0" collapsed="false">
      <c r="A4" s="632" t="s">
        <v>396</v>
      </c>
      <c r="B4" s="632" t="s">
        <v>397</v>
      </c>
      <c r="C4" s="633" t="s">
        <v>398</v>
      </c>
      <c r="D4" s="634" t="s">
        <v>399</v>
      </c>
      <c r="E4" s="634" t="s">
        <v>400</v>
      </c>
      <c r="F4" s="633" t="s">
        <v>401</v>
      </c>
      <c r="G4" s="635" t="s">
        <v>402</v>
      </c>
    </row>
    <row r="6" customFormat="false" ht="12.75" hidden="false" customHeight="false" outlineLevel="0" collapsed="false">
      <c r="A6" s="624" t="s">
        <v>403</v>
      </c>
      <c r="B6" s="624" t="s">
        <v>404</v>
      </c>
      <c r="C6" s="625" t="n">
        <v>1.15</v>
      </c>
      <c r="D6" s="625" t="s">
        <v>405</v>
      </c>
      <c r="E6" s="626" t="n">
        <v>0.08</v>
      </c>
      <c r="F6" s="625" t="s">
        <v>406</v>
      </c>
    </row>
    <row r="7" customFormat="false" ht="12.75" hidden="false" customHeight="false" outlineLevel="0" collapsed="false">
      <c r="A7" s="624" t="s">
        <v>407</v>
      </c>
      <c r="B7" s="624" t="s">
        <v>408</v>
      </c>
      <c r="C7" s="625" t="s">
        <v>409</v>
      </c>
      <c r="D7" s="625" t="s">
        <v>405</v>
      </c>
      <c r="E7" s="626" t="n">
        <v>0.12</v>
      </c>
      <c r="F7" s="625" t="s">
        <v>406</v>
      </c>
      <c r="G7" s="627" t="s">
        <v>410</v>
      </c>
    </row>
    <row r="8" customFormat="false" ht="12.75" hidden="false" customHeight="false" outlineLevel="0" collapsed="false">
      <c r="A8" s="624" t="s">
        <v>411</v>
      </c>
      <c r="B8" s="624" t="s">
        <v>412</v>
      </c>
      <c r="C8" s="625" t="s">
        <v>409</v>
      </c>
      <c r="D8" s="625" t="s">
        <v>405</v>
      </c>
      <c r="E8" s="626" t="n">
        <v>0.12</v>
      </c>
      <c r="F8" s="625" t="s">
        <v>406</v>
      </c>
      <c r="G8" s="627" t="s">
        <v>410</v>
      </c>
    </row>
    <row r="9" customFormat="false" ht="12.75" hidden="false" customHeight="false" outlineLevel="0" collapsed="false">
      <c r="A9" s="624" t="s">
        <v>413</v>
      </c>
      <c r="B9" s="624" t="s">
        <v>414</v>
      </c>
      <c r="C9" s="625" t="s">
        <v>409</v>
      </c>
      <c r="D9" s="625" t="s">
        <v>405</v>
      </c>
      <c r="E9" s="626" t="n">
        <v>0.12</v>
      </c>
      <c r="F9" s="625" t="s">
        <v>406</v>
      </c>
      <c r="G9" s="627" t="s">
        <v>410</v>
      </c>
    </row>
    <row r="10" customFormat="false" ht="12.75" hidden="false" customHeight="false" outlineLevel="0" collapsed="false">
      <c r="A10" s="624" t="s">
        <v>415</v>
      </c>
      <c r="B10" s="624" t="s">
        <v>416</v>
      </c>
      <c r="C10" s="625" t="n">
        <v>4.58</v>
      </c>
      <c r="D10" s="625" t="s">
        <v>417</v>
      </c>
      <c r="E10" s="626" t="n">
        <v>0.368</v>
      </c>
      <c r="F10" s="625" t="s">
        <v>418</v>
      </c>
    </row>
    <row r="11" customFormat="false" ht="12.75" hidden="false" customHeight="false" outlineLevel="0" collapsed="false">
      <c r="A11" s="624" t="s">
        <v>419</v>
      </c>
      <c r="B11" s="624" t="s">
        <v>420</v>
      </c>
      <c r="C11" s="625" t="n">
        <v>7.68</v>
      </c>
      <c r="D11" s="625" t="s">
        <v>405</v>
      </c>
      <c r="E11" s="626" t="n">
        <v>0.89</v>
      </c>
      <c r="F11" s="625" t="s">
        <v>406</v>
      </c>
      <c r="G11" s="627" t="s">
        <v>421</v>
      </c>
    </row>
    <row r="12" customFormat="false" ht="12.75" hidden="false" customHeight="false" outlineLevel="0" collapsed="false">
      <c r="A12" s="624" t="s">
        <v>422</v>
      </c>
      <c r="B12" s="624" t="s">
        <v>423</v>
      </c>
      <c r="C12" s="625" t="n">
        <v>2.63</v>
      </c>
      <c r="D12" s="625" t="s">
        <v>417</v>
      </c>
      <c r="E12" s="626" t="n">
        <v>0.3398</v>
      </c>
      <c r="F12" s="625" t="s">
        <v>406</v>
      </c>
    </row>
    <row r="13" customFormat="false" ht="12.75" hidden="false" customHeight="false" outlineLevel="0" collapsed="false">
      <c r="A13" s="624" t="s">
        <v>424</v>
      </c>
      <c r="B13" s="624" t="s">
        <v>425</v>
      </c>
      <c r="C13" s="625" t="n">
        <v>9.1</v>
      </c>
      <c r="D13" s="625" t="s">
        <v>405</v>
      </c>
      <c r="E13" s="626" t="n">
        <v>0.955</v>
      </c>
      <c r="F13" s="625" t="s">
        <v>406</v>
      </c>
      <c r="G13" s="627" t="s">
        <v>426</v>
      </c>
    </row>
    <row r="14" customFormat="false" ht="25.5" hidden="false" customHeight="false" outlineLevel="0" collapsed="false">
      <c r="A14" s="624" t="s">
        <v>427</v>
      </c>
      <c r="B14" s="624" t="s">
        <v>428</v>
      </c>
      <c r="C14" s="625" t="n">
        <v>2.67</v>
      </c>
      <c r="D14" s="625" t="s">
        <v>405</v>
      </c>
      <c r="E14" s="626" t="n">
        <v>0.347</v>
      </c>
      <c r="F14" s="625" t="s">
        <v>418</v>
      </c>
      <c r="G14" s="627" t="s">
        <v>429</v>
      </c>
    </row>
    <row r="15" customFormat="false" ht="12.75" hidden="false" customHeight="false" outlineLevel="0" collapsed="false">
      <c r="A15" s="624" t="s">
        <v>430</v>
      </c>
      <c r="B15" s="624" t="s">
        <v>431</v>
      </c>
      <c r="C15" s="625" t="n">
        <v>1.3</v>
      </c>
      <c r="D15" s="625" t="s">
        <v>405</v>
      </c>
      <c r="E15" s="626" t="n">
        <v>0.078</v>
      </c>
      <c r="F15" s="625" t="s">
        <v>406</v>
      </c>
    </row>
    <row r="16" customFormat="false" ht="12.75" hidden="false" customHeight="false" outlineLevel="0" collapsed="false">
      <c r="A16" s="624" t="s">
        <v>432</v>
      </c>
      <c r="B16" s="624" t="s">
        <v>433</v>
      </c>
      <c r="C16" s="625" t="n">
        <v>4.6</v>
      </c>
      <c r="D16" s="625" t="s">
        <v>405</v>
      </c>
      <c r="E16" s="626" t="n">
        <v>0.45</v>
      </c>
      <c r="F16" s="625" t="s">
        <v>418</v>
      </c>
    </row>
    <row r="17" customFormat="false" ht="12.75" hidden="false" customHeight="false" outlineLevel="0" collapsed="false">
      <c r="A17" s="624" t="s">
        <v>434</v>
      </c>
      <c r="B17" s="624" t="s">
        <v>435</v>
      </c>
      <c r="C17" s="625" t="n">
        <v>2.8</v>
      </c>
      <c r="D17" s="625" t="s">
        <v>417</v>
      </c>
      <c r="E17" s="626" t="n">
        <v>0.308</v>
      </c>
      <c r="F17" s="625" t="s">
        <v>418</v>
      </c>
    </row>
    <row r="18" customFormat="false" ht="12.75" hidden="false" customHeight="false" outlineLevel="0" collapsed="false">
      <c r="A18" s="624" t="s">
        <v>436</v>
      </c>
      <c r="B18" s="624" t="s">
        <v>437</v>
      </c>
      <c r="C18" s="625" t="n">
        <v>2.25</v>
      </c>
      <c r="D18" s="625" t="s">
        <v>405</v>
      </c>
      <c r="E18" s="626" t="n">
        <v>0.225</v>
      </c>
      <c r="F18" s="625" t="s">
        <v>406</v>
      </c>
    </row>
    <row r="19" customFormat="false" ht="12.75" hidden="false" customHeight="false" outlineLevel="0" collapsed="false">
      <c r="A19" s="624" t="s">
        <v>438</v>
      </c>
      <c r="B19" s="624" t="s">
        <v>439</v>
      </c>
      <c r="C19" s="625" t="n">
        <f aca="false">0.19+1.31</f>
        <v>1.5</v>
      </c>
      <c r="D19" s="625" t="s">
        <v>417</v>
      </c>
      <c r="E19" s="626" t="n">
        <v>0.4</v>
      </c>
      <c r="F19" s="625" t="s">
        <v>418</v>
      </c>
    </row>
    <row r="22" customFormat="false" ht="12.75" hidden="false" customHeight="false" outlineLevel="0" collapsed="false">
      <c r="A22" s="629" t="s">
        <v>440</v>
      </c>
    </row>
    <row r="23" customFormat="false" ht="12.75" hidden="false" customHeight="false" outlineLevel="0" collapsed="false">
      <c r="A23" s="629" t="s">
        <v>441</v>
      </c>
    </row>
    <row r="24" customFormat="false" ht="12.75" hidden="false" customHeight="false" outlineLevel="0" collapsed="false">
      <c r="A24" s="629" t="s">
        <v>442</v>
      </c>
    </row>
  </sheetData>
  <printOptions headings="false" gridLines="false" gridLinesSet="true" horizontalCentered="false" verticalCentered="false"/>
  <pageMargins left="0.25" right="0.229861111111111"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F2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6" activeCellId="0" sqref="D6"/>
    </sheetView>
  </sheetViews>
  <sheetFormatPr defaultColWidth="9.0546875" defaultRowHeight="12.75" customHeight="true" zeroHeight="false" outlineLevelRow="0" outlineLevelCol="0"/>
  <cols>
    <col collapsed="false" customWidth="true" hidden="false" outlineLevel="0" max="1" min="1" style="624" width="9.14"/>
    <col collapsed="false" customWidth="true" hidden="false" outlineLevel="0" max="2" min="2" style="0" width="10.99"/>
    <col collapsed="false" customWidth="true" hidden="false" outlineLevel="0" max="3" min="3" style="0" width="16.13"/>
    <col collapsed="false" customWidth="true" hidden="false" outlineLevel="0" max="4" min="4" style="636" width="13.28"/>
    <col collapsed="false" customWidth="true" hidden="false" outlineLevel="0" max="5" min="5" style="0" width="2.42"/>
    <col collapsed="false" customWidth="true" hidden="true" outlineLevel="0" max="6" min="6" style="637" width="61.56"/>
  </cols>
  <sheetData>
    <row r="1" customFormat="false" ht="16.5" hidden="false" customHeight="false" outlineLevel="0" collapsed="false">
      <c r="A1" s="628" t="s">
        <v>443</v>
      </c>
      <c r="B1" s="16"/>
    </row>
    <row r="2" customFormat="false" ht="12.75" hidden="false" customHeight="false" outlineLevel="0" collapsed="false">
      <c r="A2" s="629" t="s">
        <v>395</v>
      </c>
      <c r="B2" s="638" t="n">
        <f aca="false">+AlbertaIndex!B5</f>
        <v>36847</v>
      </c>
      <c r="C2" s="639"/>
      <c r="D2" s="640"/>
      <c r="E2" s="639"/>
    </row>
    <row r="6" customFormat="false" ht="38.25" hidden="false" customHeight="false" outlineLevel="0" collapsed="false">
      <c r="A6" s="624" t="s">
        <v>444</v>
      </c>
      <c r="D6" s="636" t="n">
        <f aca="false">-PrudCalc!V41</f>
        <v>-0</v>
      </c>
      <c r="F6" s="637" t="s">
        <v>445</v>
      </c>
    </row>
    <row r="8" customFormat="false" ht="38.25" hidden="false" customHeight="false" outlineLevel="0" collapsed="false">
      <c r="A8" s="624" t="s">
        <v>446</v>
      </c>
      <c r="D8" s="636" t="n">
        <f aca="false">-PrudCalc!Z41</f>
        <v>-0</v>
      </c>
      <c r="F8" s="637" t="s">
        <v>447</v>
      </c>
    </row>
    <row r="10" customFormat="false" ht="25.5" hidden="false" customHeight="false" outlineLevel="0" collapsed="false">
      <c r="A10" s="624" t="s">
        <v>448</v>
      </c>
      <c r="D10" s="636" t="n">
        <f aca="false">-PrudCalc!X41</f>
        <v>-0</v>
      </c>
      <c r="F10" s="637" t="s">
        <v>449</v>
      </c>
    </row>
    <row r="12" customFormat="false" ht="12.75" hidden="false" customHeight="false" outlineLevel="0" collapsed="false">
      <c r="A12" s="624" t="s">
        <v>450</v>
      </c>
      <c r="D12" s="636" t="n">
        <f aca="false">-PriceAlberta!E172</f>
        <v>353764</v>
      </c>
    </row>
    <row r="14" customFormat="false" ht="25.5" hidden="false" customHeight="false" outlineLevel="0" collapsed="false">
      <c r="A14" s="624" t="s">
        <v>451</v>
      </c>
      <c r="D14" s="636" t="n">
        <f aca="false">-PrudCalc!AD41</f>
        <v>-0</v>
      </c>
      <c r="F14" s="637" t="s">
        <v>452</v>
      </c>
    </row>
    <row r="16" customFormat="false" ht="12.75" hidden="false" customHeight="false" outlineLevel="0" collapsed="false">
      <c r="A16" s="624" t="s">
        <v>453</v>
      </c>
      <c r="D16" s="636" t="n">
        <f aca="false">-PriceAlberta!E174</f>
        <v>542237</v>
      </c>
      <c r="F16" s="637" t="s">
        <v>454</v>
      </c>
    </row>
    <row r="18" customFormat="false" ht="12.75" hidden="false" customHeight="false" outlineLevel="0" collapsed="false">
      <c r="A18" s="624" t="s">
        <v>455</v>
      </c>
      <c r="D18" s="636" t="n">
        <f aca="false">-PriceAlberta!E178</f>
        <v>140000</v>
      </c>
    </row>
    <row r="20" customFormat="false" ht="25.5" hidden="false" customHeight="false" outlineLevel="0" collapsed="false">
      <c r="A20" s="624" t="s">
        <v>456</v>
      </c>
      <c r="D20" s="636" t="n">
        <f aca="false">-PriceAlberta!E179</f>
        <v>-0</v>
      </c>
      <c r="F20" s="637" t="s">
        <v>457</v>
      </c>
    </row>
    <row r="22" customFormat="false" ht="12.75" hidden="false" customHeight="false" outlineLevel="0" collapsed="false">
      <c r="A22" s="641" t="s">
        <v>458</v>
      </c>
      <c r="B22" s="642"/>
      <c r="C22" s="642"/>
      <c r="D22" s="643" t="n">
        <f aca="false">SUM(D6:D21)</f>
        <v>1036001</v>
      </c>
    </row>
    <row r="24" customFormat="false" ht="12.75" hidden="false" customHeight="false" outlineLevel="0" collapsed="false">
      <c r="A24" s="644"/>
      <c r="B24" s="645"/>
      <c r="C24" s="645"/>
      <c r="D24" s="64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colBreaks count="1" manualBreakCount="1">
    <brk id="5" man="true" max="65535" min="0"/>
  </col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P6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1" ySplit="6" topLeftCell="B7" activePane="bottomRight" state="frozen"/>
      <selection pane="topLeft" activeCell="A1" activeCellId="0" sqref="A1"/>
      <selection pane="topRight" activeCell="B1" activeCellId="0" sqref="B1"/>
      <selection pane="bottomLeft" activeCell="A7" activeCellId="0" sqref="A7"/>
      <selection pane="bottomRight" activeCell="C8" activeCellId="0" sqref="C8"/>
    </sheetView>
  </sheetViews>
  <sheetFormatPr defaultColWidth="9.0546875" defaultRowHeight="12.75" customHeight="true" zeroHeight="false" outlineLevelRow="0" outlineLevelCol="0"/>
  <cols>
    <col collapsed="false" customWidth="true" hidden="false" outlineLevel="0" max="1" min="1" style="647" width="14.41"/>
    <col collapsed="false" customWidth="true" hidden="false" outlineLevel="0" max="2" min="2" style="0" width="1.56"/>
    <col collapsed="false" customWidth="true" hidden="false" outlineLevel="0" max="3" min="3" style="648" width="14.85"/>
    <col collapsed="false" customWidth="true" hidden="true" outlineLevel="0" max="4" min="4" style="648" width="2.28"/>
    <col collapsed="false" customWidth="true" hidden="false" outlineLevel="0" max="5" min="5" style="648" width="12.14"/>
    <col collapsed="false" customWidth="true" hidden="true" outlineLevel="0" max="6" min="6" style="648" width="2.56"/>
    <col collapsed="false" customWidth="true" hidden="false" outlineLevel="0" max="7" min="7" style="648" width="2.84"/>
    <col collapsed="false" customWidth="true" hidden="false" outlineLevel="0" max="8" min="8" style="648" width="8.85"/>
    <col collapsed="false" customWidth="true" hidden="true" outlineLevel="0" max="9" min="9" style="0" width="3.99"/>
    <col collapsed="false" customWidth="true" hidden="false" outlineLevel="0" max="10" min="10" style="0" width="9.7"/>
    <col collapsed="false" customWidth="true" hidden="true" outlineLevel="0" max="11" min="11" style="0" width="4.56"/>
    <col collapsed="false" customWidth="true" hidden="false" outlineLevel="0" max="12" min="12" style="648" width="10.56"/>
    <col collapsed="false" customWidth="true" hidden="true" outlineLevel="0" max="13" min="13" style="649" width="4.14"/>
    <col collapsed="false" customWidth="true" hidden="false" outlineLevel="0" max="14" min="14" style="648" width="18.56"/>
    <col collapsed="false" customWidth="true" hidden="true" outlineLevel="0" max="15" min="15" style="649" width="4.14"/>
    <col collapsed="false" customWidth="true" hidden="false" outlineLevel="0" max="16" min="16" style="648" width="21.28"/>
    <col collapsed="false" customWidth="true" hidden="false" outlineLevel="0" max="17" min="17" style="649" width="6.41"/>
    <col collapsed="false" customWidth="true" hidden="false" outlineLevel="0" max="18" min="18" style="649" width="2.84"/>
    <col collapsed="false" customWidth="true" hidden="false" outlineLevel="0" max="19" min="19" style="648" width="8.85"/>
    <col collapsed="false" customWidth="true" hidden="false" outlineLevel="0" max="20" min="20" style="648" width="1.7"/>
    <col collapsed="false" customWidth="true" hidden="false" outlineLevel="0" max="21" min="21" style="648" width="14.41"/>
    <col collapsed="false" customWidth="true" hidden="false" outlineLevel="0" max="22" min="22" style="648" width="9.41"/>
    <col collapsed="false" customWidth="true" hidden="false" outlineLevel="0" max="25" min="23" style="648" width="11.56"/>
    <col collapsed="false" customWidth="true" hidden="false" outlineLevel="0" max="29" min="26" style="648" width="9.41"/>
    <col collapsed="false" customWidth="true" hidden="false" outlineLevel="0" max="30" min="30" style="648" width="10.28"/>
    <col collapsed="false" customWidth="true" hidden="false" outlineLevel="0" max="32" min="31" style="648" width="11.28"/>
    <col collapsed="false" customWidth="true" hidden="false" outlineLevel="0" max="33" min="33" style="648" width="11.56"/>
    <col collapsed="false" customWidth="true" hidden="false" outlineLevel="0" max="34" min="34" style="0" width="13.14"/>
    <col collapsed="false" customWidth="true" hidden="false" outlineLevel="0" max="35" min="35" style="0" width="1.99"/>
    <col collapsed="false" customWidth="true" hidden="false" outlineLevel="0" max="36" min="36" style="648" width="11.42"/>
    <col collapsed="false" customWidth="true" hidden="false" outlineLevel="0" max="38" min="38" style="0" width="11.28"/>
    <col collapsed="false" customWidth="true" hidden="false" outlineLevel="0" max="41" min="41" style="0" width="15.56"/>
  </cols>
  <sheetData>
    <row r="1" customFormat="false" ht="12.75" hidden="false" customHeight="false" outlineLevel="0" collapsed="false">
      <c r="A1" s="650" t="s">
        <v>459</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1"/>
      <c r="AL1" s="1"/>
      <c r="AM1" s="1"/>
      <c r="AN1" s="1"/>
      <c r="AO1" s="1"/>
    </row>
    <row r="2" customFormat="false" ht="13.5" hidden="false" customHeight="false" outlineLevel="0" collapsed="false">
      <c r="A2" s="651"/>
      <c r="B2" s="652"/>
      <c r="C2" s="653"/>
      <c r="D2" s="653"/>
      <c r="E2" s="653"/>
      <c r="F2" s="653"/>
      <c r="G2" s="653"/>
      <c r="H2" s="653"/>
      <c r="I2" s="652"/>
      <c r="J2" s="652"/>
      <c r="K2" s="652"/>
      <c r="L2" s="653"/>
      <c r="M2" s="420"/>
      <c r="N2" s="653"/>
      <c r="O2" s="420"/>
      <c r="P2" s="653"/>
      <c r="Q2" s="420"/>
      <c r="R2" s="420"/>
      <c r="S2" s="653"/>
      <c r="T2" s="653"/>
      <c r="U2" s="653"/>
      <c r="V2" s="653"/>
      <c r="W2" s="653"/>
      <c r="X2" s="653"/>
      <c r="Y2" s="653"/>
      <c r="Z2" s="653"/>
      <c r="AA2" s="653"/>
      <c r="AB2" s="653"/>
      <c r="AC2" s="653"/>
      <c r="AD2" s="653"/>
      <c r="AE2" s="653"/>
      <c r="AF2" s="653"/>
      <c r="AG2" s="653"/>
      <c r="AH2" s="652"/>
      <c r="AI2" s="652"/>
      <c r="AJ2" s="653"/>
      <c r="AK2" s="1"/>
      <c r="AL2" s="1"/>
      <c r="AM2" s="1"/>
      <c r="AN2" s="1"/>
      <c r="AO2" s="1"/>
    </row>
    <row r="3" customFormat="false" ht="12.75" hidden="false" customHeight="false" outlineLevel="0" collapsed="false">
      <c r="A3" s="654"/>
      <c r="B3" s="655"/>
      <c r="C3" s="656" t="s">
        <v>460</v>
      </c>
      <c r="D3" s="657"/>
      <c r="E3" s="657"/>
      <c r="F3" s="657"/>
      <c r="G3" s="657"/>
      <c r="H3" s="657"/>
      <c r="I3" s="655"/>
      <c r="J3" s="655"/>
      <c r="K3" s="655"/>
      <c r="L3" s="657"/>
      <c r="M3" s="658"/>
      <c r="N3" s="657"/>
      <c r="O3" s="658"/>
      <c r="P3" s="657"/>
      <c r="Q3" s="659"/>
      <c r="R3" s="658"/>
      <c r="S3" s="657"/>
      <c r="T3" s="657"/>
      <c r="U3" s="657"/>
      <c r="V3" s="657"/>
      <c r="W3" s="657"/>
      <c r="X3" s="657"/>
      <c r="Y3" s="657"/>
      <c r="Z3" s="657"/>
      <c r="AB3" s="657"/>
      <c r="AC3" s="657"/>
      <c r="AD3" s="657"/>
      <c r="AE3" s="657"/>
      <c r="AF3" s="657"/>
      <c r="AG3" s="657"/>
      <c r="AH3" s="655"/>
      <c r="AI3" s="655"/>
      <c r="AJ3" s="657"/>
    </row>
    <row r="4" customFormat="false" ht="12.75" hidden="false" customHeight="false" outlineLevel="0" collapsed="false">
      <c r="C4" s="660" t="s">
        <v>461</v>
      </c>
      <c r="E4" s="661" t="s">
        <v>462</v>
      </c>
      <c r="F4" s="661"/>
      <c r="H4" s="661" t="s">
        <v>463</v>
      </c>
      <c r="L4" s="661" t="s">
        <v>463</v>
      </c>
      <c r="P4" s="657" t="s">
        <v>464</v>
      </c>
      <c r="Q4" s="412"/>
      <c r="X4" s="661" t="s">
        <v>465</v>
      </c>
      <c r="Y4" s="661" t="s">
        <v>466</v>
      </c>
      <c r="Z4" s="661"/>
      <c r="AC4" s="662" t="s">
        <v>467</v>
      </c>
      <c r="AJ4" s="661" t="s">
        <v>205</v>
      </c>
      <c r="AL4" s="661" t="s">
        <v>468</v>
      </c>
      <c r="AM4" s="648"/>
      <c r="AO4" s="647" t="s">
        <v>40</v>
      </c>
    </row>
    <row r="5" customFormat="false" ht="12.75" hidden="false" customHeight="false" outlineLevel="0" collapsed="false">
      <c r="B5" s="647"/>
      <c r="C5" s="660" t="s">
        <v>469</v>
      </c>
      <c r="D5" s="662"/>
      <c r="E5" s="661" t="s">
        <v>470</v>
      </c>
      <c r="F5" s="661"/>
      <c r="G5" s="662"/>
      <c r="H5" s="661" t="s">
        <v>385</v>
      </c>
      <c r="I5" s="647"/>
      <c r="J5" s="647"/>
      <c r="K5" s="647"/>
      <c r="L5" s="661" t="s">
        <v>471</v>
      </c>
      <c r="M5" s="663"/>
      <c r="N5" s="661" t="s">
        <v>472</v>
      </c>
      <c r="O5" s="663"/>
      <c r="P5" s="661" t="s">
        <v>473</v>
      </c>
      <c r="Q5" s="426" t="s">
        <v>474</v>
      </c>
      <c r="R5" s="663"/>
      <c r="S5" s="661" t="s">
        <v>385</v>
      </c>
      <c r="T5" s="662"/>
      <c r="U5" s="661" t="s">
        <v>475</v>
      </c>
      <c r="V5" s="661" t="s">
        <v>476</v>
      </c>
      <c r="W5" s="661" t="s">
        <v>477</v>
      </c>
      <c r="X5" s="661" t="s">
        <v>478</v>
      </c>
      <c r="Y5" s="661" t="s">
        <v>399</v>
      </c>
      <c r="Z5" s="661" t="s">
        <v>479</v>
      </c>
      <c r="AA5" s="661" t="s">
        <v>480</v>
      </c>
      <c r="AB5" s="661" t="s">
        <v>481</v>
      </c>
      <c r="AC5" s="661" t="s">
        <v>482</v>
      </c>
      <c r="AD5" s="661" t="s">
        <v>483</v>
      </c>
      <c r="AE5" s="661"/>
      <c r="AF5" s="662"/>
      <c r="AG5" s="661" t="s">
        <v>385</v>
      </c>
      <c r="AH5" s="661" t="s">
        <v>205</v>
      </c>
      <c r="AI5" s="647"/>
      <c r="AJ5" s="661" t="s">
        <v>385</v>
      </c>
      <c r="AK5" s="647"/>
      <c r="AL5" s="661" t="s">
        <v>484</v>
      </c>
      <c r="AM5" s="661" t="s">
        <v>385</v>
      </c>
      <c r="AN5" s="647"/>
      <c r="AO5" s="647" t="s">
        <v>485</v>
      </c>
    </row>
    <row r="6" customFormat="false" ht="13.5" hidden="false" customHeight="false" outlineLevel="0" collapsed="false">
      <c r="B6" s="647"/>
      <c r="C6" s="664" t="s">
        <v>486</v>
      </c>
      <c r="D6" s="662"/>
      <c r="E6" s="661"/>
      <c r="F6" s="661"/>
      <c r="G6" s="662"/>
      <c r="H6" s="661" t="s">
        <v>487</v>
      </c>
      <c r="I6" s="647"/>
      <c r="J6" s="647"/>
      <c r="K6" s="647"/>
      <c r="L6" s="661" t="s">
        <v>189</v>
      </c>
      <c r="M6" s="663"/>
      <c r="N6" s="661" t="s">
        <v>488</v>
      </c>
      <c r="O6" s="663"/>
      <c r="P6" s="661" t="s">
        <v>489</v>
      </c>
      <c r="Q6" s="426"/>
      <c r="R6" s="663"/>
      <c r="S6" s="661" t="s">
        <v>487</v>
      </c>
      <c r="T6" s="662"/>
      <c r="U6" s="661" t="s">
        <v>448</v>
      </c>
      <c r="V6" s="661" t="s">
        <v>490</v>
      </c>
      <c r="W6" s="661" t="s">
        <v>490</v>
      </c>
      <c r="X6" s="661" t="s">
        <v>448</v>
      </c>
      <c r="Y6" s="661" t="s">
        <v>490</v>
      </c>
      <c r="Z6" s="661" t="s">
        <v>490</v>
      </c>
      <c r="AA6" s="661" t="s">
        <v>448</v>
      </c>
      <c r="AB6" s="661" t="s">
        <v>448</v>
      </c>
      <c r="AC6" s="661" t="s">
        <v>189</v>
      </c>
      <c r="AD6" s="661" t="s">
        <v>490</v>
      </c>
      <c r="AE6" s="661" t="s">
        <v>205</v>
      </c>
      <c r="AF6" s="662"/>
      <c r="AG6" s="661" t="s">
        <v>487</v>
      </c>
      <c r="AH6" s="665" t="s">
        <v>189</v>
      </c>
      <c r="AI6" s="647"/>
      <c r="AJ6" s="661" t="s">
        <v>487</v>
      </c>
      <c r="AK6" s="647"/>
      <c r="AL6" s="661" t="s">
        <v>490</v>
      </c>
      <c r="AM6" s="661" t="s">
        <v>487</v>
      </c>
      <c r="AN6" s="647"/>
      <c r="AO6" s="647" t="s">
        <v>491</v>
      </c>
    </row>
    <row r="7" customFormat="false" ht="12.75" hidden="false" customHeight="false" outlineLevel="0" collapsed="false">
      <c r="C7" s="666"/>
      <c r="N7" s="657" t="s">
        <v>492</v>
      </c>
      <c r="Q7" s="412"/>
    </row>
    <row r="8" customFormat="false" ht="12.75" hidden="false" customHeight="false" outlineLevel="0" collapsed="false">
      <c r="A8" s="667" t="n">
        <v>36616</v>
      </c>
      <c r="C8" s="668" t="n">
        <v>0</v>
      </c>
      <c r="D8" s="669"/>
      <c r="E8" s="670" t="n">
        <f aca="false">C8*SpotRates!$J$2</f>
        <v>0</v>
      </c>
      <c r="F8" s="669"/>
      <c r="G8" s="669"/>
      <c r="H8" s="669"/>
      <c r="I8" s="671"/>
      <c r="J8" s="672" t="n">
        <v>34817</v>
      </c>
      <c r="K8" s="673"/>
      <c r="L8" s="674" t="n">
        <v>0.01</v>
      </c>
      <c r="M8" s="675"/>
      <c r="N8" s="669" t="n">
        <v>0</v>
      </c>
      <c r="O8" s="675"/>
      <c r="P8" s="669" t="n">
        <f aca="false">L8+N8</f>
        <v>0.01</v>
      </c>
      <c r="Q8" s="676"/>
      <c r="R8" s="675"/>
      <c r="S8" s="669"/>
      <c r="T8" s="677"/>
      <c r="U8" s="669" t="n">
        <v>0</v>
      </c>
      <c r="V8" s="670" t="n">
        <v>0</v>
      </c>
      <c r="W8" s="670" t="n">
        <v>0</v>
      </c>
      <c r="X8" s="670" t="n">
        <v>0</v>
      </c>
      <c r="Y8" s="670" t="n">
        <v>0</v>
      </c>
      <c r="Z8" s="670" t="n">
        <v>0</v>
      </c>
      <c r="AA8" s="669" t="n">
        <v>0</v>
      </c>
      <c r="AB8" s="669" t="n">
        <v>0</v>
      </c>
      <c r="AC8" s="670" t="n">
        <v>0</v>
      </c>
      <c r="AD8" s="670" t="n">
        <f aca="false">AD7</f>
        <v>0</v>
      </c>
      <c r="AE8" s="670" t="n">
        <f aca="false">SUM(U8:AD8)</f>
        <v>0</v>
      </c>
      <c r="AF8" s="669"/>
      <c r="AG8" s="669"/>
      <c r="AH8" s="669" t="n">
        <f aca="false">E8+L8+AE8</f>
        <v>0.01</v>
      </c>
      <c r="AI8" s="673"/>
      <c r="AJ8" s="678"/>
      <c r="AL8" s="670" t="n">
        <v>0</v>
      </c>
      <c r="AO8" s="679" t="n">
        <f aca="false">+AL8+AH8</f>
        <v>0.01</v>
      </c>
    </row>
    <row r="9" customFormat="false" ht="12.75" hidden="false" customHeight="false" outlineLevel="0" collapsed="false">
      <c r="A9" s="680" t="n">
        <f aca="false">A8+1</f>
        <v>36617</v>
      </c>
      <c r="C9" s="668" t="n">
        <v>0</v>
      </c>
      <c r="D9" s="670"/>
      <c r="E9" s="670" t="n">
        <f aca="false">C9*SpotRates!$J$2</f>
        <v>0</v>
      </c>
      <c r="F9" s="670"/>
      <c r="G9" s="670" t="n">
        <f aca="false">E9-E8</f>
        <v>0</v>
      </c>
      <c r="H9" s="681" t="n">
        <f aca="false">IF(G9=-C8,G9*0,G9)</f>
        <v>0</v>
      </c>
      <c r="I9" s="682"/>
      <c r="J9" s="683" t="n">
        <v>34820</v>
      </c>
      <c r="K9" s="22"/>
      <c r="L9" s="674" t="n">
        <f aca="false">L8</f>
        <v>0.01</v>
      </c>
      <c r="M9" s="684"/>
      <c r="N9" s="669" t="n">
        <v>0</v>
      </c>
      <c r="O9" s="684"/>
      <c r="P9" s="669" t="n">
        <f aca="false">L9+N9</f>
        <v>0.01</v>
      </c>
      <c r="Q9" s="685"/>
      <c r="R9" s="684" t="n">
        <f aca="false">P9-P8</f>
        <v>0</v>
      </c>
      <c r="S9" s="681" t="n">
        <f aca="false">IF(R9=-P8,R9*0,R9)</f>
        <v>0</v>
      </c>
      <c r="T9" s="686"/>
      <c r="U9" s="670" t="n">
        <f aca="false">U8</f>
        <v>0</v>
      </c>
      <c r="V9" s="670" t="n">
        <f aca="false">V8</f>
        <v>0</v>
      </c>
      <c r="W9" s="670" t="n">
        <f aca="false">W8</f>
        <v>0</v>
      </c>
      <c r="X9" s="670" t="n">
        <f aca="false">X8</f>
        <v>0</v>
      </c>
      <c r="Y9" s="670" t="n">
        <f aca="false">Y8</f>
        <v>0</v>
      </c>
      <c r="Z9" s="670" t="n">
        <f aca="false">Z8</f>
        <v>0</v>
      </c>
      <c r="AA9" s="670" t="n">
        <f aca="false">AA8</f>
        <v>0</v>
      </c>
      <c r="AB9" s="670" t="n">
        <f aca="false">AB8</f>
        <v>0</v>
      </c>
      <c r="AC9" s="670" t="n">
        <f aca="false">AC8</f>
        <v>0</v>
      </c>
      <c r="AD9" s="670" t="n">
        <f aca="false">AD8</f>
        <v>0</v>
      </c>
      <c r="AE9" s="670" t="n">
        <f aca="false">SUM(U9:AD9)</f>
        <v>0</v>
      </c>
      <c r="AF9" s="670" t="n">
        <f aca="false">AE9-AE8</f>
        <v>0</v>
      </c>
      <c r="AG9" s="681" t="n">
        <f aca="false">IF(AF9=-AE8,AF9*0,AF9)</f>
        <v>0</v>
      </c>
      <c r="AH9" s="669" t="n">
        <f aca="false">E9+L9+AE9</f>
        <v>0.01</v>
      </c>
      <c r="AI9" s="673"/>
      <c r="AJ9" s="687" t="n">
        <f aca="false">H9+S9+AG9</f>
        <v>0</v>
      </c>
      <c r="AL9" s="670" t="n">
        <f aca="false">AL8</f>
        <v>0</v>
      </c>
      <c r="AM9" s="648" t="n">
        <f aca="false">AL9-AL8</f>
        <v>0</v>
      </c>
      <c r="AO9" s="679" t="n">
        <f aca="false">+AL9+AH9</f>
        <v>0.01</v>
      </c>
    </row>
    <row r="10" customFormat="false" ht="12.75" hidden="false" customHeight="false" outlineLevel="0" collapsed="false">
      <c r="A10" s="680" t="n">
        <f aca="false">A9+1</f>
        <v>36618</v>
      </c>
      <c r="C10" s="668" t="n">
        <v>0</v>
      </c>
      <c r="D10" s="670"/>
      <c r="E10" s="670" t="n">
        <f aca="false">C10*SpotRates!$F$36</f>
        <v>0</v>
      </c>
      <c r="F10" s="670"/>
      <c r="G10" s="670" t="n">
        <f aca="false">E10-E9</f>
        <v>0</v>
      </c>
      <c r="H10" s="681" t="n">
        <f aca="false">IF(G10=-C9,G10*0,G10)</f>
        <v>0</v>
      </c>
      <c r="I10" s="682"/>
      <c r="J10" s="683" t="n">
        <v>34821</v>
      </c>
      <c r="K10" s="22"/>
      <c r="L10" s="674" t="n">
        <f aca="false">L9</f>
        <v>0.01</v>
      </c>
      <c r="M10" s="684"/>
      <c r="N10" s="669" t="n">
        <v>0</v>
      </c>
      <c r="O10" s="684"/>
      <c r="P10" s="669" t="n">
        <f aca="false">L10+N10</f>
        <v>0.01</v>
      </c>
      <c r="Q10" s="685"/>
      <c r="R10" s="684" t="n">
        <f aca="false">P10-P9</f>
        <v>0</v>
      </c>
      <c r="S10" s="681" t="n">
        <f aca="false">IF(R10=-P9,R10*0,R10)</f>
        <v>0</v>
      </c>
      <c r="T10" s="686"/>
      <c r="U10" s="670" t="n">
        <f aca="false">U9</f>
        <v>0</v>
      </c>
      <c r="V10" s="670" t="n">
        <f aca="false">V9</f>
        <v>0</v>
      </c>
      <c r="W10" s="670" t="n">
        <f aca="false">W9</f>
        <v>0</v>
      </c>
      <c r="X10" s="670" t="n">
        <f aca="false">X9</f>
        <v>0</v>
      </c>
      <c r="Y10" s="670" t="n">
        <f aca="false">Y9</f>
        <v>0</v>
      </c>
      <c r="Z10" s="670" t="n">
        <f aca="false">Z9</f>
        <v>0</v>
      </c>
      <c r="AA10" s="670" t="n">
        <f aca="false">AA9</f>
        <v>0</v>
      </c>
      <c r="AB10" s="670" t="n">
        <f aca="false">AB9</f>
        <v>0</v>
      </c>
      <c r="AC10" s="670" t="n">
        <f aca="false">AC9</f>
        <v>0</v>
      </c>
      <c r="AD10" s="670" t="n">
        <f aca="false">AD9</f>
        <v>0</v>
      </c>
      <c r="AE10" s="670" t="n">
        <f aca="false">SUM(U10:AD10)</f>
        <v>0</v>
      </c>
      <c r="AF10" s="670" t="n">
        <f aca="false">AE10-AE9</f>
        <v>0</v>
      </c>
      <c r="AG10" s="681" t="n">
        <f aca="false">IF(AF10=-AE9,AF10*0,AF10)</f>
        <v>0</v>
      </c>
      <c r="AH10" s="669" t="n">
        <f aca="false">E10+L10+AE10</f>
        <v>0.01</v>
      </c>
      <c r="AI10" s="673"/>
      <c r="AJ10" s="687" t="n">
        <f aca="false">H10+S10+AG10</f>
        <v>0</v>
      </c>
      <c r="AL10" s="670" t="n">
        <f aca="false">AL9</f>
        <v>0</v>
      </c>
      <c r="AO10" s="679" t="n">
        <f aca="false">+AL10+AH10</f>
        <v>0.01</v>
      </c>
    </row>
    <row r="11" customFormat="false" ht="12.75" hidden="false" customHeight="false" outlineLevel="0" collapsed="false">
      <c r="A11" s="680" t="n">
        <f aca="false">A10+1</f>
        <v>36619</v>
      </c>
      <c r="C11" s="668" t="n">
        <v>0</v>
      </c>
      <c r="D11" s="670"/>
      <c r="E11" s="670" t="n">
        <f aca="false">C11*SpotRates!$F$36</f>
        <v>0</v>
      </c>
      <c r="F11" s="670"/>
      <c r="G11" s="670" t="n">
        <f aca="false">E11-E10</f>
        <v>0</v>
      </c>
      <c r="H11" s="681" t="n">
        <f aca="false">IF(G11=-C10,G11*0,G11)</f>
        <v>0</v>
      </c>
      <c r="I11" s="682"/>
      <c r="J11" s="683" t="n">
        <v>34822</v>
      </c>
      <c r="K11" s="22"/>
      <c r="L11" s="674" t="n">
        <f aca="false">L10</f>
        <v>0.01</v>
      </c>
      <c r="M11" s="684"/>
      <c r="N11" s="669" t="n">
        <v>0</v>
      </c>
      <c r="O11" s="684"/>
      <c r="P11" s="669" t="n">
        <f aca="false">L11+N11</f>
        <v>0.01</v>
      </c>
      <c r="Q11" s="685"/>
      <c r="R11" s="684" t="n">
        <f aca="false">P11-P10</f>
        <v>0</v>
      </c>
      <c r="S11" s="681" t="n">
        <f aca="false">IF(R11=-P10,R11*0,R11)</f>
        <v>0</v>
      </c>
      <c r="T11" s="686"/>
      <c r="U11" s="670" t="n">
        <f aca="false">U10</f>
        <v>0</v>
      </c>
      <c r="V11" s="670" t="n">
        <f aca="false">V10</f>
        <v>0</v>
      </c>
      <c r="W11" s="670" t="n">
        <f aca="false">W10</f>
        <v>0</v>
      </c>
      <c r="X11" s="670" t="n">
        <f aca="false">X10</f>
        <v>0</v>
      </c>
      <c r="Y11" s="670" t="n">
        <f aca="false">Y10</f>
        <v>0</v>
      </c>
      <c r="Z11" s="670" t="n">
        <f aca="false">Z10</f>
        <v>0</v>
      </c>
      <c r="AA11" s="670" t="n">
        <f aca="false">AA10</f>
        <v>0</v>
      </c>
      <c r="AB11" s="670" t="n">
        <f aca="false">AB10</f>
        <v>0</v>
      </c>
      <c r="AC11" s="670" t="n">
        <f aca="false">AC10</f>
        <v>0</v>
      </c>
      <c r="AD11" s="670" t="n">
        <f aca="false">AD10</f>
        <v>0</v>
      </c>
      <c r="AE11" s="670" t="n">
        <f aca="false">SUM(U11:AD11)</f>
        <v>0</v>
      </c>
      <c r="AF11" s="670" t="n">
        <f aca="false">AE11-AE10</f>
        <v>0</v>
      </c>
      <c r="AG11" s="681" t="n">
        <f aca="false">IF(AF11=-AE10,AF11*0,AF11)</f>
        <v>0</v>
      </c>
      <c r="AH11" s="669" t="n">
        <f aca="false">E11+L11+AE11</f>
        <v>0.01</v>
      </c>
      <c r="AI11" s="673"/>
      <c r="AJ11" s="687" t="n">
        <f aca="false">H11+S11+AG11</f>
        <v>0</v>
      </c>
      <c r="AL11" s="670" t="n">
        <f aca="false">AL10</f>
        <v>0</v>
      </c>
      <c r="AO11" s="679" t="n">
        <f aca="false">+AL11+AH11</f>
        <v>0.01</v>
      </c>
    </row>
    <row r="12" customFormat="false" ht="12.75" hidden="false" customHeight="false" outlineLevel="0" collapsed="false">
      <c r="A12" s="680" t="n">
        <f aca="false">A11+1</f>
        <v>36620</v>
      </c>
      <c r="C12" s="668" t="n">
        <v>0</v>
      </c>
      <c r="D12" s="670"/>
      <c r="E12" s="670" t="n">
        <f aca="false">C12*SpotRates!$F$36</f>
        <v>0</v>
      </c>
      <c r="F12" s="670"/>
      <c r="G12" s="670" t="n">
        <f aca="false">E12-E11</f>
        <v>0</v>
      </c>
      <c r="H12" s="681" t="n">
        <f aca="false">IF(G12=-C11,G12*0,G12)</f>
        <v>0</v>
      </c>
      <c r="I12" s="682"/>
      <c r="J12" s="683" t="n">
        <v>34823</v>
      </c>
      <c r="K12" s="22"/>
      <c r="L12" s="674" t="n">
        <f aca="false">L11</f>
        <v>0.01</v>
      </c>
      <c r="M12" s="684"/>
      <c r="N12" s="669" t="n">
        <v>0</v>
      </c>
      <c r="O12" s="684"/>
      <c r="P12" s="669" t="n">
        <f aca="false">L12+N12</f>
        <v>0.01</v>
      </c>
      <c r="Q12" s="685"/>
      <c r="R12" s="684" t="n">
        <f aca="false">P12-P11</f>
        <v>0</v>
      </c>
      <c r="S12" s="681" t="n">
        <f aca="false">IF(R12=-P11,R12*0,R12)</f>
        <v>0</v>
      </c>
      <c r="T12" s="686"/>
      <c r="U12" s="670" t="n">
        <f aca="false">U11</f>
        <v>0</v>
      </c>
      <c r="V12" s="670" t="n">
        <f aca="false">V11</f>
        <v>0</v>
      </c>
      <c r="W12" s="670" t="n">
        <f aca="false">W11</f>
        <v>0</v>
      </c>
      <c r="X12" s="670" t="n">
        <f aca="false">X11</f>
        <v>0</v>
      </c>
      <c r="Y12" s="670" t="n">
        <f aca="false">Y11</f>
        <v>0</v>
      </c>
      <c r="Z12" s="670" t="n">
        <f aca="false">Z11</f>
        <v>0</v>
      </c>
      <c r="AA12" s="670" t="n">
        <f aca="false">AA11</f>
        <v>0</v>
      </c>
      <c r="AB12" s="670" t="n">
        <f aca="false">AB11</f>
        <v>0</v>
      </c>
      <c r="AC12" s="670" t="n">
        <f aca="false">AC11</f>
        <v>0</v>
      </c>
      <c r="AD12" s="670" t="n">
        <f aca="false">AD11</f>
        <v>0</v>
      </c>
      <c r="AE12" s="670" t="n">
        <f aca="false">SUM(U12:AD12)</f>
        <v>0</v>
      </c>
      <c r="AF12" s="670" t="n">
        <f aca="false">AE12-AE11</f>
        <v>0</v>
      </c>
      <c r="AG12" s="681" t="n">
        <f aca="false">IF(AF12=-AE11,AF12*0,AF12)</f>
        <v>0</v>
      </c>
      <c r="AH12" s="669" t="n">
        <f aca="false">E12+L12+AE12</f>
        <v>0.01</v>
      </c>
      <c r="AI12" s="673"/>
      <c r="AJ12" s="687" t="n">
        <f aca="false">H12+S12+AG12</f>
        <v>0</v>
      </c>
      <c r="AL12" s="670" t="n">
        <f aca="false">AL11</f>
        <v>0</v>
      </c>
      <c r="AO12" s="679" t="n">
        <f aca="false">+AL12+AH12</f>
        <v>0.01</v>
      </c>
    </row>
    <row r="13" customFormat="false" ht="12.75" hidden="false" customHeight="false" outlineLevel="0" collapsed="false">
      <c r="A13" s="680" t="n">
        <f aca="false">A12+1</f>
        <v>36621</v>
      </c>
      <c r="C13" s="668" t="n">
        <v>0</v>
      </c>
      <c r="D13" s="670"/>
      <c r="E13" s="670" t="n">
        <f aca="false">C13*SpotRates!$F$36</f>
        <v>0</v>
      </c>
      <c r="F13" s="670"/>
      <c r="G13" s="670" t="n">
        <f aca="false">E13-E12</f>
        <v>0</v>
      </c>
      <c r="H13" s="681" t="n">
        <f aca="false">IF(G13=-C12,G13*0,G13)</f>
        <v>0</v>
      </c>
      <c r="I13" s="682"/>
      <c r="J13" s="683" t="n">
        <v>34824</v>
      </c>
      <c r="K13" s="22"/>
      <c r="L13" s="674" t="n">
        <f aca="false">L12</f>
        <v>0.01</v>
      </c>
      <c r="M13" s="684"/>
      <c r="N13" s="669" t="n">
        <v>0</v>
      </c>
      <c r="O13" s="684"/>
      <c r="P13" s="669" t="n">
        <f aca="false">L13+N13</f>
        <v>0.01</v>
      </c>
      <c r="Q13" s="685"/>
      <c r="R13" s="684" t="n">
        <f aca="false">P13-P12</f>
        <v>0</v>
      </c>
      <c r="S13" s="681" t="n">
        <f aca="false">IF(R13=-P12,R13*0,R13)</f>
        <v>0</v>
      </c>
      <c r="T13" s="686"/>
      <c r="U13" s="670" t="n">
        <f aca="false">U12</f>
        <v>0</v>
      </c>
      <c r="V13" s="670" t="n">
        <f aca="false">V12</f>
        <v>0</v>
      </c>
      <c r="W13" s="670" t="n">
        <f aca="false">W12</f>
        <v>0</v>
      </c>
      <c r="X13" s="670" t="n">
        <f aca="false">X12</f>
        <v>0</v>
      </c>
      <c r="Y13" s="670" t="n">
        <f aca="false">Y12</f>
        <v>0</v>
      </c>
      <c r="Z13" s="670" t="n">
        <f aca="false">Z12</f>
        <v>0</v>
      </c>
      <c r="AA13" s="670" t="n">
        <f aca="false">AA12</f>
        <v>0</v>
      </c>
      <c r="AB13" s="670" t="n">
        <f aca="false">AB12</f>
        <v>0</v>
      </c>
      <c r="AC13" s="670" t="n">
        <f aca="false">AC12</f>
        <v>0</v>
      </c>
      <c r="AD13" s="670" t="n">
        <f aca="false">AD12</f>
        <v>0</v>
      </c>
      <c r="AE13" s="670" t="n">
        <f aca="false">SUM(U13:AD13)</f>
        <v>0</v>
      </c>
      <c r="AF13" s="670" t="n">
        <f aca="false">AE13-AE12</f>
        <v>0</v>
      </c>
      <c r="AG13" s="681" t="n">
        <f aca="false">IF(AF13=-AE12,AF13*0,AF13)</f>
        <v>0</v>
      </c>
      <c r="AH13" s="669" t="n">
        <f aca="false">E13+L13+AE13</f>
        <v>0.01</v>
      </c>
      <c r="AI13" s="673"/>
      <c r="AJ13" s="687" t="n">
        <f aca="false">H13+S13+AG13</f>
        <v>0</v>
      </c>
      <c r="AL13" s="670" t="n">
        <f aca="false">AL12</f>
        <v>0</v>
      </c>
      <c r="AO13" s="679" t="n">
        <f aca="false">+AL13+AH13</f>
        <v>0.01</v>
      </c>
    </row>
    <row r="14" customFormat="false" ht="12.75" hidden="false" customHeight="false" outlineLevel="0" collapsed="false">
      <c r="A14" s="680" t="n">
        <f aca="false">A13+1</f>
        <v>36622</v>
      </c>
      <c r="C14" s="668" t="n">
        <v>0</v>
      </c>
      <c r="D14" s="670"/>
      <c r="E14" s="670" t="n">
        <f aca="false">C14*SpotRates!$F$36</f>
        <v>0</v>
      </c>
      <c r="F14" s="670"/>
      <c r="G14" s="670" t="n">
        <f aca="false">E14-E13</f>
        <v>0</v>
      </c>
      <c r="H14" s="681" t="n">
        <f aca="false">IF(G14=-C13,G14*0,G14)</f>
        <v>0</v>
      </c>
      <c r="I14" s="682"/>
      <c r="J14" s="683" t="n">
        <v>34827</v>
      </c>
      <c r="K14" s="22"/>
      <c r="L14" s="674" t="n">
        <f aca="false">L13</f>
        <v>0.01</v>
      </c>
      <c r="M14" s="684"/>
      <c r="N14" s="669" t="n">
        <v>0</v>
      </c>
      <c r="O14" s="684"/>
      <c r="P14" s="669" t="n">
        <f aca="false">L14+N14</f>
        <v>0.01</v>
      </c>
      <c r="Q14" s="685"/>
      <c r="R14" s="684" t="n">
        <f aca="false">P14-P13</f>
        <v>0</v>
      </c>
      <c r="S14" s="681" t="n">
        <f aca="false">IF(R14=-P13,R14*0,R14)</f>
        <v>0</v>
      </c>
      <c r="T14" s="686"/>
      <c r="U14" s="670" t="n">
        <f aca="false">U13</f>
        <v>0</v>
      </c>
      <c r="V14" s="670" t="n">
        <f aca="false">V13</f>
        <v>0</v>
      </c>
      <c r="W14" s="670" t="n">
        <f aca="false">W13</f>
        <v>0</v>
      </c>
      <c r="X14" s="670" t="n">
        <f aca="false">X13</f>
        <v>0</v>
      </c>
      <c r="Y14" s="670" t="n">
        <f aca="false">Y13</f>
        <v>0</v>
      </c>
      <c r="Z14" s="670" t="n">
        <f aca="false">Z13</f>
        <v>0</v>
      </c>
      <c r="AA14" s="670" t="n">
        <f aca="false">AA13</f>
        <v>0</v>
      </c>
      <c r="AB14" s="670" t="n">
        <f aca="false">AB13</f>
        <v>0</v>
      </c>
      <c r="AC14" s="670" t="n">
        <f aca="false">AC13</f>
        <v>0</v>
      </c>
      <c r="AD14" s="670" t="n">
        <f aca="false">AD13</f>
        <v>0</v>
      </c>
      <c r="AE14" s="670" t="n">
        <f aca="false">SUM(U14:AD14)</f>
        <v>0</v>
      </c>
      <c r="AF14" s="670" t="n">
        <f aca="false">AE14-AE13</f>
        <v>0</v>
      </c>
      <c r="AG14" s="681" t="n">
        <f aca="false">IF(AF14=-AE13,AF14*0,AF14)</f>
        <v>0</v>
      </c>
      <c r="AH14" s="669" t="n">
        <f aca="false">E14+L14+AE14</f>
        <v>0.01</v>
      </c>
      <c r="AI14" s="673"/>
      <c r="AJ14" s="687" t="n">
        <f aca="false">H14+S14+AG14</f>
        <v>0</v>
      </c>
      <c r="AL14" s="670" t="n">
        <f aca="false">AL13</f>
        <v>0</v>
      </c>
      <c r="AO14" s="679" t="n">
        <f aca="false">+AL14+AH14</f>
        <v>0.01</v>
      </c>
    </row>
    <row r="15" customFormat="false" ht="12.75" hidden="false" customHeight="false" outlineLevel="0" collapsed="false">
      <c r="A15" s="680" t="n">
        <f aca="false">A14+1</f>
        <v>36623</v>
      </c>
      <c r="C15" s="668" t="n">
        <v>0</v>
      </c>
      <c r="D15" s="670"/>
      <c r="E15" s="670" t="n">
        <f aca="false">C15*SpotRates!$F$36</f>
        <v>0</v>
      </c>
      <c r="F15" s="670"/>
      <c r="G15" s="670" t="n">
        <f aca="false">E15-E14</f>
        <v>0</v>
      </c>
      <c r="H15" s="681" t="n">
        <f aca="false">IF(G15=-C14,G15*0,G15)</f>
        <v>0</v>
      </c>
      <c r="I15" s="682"/>
      <c r="J15" s="683" t="n">
        <v>34828</v>
      </c>
      <c r="K15" s="22"/>
      <c r="L15" s="674" t="n">
        <f aca="false">L14</f>
        <v>0.01</v>
      </c>
      <c r="M15" s="684"/>
      <c r="N15" s="669" t="n">
        <v>0</v>
      </c>
      <c r="O15" s="684"/>
      <c r="P15" s="669" t="n">
        <f aca="false">L15+N15</f>
        <v>0.01</v>
      </c>
      <c r="Q15" s="685"/>
      <c r="R15" s="684" t="n">
        <f aca="false">P15-P14</f>
        <v>0</v>
      </c>
      <c r="S15" s="681" t="n">
        <f aca="false">IF(R15=-P14,R15*0,R15)</f>
        <v>0</v>
      </c>
      <c r="T15" s="686"/>
      <c r="U15" s="670" t="n">
        <f aca="false">U14</f>
        <v>0</v>
      </c>
      <c r="V15" s="670" t="n">
        <f aca="false">V14</f>
        <v>0</v>
      </c>
      <c r="W15" s="670" t="n">
        <f aca="false">W14</f>
        <v>0</v>
      </c>
      <c r="X15" s="670" t="n">
        <f aca="false">X14</f>
        <v>0</v>
      </c>
      <c r="Y15" s="670" t="n">
        <f aca="false">Y14</f>
        <v>0</v>
      </c>
      <c r="Z15" s="670" t="n">
        <f aca="false">Z14</f>
        <v>0</v>
      </c>
      <c r="AA15" s="670" t="n">
        <f aca="false">AA14</f>
        <v>0</v>
      </c>
      <c r="AB15" s="670" t="n">
        <f aca="false">AB14</f>
        <v>0</v>
      </c>
      <c r="AC15" s="670" t="n">
        <f aca="false">AC14</f>
        <v>0</v>
      </c>
      <c r="AD15" s="670" t="n">
        <f aca="false">AD14</f>
        <v>0</v>
      </c>
      <c r="AE15" s="670" t="n">
        <f aca="false">SUM(U15:AD15)</f>
        <v>0</v>
      </c>
      <c r="AF15" s="670" t="n">
        <f aca="false">AE15-AE14</f>
        <v>0</v>
      </c>
      <c r="AG15" s="681" t="n">
        <f aca="false">IF(AF15=-AE14,AF15*0,AF15)</f>
        <v>0</v>
      </c>
      <c r="AH15" s="669" t="n">
        <f aca="false">E15+L15+AE15</f>
        <v>0.01</v>
      </c>
      <c r="AI15" s="673"/>
      <c r="AJ15" s="687" t="n">
        <f aca="false">H15+S15+AG15</f>
        <v>0</v>
      </c>
      <c r="AL15" s="670" t="n">
        <f aca="false">AL14</f>
        <v>0</v>
      </c>
      <c r="AO15" s="679" t="n">
        <f aca="false">+AL15+AH15</f>
        <v>0.01</v>
      </c>
    </row>
    <row r="16" customFormat="false" ht="12.75" hidden="false" customHeight="false" outlineLevel="0" collapsed="false">
      <c r="A16" s="680" t="n">
        <f aca="false">A15+1</f>
        <v>36624</v>
      </c>
      <c r="C16" s="668" t="n">
        <v>0</v>
      </c>
      <c r="D16" s="670"/>
      <c r="E16" s="670" t="n">
        <f aca="false">C16*SpotRates!$F$36</f>
        <v>0</v>
      </c>
      <c r="F16" s="670"/>
      <c r="G16" s="670" t="n">
        <f aca="false">E16-E15</f>
        <v>0</v>
      </c>
      <c r="H16" s="681" t="n">
        <f aca="false">IF(G16=-C15,G16*0,G16)</f>
        <v>0</v>
      </c>
      <c r="I16" s="682"/>
      <c r="J16" s="683" t="n">
        <v>34829</v>
      </c>
      <c r="K16" s="22"/>
      <c r="L16" s="674" t="n">
        <f aca="false">L15</f>
        <v>0.01</v>
      </c>
      <c r="M16" s="684"/>
      <c r="N16" s="669" t="n">
        <v>0</v>
      </c>
      <c r="O16" s="684"/>
      <c r="P16" s="669" t="n">
        <f aca="false">L16+N16</f>
        <v>0.01</v>
      </c>
      <c r="Q16" s="685"/>
      <c r="R16" s="684" t="n">
        <f aca="false">P16-P15</f>
        <v>0</v>
      </c>
      <c r="S16" s="681" t="n">
        <f aca="false">IF(R16=-P15,R16*0,R16)</f>
        <v>0</v>
      </c>
      <c r="T16" s="686"/>
      <c r="U16" s="688" t="n">
        <v>0</v>
      </c>
      <c r="V16" s="688" t="n">
        <f aca="false">V15</f>
        <v>0</v>
      </c>
      <c r="W16" s="688" t="n">
        <f aca="false">W15</f>
        <v>0</v>
      </c>
      <c r="X16" s="688" t="n">
        <f aca="false">X15</f>
        <v>0</v>
      </c>
      <c r="Y16" s="688" t="n">
        <v>0</v>
      </c>
      <c r="Z16" s="688" t="n">
        <f aca="false">Z15</f>
        <v>0</v>
      </c>
      <c r="AA16" s="688" t="n">
        <v>0</v>
      </c>
      <c r="AB16" s="688" t="n">
        <v>0</v>
      </c>
      <c r="AC16" s="688" t="n">
        <v>0</v>
      </c>
      <c r="AD16" s="670" t="n">
        <f aca="false">AD15</f>
        <v>0</v>
      </c>
      <c r="AE16" s="670" t="n">
        <f aca="false">SUM(U16:AD16)</f>
        <v>0</v>
      </c>
      <c r="AF16" s="670" t="n">
        <f aca="false">AE16-AE15</f>
        <v>0</v>
      </c>
      <c r="AG16" s="681" t="n">
        <f aca="false">IF(AF16=-AE15,AF16*0,AF16)</f>
        <v>0</v>
      </c>
      <c r="AH16" s="669" t="n">
        <f aca="false">E16+L16+AE16</f>
        <v>0.01</v>
      </c>
      <c r="AI16" s="673"/>
      <c r="AJ16" s="687" t="n">
        <f aca="false">H16+S16+AG16</f>
        <v>0</v>
      </c>
      <c r="AL16" s="670" t="n">
        <f aca="false">AL15</f>
        <v>0</v>
      </c>
      <c r="AO16" s="679" t="n">
        <f aca="false">+AL16+AH16</f>
        <v>0.01</v>
      </c>
    </row>
    <row r="17" customFormat="false" ht="12.75" hidden="false" customHeight="false" outlineLevel="0" collapsed="false">
      <c r="A17" s="689" t="n">
        <f aca="false">A16+1</f>
        <v>36625</v>
      </c>
      <c r="B17" s="690"/>
      <c r="C17" s="691" t="n">
        <f aca="false">C16</f>
        <v>0</v>
      </c>
      <c r="D17" s="692"/>
      <c r="E17" s="692" t="n">
        <f aca="false">C17*SpotRates!$F$36</f>
        <v>0</v>
      </c>
      <c r="F17" s="692"/>
      <c r="G17" s="692" t="n">
        <f aca="false">E17-E16</f>
        <v>0</v>
      </c>
      <c r="H17" s="692" t="n">
        <f aca="false">IF(G17=-C16,G17*0,G17)</f>
        <v>0</v>
      </c>
      <c r="I17" s="693"/>
      <c r="J17" s="694" t="n">
        <v>34830</v>
      </c>
      <c r="K17" s="695"/>
      <c r="L17" s="696" t="n">
        <f aca="false">L16</f>
        <v>0.01</v>
      </c>
      <c r="M17" s="697"/>
      <c r="N17" s="698" t="n">
        <v>0</v>
      </c>
      <c r="O17" s="697"/>
      <c r="P17" s="698" t="n">
        <f aca="false">L17+N17</f>
        <v>0.01</v>
      </c>
      <c r="Q17" s="699"/>
      <c r="R17" s="697" t="n">
        <f aca="false">P17-P16</f>
        <v>0</v>
      </c>
      <c r="S17" s="692" t="n">
        <f aca="false">IF(R17=-P16,R17*0,R17)</f>
        <v>0</v>
      </c>
      <c r="T17" s="700"/>
      <c r="U17" s="692" t="n">
        <f aca="false">U16</f>
        <v>0</v>
      </c>
      <c r="V17" s="692" t="n">
        <f aca="false">V16</f>
        <v>0</v>
      </c>
      <c r="W17" s="688" t="n">
        <f aca="false">W16</f>
        <v>0</v>
      </c>
      <c r="X17" s="692" t="n">
        <f aca="false">X16</f>
        <v>0</v>
      </c>
      <c r="Y17" s="692" t="n">
        <f aca="false">Y16</f>
        <v>0</v>
      </c>
      <c r="Z17" s="692" t="n">
        <f aca="false">Z16</f>
        <v>0</v>
      </c>
      <c r="AA17" s="692" t="n">
        <f aca="false">AA16</f>
        <v>0</v>
      </c>
      <c r="AB17" s="692" t="n">
        <f aca="false">AB16</f>
        <v>0</v>
      </c>
      <c r="AC17" s="692" t="n">
        <f aca="false">AC16</f>
        <v>0</v>
      </c>
      <c r="AD17" s="670" t="n">
        <f aca="false">AD16</f>
        <v>0</v>
      </c>
      <c r="AE17" s="692" t="n">
        <f aca="false">SUM(U17:AD17)</f>
        <v>0</v>
      </c>
      <c r="AF17" s="692" t="n">
        <f aca="false">AE17-AE16</f>
        <v>0</v>
      </c>
      <c r="AG17" s="692" t="n">
        <f aca="false">IF(AF17=-AE16,AF17*0,AF17)</f>
        <v>0</v>
      </c>
      <c r="AH17" s="698" t="n">
        <f aca="false">E17+L17+AE17</f>
        <v>0.01</v>
      </c>
      <c r="AI17" s="701"/>
      <c r="AJ17" s="702" t="n">
        <f aca="false">H17+S17+AG17</f>
        <v>0</v>
      </c>
      <c r="AK17" s="690"/>
      <c r="AL17" s="692" t="n">
        <f aca="false">AL16</f>
        <v>0</v>
      </c>
      <c r="AM17" s="690"/>
      <c r="AN17" s="690"/>
      <c r="AO17" s="703" t="n">
        <f aca="false">+AL17+AH17</f>
        <v>0.01</v>
      </c>
    </row>
    <row r="18" customFormat="false" ht="12.75" hidden="false" customHeight="false" outlineLevel="0" collapsed="false">
      <c r="A18" s="680" t="n">
        <f aca="false">A17+1</f>
        <v>36626</v>
      </c>
      <c r="C18" s="668" t="n">
        <f aca="false">C17</f>
        <v>0</v>
      </c>
      <c r="D18" s="670"/>
      <c r="E18" s="670" t="n">
        <f aca="false">C18*SpotRates!$F$36</f>
        <v>0</v>
      </c>
      <c r="F18" s="670"/>
      <c r="G18" s="670" t="n">
        <f aca="false">E18-E17</f>
        <v>0</v>
      </c>
      <c r="H18" s="681" t="n">
        <f aca="false">IF(G18=-C17,G18*0,G18)</f>
        <v>0</v>
      </c>
      <c r="I18" s="682"/>
      <c r="J18" s="683" t="n">
        <v>34834</v>
      </c>
      <c r="K18" s="22"/>
      <c r="L18" s="674" t="n">
        <f aca="false">L17</f>
        <v>0.01</v>
      </c>
      <c r="M18" s="684"/>
      <c r="N18" s="669" t="n">
        <v>0</v>
      </c>
      <c r="O18" s="684"/>
      <c r="P18" s="669" t="n">
        <f aca="false">L18+N18</f>
        <v>0.01</v>
      </c>
      <c r="Q18" s="685"/>
      <c r="R18" s="684" t="n">
        <f aca="false">P18-P17</f>
        <v>0</v>
      </c>
      <c r="S18" s="681" t="n">
        <f aca="false">IF(R18=-P17,R18*0,R18)</f>
        <v>0</v>
      </c>
      <c r="T18" s="686"/>
      <c r="U18" s="670" t="n">
        <f aca="false">U17</f>
        <v>0</v>
      </c>
      <c r="V18" s="670" t="n">
        <f aca="false">V17</f>
        <v>0</v>
      </c>
      <c r="W18" s="688" t="n">
        <f aca="false">W17</f>
        <v>0</v>
      </c>
      <c r="X18" s="670" t="n">
        <f aca="false">X17</f>
        <v>0</v>
      </c>
      <c r="Y18" s="670" t="n">
        <f aca="false">Y17</f>
        <v>0</v>
      </c>
      <c r="Z18" s="670" t="n">
        <f aca="false">Z17</f>
        <v>0</v>
      </c>
      <c r="AA18" s="670" t="n">
        <f aca="false">AA17</f>
        <v>0</v>
      </c>
      <c r="AB18" s="670" t="n">
        <f aca="false">AB17</f>
        <v>0</v>
      </c>
      <c r="AC18" s="670" t="n">
        <f aca="false">AC17</f>
        <v>0</v>
      </c>
      <c r="AD18" s="670" t="n">
        <f aca="false">AD17</f>
        <v>0</v>
      </c>
      <c r="AE18" s="670" t="n">
        <f aca="false">SUM(U18:AD18)</f>
        <v>0</v>
      </c>
      <c r="AF18" s="670" t="n">
        <f aca="false">AE18-AE17</f>
        <v>0</v>
      </c>
      <c r="AG18" s="681" t="n">
        <f aca="false">IF(AF18=-AE17,AF18*0,AF18)</f>
        <v>0</v>
      </c>
      <c r="AH18" s="669" t="n">
        <f aca="false">E18+L18+AE18</f>
        <v>0.01</v>
      </c>
      <c r="AI18" s="673"/>
      <c r="AJ18" s="687" t="n">
        <f aca="false">H18+S18+AG18</f>
        <v>0</v>
      </c>
      <c r="AL18" s="670" t="n">
        <f aca="false">AL17</f>
        <v>0</v>
      </c>
      <c r="AO18" s="679" t="n">
        <f aca="false">+AL18+AH18</f>
        <v>0.01</v>
      </c>
    </row>
    <row r="19" customFormat="false" ht="12.75" hidden="false" customHeight="false" outlineLevel="0" collapsed="false">
      <c r="A19" s="680" t="n">
        <f aca="false">A18+1</f>
        <v>36627</v>
      </c>
      <c r="C19" s="668" t="n">
        <f aca="false">C18</f>
        <v>0</v>
      </c>
      <c r="D19" s="670"/>
      <c r="E19" s="670" t="n">
        <f aca="false">C19*SpotRates!$F$36</f>
        <v>0</v>
      </c>
      <c r="F19" s="670"/>
      <c r="G19" s="670" t="n">
        <f aca="false">E19-E18</f>
        <v>0</v>
      </c>
      <c r="H19" s="681" t="n">
        <f aca="false">IF(G19=-C18,G19*0,G19)</f>
        <v>0</v>
      </c>
      <c r="I19" s="682"/>
      <c r="J19" s="683" t="n">
        <v>34835</v>
      </c>
      <c r="K19" s="22"/>
      <c r="L19" s="674" t="n">
        <v>0.01</v>
      </c>
      <c r="M19" s="684"/>
      <c r="N19" s="669" t="n">
        <v>0</v>
      </c>
      <c r="O19" s="684"/>
      <c r="P19" s="669" t="n">
        <f aca="false">L19+N19</f>
        <v>0.01</v>
      </c>
      <c r="Q19" s="685"/>
      <c r="R19" s="684" t="n">
        <f aca="false">P19-P18</f>
        <v>0</v>
      </c>
      <c r="S19" s="681" t="n">
        <f aca="false">IF(R19=-P18,R19*0,R19)</f>
        <v>0</v>
      </c>
      <c r="T19" s="686"/>
      <c r="U19" s="670" t="n">
        <f aca="false">U18</f>
        <v>0</v>
      </c>
      <c r="V19" s="670" t="n">
        <f aca="false">V18</f>
        <v>0</v>
      </c>
      <c r="W19" s="688" t="n">
        <f aca="false">W18</f>
        <v>0</v>
      </c>
      <c r="X19" s="670" t="n">
        <f aca="false">X18</f>
        <v>0</v>
      </c>
      <c r="Y19" s="670" t="n">
        <f aca="false">Y18</f>
        <v>0</v>
      </c>
      <c r="Z19" s="670" t="n">
        <f aca="false">Z18</f>
        <v>0</v>
      </c>
      <c r="AA19" s="670" t="n">
        <f aca="false">AA18</f>
        <v>0</v>
      </c>
      <c r="AB19" s="670" t="n">
        <f aca="false">AB18</f>
        <v>0</v>
      </c>
      <c r="AC19" s="670" t="n">
        <f aca="false">AC18</f>
        <v>0</v>
      </c>
      <c r="AD19" s="670" t="n">
        <f aca="false">AD18</f>
        <v>0</v>
      </c>
      <c r="AE19" s="670" t="n">
        <f aca="false">SUM(U19:AD19)</f>
        <v>0</v>
      </c>
      <c r="AF19" s="670" t="n">
        <f aca="false">AE19-AE18</f>
        <v>0</v>
      </c>
      <c r="AG19" s="681" t="n">
        <f aca="false">IF(AF19=-AE18,AF19*0,AF19)</f>
        <v>0</v>
      </c>
      <c r="AH19" s="669" t="n">
        <f aca="false">E19+L19+AE19</f>
        <v>0.01</v>
      </c>
      <c r="AI19" s="673"/>
      <c r="AJ19" s="687" t="n">
        <f aca="false">H19+S19+AG19</f>
        <v>0</v>
      </c>
      <c r="AL19" s="670" t="n">
        <f aca="false">AL18</f>
        <v>0</v>
      </c>
      <c r="AO19" s="679" t="n">
        <f aca="false">+AL19+AH19</f>
        <v>0.01</v>
      </c>
    </row>
    <row r="20" customFormat="false" ht="12.75" hidden="false" customHeight="false" outlineLevel="0" collapsed="false">
      <c r="A20" s="680" t="n">
        <f aca="false">A19+1</f>
        <v>36628</v>
      </c>
      <c r="C20" s="668" t="n">
        <f aca="false">C19</f>
        <v>0</v>
      </c>
      <c r="D20" s="670"/>
      <c r="E20" s="670" t="n">
        <f aca="false">C20*SpotRates!$F$36</f>
        <v>0</v>
      </c>
      <c r="F20" s="670"/>
      <c r="G20" s="670" t="n">
        <f aca="false">E20-E19</f>
        <v>0</v>
      </c>
      <c r="H20" s="681" t="n">
        <f aca="false">IF(G20=-C19,G20*0,G20)</f>
        <v>0</v>
      </c>
      <c r="I20" s="682"/>
      <c r="J20" s="683" t="n">
        <v>34836</v>
      </c>
      <c r="K20" s="22"/>
      <c r="L20" s="674" t="n">
        <f aca="false">L19</f>
        <v>0.01</v>
      </c>
      <c r="M20" s="684"/>
      <c r="N20" s="669" t="n">
        <v>0</v>
      </c>
      <c r="O20" s="684"/>
      <c r="P20" s="669" t="n">
        <f aca="false">L20+N20</f>
        <v>0.01</v>
      </c>
      <c r="Q20" s="685"/>
      <c r="R20" s="684" t="n">
        <f aca="false">P20-P19</f>
        <v>0</v>
      </c>
      <c r="S20" s="681" t="n">
        <f aca="false">IF(R20=-P19,R20*0,R20)</f>
        <v>0</v>
      </c>
      <c r="T20" s="686"/>
      <c r="U20" s="670" t="n">
        <f aca="false">U19</f>
        <v>0</v>
      </c>
      <c r="V20" s="670" t="n">
        <f aca="false">V19</f>
        <v>0</v>
      </c>
      <c r="W20" s="688" t="n">
        <f aca="false">W19</f>
        <v>0</v>
      </c>
      <c r="X20" s="670" t="n">
        <f aca="false">X19</f>
        <v>0</v>
      </c>
      <c r="Y20" s="670" t="n">
        <f aca="false">Y19</f>
        <v>0</v>
      </c>
      <c r="Z20" s="670" t="n">
        <f aca="false">Z19</f>
        <v>0</v>
      </c>
      <c r="AA20" s="670" t="n">
        <f aca="false">AA19</f>
        <v>0</v>
      </c>
      <c r="AB20" s="670" t="n">
        <f aca="false">AB19</f>
        <v>0</v>
      </c>
      <c r="AC20" s="670" t="n">
        <f aca="false">AC19</f>
        <v>0</v>
      </c>
      <c r="AD20" s="670" t="n">
        <f aca="false">AD19</f>
        <v>0</v>
      </c>
      <c r="AE20" s="670" t="n">
        <f aca="false">SUM(U20:AD20)</f>
        <v>0</v>
      </c>
      <c r="AF20" s="670" t="n">
        <f aca="false">AE20-AE19</f>
        <v>0</v>
      </c>
      <c r="AG20" s="681" t="n">
        <f aca="false">IF(AF20=-AE19,AF20*0,AF20)</f>
        <v>0</v>
      </c>
      <c r="AH20" s="669" t="n">
        <f aca="false">E20+L20+AE20</f>
        <v>0.01</v>
      </c>
      <c r="AI20" s="673"/>
      <c r="AJ20" s="687" t="n">
        <f aca="false">H20+S20+AG20</f>
        <v>0</v>
      </c>
      <c r="AL20" s="670" t="n">
        <v>0</v>
      </c>
      <c r="AM20" s="648" t="n">
        <f aca="false">AL20-AL19</f>
        <v>0</v>
      </c>
      <c r="AO20" s="679" t="n">
        <f aca="false">+AL20+AH20</f>
        <v>0.01</v>
      </c>
    </row>
    <row r="21" customFormat="false" ht="12.75" hidden="false" customHeight="false" outlineLevel="0" collapsed="false">
      <c r="A21" s="680" t="n">
        <f aca="false">A20+1</f>
        <v>36629</v>
      </c>
      <c r="C21" s="668" t="n">
        <f aca="false">C20</f>
        <v>0</v>
      </c>
      <c r="D21" s="670"/>
      <c r="E21" s="670" t="n">
        <f aca="false">C21*SpotRates!$F$36</f>
        <v>0</v>
      </c>
      <c r="F21" s="670"/>
      <c r="G21" s="670" t="n">
        <f aca="false">E21-E20</f>
        <v>0</v>
      </c>
      <c r="H21" s="681" t="n">
        <f aca="false">IF(G21=-C20,G21*0,G21)</f>
        <v>0</v>
      </c>
      <c r="I21" s="682"/>
      <c r="J21" s="683" t="n">
        <v>34837</v>
      </c>
      <c r="K21" s="22"/>
      <c r="L21" s="674" t="n">
        <f aca="false">L20</f>
        <v>0.01</v>
      </c>
      <c r="M21" s="684"/>
      <c r="N21" s="669" t="n">
        <v>0</v>
      </c>
      <c r="O21" s="684"/>
      <c r="P21" s="669" t="n">
        <f aca="false">L21+N21</f>
        <v>0.01</v>
      </c>
      <c r="Q21" s="685"/>
      <c r="R21" s="684" t="n">
        <f aca="false">P21-P20</f>
        <v>0</v>
      </c>
      <c r="S21" s="681" t="n">
        <f aca="false">IF(R21=-P20,R21*0,R21)</f>
        <v>0</v>
      </c>
      <c r="T21" s="686"/>
      <c r="U21" s="670" t="n">
        <f aca="false">U20</f>
        <v>0</v>
      </c>
      <c r="V21" s="670" t="n">
        <f aca="false">V20</f>
        <v>0</v>
      </c>
      <c r="W21" s="688" t="n">
        <f aca="false">W20</f>
        <v>0</v>
      </c>
      <c r="X21" s="670" t="n">
        <f aca="false">X20</f>
        <v>0</v>
      </c>
      <c r="Y21" s="670" t="n">
        <f aca="false">Y20</f>
        <v>0</v>
      </c>
      <c r="Z21" s="670" t="n">
        <f aca="false">Z20</f>
        <v>0</v>
      </c>
      <c r="AA21" s="670" t="n">
        <f aca="false">AA20</f>
        <v>0</v>
      </c>
      <c r="AB21" s="670" t="n">
        <f aca="false">AB20</f>
        <v>0</v>
      </c>
      <c r="AC21" s="670" t="n">
        <f aca="false">AC20</f>
        <v>0</v>
      </c>
      <c r="AD21" s="670" t="n">
        <f aca="false">AD20</f>
        <v>0</v>
      </c>
      <c r="AE21" s="670" t="n">
        <f aca="false">SUM(U21:AD21)</f>
        <v>0</v>
      </c>
      <c r="AF21" s="670" t="n">
        <f aca="false">AE21-AE20</f>
        <v>0</v>
      </c>
      <c r="AG21" s="681" t="n">
        <f aca="false">IF(AF21=-AE20,AF21*0,AF21)</f>
        <v>0</v>
      </c>
      <c r="AH21" s="669" t="n">
        <f aca="false">E21+L21+AE21</f>
        <v>0.01</v>
      </c>
      <c r="AI21" s="673"/>
      <c r="AJ21" s="687" t="n">
        <f aca="false">H21+S21+AG21</f>
        <v>0</v>
      </c>
      <c r="AL21" s="670" t="n">
        <f aca="false">AL20</f>
        <v>0</v>
      </c>
      <c r="AO21" s="679" t="n">
        <f aca="false">+AL21+AH21</f>
        <v>0.01</v>
      </c>
    </row>
    <row r="22" customFormat="false" ht="12.75" hidden="false" customHeight="false" outlineLevel="0" collapsed="false">
      <c r="A22" s="680" t="n">
        <f aca="false">A21+1</f>
        <v>36630</v>
      </c>
      <c r="C22" s="668" t="n">
        <f aca="false">C21</f>
        <v>0</v>
      </c>
      <c r="D22" s="670"/>
      <c r="E22" s="670" t="n">
        <f aca="false">C22*SpotRates!$F$36</f>
        <v>0</v>
      </c>
      <c r="F22" s="670"/>
      <c r="G22" s="670" t="n">
        <f aca="false">E22-E21</f>
        <v>0</v>
      </c>
      <c r="H22" s="681" t="n">
        <f aca="false">IF(G22=-C21,G22*0,G22)</f>
        <v>0</v>
      </c>
      <c r="I22" s="682"/>
      <c r="J22" s="683" t="n">
        <v>34838</v>
      </c>
      <c r="K22" s="22"/>
      <c r="L22" s="674" t="n">
        <f aca="false">L21</f>
        <v>0.01</v>
      </c>
      <c r="M22" s="684"/>
      <c r="N22" s="669" t="n">
        <v>0</v>
      </c>
      <c r="O22" s="684"/>
      <c r="P22" s="669" t="n">
        <f aca="false">L22+N22</f>
        <v>0.01</v>
      </c>
      <c r="Q22" s="685"/>
      <c r="R22" s="684" t="n">
        <f aca="false">P22-P21</f>
        <v>0</v>
      </c>
      <c r="S22" s="681" t="n">
        <f aca="false">IF(R22=-P21,R22*0,R22)</f>
        <v>0</v>
      </c>
      <c r="T22" s="686"/>
      <c r="U22" s="670" t="n">
        <f aca="false">U21</f>
        <v>0</v>
      </c>
      <c r="V22" s="670" t="n">
        <f aca="false">V21</f>
        <v>0</v>
      </c>
      <c r="W22" s="688" t="n">
        <f aca="false">W21</f>
        <v>0</v>
      </c>
      <c r="X22" s="670" t="n">
        <f aca="false">X21</f>
        <v>0</v>
      </c>
      <c r="Y22" s="670" t="n">
        <f aca="false">Y21</f>
        <v>0</v>
      </c>
      <c r="Z22" s="670" t="n">
        <f aca="false">Z21</f>
        <v>0</v>
      </c>
      <c r="AA22" s="670" t="n">
        <f aca="false">AA21</f>
        <v>0</v>
      </c>
      <c r="AB22" s="670" t="n">
        <f aca="false">AB21</f>
        <v>0</v>
      </c>
      <c r="AC22" s="670" t="n">
        <f aca="false">AC21</f>
        <v>0</v>
      </c>
      <c r="AD22" s="670" t="n">
        <f aca="false">AD21</f>
        <v>0</v>
      </c>
      <c r="AE22" s="670" t="n">
        <f aca="false">SUM(U22:AD22)</f>
        <v>0</v>
      </c>
      <c r="AF22" s="670" t="n">
        <f aca="false">AE22-AE21</f>
        <v>0</v>
      </c>
      <c r="AG22" s="681" t="n">
        <f aca="false">IF(AF22=-AE21,AF22*0,AF22)</f>
        <v>0</v>
      </c>
      <c r="AH22" s="669" t="n">
        <f aca="false">E22+L22+AE22</f>
        <v>0.01</v>
      </c>
      <c r="AI22" s="673"/>
      <c r="AJ22" s="687" t="n">
        <f aca="false">H22+S22+AG22</f>
        <v>0</v>
      </c>
      <c r="AL22" s="670" t="n">
        <f aca="false">AL21</f>
        <v>0</v>
      </c>
      <c r="AO22" s="679" t="n">
        <f aca="false">+AL22+AH22</f>
        <v>0.01</v>
      </c>
    </row>
    <row r="23" customFormat="false" ht="12.75" hidden="false" customHeight="false" outlineLevel="0" collapsed="false">
      <c r="A23" s="680" t="n">
        <f aca="false">A22+1</f>
        <v>36631</v>
      </c>
      <c r="C23" s="668" t="n">
        <f aca="false">C22</f>
        <v>0</v>
      </c>
      <c r="D23" s="670"/>
      <c r="E23" s="670" t="n">
        <f aca="false">C23*SpotRates!$F$36</f>
        <v>0</v>
      </c>
      <c r="F23" s="670"/>
      <c r="G23" s="670" t="n">
        <f aca="false">E23-E22</f>
        <v>0</v>
      </c>
      <c r="H23" s="681" t="n">
        <f aca="false">IF(G23=-C22,G23*0,G23)</f>
        <v>0</v>
      </c>
      <c r="I23" s="682"/>
      <c r="J23" s="683" t="n">
        <v>34841</v>
      </c>
      <c r="K23" s="22"/>
      <c r="L23" s="674" t="n">
        <f aca="false">L22</f>
        <v>0.01</v>
      </c>
      <c r="M23" s="684"/>
      <c r="N23" s="669" t="n">
        <v>0</v>
      </c>
      <c r="O23" s="684"/>
      <c r="P23" s="669" t="n">
        <f aca="false">L23+N23</f>
        <v>0.01</v>
      </c>
      <c r="Q23" s="685"/>
      <c r="R23" s="684" t="n">
        <f aca="false">P23-P22</f>
        <v>0</v>
      </c>
      <c r="S23" s="681" t="n">
        <f aca="false">IF(R23=-P22,R23*0,R23)</f>
        <v>0</v>
      </c>
      <c r="T23" s="686"/>
      <c r="U23" s="670" t="n">
        <f aca="false">U22</f>
        <v>0</v>
      </c>
      <c r="V23" s="670" t="n">
        <f aca="false">V22</f>
        <v>0</v>
      </c>
      <c r="W23" s="688" t="n">
        <f aca="false">W22</f>
        <v>0</v>
      </c>
      <c r="X23" s="670" t="n">
        <f aca="false">X22</f>
        <v>0</v>
      </c>
      <c r="Y23" s="670" t="n">
        <f aca="false">Y22</f>
        <v>0</v>
      </c>
      <c r="Z23" s="670" t="n">
        <f aca="false">Z22</f>
        <v>0</v>
      </c>
      <c r="AA23" s="670" t="n">
        <f aca="false">AA22</f>
        <v>0</v>
      </c>
      <c r="AB23" s="670" t="n">
        <f aca="false">AB22</f>
        <v>0</v>
      </c>
      <c r="AC23" s="670" t="n">
        <f aca="false">AC22</f>
        <v>0</v>
      </c>
      <c r="AD23" s="670" t="n">
        <f aca="false">AD22</f>
        <v>0</v>
      </c>
      <c r="AE23" s="670" t="n">
        <f aca="false">SUM(U23:AD23)</f>
        <v>0</v>
      </c>
      <c r="AF23" s="670" t="n">
        <f aca="false">AE23-AE22</f>
        <v>0</v>
      </c>
      <c r="AG23" s="681" t="n">
        <f aca="false">IF(AF23=-AE22,AF23*0,AF23)</f>
        <v>0</v>
      </c>
      <c r="AH23" s="669" t="n">
        <f aca="false">E23+L23+AE23</f>
        <v>0.01</v>
      </c>
      <c r="AI23" s="673"/>
      <c r="AJ23" s="687" t="n">
        <f aca="false">H23+S23+AG23</f>
        <v>0</v>
      </c>
      <c r="AL23" s="670" t="n">
        <f aca="false">AL22</f>
        <v>0</v>
      </c>
      <c r="AO23" s="679" t="n">
        <f aca="false">+AL23+AH23</f>
        <v>0.01</v>
      </c>
    </row>
    <row r="24" customFormat="false" ht="12.75" hidden="false" customHeight="false" outlineLevel="0" collapsed="false">
      <c r="A24" s="680" t="n">
        <f aca="false">A23+1</f>
        <v>36632</v>
      </c>
      <c r="C24" s="668" t="n">
        <f aca="false">C23</f>
        <v>0</v>
      </c>
      <c r="D24" s="670"/>
      <c r="E24" s="670" t="n">
        <f aca="false">C24*SpotRates!$F$36</f>
        <v>0</v>
      </c>
      <c r="F24" s="670"/>
      <c r="G24" s="670" t="n">
        <f aca="false">E24-E23</f>
        <v>0</v>
      </c>
      <c r="H24" s="681" t="n">
        <f aca="false">IF(G24=-C23,G24*0,G24)</f>
        <v>0</v>
      </c>
      <c r="I24" s="682"/>
      <c r="J24" s="683" t="n">
        <v>34842</v>
      </c>
      <c r="K24" s="22"/>
      <c r="L24" s="674" t="n">
        <f aca="false">L23</f>
        <v>0.01</v>
      </c>
      <c r="M24" s="684"/>
      <c r="N24" s="669" t="n">
        <v>0</v>
      </c>
      <c r="O24" s="684"/>
      <c r="P24" s="669" t="n">
        <f aca="false">L24+N24</f>
        <v>0.01</v>
      </c>
      <c r="Q24" s="685"/>
      <c r="R24" s="684" t="n">
        <f aca="false">P24-P23</f>
        <v>0</v>
      </c>
      <c r="S24" s="681" t="n">
        <f aca="false">IF(R24=-P23,R24*0,R24)</f>
        <v>0</v>
      </c>
      <c r="T24" s="686"/>
      <c r="U24" s="670" t="n">
        <f aca="false">U23</f>
        <v>0</v>
      </c>
      <c r="V24" s="670" t="n">
        <f aca="false">V23</f>
        <v>0</v>
      </c>
      <c r="W24" s="688" t="n">
        <f aca="false">W23</f>
        <v>0</v>
      </c>
      <c r="X24" s="670" t="n">
        <f aca="false">X23</f>
        <v>0</v>
      </c>
      <c r="Y24" s="670" t="n">
        <f aca="false">Y23</f>
        <v>0</v>
      </c>
      <c r="Z24" s="670" t="n">
        <f aca="false">Z23</f>
        <v>0</v>
      </c>
      <c r="AA24" s="670" t="n">
        <f aca="false">AA23</f>
        <v>0</v>
      </c>
      <c r="AB24" s="670" t="n">
        <f aca="false">AB23</f>
        <v>0</v>
      </c>
      <c r="AC24" s="670" t="n">
        <f aca="false">AC23</f>
        <v>0</v>
      </c>
      <c r="AD24" s="670" t="n">
        <f aca="false">AD23</f>
        <v>0</v>
      </c>
      <c r="AE24" s="670" t="n">
        <f aca="false">SUM(U24:AD24)</f>
        <v>0</v>
      </c>
      <c r="AF24" s="670" t="n">
        <f aca="false">AE24-AE23</f>
        <v>0</v>
      </c>
      <c r="AG24" s="681" t="n">
        <f aca="false">IF(AF24=-AE23,AF24*0,AF24)</f>
        <v>0</v>
      </c>
      <c r="AH24" s="669" t="n">
        <f aca="false">E24+L24+AE24</f>
        <v>0.01</v>
      </c>
      <c r="AI24" s="673"/>
      <c r="AJ24" s="687" t="n">
        <f aca="false">H24+S24+AG24</f>
        <v>0</v>
      </c>
      <c r="AL24" s="670" t="n">
        <f aca="false">AL23</f>
        <v>0</v>
      </c>
      <c r="AO24" s="679" t="n">
        <f aca="false">+AL24+AH24</f>
        <v>0.01</v>
      </c>
    </row>
    <row r="25" customFormat="false" ht="12.75" hidden="false" customHeight="false" outlineLevel="0" collapsed="false">
      <c r="A25" s="680" t="n">
        <f aca="false">A24+1</f>
        <v>36633</v>
      </c>
      <c r="C25" s="668" t="n">
        <f aca="false">C24</f>
        <v>0</v>
      </c>
      <c r="D25" s="670"/>
      <c r="E25" s="670" t="n">
        <f aca="false">C25*SpotRates!$F$36</f>
        <v>0</v>
      </c>
      <c r="F25" s="670"/>
      <c r="G25" s="670" t="n">
        <f aca="false">E25-E24</f>
        <v>0</v>
      </c>
      <c r="H25" s="681" t="n">
        <f aca="false">IF(G25=-C24,G25*0,G25)</f>
        <v>0</v>
      </c>
      <c r="I25" s="682"/>
      <c r="J25" s="683" t="n">
        <v>34843</v>
      </c>
      <c r="K25" s="22"/>
      <c r="L25" s="674" t="n">
        <f aca="false">L24</f>
        <v>0.01</v>
      </c>
      <c r="M25" s="684"/>
      <c r="N25" s="669" t="n">
        <v>0</v>
      </c>
      <c r="O25" s="684"/>
      <c r="P25" s="669" t="n">
        <f aca="false">L25+N25</f>
        <v>0.01</v>
      </c>
      <c r="Q25" s="685"/>
      <c r="R25" s="684" t="n">
        <f aca="false">P25-P24</f>
        <v>0</v>
      </c>
      <c r="S25" s="681" t="n">
        <f aca="false">IF(R25=-P24,R25*0,R25)</f>
        <v>0</v>
      </c>
      <c r="T25" s="686"/>
      <c r="U25" s="670" t="n">
        <f aca="false">U24</f>
        <v>0</v>
      </c>
      <c r="V25" s="670" t="n">
        <f aca="false">V24</f>
        <v>0</v>
      </c>
      <c r="W25" s="688" t="n">
        <f aca="false">W24</f>
        <v>0</v>
      </c>
      <c r="X25" s="670" t="n">
        <v>0</v>
      </c>
      <c r="Y25" s="670" t="n">
        <f aca="false">Y24</f>
        <v>0</v>
      </c>
      <c r="Z25" s="670" t="n">
        <v>0</v>
      </c>
      <c r="AA25" s="670" t="n">
        <f aca="false">AA24</f>
        <v>0</v>
      </c>
      <c r="AB25" s="670" t="n">
        <f aca="false">AB24</f>
        <v>0</v>
      </c>
      <c r="AC25" s="670" t="n">
        <f aca="false">AC24</f>
        <v>0</v>
      </c>
      <c r="AD25" s="670" t="n">
        <f aca="false">AD24</f>
        <v>0</v>
      </c>
      <c r="AE25" s="670" t="n">
        <f aca="false">SUM(U25:AD25)</f>
        <v>0</v>
      </c>
      <c r="AF25" s="670" t="n">
        <f aca="false">AE25-AE24</f>
        <v>0</v>
      </c>
      <c r="AG25" s="681" t="n">
        <f aca="false">IF(AF25=-AE24,AF25*0,AF25)</f>
        <v>0</v>
      </c>
      <c r="AH25" s="669" t="n">
        <f aca="false">E25+L25+AE25</f>
        <v>0.01</v>
      </c>
      <c r="AI25" s="673"/>
      <c r="AJ25" s="687" t="n">
        <f aca="false">H25+S25+AG25</f>
        <v>0</v>
      </c>
      <c r="AL25" s="670" t="n">
        <f aca="false">AL24</f>
        <v>0</v>
      </c>
      <c r="AO25" s="679" t="n">
        <f aca="false">+AL25+AH25</f>
        <v>0.01</v>
      </c>
    </row>
    <row r="26" customFormat="false" ht="12.75" hidden="false" customHeight="false" outlineLevel="0" collapsed="false">
      <c r="A26" s="680" t="n">
        <f aca="false">A25+1</f>
        <v>36634</v>
      </c>
      <c r="C26" s="668" t="n">
        <f aca="false">C25</f>
        <v>0</v>
      </c>
      <c r="D26" s="670"/>
      <c r="E26" s="670" t="n">
        <f aca="false">C26*SpotRates!$F$36</f>
        <v>0</v>
      </c>
      <c r="F26" s="670"/>
      <c r="G26" s="670" t="n">
        <f aca="false">E26-E25</f>
        <v>0</v>
      </c>
      <c r="H26" s="681" t="n">
        <f aca="false">IF(G26=-C25,G26*0,G26)</f>
        <v>0</v>
      </c>
      <c r="I26" s="682"/>
      <c r="J26" s="683" t="n">
        <v>34844</v>
      </c>
      <c r="K26" s="22"/>
      <c r="L26" s="674" t="n">
        <f aca="false">L25</f>
        <v>0.01</v>
      </c>
      <c r="M26" s="684"/>
      <c r="N26" s="669" t="n">
        <v>0</v>
      </c>
      <c r="O26" s="684"/>
      <c r="P26" s="669" t="n">
        <f aca="false">L26+N26</f>
        <v>0.01</v>
      </c>
      <c r="Q26" s="685"/>
      <c r="R26" s="684" t="n">
        <f aca="false">P26-P25</f>
        <v>0</v>
      </c>
      <c r="S26" s="681" t="n">
        <f aca="false">IF(R26=-P25,R26*0,R26)</f>
        <v>0</v>
      </c>
      <c r="T26" s="686"/>
      <c r="U26" s="670" t="n">
        <f aca="false">U25</f>
        <v>0</v>
      </c>
      <c r="V26" s="670" t="n">
        <f aca="false">V25</f>
        <v>0</v>
      </c>
      <c r="W26" s="688" t="n">
        <f aca="false">W25</f>
        <v>0</v>
      </c>
      <c r="X26" s="670" t="n">
        <f aca="false">X25</f>
        <v>0</v>
      </c>
      <c r="Y26" s="670" t="n">
        <f aca="false">Y25</f>
        <v>0</v>
      </c>
      <c r="Z26" s="670" t="n">
        <f aca="false">Z25</f>
        <v>0</v>
      </c>
      <c r="AA26" s="670" t="n">
        <f aca="false">AA25</f>
        <v>0</v>
      </c>
      <c r="AB26" s="670" t="n">
        <f aca="false">AB25</f>
        <v>0</v>
      </c>
      <c r="AC26" s="670" t="n">
        <f aca="false">AC25</f>
        <v>0</v>
      </c>
      <c r="AD26" s="670" t="n">
        <f aca="false">AD25</f>
        <v>0</v>
      </c>
      <c r="AE26" s="670" t="n">
        <f aca="false">SUM(U26:AD26)</f>
        <v>0</v>
      </c>
      <c r="AF26" s="670" t="n">
        <f aca="false">AE26-AE25</f>
        <v>0</v>
      </c>
      <c r="AG26" s="681" t="n">
        <f aca="false">IF(AF26=-AE25,AF26*0,AF26)</f>
        <v>0</v>
      </c>
      <c r="AH26" s="669" t="n">
        <f aca="false">E26+L26+AE26</f>
        <v>0.01</v>
      </c>
      <c r="AI26" s="673"/>
      <c r="AJ26" s="687" t="n">
        <f aca="false">H26+S26+AG26</f>
        <v>0</v>
      </c>
      <c r="AL26" s="670" t="n">
        <f aca="false">AL25</f>
        <v>0</v>
      </c>
      <c r="AO26" s="679" t="n">
        <f aca="false">+AL26+AH26</f>
        <v>0.01</v>
      </c>
    </row>
    <row r="27" customFormat="false" ht="12.75" hidden="false" customHeight="false" outlineLevel="0" collapsed="false">
      <c r="A27" s="680" t="n">
        <f aca="false">A26+1</f>
        <v>36635</v>
      </c>
      <c r="C27" s="668" t="n">
        <f aca="false">C26</f>
        <v>0</v>
      </c>
      <c r="D27" s="670"/>
      <c r="E27" s="670" t="n">
        <f aca="false">C27*SpotRates!$F$36</f>
        <v>0</v>
      </c>
      <c r="F27" s="670"/>
      <c r="G27" s="670" t="n">
        <f aca="false">E27-E26</f>
        <v>0</v>
      </c>
      <c r="H27" s="681" t="n">
        <f aca="false">IF(G27=-C26,G27*0,G27)</f>
        <v>0</v>
      </c>
      <c r="I27" s="682"/>
      <c r="J27" s="683" t="n">
        <v>34845</v>
      </c>
      <c r="K27" s="22"/>
      <c r="L27" s="674" t="n">
        <f aca="false">L26</f>
        <v>0.01</v>
      </c>
      <c r="M27" s="684"/>
      <c r="N27" s="669" t="n">
        <v>0</v>
      </c>
      <c r="O27" s="684"/>
      <c r="P27" s="669" t="n">
        <f aca="false">L27+N27</f>
        <v>0.01</v>
      </c>
      <c r="Q27" s="685"/>
      <c r="R27" s="684" t="n">
        <f aca="false">P27-P26</f>
        <v>0</v>
      </c>
      <c r="S27" s="681" t="n">
        <f aca="false">IF(R27=-P26,R27*0,R27)</f>
        <v>0</v>
      </c>
      <c r="T27" s="686"/>
      <c r="U27" s="670" t="n">
        <f aca="false">U26</f>
        <v>0</v>
      </c>
      <c r="V27" s="670" t="n">
        <f aca="false">V26</f>
        <v>0</v>
      </c>
      <c r="W27" s="688" t="n">
        <f aca="false">W26</f>
        <v>0</v>
      </c>
      <c r="X27" s="670" t="n">
        <f aca="false">X26</f>
        <v>0</v>
      </c>
      <c r="Y27" s="670" t="n">
        <f aca="false">Y26</f>
        <v>0</v>
      </c>
      <c r="Z27" s="670" t="n">
        <f aca="false">Z26</f>
        <v>0</v>
      </c>
      <c r="AA27" s="670" t="n">
        <f aca="false">AA26</f>
        <v>0</v>
      </c>
      <c r="AB27" s="670" t="n">
        <f aca="false">AB26</f>
        <v>0</v>
      </c>
      <c r="AC27" s="670" t="n">
        <f aca="false">AC26</f>
        <v>0</v>
      </c>
      <c r="AD27" s="670" t="n">
        <f aca="false">AD26</f>
        <v>0</v>
      </c>
      <c r="AE27" s="670" t="n">
        <f aca="false">SUM(U27:AD27)</f>
        <v>0</v>
      </c>
      <c r="AF27" s="670" t="n">
        <f aca="false">AE27-AE26</f>
        <v>0</v>
      </c>
      <c r="AG27" s="681" t="n">
        <f aca="false">IF(AF27=-AE26,AF27*0,AF27)</f>
        <v>0</v>
      </c>
      <c r="AH27" s="669" t="n">
        <f aca="false">E27+L27+AE27</f>
        <v>0.01</v>
      </c>
      <c r="AI27" s="673"/>
      <c r="AJ27" s="687" t="n">
        <f aca="false">H27+S27+AG27</f>
        <v>0</v>
      </c>
      <c r="AL27" s="670" t="n">
        <f aca="false">AL26</f>
        <v>0</v>
      </c>
      <c r="AO27" s="679" t="n">
        <f aca="false">+AL27+AH27</f>
        <v>0.01</v>
      </c>
    </row>
    <row r="28" customFormat="false" ht="12.75" hidden="false" customHeight="false" outlineLevel="0" collapsed="false">
      <c r="A28" s="680" t="n">
        <f aca="false">A27+1</f>
        <v>36636</v>
      </c>
      <c r="C28" s="668" t="n">
        <f aca="false">C27</f>
        <v>0</v>
      </c>
      <c r="D28" s="670"/>
      <c r="E28" s="670" t="n">
        <f aca="false">C28*SpotRates!$F$36</f>
        <v>0</v>
      </c>
      <c r="F28" s="670"/>
      <c r="G28" s="670" t="n">
        <f aca="false">E28-E27</f>
        <v>0</v>
      </c>
      <c r="H28" s="681" t="n">
        <f aca="false">IF(G28=-C27,G28*0,G28)</f>
        <v>0</v>
      </c>
      <c r="I28" s="682"/>
      <c r="J28" s="683" t="n">
        <v>34848</v>
      </c>
      <c r="K28" s="22"/>
      <c r="L28" s="674" t="n">
        <f aca="false">L27</f>
        <v>0.01</v>
      </c>
      <c r="M28" s="684"/>
      <c r="N28" s="669" t="n">
        <v>0</v>
      </c>
      <c r="O28" s="684"/>
      <c r="P28" s="669" t="n">
        <f aca="false">L28+N28</f>
        <v>0.01</v>
      </c>
      <c r="Q28" s="685"/>
      <c r="R28" s="684" t="n">
        <f aca="false">P28-P27</f>
        <v>0</v>
      </c>
      <c r="S28" s="681" t="n">
        <f aca="false">IF(R28=-P27,R28*0,R28)</f>
        <v>0</v>
      </c>
      <c r="T28" s="686"/>
      <c r="U28" s="670" t="n">
        <f aca="false">U27</f>
        <v>0</v>
      </c>
      <c r="V28" s="670" t="n">
        <f aca="false">V27</f>
        <v>0</v>
      </c>
      <c r="W28" s="688" t="n">
        <f aca="false">W27</f>
        <v>0</v>
      </c>
      <c r="X28" s="670" t="n">
        <f aca="false">X27</f>
        <v>0</v>
      </c>
      <c r="Y28" s="670" t="n">
        <f aca="false">Y27</f>
        <v>0</v>
      </c>
      <c r="Z28" s="670" t="n">
        <f aca="false">Z27</f>
        <v>0</v>
      </c>
      <c r="AA28" s="670" t="n">
        <f aca="false">AA27</f>
        <v>0</v>
      </c>
      <c r="AB28" s="670" t="n">
        <f aca="false">AB27</f>
        <v>0</v>
      </c>
      <c r="AC28" s="670" t="n">
        <f aca="false">AC27</f>
        <v>0</v>
      </c>
      <c r="AD28" s="670" t="n">
        <f aca="false">AD27</f>
        <v>0</v>
      </c>
      <c r="AE28" s="670" t="n">
        <f aca="false">SUM(U28:AD28)</f>
        <v>0</v>
      </c>
      <c r="AF28" s="670" t="n">
        <f aca="false">AE28-AE27</f>
        <v>0</v>
      </c>
      <c r="AG28" s="681" t="n">
        <f aca="false">IF(AF28=-AE27,AF28*0,AF28)</f>
        <v>0</v>
      </c>
      <c r="AH28" s="669" t="n">
        <f aca="false">E28+L28+AE28</f>
        <v>0.01</v>
      </c>
      <c r="AI28" s="673"/>
      <c r="AJ28" s="687" t="n">
        <f aca="false">H28+S28+AG28</f>
        <v>0</v>
      </c>
      <c r="AL28" s="670" t="n">
        <f aca="false">AL27</f>
        <v>0</v>
      </c>
      <c r="AO28" s="679" t="n">
        <f aca="false">+AL28+AH28</f>
        <v>0.01</v>
      </c>
    </row>
    <row r="29" customFormat="false" ht="12.75" hidden="false" customHeight="false" outlineLevel="0" collapsed="false">
      <c r="A29" s="680" t="n">
        <f aca="false">A28+1</f>
        <v>36637</v>
      </c>
      <c r="C29" s="668" t="n">
        <f aca="false">C28</f>
        <v>0</v>
      </c>
      <c r="D29" s="670"/>
      <c r="E29" s="670" t="n">
        <f aca="false">C29*SpotRates!$F$36</f>
        <v>0</v>
      </c>
      <c r="F29" s="670"/>
      <c r="G29" s="670" t="n">
        <f aca="false">E29-E28</f>
        <v>0</v>
      </c>
      <c r="H29" s="681" t="n">
        <f aca="false">IF(G29=-C28,G29*0,G29)</f>
        <v>0</v>
      </c>
      <c r="I29" s="682"/>
      <c r="J29" s="683" t="n">
        <v>34849</v>
      </c>
      <c r="K29" s="22"/>
      <c r="L29" s="674" t="n">
        <f aca="false">L28</f>
        <v>0.01</v>
      </c>
      <c r="M29" s="684"/>
      <c r="N29" s="669" t="n">
        <v>0</v>
      </c>
      <c r="O29" s="684"/>
      <c r="P29" s="669" t="n">
        <f aca="false">L29+N29</f>
        <v>0.01</v>
      </c>
      <c r="Q29" s="685"/>
      <c r="R29" s="684" t="n">
        <f aca="false">P29-P28</f>
        <v>0</v>
      </c>
      <c r="S29" s="681" t="n">
        <f aca="false">IF(R29=-P28,R29*0,R29)</f>
        <v>0</v>
      </c>
      <c r="T29" s="686"/>
      <c r="U29" s="670" t="n">
        <f aca="false">U28</f>
        <v>0</v>
      </c>
      <c r="V29" s="670" t="n">
        <f aca="false">V28</f>
        <v>0</v>
      </c>
      <c r="W29" s="688" t="n">
        <f aca="false">W28</f>
        <v>0</v>
      </c>
      <c r="X29" s="670" t="n">
        <f aca="false">X28</f>
        <v>0</v>
      </c>
      <c r="Y29" s="670" t="n">
        <f aca="false">Y28</f>
        <v>0</v>
      </c>
      <c r="Z29" s="670" t="n">
        <f aca="false">Z28</f>
        <v>0</v>
      </c>
      <c r="AA29" s="670" t="n">
        <f aca="false">AA28</f>
        <v>0</v>
      </c>
      <c r="AB29" s="670" t="n">
        <f aca="false">AB28</f>
        <v>0</v>
      </c>
      <c r="AC29" s="670" t="n">
        <f aca="false">AC28</f>
        <v>0</v>
      </c>
      <c r="AD29" s="670" t="n">
        <f aca="false">AD28</f>
        <v>0</v>
      </c>
      <c r="AE29" s="670" t="n">
        <f aca="false">SUM(U29:AD29)</f>
        <v>0</v>
      </c>
      <c r="AF29" s="670" t="n">
        <f aca="false">AE29-AE28</f>
        <v>0</v>
      </c>
      <c r="AG29" s="681" t="n">
        <f aca="false">IF(AF29=-AE28,AF29*0,AF29)</f>
        <v>0</v>
      </c>
      <c r="AH29" s="669" t="n">
        <f aca="false">E29+L29+AE29</f>
        <v>0.01</v>
      </c>
      <c r="AI29" s="673"/>
      <c r="AJ29" s="687" t="n">
        <f aca="false">H29+S29+AG29</f>
        <v>0</v>
      </c>
      <c r="AL29" s="670" t="n">
        <f aca="false">AL28</f>
        <v>0</v>
      </c>
      <c r="AO29" s="679" t="n">
        <f aca="false">+AL29+AH29</f>
        <v>0.01</v>
      </c>
    </row>
    <row r="30" customFormat="false" ht="12.75" hidden="false" customHeight="false" outlineLevel="0" collapsed="false">
      <c r="A30" s="680" t="n">
        <f aca="false">A29+1</f>
        <v>36638</v>
      </c>
      <c r="C30" s="668" t="n">
        <f aca="false">C29</f>
        <v>0</v>
      </c>
      <c r="D30" s="670"/>
      <c r="E30" s="670" t="n">
        <f aca="false">C30*SpotRates!$F$36</f>
        <v>0</v>
      </c>
      <c r="F30" s="670"/>
      <c r="G30" s="670" t="n">
        <f aca="false">E30-E29</f>
        <v>0</v>
      </c>
      <c r="H30" s="681" t="n">
        <f aca="false">IF(G30=-C29,G30*0,G30)</f>
        <v>0</v>
      </c>
      <c r="I30" s="682"/>
      <c r="J30" s="683" t="n">
        <v>34850</v>
      </c>
      <c r="K30" s="22"/>
      <c r="L30" s="674" t="n">
        <f aca="false">L29</f>
        <v>0.01</v>
      </c>
      <c r="M30" s="684"/>
      <c r="N30" s="669" t="n">
        <v>0</v>
      </c>
      <c r="O30" s="684"/>
      <c r="P30" s="669" t="n">
        <f aca="false">L30+N30</f>
        <v>0.01</v>
      </c>
      <c r="Q30" s="685"/>
      <c r="R30" s="684" t="n">
        <f aca="false">P30-P29</f>
        <v>0</v>
      </c>
      <c r="S30" s="681" t="n">
        <f aca="false">IF(R30=-P29,R30*0,R30)</f>
        <v>0</v>
      </c>
      <c r="T30" s="686"/>
      <c r="U30" s="670" t="n">
        <f aca="false">U29</f>
        <v>0</v>
      </c>
      <c r="V30" s="670" t="n">
        <f aca="false">V29</f>
        <v>0</v>
      </c>
      <c r="W30" s="688" t="n">
        <f aca="false">W29</f>
        <v>0</v>
      </c>
      <c r="X30" s="670" t="n">
        <f aca="false">X29</f>
        <v>0</v>
      </c>
      <c r="Y30" s="670" t="n">
        <f aca="false">Y29</f>
        <v>0</v>
      </c>
      <c r="Z30" s="670" t="n">
        <f aca="false">Z29</f>
        <v>0</v>
      </c>
      <c r="AA30" s="670" t="n">
        <f aca="false">AA29</f>
        <v>0</v>
      </c>
      <c r="AB30" s="670" t="n">
        <f aca="false">AB29</f>
        <v>0</v>
      </c>
      <c r="AC30" s="670" t="n">
        <f aca="false">AC29</f>
        <v>0</v>
      </c>
      <c r="AD30" s="670" t="n">
        <f aca="false">AD29</f>
        <v>0</v>
      </c>
      <c r="AE30" s="670" t="n">
        <f aca="false">SUM(U30:AD30)</f>
        <v>0</v>
      </c>
      <c r="AF30" s="670" t="n">
        <f aca="false">AE30-AE29</f>
        <v>0</v>
      </c>
      <c r="AG30" s="681" t="n">
        <f aca="false">IF(AF30=-AE29,AF30*0,AF30)</f>
        <v>0</v>
      </c>
      <c r="AH30" s="669" t="n">
        <f aca="false">E30+L30+AE30</f>
        <v>0.01</v>
      </c>
      <c r="AI30" s="673"/>
      <c r="AJ30" s="687" t="n">
        <f aca="false">H30+S30+AG30</f>
        <v>0</v>
      </c>
      <c r="AL30" s="670" t="n">
        <f aca="false">AL29</f>
        <v>0</v>
      </c>
      <c r="AO30" s="679" t="n">
        <f aca="false">+AL30+AH30</f>
        <v>0.01</v>
      </c>
    </row>
    <row r="31" customFormat="false" ht="12.75" hidden="false" customHeight="false" outlineLevel="0" collapsed="false">
      <c r="A31" s="680" t="n">
        <f aca="false">A30+1</f>
        <v>36639</v>
      </c>
      <c r="C31" s="668" t="n">
        <f aca="false">C30</f>
        <v>0</v>
      </c>
      <c r="D31" s="670"/>
      <c r="E31" s="670" t="n">
        <f aca="false">C31*SpotRates!$F$36</f>
        <v>0</v>
      </c>
      <c r="F31" s="670"/>
      <c r="G31" s="670" t="n">
        <f aca="false">E31-E30</f>
        <v>0</v>
      </c>
      <c r="H31" s="681" t="n">
        <f aca="false">IF(G31=-C30,G31*0,G31)</f>
        <v>0</v>
      </c>
      <c r="I31" s="682"/>
      <c r="J31" s="683" t="n">
        <v>34850</v>
      </c>
      <c r="K31" s="22"/>
      <c r="L31" s="674" t="n">
        <f aca="false">L30</f>
        <v>0.01</v>
      </c>
      <c r="M31" s="684"/>
      <c r="N31" s="669" t="n">
        <v>0</v>
      </c>
      <c r="O31" s="684"/>
      <c r="P31" s="669" t="n">
        <f aca="false">L31+N31</f>
        <v>0.01</v>
      </c>
      <c r="Q31" s="685"/>
      <c r="R31" s="684" t="n">
        <f aca="false">P31-P30</f>
        <v>0</v>
      </c>
      <c r="S31" s="681" t="n">
        <f aca="false">IF(R31=-P30,R31*0,R31)</f>
        <v>0</v>
      </c>
      <c r="T31" s="686"/>
      <c r="U31" s="670" t="n">
        <f aca="false">U30</f>
        <v>0</v>
      </c>
      <c r="V31" s="670" t="n">
        <f aca="false">V30</f>
        <v>0</v>
      </c>
      <c r="W31" s="688" t="n">
        <f aca="false">W30</f>
        <v>0</v>
      </c>
      <c r="X31" s="670" t="n">
        <f aca="false">X30</f>
        <v>0</v>
      </c>
      <c r="Y31" s="670" t="n">
        <f aca="false">Y30</f>
        <v>0</v>
      </c>
      <c r="Z31" s="670" t="n">
        <f aca="false">Z30</f>
        <v>0</v>
      </c>
      <c r="AA31" s="670" t="n">
        <f aca="false">AA30</f>
        <v>0</v>
      </c>
      <c r="AB31" s="670" t="n">
        <f aca="false">AB30</f>
        <v>0</v>
      </c>
      <c r="AC31" s="670" t="n">
        <f aca="false">AC30</f>
        <v>0</v>
      </c>
      <c r="AD31" s="670" t="n">
        <f aca="false">AD30</f>
        <v>0</v>
      </c>
      <c r="AE31" s="670" t="n">
        <f aca="false">SUM(U31:AD31)</f>
        <v>0</v>
      </c>
      <c r="AF31" s="670" t="n">
        <f aca="false">AE31-AE30</f>
        <v>0</v>
      </c>
      <c r="AG31" s="681" t="n">
        <f aca="false">IF(AF31=-AE30,AF31*0,AF31)</f>
        <v>0</v>
      </c>
      <c r="AH31" s="669" t="n">
        <f aca="false">E31+L31+AE31</f>
        <v>0.01</v>
      </c>
      <c r="AI31" s="673"/>
      <c r="AJ31" s="687" t="n">
        <f aca="false">H31+S31+AG31</f>
        <v>0</v>
      </c>
      <c r="AL31" s="670" t="n">
        <f aca="false">AL30</f>
        <v>0</v>
      </c>
      <c r="AO31" s="679" t="n">
        <f aca="false">+AL31+AH31</f>
        <v>0.01</v>
      </c>
    </row>
    <row r="32" customFormat="false" ht="12.75" hidden="false" customHeight="false" outlineLevel="0" collapsed="false">
      <c r="A32" s="680" t="n">
        <f aca="false">A31+1</f>
        <v>36640</v>
      </c>
      <c r="C32" s="668" t="n">
        <f aca="false">C31</f>
        <v>0</v>
      </c>
      <c r="D32" s="670"/>
      <c r="E32" s="670" t="n">
        <f aca="false">C32*SpotRates!$F$36</f>
        <v>0</v>
      </c>
      <c r="F32" s="670"/>
      <c r="G32" s="670" t="n">
        <f aca="false">E32-E31</f>
        <v>0</v>
      </c>
      <c r="H32" s="681" t="n">
        <f aca="false">IF(G32=-C31,G32*0,G32)</f>
        <v>0</v>
      </c>
      <c r="I32" s="682"/>
      <c r="J32" s="683" t="n">
        <v>34850</v>
      </c>
      <c r="K32" s="22"/>
      <c r="L32" s="674" t="n">
        <f aca="false">L31</f>
        <v>0.01</v>
      </c>
      <c r="M32" s="684"/>
      <c r="N32" s="669" t="n">
        <v>0</v>
      </c>
      <c r="O32" s="684"/>
      <c r="P32" s="669" t="n">
        <f aca="false">L32+N32</f>
        <v>0.01</v>
      </c>
      <c r="Q32" s="685"/>
      <c r="R32" s="684" t="n">
        <f aca="false">P32-P31</f>
        <v>0</v>
      </c>
      <c r="S32" s="681" t="n">
        <f aca="false">IF(R32=-P31,R32*0,R32)</f>
        <v>0</v>
      </c>
      <c r="T32" s="686"/>
      <c r="U32" s="670" t="n">
        <f aca="false">U31</f>
        <v>0</v>
      </c>
      <c r="V32" s="670" t="n">
        <f aca="false">V31</f>
        <v>0</v>
      </c>
      <c r="W32" s="688" t="n">
        <f aca="false">W31</f>
        <v>0</v>
      </c>
      <c r="X32" s="670" t="n">
        <f aca="false">X31</f>
        <v>0</v>
      </c>
      <c r="Y32" s="670" t="n">
        <f aca="false">Y31</f>
        <v>0</v>
      </c>
      <c r="Z32" s="670" t="n">
        <f aca="false">Z31</f>
        <v>0</v>
      </c>
      <c r="AA32" s="670" t="n">
        <f aca="false">AA31</f>
        <v>0</v>
      </c>
      <c r="AB32" s="670" t="n">
        <f aca="false">AB31</f>
        <v>0</v>
      </c>
      <c r="AC32" s="670" t="n">
        <f aca="false">AC31</f>
        <v>0</v>
      </c>
      <c r="AD32" s="670" t="n">
        <f aca="false">AD31</f>
        <v>0</v>
      </c>
      <c r="AE32" s="670" t="n">
        <f aca="false">SUM(U32:AD32)</f>
        <v>0</v>
      </c>
      <c r="AF32" s="670" t="n">
        <f aca="false">AE32-AE31</f>
        <v>0</v>
      </c>
      <c r="AG32" s="681" t="n">
        <f aca="false">IF(AF32=-AE31,AF32*0,AF32)</f>
        <v>0</v>
      </c>
      <c r="AH32" s="669" t="n">
        <f aca="false">E32+L32+AE32</f>
        <v>0.01</v>
      </c>
      <c r="AI32" s="673"/>
      <c r="AJ32" s="687" t="n">
        <f aca="false">H32+S32+AG32</f>
        <v>0</v>
      </c>
      <c r="AL32" s="670" t="n">
        <f aca="false">AL31</f>
        <v>0</v>
      </c>
      <c r="AO32" s="679" t="n">
        <f aca="false">+AL32+AH32</f>
        <v>0.01</v>
      </c>
    </row>
    <row r="33" customFormat="false" ht="12.75" hidden="false" customHeight="false" outlineLevel="0" collapsed="false">
      <c r="A33" s="680" t="n">
        <f aca="false">A32+1</f>
        <v>36641</v>
      </c>
      <c r="C33" s="668" t="n">
        <f aca="false">C32</f>
        <v>0</v>
      </c>
      <c r="D33" s="670"/>
      <c r="E33" s="670" t="n">
        <f aca="false">C33*SpotRates!$F$36</f>
        <v>0</v>
      </c>
      <c r="F33" s="670"/>
      <c r="G33" s="670" t="n">
        <f aca="false">E33-E32</f>
        <v>0</v>
      </c>
      <c r="H33" s="681" t="n">
        <f aca="false">IF(G33=-C32,G33*0,G33)</f>
        <v>0</v>
      </c>
      <c r="I33" s="682"/>
      <c r="J33" s="683" t="n">
        <v>34850</v>
      </c>
      <c r="K33" s="22"/>
      <c r="L33" s="674" t="n">
        <f aca="false">L32</f>
        <v>0.01</v>
      </c>
      <c r="M33" s="684"/>
      <c r="N33" s="669" t="n">
        <v>0</v>
      </c>
      <c r="O33" s="684"/>
      <c r="P33" s="669" t="n">
        <f aca="false">L33+N33</f>
        <v>0.01</v>
      </c>
      <c r="Q33" s="685"/>
      <c r="R33" s="684" t="n">
        <f aca="false">P33-P32</f>
        <v>0</v>
      </c>
      <c r="S33" s="681" t="n">
        <f aca="false">IF(R33=-P32,R33*0,R33)</f>
        <v>0</v>
      </c>
      <c r="T33" s="686"/>
      <c r="U33" s="670" t="n">
        <f aca="false">U32</f>
        <v>0</v>
      </c>
      <c r="V33" s="670" t="n">
        <f aca="false">V32</f>
        <v>0</v>
      </c>
      <c r="W33" s="688" t="n">
        <f aca="false">W32</f>
        <v>0</v>
      </c>
      <c r="X33" s="670" t="n">
        <f aca="false">X32</f>
        <v>0</v>
      </c>
      <c r="Y33" s="670" t="n">
        <f aca="false">Y32</f>
        <v>0</v>
      </c>
      <c r="Z33" s="670" t="n">
        <f aca="false">Z32</f>
        <v>0</v>
      </c>
      <c r="AA33" s="670" t="n">
        <f aca="false">AA32</f>
        <v>0</v>
      </c>
      <c r="AB33" s="670" t="n">
        <f aca="false">AB32</f>
        <v>0</v>
      </c>
      <c r="AC33" s="670" t="n">
        <f aca="false">AC32</f>
        <v>0</v>
      </c>
      <c r="AD33" s="670" t="n">
        <f aca="false">AD32</f>
        <v>0</v>
      </c>
      <c r="AE33" s="670" t="n">
        <f aca="false">SUM(U33:AD33)</f>
        <v>0</v>
      </c>
      <c r="AF33" s="670" t="n">
        <f aca="false">AE33-AE32</f>
        <v>0</v>
      </c>
      <c r="AG33" s="681" t="n">
        <f aca="false">IF(AF33=-AE32,AF33*0,AF33)</f>
        <v>0</v>
      </c>
      <c r="AH33" s="669" t="n">
        <f aca="false">E33+L33+AE33</f>
        <v>0.01</v>
      </c>
      <c r="AI33" s="673"/>
      <c r="AJ33" s="687" t="n">
        <f aca="false">H33+S33+AG33</f>
        <v>0</v>
      </c>
      <c r="AL33" s="670" t="n">
        <f aca="false">AL32</f>
        <v>0</v>
      </c>
      <c r="AO33" s="679" t="n">
        <f aca="false">+AL33+AH33</f>
        <v>0.01</v>
      </c>
    </row>
    <row r="34" customFormat="false" ht="12.75" hidden="false" customHeight="false" outlineLevel="0" collapsed="false">
      <c r="A34" s="680" t="n">
        <f aca="false">A33+1</f>
        <v>36642</v>
      </c>
      <c r="C34" s="668" t="n">
        <f aca="false">C33</f>
        <v>0</v>
      </c>
      <c r="D34" s="670"/>
      <c r="E34" s="670" t="n">
        <f aca="false">C34*SpotRates!$F$36</f>
        <v>0</v>
      </c>
      <c r="F34" s="670"/>
      <c r="G34" s="670" t="n">
        <f aca="false">E34-E33</f>
        <v>0</v>
      </c>
      <c r="H34" s="681" t="n">
        <f aca="false">IF(G34=-C33,G34*0,G34)</f>
        <v>0</v>
      </c>
      <c r="I34" s="682"/>
      <c r="J34" s="683" t="n">
        <v>34850</v>
      </c>
      <c r="K34" s="22"/>
      <c r="L34" s="674" t="n">
        <f aca="false">L33</f>
        <v>0.01</v>
      </c>
      <c r="M34" s="684"/>
      <c r="N34" s="669" t="n">
        <v>0</v>
      </c>
      <c r="O34" s="684"/>
      <c r="P34" s="669" t="n">
        <f aca="false">L34+N34</f>
        <v>0.01</v>
      </c>
      <c r="Q34" s="685"/>
      <c r="R34" s="684" t="n">
        <f aca="false">P34-P33</f>
        <v>0</v>
      </c>
      <c r="S34" s="681" t="n">
        <f aca="false">IF(R34=-P33,R34*0,R34)</f>
        <v>0</v>
      </c>
      <c r="T34" s="686"/>
      <c r="U34" s="670" t="n">
        <f aca="false">U33</f>
        <v>0</v>
      </c>
      <c r="V34" s="670" t="n">
        <f aca="false">V33</f>
        <v>0</v>
      </c>
      <c r="W34" s="688" t="n">
        <f aca="false">W33</f>
        <v>0</v>
      </c>
      <c r="X34" s="670" t="n">
        <f aca="false">X33</f>
        <v>0</v>
      </c>
      <c r="Y34" s="670" t="n">
        <f aca="false">Y33</f>
        <v>0</v>
      </c>
      <c r="Z34" s="670" t="n">
        <f aca="false">Z33</f>
        <v>0</v>
      </c>
      <c r="AA34" s="670" t="n">
        <f aca="false">AA33</f>
        <v>0</v>
      </c>
      <c r="AB34" s="670" t="n">
        <f aca="false">AB33</f>
        <v>0</v>
      </c>
      <c r="AC34" s="670" t="n">
        <f aca="false">AC33</f>
        <v>0</v>
      </c>
      <c r="AD34" s="670" t="n">
        <f aca="false">AD33</f>
        <v>0</v>
      </c>
      <c r="AE34" s="670" t="n">
        <f aca="false">SUM(U34:AD34)</f>
        <v>0</v>
      </c>
      <c r="AF34" s="670" t="n">
        <f aca="false">AE34-AE33</f>
        <v>0</v>
      </c>
      <c r="AG34" s="681" t="n">
        <f aca="false">IF(AF34=-AE33,AF34*0,AF34)</f>
        <v>0</v>
      </c>
      <c r="AH34" s="669" t="n">
        <f aca="false">E34+L34+AE34</f>
        <v>0.01</v>
      </c>
      <c r="AI34" s="673"/>
      <c r="AJ34" s="687" t="n">
        <f aca="false">H34+S34+AG34</f>
        <v>0</v>
      </c>
      <c r="AL34" s="670" t="n">
        <f aca="false">AL33</f>
        <v>0</v>
      </c>
      <c r="AM34" s="648" t="n">
        <f aca="false">+AL34-AL33</f>
        <v>0</v>
      </c>
      <c r="AO34" s="679" t="n">
        <f aca="false">+AL34+AH34</f>
        <v>0.01</v>
      </c>
    </row>
    <row r="35" customFormat="false" ht="12.75" hidden="false" customHeight="false" outlineLevel="0" collapsed="false">
      <c r="A35" s="680" t="n">
        <f aca="false">A34+1</f>
        <v>36643</v>
      </c>
      <c r="C35" s="668" t="n">
        <f aca="false">C34</f>
        <v>0</v>
      </c>
      <c r="D35" s="670"/>
      <c r="E35" s="670" t="n">
        <f aca="false">C35*SpotRates!$F$36</f>
        <v>0</v>
      </c>
      <c r="F35" s="670"/>
      <c r="G35" s="670" t="n">
        <f aca="false">E35-E34</f>
        <v>0</v>
      </c>
      <c r="H35" s="681" t="n">
        <f aca="false">IF(G35=-C34,G35*0,G35)</f>
        <v>0</v>
      </c>
      <c r="I35" s="682"/>
      <c r="J35" s="683" t="n">
        <v>34850</v>
      </c>
      <c r="K35" s="22"/>
      <c r="L35" s="674" t="n">
        <f aca="false">L34</f>
        <v>0.01</v>
      </c>
      <c r="M35" s="684"/>
      <c r="N35" s="669" t="n">
        <v>0</v>
      </c>
      <c r="O35" s="684"/>
      <c r="P35" s="669" t="n">
        <f aca="false">L35+N35</f>
        <v>0.01</v>
      </c>
      <c r="Q35" s="685"/>
      <c r="R35" s="684" t="n">
        <f aca="false">P35-P34</f>
        <v>0</v>
      </c>
      <c r="S35" s="681" t="n">
        <f aca="false">IF(R35=-P34,R35*0,R35)</f>
        <v>0</v>
      </c>
      <c r="T35" s="686"/>
      <c r="U35" s="670" t="n">
        <f aca="false">U34</f>
        <v>0</v>
      </c>
      <c r="V35" s="670" t="n">
        <f aca="false">V34</f>
        <v>0</v>
      </c>
      <c r="W35" s="688" t="n">
        <f aca="false">W34</f>
        <v>0</v>
      </c>
      <c r="X35" s="670" t="n">
        <f aca="false">X34</f>
        <v>0</v>
      </c>
      <c r="Y35" s="670" t="n">
        <f aca="false">Y34</f>
        <v>0</v>
      </c>
      <c r="Z35" s="670" t="n">
        <f aca="false">Z34</f>
        <v>0</v>
      </c>
      <c r="AA35" s="670" t="n">
        <f aca="false">AA34</f>
        <v>0</v>
      </c>
      <c r="AB35" s="670" t="n">
        <f aca="false">AB34</f>
        <v>0</v>
      </c>
      <c r="AC35" s="670" t="n">
        <f aca="false">AC34</f>
        <v>0</v>
      </c>
      <c r="AD35" s="670" t="n">
        <f aca="false">AD34</f>
        <v>0</v>
      </c>
      <c r="AE35" s="670" t="n">
        <f aca="false">SUM(U35:AD35)</f>
        <v>0</v>
      </c>
      <c r="AF35" s="670" t="n">
        <f aca="false">AE35-AE34</f>
        <v>0</v>
      </c>
      <c r="AG35" s="681" t="n">
        <f aca="false">IF(AF35=-AE34,AF35*0,AF35)</f>
        <v>0</v>
      </c>
      <c r="AH35" s="669" t="n">
        <f aca="false">E35+L35+AE35</f>
        <v>0.01</v>
      </c>
      <c r="AI35" s="673"/>
      <c r="AJ35" s="687" t="n">
        <f aca="false">H35+S35+AG35</f>
        <v>0</v>
      </c>
      <c r="AL35" s="670" t="n">
        <f aca="false">AL34</f>
        <v>0</v>
      </c>
      <c r="AO35" s="679" t="n">
        <f aca="false">+AL35+AH35</f>
        <v>0.01</v>
      </c>
    </row>
    <row r="36" customFormat="false" ht="12.75" hidden="false" customHeight="false" outlineLevel="0" collapsed="false">
      <c r="A36" s="680" t="n">
        <f aca="false">A35+1</f>
        <v>36644</v>
      </c>
      <c r="C36" s="668" t="n">
        <f aca="false">C35</f>
        <v>0</v>
      </c>
      <c r="D36" s="670"/>
      <c r="E36" s="670" t="n">
        <f aca="false">C36*SpotRates!$F$36</f>
        <v>0</v>
      </c>
      <c r="F36" s="670"/>
      <c r="G36" s="670" t="n">
        <f aca="false">E36-E35</f>
        <v>0</v>
      </c>
      <c r="H36" s="681" t="n">
        <f aca="false">IF(G36=-C35,G36*0,G36)</f>
        <v>0</v>
      </c>
      <c r="I36" s="682"/>
      <c r="J36" s="683" t="n">
        <v>34850</v>
      </c>
      <c r="K36" s="22"/>
      <c r="L36" s="674" t="n">
        <f aca="false">L35</f>
        <v>0.01</v>
      </c>
      <c r="M36" s="684"/>
      <c r="N36" s="669" t="n">
        <v>0</v>
      </c>
      <c r="O36" s="684"/>
      <c r="P36" s="669" t="n">
        <f aca="false">L36+N36</f>
        <v>0.01</v>
      </c>
      <c r="Q36" s="685"/>
      <c r="R36" s="684" t="n">
        <f aca="false">P36-P35</f>
        <v>0</v>
      </c>
      <c r="S36" s="681" t="n">
        <f aca="false">IF(R36=-P35,R36*0,R36)</f>
        <v>0</v>
      </c>
      <c r="T36" s="686"/>
      <c r="U36" s="670" t="n">
        <f aca="false">U35</f>
        <v>0</v>
      </c>
      <c r="V36" s="670" t="n">
        <f aca="false">V35</f>
        <v>0</v>
      </c>
      <c r="W36" s="688" t="n">
        <f aca="false">W35</f>
        <v>0</v>
      </c>
      <c r="X36" s="670" t="n">
        <f aca="false">X35</f>
        <v>0</v>
      </c>
      <c r="Y36" s="670" t="n">
        <f aca="false">Y35</f>
        <v>0</v>
      </c>
      <c r="Z36" s="670" t="n">
        <f aca="false">Z35</f>
        <v>0</v>
      </c>
      <c r="AA36" s="670" t="n">
        <f aca="false">AA35</f>
        <v>0</v>
      </c>
      <c r="AB36" s="670" t="n">
        <f aca="false">AB35</f>
        <v>0</v>
      </c>
      <c r="AC36" s="670" t="n">
        <f aca="false">AC35</f>
        <v>0</v>
      </c>
      <c r="AD36" s="670" t="n">
        <f aca="false">AD35</f>
        <v>0</v>
      </c>
      <c r="AE36" s="670" t="n">
        <f aca="false">SUM(U36:AD36)</f>
        <v>0</v>
      </c>
      <c r="AF36" s="670" t="n">
        <f aca="false">AE36-AE35</f>
        <v>0</v>
      </c>
      <c r="AG36" s="681" t="n">
        <f aca="false">IF(AF36=-AE35,AF36*0,AF36)</f>
        <v>0</v>
      </c>
      <c r="AH36" s="669" t="n">
        <f aca="false">E36+L36+AE36</f>
        <v>0.01</v>
      </c>
      <c r="AI36" s="673"/>
      <c r="AJ36" s="687" t="n">
        <f aca="false">H36+S36+AG36</f>
        <v>0</v>
      </c>
      <c r="AL36" s="670" t="n">
        <f aca="false">AL35</f>
        <v>0</v>
      </c>
      <c r="AO36" s="679" t="n">
        <f aca="false">+AL36+AH36</f>
        <v>0.01</v>
      </c>
    </row>
    <row r="37" customFormat="false" ht="12.75" hidden="false" customHeight="false" outlineLevel="0" collapsed="false">
      <c r="A37" s="680" t="n">
        <f aca="false">A36+1</f>
        <v>36645</v>
      </c>
      <c r="C37" s="668" t="n">
        <f aca="false">C36</f>
        <v>0</v>
      </c>
      <c r="D37" s="670"/>
      <c r="E37" s="670" t="n">
        <f aca="false">C37*SpotRates!$F$36</f>
        <v>0</v>
      </c>
      <c r="F37" s="670"/>
      <c r="G37" s="670" t="n">
        <f aca="false">E37-E36</f>
        <v>0</v>
      </c>
      <c r="H37" s="681" t="n">
        <f aca="false">IF(G37=-C36,G37*0,G37)</f>
        <v>0</v>
      </c>
      <c r="I37" s="682"/>
      <c r="J37" s="683" t="n">
        <v>34850</v>
      </c>
      <c r="K37" s="22"/>
      <c r="L37" s="674" t="n">
        <f aca="false">L36</f>
        <v>0.01</v>
      </c>
      <c r="M37" s="684"/>
      <c r="N37" s="669" t="n">
        <v>0</v>
      </c>
      <c r="O37" s="684"/>
      <c r="P37" s="669" t="n">
        <f aca="false">L37+N37</f>
        <v>0.01</v>
      </c>
      <c r="Q37" s="685"/>
      <c r="R37" s="684" t="n">
        <f aca="false">P37-P36</f>
        <v>0</v>
      </c>
      <c r="S37" s="681" t="n">
        <f aca="false">IF(R37=-P36,R37*0,R37)</f>
        <v>0</v>
      </c>
      <c r="T37" s="686"/>
      <c r="U37" s="670" t="n">
        <f aca="false">U36</f>
        <v>0</v>
      </c>
      <c r="V37" s="670" t="n">
        <f aca="false">V36</f>
        <v>0</v>
      </c>
      <c r="W37" s="688" t="n">
        <f aca="false">W36</f>
        <v>0</v>
      </c>
      <c r="X37" s="670" t="n">
        <f aca="false">X36</f>
        <v>0</v>
      </c>
      <c r="Y37" s="670" t="n">
        <f aca="false">Y36</f>
        <v>0</v>
      </c>
      <c r="Z37" s="670" t="n">
        <f aca="false">Z36</f>
        <v>0</v>
      </c>
      <c r="AA37" s="670" t="n">
        <f aca="false">AA36</f>
        <v>0</v>
      </c>
      <c r="AB37" s="670" t="n">
        <f aca="false">AB36</f>
        <v>0</v>
      </c>
      <c r="AC37" s="670" t="n">
        <f aca="false">AC36</f>
        <v>0</v>
      </c>
      <c r="AD37" s="670" t="n">
        <f aca="false">AD36</f>
        <v>0</v>
      </c>
      <c r="AE37" s="670" t="n">
        <f aca="false">SUM(U37:AD37)</f>
        <v>0</v>
      </c>
      <c r="AF37" s="670" t="n">
        <f aca="false">AE37-AE36</f>
        <v>0</v>
      </c>
      <c r="AG37" s="681" t="n">
        <f aca="false">IF(AF37=-AE36,AF37*0,AF37)</f>
        <v>0</v>
      </c>
      <c r="AH37" s="669" t="n">
        <f aca="false">E37+L37+AE37</f>
        <v>0.01</v>
      </c>
      <c r="AI37" s="673"/>
      <c r="AJ37" s="687" t="n">
        <f aca="false">H37+S37+AG37</f>
        <v>0</v>
      </c>
      <c r="AL37" s="670" t="n">
        <f aca="false">AL36</f>
        <v>0</v>
      </c>
      <c r="AO37" s="679" t="n">
        <f aca="false">+AL37+AH37</f>
        <v>0.01</v>
      </c>
    </row>
    <row r="38" customFormat="false" ht="12.75" hidden="false" customHeight="false" outlineLevel="0" collapsed="false">
      <c r="A38" s="680" t="n">
        <f aca="false">A37+1</f>
        <v>36646</v>
      </c>
      <c r="C38" s="668" t="n">
        <f aca="false">C37</f>
        <v>0</v>
      </c>
      <c r="D38" s="670"/>
      <c r="E38" s="670" t="n">
        <f aca="false">C38*SpotRates!$F$36</f>
        <v>0</v>
      </c>
      <c r="F38" s="670"/>
      <c r="G38" s="670" t="n">
        <f aca="false">E38-E37</f>
        <v>0</v>
      </c>
      <c r="H38" s="681" t="n">
        <f aca="false">IF(G38=-C37,G38*0,G38)</f>
        <v>0</v>
      </c>
      <c r="I38" s="682"/>
      <c r="J38" s="683" t="n">
        <v>34850</v>
      </c>
      <c r="K38" s="22"/>
      <c r="L38" s="674" t="n">
        <f aca="false">L37</f>
        <v>0.01</v>
      </c>
      <c r="M38" s="684"/>
      <c r="N38" s="669" t="n">
        <v>0</v>
      </c>
      <c r="O38" s="684"/>
      <c r="P38" s="669" t="n">
        <f aca="false">L38+N38</f>
        <v>0.01</v>
      </c>
      <c r="Q38" s="685"/>
      <c r="R38" s="684" t="n">
        <f aca="false">P38-P37</f>
        <v>0</v>
      </c>
      <c r="S38" s="681" t="n">
        <f aca="false">IF(R38=-P37,R38*0,R38)</f>
        <v>0</v>
      </c>
      <c r="T38" s="686"/>
      <c r="U38" s="670" t="n">
        <f aca="false">U37</f>
        <v>0</v>
      </c>
      <c r="V38" s="670" t="n">
        <f aca="false">V37</f>
        <v>0</v>
      </c>
      <c r="W38" s="688" t="n">
        <f aca="false">W37</f>
        <v>0</v>
      </c>
      <c r="X38" s="670" t="n">
        <f aca="false">X37</f>
        <v>0</v>
      </c>
      <c r="Y38" s="670" t="n">
        <f aca="false">Y37</f>
        <v>0</v>
      </c>
      <c r="Z38" s="670" t="n">
        <f aca="false">Z37</f>
        <v>0</v>
      </c>
      <c r="AA38" s="670" t="n">
        <f aca="false">AA37</f>
        <v>0</v>
      </c>
      <c r="AB38" s="670" t="n">
        <f aca="false">AB37</f>
        <v>0</v>
      </c>
      <c r="AC38" s="670" t="n">
        <f aca="false">AC37</f>
        <v>0</v>
      </c>
      <c r="AD38" s="670" t="n">
        <f aca="false">AD37</f>
        <v>0</v>
      </c>
      <c r="AE38" s="670" t="n">
        <f aca="false">SUM(U38:AD38)</f>
        <v>0</v>
      </c>
      <c r="AF38" s="670" t="n">
        <f aca="false">AE38-AE37</f>
        <v>0</v>
      </c>
      <c r="AG38" s="681" t="n">
        <f aca="false">IF(AF38=-AE37,AF38*0,AF38)</f>
        <v>0</v>
      </c>
      <c r="AH38" s="669" t="n">
        <f aca="false">E38+L38+AE38</f>
        <v>0.01</v>
      </c>
      <c r="AI38" s="673"/>
      <c r="AJ38" s="687" t="n">
        <f aca="false">H38+S38+AG38</f>
        <v>0</v>
      </c>
      <c r="AL38" s="670" t="n">
        <f aca="false">AL37</f>
        <v>0</v>
      </c>
      <c r="AO38" s="679" t="n">
        <f aca="false">+AL38+AH38</f>
        <v>0.01</v>
      </c>
    </row>
    <row r="39" customFormat="false" ht="12.75" hidden="false" customHeight="false" outlineLevel="0" collapsed="false">
      <c r="A39" s="680" t="n">
        <f aca="false">A38+1</f>
        <v>36647</v>
      </c>
      <c r="C39" s="668" t="n">
        <f aca="false">C38</f>
        <v>0</v>
      </c>
      <c r="D39" s="670"/>
      <c r="E39" s="670" t="n">
        <f aca="false">C39*SpotRates!$F$36</f>
        <v>0</v>
      </c>
      <c r="F39" s="670"/>
      <c r="G39" s="670" t="n">
        <f aca="false">E39-E38</f>
        <v>0</v>
      </c>
      <c r="H39" s="681" t="n">
        <f aca="false">IF(G39=-C38,G39*0,G39)</f>
        <v>0</v>
      </c>
      <c r="I39" s="682"/>
      <c r="J39" s="683" t="n">
        <v>34850</v>
      </c>
      <c r="K39" s="22"/>
      <c r="L39" s="674" t="n">
        <f aca="false">L38</f>
        <v>0.01</v>
      </c>
      <c r="M39" s="684"/>
      <c r="N39" s="669" t="n">
        <v>0</v>
      </c>
      <c r="O39" s="684"/>
      <c r="P39" s="669" t="n">
        <f aca="false">L39+N39</f>
        <v>0.01</v>
      </c>
      <c r="Q39" s="685"/>
      <c r="R39" s="684" t="n">
        <f aca="false">P39-P38</f>
        <v>0</v>
      </c>
      <c r="S39" s="681" t="n">
        <f aca="false">IF(R39=-P38,R39*0,R39)</f>
        <v>0</v>
      </c>
      <c r="T39" s="686"/>
      <c r="U39" s="670" t="n">
        <f aca="false">U38</f>
        <v>0</v>
      </c>
      <c r="V39" s="670" t="n">
        <v>0</v>
      </c>
      <c r="W39" s="688" t="n">
        <v>0</v>
      </c>
      <c r="X39" s="670" t="n">
        <f aca="false">X38</f>
        <v>0</v>
      </c>
      <c r="Y39" s="670" t="n">
        <f aca="false">Y38</f>
        <v>0</v>
      </c>
      <c r="Z39" s="670" t="n">
        <f aca="false">Z38</f>
        <v>0</v>
      </c>
      <c r="AA39" s="670" t="n">
        <f aca="false">AA38</f>
        <v>0</v>
      </c>
      <c r="AB39" s="670" t="n">
        <f aca="false">AB38</f>
        <v>0</v>
      </c>
      <c r="AC39" s="670" t="n">
        <f aca="false">AC38</f>
        <v>0</v>
      </c>
      <c r="AD39" s="670" t="n">
        <f aca="false">AD38</f>
        <v>0</v>
      </c>
      <c r="AE39" s="670" t="n">
        <f aca="false">SUM(U39:AD39)</f>
        <v>0</v>
      </c>
      <c r="AF39" s="670" t="n">
        <f aca="false">AE39-AE38</f>
        <v>0</v>
      </c>
      <c r="AG39" s="681" t="n">
        <f aca="false">IF(AF39=-AE38,AF39*0,AF39)</f>
        <v>0</v>
      </c>
      <c r="AH39" s="669" t="n">
        <f aca="false">E39+L39+AE39</f>
        <v>0.01</v>
      </c>
      <c r="AI39" s="673"/>
      <c r="AJ39" s="687" t="n">
        <f aca="false">H39+S39+AG39</f>
        <v>0</v>
      </c>
      <c r="AL39" s="670" t="n">
        <f aca="false">AL38</f>
        <v>0</v>
      </c>
      <c r="AM39" s="648" t="n">
        <f aca="false">+AL39-AL38</f>
        <v>0</v>
      </c>
      <c r="AO39" s="679" t="n">
        <f aca="false">+AL39+AH39</f>
        <v>0.01</v>
      </c>
    </row>
    <row r="40" customFormat="false" ht="12.75" hidden="false" customHeight="false" outlineLevel="0" collapsed="false">
      <c r="A40" s="680" t="n">
        <f aca="false">A39+1</f>
        <v>36648</v>
      </c>
      <c r="C40" s="668" t="n">
        <f aca="false">C39</f>
        <v>0</v>
      </c>
      <c r="D40" s="670"/>
      <c r="E40" s="670" t="n">
        <f aca="false">C40*SpotRates!$F$36</f>
        <v>0</v>
      </c>
      <c r="F40" s="670"/>
      <c r="G40" s="670" t="n">
        <f aca="false">E40-E39</f>
        <v>0</v>
      </c>
      <c r="H40" s="681" t="n">
        <f aca="false">IF(G40=-C39,G40*0,G40)</f>
        <v>0</v>
      </c>
      <c r="I40" s="682"/>
      <c r="J40" s="683" t="n">
        <v>34851</v>
      </c>
      <c r="K40" s="22"/>
      <c r="L40" s="674" t="n">
        <f aca="false">L39</f>
        <v>0.01</v>
      </c>
      <c r="M40" s="684"/>
      <c r="N40" s="669" t="n">
        <v>0</v>
      </c>
      <c r="O40" s="684"/>
      <c r="P40" s="669" t="n">
        <f aca="false">L40+N40</f>
        <v>0.01</v>
      </c>
      <c r="Q40" s="685"/>
      <c r="R40" s="684" t="n">
        <f aca="false">P40-P39</f>
        <v>0</v>
      </c>
      <c r="S40" s="681" t="n">
        <f aca="false">IF(R40=-P39,R40*0,R40)</f>
        <v>0</v>
      </c>
      <c r="T40" s="686"/>
      <c r="U40" s="670" t="n">
        <f aca="false">U39</f>
        <v>0</v>
      </c>
      <c r="V40" s="670" t="n">
        <f aca="false">V39</f>
        <v>0</v>
      </c>
      <c r="W40" s="688" t="n">
        <f aca="false">W39</f>
        <v>0</v>
      </c>
      <c r="X40" s="670" t="n">
        <f aca="false">X39</f>
        <v>0</v>
      </c>
      <c r="Y40" s="670" t="n">
        <f aca="false">Y39</f>
        <v>0</v>
      </c>
      <c r="Z40" s="670" t="n">
        <f aca="false">Z39</f>
        <v>0</v>
      </c>
      <c r="AA40" s="670" t="n">
        <f aca="false">AA39</f>
        <v>0</v>
      </c>
      <c r="AB40" s="670" t="n">
        <f aca="false">AB39</f>
        <v>0</v>
      </c>
      <c r="AC40" s="670" t="n">
        <f aca="false">AC39</f>
        <v>0</v>
      </c>
      <c r="AD40" s="670" t="n">
        <f aca="false">AD39</f>
        <v>0</v>
      </c>
      <c r="AE40" s="670" t="n">
        <f aca="false">SUM(U40:AD40)</f>
        <v>0</v>
      </c>
      <c r="AF40" s="670" t="n">
        <f aca="false">AE40-AE39</f>
        <v>0</v>
      </c>
      <c r="AG40" s="681" t="n">
        <f aca="false">IF(AF40=-AE39,AF40*0,AF40)</f>
        <v>0</v>
      </c>
      <c r="AH40" s="669" t="n">
        <f aca="false">E40+L40+AE40</f>
        <v>0.01</v>
      </c>
      <c r="AI40" s="673"/>
      <c r="AJ40" s="687" t="n">
        <f aca="false">H40+S40+AG40</f>
        <v>0</v>
      </c>
      <c r="AL40" s="670" t="n">
        <f aca="false">AL39</f>
        <v>0</v>
      </c>
      <c r="AO40" s="679" t="n">
        <f aca="false">+AL40+AH40</f>
        <v>0.01</v>
      </c>
    </row>
    <row r="41" customFormat="false" ht="12.75" hidden="false" customHeight="false" outlineLevel="0" collapsed="false">
      <c r="A41" s="680" t="n">
        <f aca="false">A40+1</f>
        <v>36649</v>
      </c>
      <c r="C41" s="668" t="n">
        <f aca="false">C40</f>
        <v>0</v>
      </c>
      <c r="D41" s="670"/>
      <c r="E41" s="670" t="n">
        <f aca="false">C41*SpotRates!$F$36</f>
        <v>0</v>
      </c>
      <c r="F41" s="670"/>
      <c r="G41" s="670" t="n">
        <f aca="false">E41-E40</f>
        <v>0</v>
      </c>
      <c r="H41" s="681" t="n">
        <f aca="false">IF(G41=-C40,G41*0,G41)</f>
        <v>0</v>
      </c>
      <c r="I41" s="682"/>
      <c r="J41" s="683" t="n">
        <v>34852</v>
      </c>
      <c r="K41" s="22"/>
      <c r="L41" s="674" t="n">
        <f aca="false">L40</f>
        <v>0.01</v>
      </c>
      <c r="M41" s="684"/>
      <c r="N41" s="669" t="n">
        <v>0</v>
      </c>
      <c r="O41" s="684"/>
      <c r="P41" s="669" t="n">
        <f aca="false">L41+N41</f>
        <v>0.01</v>
      </c>
      <c r="Q41" s="685"/>
      <c r="R41" s="684" t="n">
        <f aca="false">P41-P40</f>
        <v>0</v>
      </c>
      <c r="S41" s="681" t="n">
        <f aca="false">IF(R41=-P40,R41*0,R41)</f>
        <v>0</v>
      </c>
      <c r="T41" s="686"/>
      <c r="U41" s="670" t="n">
        <f aca="false">U40</f>
        <v>0</v>
      </c>
      <c r="V41" s="670" t="n">
        <f aca="false">V40</f>
        <v>0</v>
      </c>
      <c r="W41" s="688" t="n">
        <f aca="false">W40</f>
        <v>0</v>
      </c>
      <c r="X41" s="670" t="n">
        <f aca="false">X40</f>
        <v>0</v>
      </c>
      <c r="Y41" s="670" t="n">
        <f aca="false">Y40</f>
        <v>0</v>
      </c>
      <c r="Z41" s="670" t="n">
        <f aca="false">Z40</f>
        <v>0</v>
      </c>
      <c r="AA41" s="670" t="n">
        <f aca="false">AA40</f>
        <v>0</v>
      </c>
      <c r="AB41" s="670" t="n">
        <f aca="false">AB40</f>
        <v>0</v>
      </c>
      <c r="AC41" s="670" t="n">
        <f aca="false">AC40</f>
        <v>0</v>
      </c>
      <c r="AD41" s="670" t="n">
        <f aca="false">AD40</f>
        <v>0</v>
      </c>
      <c r="AE41" s="670" t="n">
        <f aca="false">SUM(U41:AD41)</f>
        <v>0</v>
      </c>
      <c r="AF41" s="670" t="n">
        <f aca="false">AE41-AE40</f>
        <v>0</v>
      </c>
      <c r="AG41" s="681" t="n">
        <f aca="false">IF(AF41=-AE40,AF41*0,AF41)</f>
        <v>0</v>
      </c>
      <c r="AH41" s="669" t="n">
        <f aca="false">E41+L41+AE41</f>
        <v>0.01</v>
      </c>
      <c r="AI41" s="673"/>
      <c r="AJ41" s="687" t="n">
        <f aca="false">H41+S41+AG41</f>
        <v>0</v>
      </c>
      <c r="AL41" s="670" t="n">
        <f aca="false">AL40</f>
        <v>0</v>
      </c>
      <c r="AO41" s="679" t="n">
        <f aca="false">+AL41+AH41</f>
        <v>0.01</v>
      </c>
    </row>
    <row r="42" customFormat="false" ht="12.75" hidden="false" customHeight="false" outlineLevel="0" collapsed="false">
      <c r="A42" s="648"/>
      <c r="B42" s="648"/>
      <c r="C42" s="668"/>
    </row>
    <row r="43" customFormat="false" ht="12.75" hidden="false" customHeight="false" outlineLevel="0" collapsed="false">
      <c r="A43" s="648"/>
      <c r="B43" s="648"/>
      <c r="AE43" s="662" t="s">
        <v>493</v>
      </c>
      <c r="AF43" s="662"/>
      <c r="AG43" s="662"/>
      <c r="AH43" s="663" t="n">
        <f aca="false">+PriceAlberta!E24</f>
        <v>0.673913167789578</v>
      </c>
      <c r="AI43" s="647"/>
      <c r="AJ43" s="662"/>
      <c r="AK43" s="647"/>
      <c r="AL43" s="663" t="n">
        <f aca="false">+PriceEOL!E26</f>
        <v>0</v>
      </c>
      <c r="AM43" s="647"/>
      <c r="AN43" s="647"/>
      <c r="AO43" s="704" t="n">
        <f aca="false">+Report!AC66</f>
        <v>0.673913167789578</v>
      </c>
    </row>
    <row r="44" customFormat="false" ht="12.75" hidden="false" customHeight="false" outlineLevel="0" collapsed="false">
      <c r="A44" s="0"/>
      <c r="B44" s="648"/>
      <c r="I44" s="648"/>
      <c r="J44" s="648"/>
      <c r="K44" s="648"/>
      <c r="U44" s="705"/>
      <c r="V44" s="705"/>
      <c r="W44" s="705"/>
      <c r="X44" s="705"/>
      <c r="Y44" s="705"/>
      <c r="Z44" s="705"/>
    </row>
    <row r="45" customFormat="false" ht="12.75" hidden="false" customHeight="false" outlineLevel="0" collapsed="false">
      <c r="A45" s="648"/>
      <c r="B45" s="648"/>
      <c r="I45" s="648"/>
      <c r="J45" s="648"/>
      <c r="K45" s="648"/>
      <c r="AE45" s="706" t="s">
        <v>494</v>
      </c>
      <c r="AF45" s="706"/>
      <c r="AG45" s="706"/>
      <c r="AH45" s="707" t="n">
        <f aca="false">+AH43-AH41</f>
        <v>0.663913167789578</v>
      </c>
      <c r="AI45" s="708"/>
      <c r="AJ45" s="706"/>
      <c r="AK45" s="708"/>
      <c r="AL45" s="707" t="n">
        <f aca="false">+AL43-AL41</f>
        <v>0</v>
      </c>
      <c r="AM45" s="708"/>
      <c r="AN45" s="708"/>
      <c r="AO45" s="707" t="n">
        <f aca="false">+AO43-AO41</f>
        <v>0.663913167789578</v>
      </c>
      <c r="AP45" s="708"/>
    </row>
    <row r="46" customFormat="false" ht="12.75" hidden="false" customHeight="false" outlineLevel="0" collapsed="false">
      <c r="A46" s="648"/>
      <c r="B46" s="648"/>
      <c r="I46" s="648"/>
      <c r="J46" s="648"/>
      <c r="K46" s="648"/>
      <c r="U46" s="709"/>
      <c r="V46" s="709"/>
      <c r="W46" s="709"/>
      <c r="X46" s="709"/>
      <c r="Y46" s="709"/>
      <c r="Z46" s="709"/>
      <c r="AA46" s="710"/>
      <c r="AB46" s="710"/>
      <c r="AC46" s="710"/>
      <c r="AD46" s="710"/>
      <c r="AE46" s="709"/>
    </row>
    <row r="47" customFormat="false" ht="12.75" hidden="false" customHeight="false" outlineLevel="0" collapsed="false">
      <c r="A47" s="648"/>
      <c r="B47" s="648"/>
      <c r="I47" s="648"/>
      <c r="J47" s="648"/>
      <c r="K47" s="648"/>
    </row>
    <row r="48" customFormat="false" ht="12.75" hidden="false" customHeight="false" outlineLevel="0" collapsed="false">
      <c r="A48" s="648"/>
      <c r="B48" s="648"/>
      <c r="I48" s="648"/>
      <c r="J48" s="648"/>
      <c r="K48" s="648"/>
    </row>
    <row r="49" customFormat="false" ht="12.75" hidden="false" customHeight="false" outlineLevel="0" collapsed="false">
      <c r="A49" s="648"/>
      <c r="B49" s="648"/>
      <c r="I49" s="648"/>
      <c r="J49" s="648"/>
      <c r="K49" s="648"/>
    </row>
    <row r="50" customFormat="false" ht="12.75" hidden="false" customHeight="false" outlineLevel="0" collapsed="false">
      <c r="A50" s="648"/>
      <c r="B50" s="648"/>
    </row>
    <row r="51" customFormat="false" ht="12.75" hidden="false" customHeight="false" outlineLevel="0" collapsed="false">
      <c r="A51" s="648"/>
      <c r="B51" s="648"/>
    </row>
    <row r="52" customFormat="false" ht="12.75" hidden="false" customHeight="false" outlineLevel="0" collapsed="false">
      <c r="A52" s="648"/>
      <c r="B52" s="648"/>
    </row>
    <row r="53" customFormat="false" ht="12.75" hidden="false" customHeight="false" outlineLevel="0" collapsed="false">
      <c r="A53" s="648"/>
      <c r="B53" s="648"/>
    </row>
    <row r="54" customFormat="false" ht="12.75" hidden="false" customHeight="false" outlineLevel="0" collapsed="false">
      <c r="A54" s="648"/>
      <c r="B54" s="648"/>
      <c r="U54" s="670"/>
      <c r="V54" s="670"/>
      <c r="W54" s="670"/>
      <c r="X54" s="670"/>
      <c r="Y54" s="670"/>
      <c r="Z54" s="670"/>
      <c r="AA54" s="670"/>
      <c r="AB54" s="670"/>
      <c r="AC54" s="670"/>
      <c r="AD54" s="670"/>
      <c r="AE54" s="670"/>
    </row>
    <row r="60" customFormat="false" ht="12.75" hidden="false" customHeight="false" outlineLevel="0" collapsed="false">
      <c r="U60" s="670"/>
      <c r="V60" s="670"/>
      <c r="W60" s="670"/>
      <c r="X60" s="670"/>
      <c r="Y60" s="670"/>
      <c r="Z60" s="670"/>
      <c r="AA60" s="670"/>
      <c r="AB60" s="670"/>
      <c r="AC60" s="670"/>
      <c r="AD60" s="670"/>
      <c r="AE60" s="670"/>
    </row>
  </sheetData>
  <mergeCells count="1">
    <mergeCell ref="A1:AJ1"/>
  </mergeCells>
  <printOptions headings="false" gridLines="false" gridLinesSet="true" horizontalCentered="false" verticalCentered="false"/>
  <pageMargins left="0.747916666666667" right="0.747916666666667" top="0.7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1" topLeftCell="C38" activePane="bottomRight" state="frozen"/>
      <selection pane="topLeft" activeCell="A1" activeCellId="0" sqref="A1"/>
      <selection pane="topRight" activeCell="C1" activeCellId="0" sqref="C1"/>
      <selection pane="bottomLeft" activeCell="A38" activeCellId="0" sqref="A38"/>
      <selection pane="bottomRight" activeCell="B76" activeCellId="0" sqref="B76"/>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14.85"/>
    <col collapsed="false" customWidth="true" hidden="false" outlineLevel="0" max="3" min="3" style="193" width="12.42"/>
    <col collapsed="false" customWidth="true" hidden="false" outlineLevel="0" max="4" min="4" style="193" width="14.85"/>
    <col collapsed="false" customWidth="true" hidden="false" outlineLevel="0" max="5" min="5" style="193" width="15.99"/>
    <col collapsed="false" customWidth="true" hidden="false" outlineLevel="0" max="11" min="6"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false" hidden="false" outlineLevel="0" max="38" min="38" style="193" width="9.14"/>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193" t="n">
        <f aca="false">M38</f>
        <v>3897475.28209183</v>
      </c>
      <c r="D1" s="195"/>
      <c r="E1" s="195"/>
      <c r="F1" s="196"/>
      <c r="G1" s="393"/>
      <c r="H1" s="59"/>
      <c r="I1" s="59"/>
      <c r="J1" s="59"/>
      <c r="K1" s="59"/>
      <c r="L1" s="59"/>
      <c r="M1" s="59"/>
      <c r="N1" s="59"/>
      <c r="O1" s="59"/>
    </row>
    <row r="2" customFormat="false" ht="12.75" hidden="false" customHeight="true" outlineLevel="0" collapsed="false">
      <c r="A2" s="198" t="s">
        <v>127</v>
      </c>
      <c r="D2" s="59"/>
      <c r="E2" s="195"/>
      <c r="F2" s="196"/>
      <c r="G2" s="59"/>
      <c r="H2" s="59"/>
      <c r="I2" s="59"/>
      <c r="J2" s="59"/>
      <c r="K2" s="59"/>
      <c r="L2" s="59"/>
      <c r="M2" s="59"/>
      <c r="N2" s="59"/>
      <c r="O2" s="59"/>
    </row>
    <row r="3" customFormat="false" ht="12.75" hidden="false" customHeight="true" outlineLevel="0" collapsed="false">
      <c r="A3" s="201" t="s">
        <v>128</v>
      </c>
      <c r="B3" s="202" t="s">
        <v>495</v>
      </c>
      <c r="C3" s="202" t="s">
        <v>496</v>
      </c>
      <c r="D3" s="59"/>
      <c r="E3" s="195"/>
      <c r="F3" s="196"/>
      <c r="G3" s="59"/>
      <c r="H3" s="59"/>
      <c r="I3" s="59"/>
      <c r="J3" s="59"/>
      <c r="K3" s="59"/>
      <c r="L3" s="59"/>
      <c r="M3" s="59"/>
      <c r="N3" s="59"/>
      <c r="O3" s="59"/>
    </row>
    <row r="4" customFormat="false" ht="12.75" hidden="false" customHeight="true" outlineLevel="0" collapsed="false">
      <c r="A4" s="201" t="s">
        <v>1</v>
      </c>
      <c r="B4" s="711" t="n">
        <f aca="false">PriceAlberta!B4</f>
        <v>36831</v>
      </c>
      <c r="D4" s="59"/>
      <c r="E4" s="195"/>
      <c r="F4" s="59"/>
      <c r="G4" s="59"/>
      <c r="H4" s="59"/>
      <c r="I4" s="59"/>
      <c r="J4" s="59"/>
      <c r="K4" s="59"/>
      <c r="L4" s="59"/>
      <c r="M4" s="59"/>
      <c r="N4" s="59"/>
      <c r="O4" s="59"/>
    </row>
    <row r="5" customFormat="false" ht="12.75" hidden="false" customHeight="true" outlineLevel="0" collapsed="false">
      <c r="A5" s="201" t="s">
        <v>2</v>
      </c>
      <c r="B5" s="712" t="n">
        <f aca="false">PriceAlberta!B5</f>
        <v>36847</v>
      </c>
      <c r="C5" s="394"/>
      <c r="V5" s="153"/>
      <c r="W5" s="153"/>
      <c r="X5" s="153"/>
      <c r="Y5" s="153"/>
      <c r="Z5" s="153"/>
      <c r="AA5" s="153"/>
    </row>
    <row r="6" customFormat="false" ht="12.75" hidden="false" customHeight="true" outlineLevel="0" collapsed="false">
      <c r="A6" s="201" t="s">
        <v>130</v>
      </c>
      <c r="B6" s="713"/>
      <c r="C6" s="394"/>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K7" s="214"/>
      <c r="L7" s="215" t="s">
        <v>339</v>
      </c>
      <c r="M7" s="215" t="s">
        <v>137</v>
      </c>
      <c r="N7" s="215" t="s">
        <v>137</v>
      </c>
      <c r="O7" s="215" t="s">
        <v>137</v>
      </c>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E9" s="262" t="n">
        <f aca="false">((PriceAlberta!E9+AlbertaIndex!E9+'Price - East '!E9+Options!E9+PriceEOL!E9+EOLIndex!E9+OptionsIndex!E9+OptionsProp!E9+Straddle!E9+PriceBC!E9+BCIndex!E9)/SpotRates!$F$36)</f>
        <v>110087350.771346</v>
      </c>
      <c r="F9" s="59" t="s">
        <v>148</v>
      </c>
      <c r="G9" s="193" t="s">
        <v>149</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E10" s="262" t="n">
        <f aca="false">((PriceAlberta!E10+AlbertaIndex!E10+'Price - East '!E10+Options!E10+PriceEOL!E10+EOLIndex!E10+OptionsIndex!E10+Straddle!E10+OptionsProp!E10+PriceBC!E10+BCIndex!E10)/SpotRates!$F$36)</f>
        <v>104361429.051474</v>
      </c>
      <c r="F10" s="59" t="s">
        <v>148</v>
      </c>
      <c r="G10" s="193" t="s">
        <v>149</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154</v>
      </c>
      <c r="E11" s="262" t="n">
        <f aca="false">((PriceAlberta!E11+AlbertaIndex!E11+'Price - East '!E11+Options!E11+PriceEOL!E11+EOLIndex!E11+OptionsIndex!E11)/SpotRates!$F$36)</f>
        <v>0</v>
      </c>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E12" s="262" t="n">
        <f aca="false">((PriceAlberta!E12+AlbertaIndex!E12+'Price - East '!E12+Options!E12+PriceEOL!E12+EOLIndex!E12+OptionsIndex!E12)/SpotRates!$F$36)</f>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E13" s="225" t="n">
        <f aca="false">(PriceAlberta!E13+AlbertaIndex!E13+'Price - East '!E13+Options!E13+PriceEOL!E13+EOLIndex!E13+OptionsIndex!E13)/SpotRates!$F$36</f>
        <v>1870886.74201925</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E14" s="231" t="n">
        <f aca="false">+E159</f>
        <v>-53104210</v>
      </c>
      <c r="F14" s="193" t="s">
        <v>165</v>
      </c>
      <c r="K14" s="219" t="s">
        <v>166</v>
      </c>
      <c r="L14" s="232" t="n">
        <f aca="false">SUM(L9:L13)/1000000</f>
        <v>0</v>
      </c>
      <c r="M14" s="232" t="n">
        <f aca="false">SUM(M9:M13)/1000000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E15" s="231" t="n">
        <f aca="false">+L159</f>
        <v>0</v>
      </c>
      <c r="F15" s="193" t="s">
        <v>165</v>
      </c>
      <c r="K15" s="219" t="s">
        <v>169</v>
      </c>
      <c r="L15" s="94" t="n">
        <v>1</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E16" s="231" t="n">
        <f aca="false">+E185</f>
        <v>-0.0326063008978963</v>
      </c>
      <c r="F16" s="193" t="s">
        <v>165</v>
      </c>
      <c r="I16" s="238"/>
      <c r="J16" s="238"/>
      <c r="K16" s="219" t="s">
        <v>174</v>
      </c>
      <c r="L16" s="241" t="n">
        <v>0</v>
      </c>
      <c r="M16" s="241" t="n">
        <v>0</v>
      </c>
      <c r="N16" s="241" t="n">
        <v>0</v>
      </c>
      <c r="O16" s="241" t="n">
        <v>0</v>
      </c>
      <c r="P16" s="241" t="n">
        <v>0</v>
      </c>
      <c r="Q16" s="241" t="n">
        <v>0</v>
      </c>
      <c r="R16" s="398"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E19" s="248" t="n">
        <f aca="false">SUM(E9:E16)</f>
        <v>163215456.532233</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153"/>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SUM(E19)-SUM(B58+B59+B64+B65)</f>
        <v>162036736.851463</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75" hidden="false" customHeight="true" outlineLevel="0" collapsed="false">
      <c r="A22" s="193" t="s">
        <v>181</v>
      </c>
      <c r="E22" s="262" t="n">
        <v>-593557.865862259</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75" hidden="false" customHeight="true" outlineLevel="0" collapsed="false">
      <c r="A23" s="193" t="s">
        <v>182</v>
      </c>
      <c r="E23" s="225" t="n">
        <f aca="false">B63</f>
        <v>0</v>
      </c>
      <c r="F23" s="193" t="s">
        <v>165</v>
      </c>
      <c r="G23" s="153"/>
      <c r="I23" s="153"/>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-593557.865862259</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62"/>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-M214</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-593557.865862259</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12126114.6234521</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-11268.634489079</v>
      </c>
      <c r="F30" s="193" t="s">
        <v>193</v>
      </c>
      <c r="I30" s="153"/>
      <c r="J30" s="153"/>
      <c r="K30" s="219" t="s">
        <v>194</v>
      </c>
      <c r="L30" s="226" t="n">
        <v>43173687.8561192</v>
      </c>
      <c r="M30" s="226" t="n">
        <v>172103528.881684</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226" t="n">
        <v>-2978712.56339502</v>
      </c>
      <c r="M31" s="226" t="n">
        <v>-593557.865862259</v>
      </c>
      <c r="N31" s="60" t="n">
        <f aca="false">M31</f>
        <v>-593557.865862259</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226" t="n">
        <v>-174703.052609151</v>
      </c>
      <c r="M32" s="226" t="n">
        <v>12126114.6234521</v>
      </c>
      <c r="N32" s="60"/>
      <c r="O32" s="153" t="s">
        <v>191</v>
      </c>
      <c r="P32" s="153"/>
      <c r="Q32" s="153"/>
      <c r="R32" s="220"/>
      <c r="AI32" s="59"/>
    </row>
    <row r="33" customFormat="false" ht="12.75" hidden="false" customHeight="true" outlineLevel="0" collapsed="false">
      <c r="A33" s="193" t="s">
        <v>199</v>
      </c>
      <c r="E33" s="231" t="n">
        <f aca="false">+B67</f>
        <v>-42194.8984267604</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-5044060.60027494</v>
      </c>
      <c r="N34" s="60" t="n">
        <f aca="false">B63</f>
        <v>0</v>
      </c>
      <c r="O34" s="153" t="s">
        <v>202</v>
      </c>
      <c r="P34" s="153"/>
      <c r="Q34" s="153"/>
      <c r="R34" s="220"/>
    </row>
    <row r="35" customFormat="false" ht="12.75" hidden="false" customHeight="true" outlineLevel="0" collapsed="false">
      <c r="A35" s="193" t="s">
        <v>203</v>
      </c>
      <c r="E35" s="231" t="n">
        <f aca="false">F238</f>
        <v>0</v>
      </c>
      <c r="F35" s="193" t="s">
        <v>193</v>
      </c>
      <c r="K35" s="219"/>
      <c r="L35" s="153"/>
      <c r="M35" s="60"/>
      <c r="N35" s="60"/>
      <c r="O35" s="153"/>
      <c r="P35" s="153"/>
      <c r="Q35" s="153"/>
      <c r="R35" s="220"/>
    </row>
    <row r="36" customFormat="false" ht="12.75" hidden="false" customHeight="true" outlineLevel="0" collapsed="false">
      <c r="A36" s="223" t="s">
        <v>204</v>
      </c>
      <c r="E36" s="248" t="n">
        <f aca="false">SUM(E29:E35)</f>
        <v>12072651.0905363</v>
      </c>
      <c r="K36" s="219" t="s">
        <v>205</v>
      </c>
      <c r="L36" s="62"/>
      <c r="M36" s="60" t="n">
        <f aca="false">SUM(M30:M34)</f>
        <v>178592025.038998</v>
      </c>
      <c r="N36" s="60" t="n">
        <f aca="false">SUM(N30:N34)</f>
        <v>-593557.865862259</v>
      </c>
      <c r="O36" s="153"/>
      <c r="P36" s="153"/>
      <c r="Q36" s="153"/>
      <c r="R36" s="220"/>
    </row>
    <row r="37" customFormat="false" ht="12.75" hidden="false" customHeight="true" outlineLevel="0" collapsed="false">
      <c r="K37" s="265"/>
      <c r="L37" s="62"/>
      <c r="M37" s="62"/>
      <c r="N37" s="62"/>
      <c r="O37" s="153"/>
      <c r="P37" s="153"/>
      <c r="Q37" s="153"/>
      <c r="R37" s="220"/>
    </row>
    <row r="38" customFormat="false" ht="12.75" hidden="false" customHeight="true" outlineLevel="0" collapsed="false">
      <c r="A38" s="221" t="s">
        <v>206</v>
      </c>
      <c r="C38" s="226"/>
      <c r="E38" s="248" t="n">
        <f aca="false">+E36+E26+E19</f>
        <v>174694549.756907</v>
      </c>
      <c r="K38" s="219"/>
      <c r="L38" s="266" t="s">
        <v>207</v>
      </c>
      <c r="M38" s="124" t="n">
        <f aca="false">M36-E38</f>
        <v>3897475.28209183</v>
      </c>
      <c r="N38" s="124" t="n">
        <f aca="false">+N36-E26</f>
        <v>0</v>
      </c>
      <c r="O38" s="153"/>
      <c r="P38" s="153"/>
      <c r="Q38" s="153"/>
      <c r="R38" s="220"/>
      <c r="AN38" s="59"/>
      <c r="AO38" s="59"/>
      <c r="AP38" s="59"/>
      <c r="AQ38" s="59"/>
      <c r="AR38" s="59"/>
      <c r="AS38" s="59"/>
    </row>
    <row r="39" customFormat="false" ht="12.75" hidden="false" customHeight="true" outlineLevel="0" collapsed="false">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A40" s="399"/>
      <c r="B40" s="400"/>
      <c r="C40" s="400"/>
      <c r="D40" s="400"/>
      <c r="E40" s="400"/>
      <c r="F40" s="400"/>
      <c r="G40" s="400"/>
      <c r="H40" s="400"/>
      <c r="I40" s="400"/>
      <c r="J40" s="400"/>
      <c r="K40" s="402"/>
      <c r="L40" s="402"/>
      <c r="M40" s="402"/>
      <c r="N40" s="402"/>
      <c r="O40" s="402"/>
      <c r="P40" s="402"/>
      <c r="Q40" s="400"/>
      <c r="R40" s="400"/>
      <c r="S40" s="400"/>
      <c r="T40" s="400"/>
      <c r="U40" s="400"/>
      <c r="V40" s="400"/>
      <c r="W40" s="400"/>
      <c r="X40" s="400"/>
      <c r="Y40" s="400"/>
      <c r="Z40" s="400"/>
      <c r="AA40" s="400"/>
      <c r="AB40" s="400"/>
      <c r="AC40" s="400"/>
      <c r="AD40" s="400"/>
      <c r="AE40" s="400"/>
      <c r="AF40" s="400"/>
      <c r="AG40" s="400"/>
      <c r="AJ40" s="59"/>
      <c r="AK40" s="59"/>
      <c r="AN40" s="59"/>
      <c r="AO40" s="59"/>
      <c r="AP40" s="59"/>
      <c r="AQ40" s="59"/>
      <c r="AR40" s="59"/>
      <c r="AS40" s="59"/>
    </row>
    <row r="41" customFormat="false" ht="12.75" hidden="false" customHeight="true" outlineLevel="0" collapsed="false">
      <c r="A41" s="271" t="s">
        <v>208</v>
      </c>
      <c r="B41" s="271"/>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SUM(C47:C76)-C61-C68-C69</f>
        <v>0</v>
      </c>
      <c r="D43" s="275" t="n">
        <f aca="false">SUM(D47:D76)-D61-D68-D69</f>
        <v>0</v>
      </c>
      <c r="E43" s="275" t="n">
        <f aca="false">SUM(E47:E76)-E61-E68-E69</f>
        <v>0</v>
      </c>
      <c r="F43" s="275" t="n">
        <f aca="false">SUM(F47:F76)-F61-F68-F69</f>
        <v>0</v>
      </c>
      <c r="G43" s="275" t="n">
        <f aca="false">SUM(G47:G76)-G61-G68-G69</f>
        <v>0</v>
      </c>
      <c r="H43" s="275" t="n">
        <f aca="false">SUM(H47:H76)-H61-H68-H69</f>
        <v>0</v>
      </c>
      <c r="I43" s="275" t="n">
        <f aca="false">SUM(I47:I76)-I61-I68-I69</f>
        <v>0</v>
      </c>
      <c r="J43" s="275" t="n">
        <f aca="false">SUM(J47:J76)-J61-J68-J69</f>
        <v>0</v>
      </c>
      <c r="K43" s="275" t="n">
        <f aca="false">SUM(K47:K76)-K61-K68-K69</f>
        <v>0</v>
      </c>
      <c r="L43" s="275" t="n">
        <f aca="false">SUM(L47:L76)-L61-L68-L69</f>
        <v>0</v>
      </c>
      <c r="M43" s="275" t="n">
        <f aca="false">SUM(M47:M76)-M61-M68-M69</f>
        <v>0</v>
      </c>
      <c r="N43" s="275" t="n">
        <f aca="false">SUM(N47:N76)-N61-N68-N69</f>
        <v>0</v>
      </c>
      <c r="O43" s="275" t="n">
        <f aca="false">SUM(O47:O76)-O61-O68-O69</f>
        <v>0</v>
      </c>
      <c r="P43" s="275" t="n">
        <f aca="false">SUM(P47:P76)-P61-P68-P69</f>
        <v>0</v>
      </c>
      <c r="Q43" s="275" t="n">
        <f aca="false">SUM(Q47:Q76)-Q61-Q68-Q69</f>
        <v>0</v>
      </c>
      <c r="R43" s="275" t="n">
        <f aca="false">SUM(R47:R76)-R61-R68-R69</f>
        <v>0</v>
      </c>
      <c r="S43" s="275" t="n">
        <f aca="false">SUM(S47:S76)-S61-S68-S69</f>
        <v>0</v>
      </c>
      <c r="T43" s="275" t="n">
        <f aca="false">SUM(T47:T76)-T61-T68-T69</f>
        <v>0</v>
      </c>
      <c r="U43" s="275" t="n">
        <f aca="false">SUM(U47:U76)-U61-U68-U69</f>
        <v>0</v>
      </c>
      <c r="V43" s="275" t="n">
        <f aca="false">SUM(V47:V76)-V61-V68-V69</f>
        <v>0</v>
      </c>
      <c r="W43" s="275" t="n">
        <f aca="false">SUM(W47:W76)-W61-W68-W69</f>
        <v>0</v>
      </c>
      <c r="X43" s="275" t="n">
        <f aca="false">SUM(X47:X76)-X61-X68-X69</f>
        <v>0</v>
      </c>
      <c r="Y43" s="275" t="n">
        <f aca="false">SUM(Y47:Y76)-Y61-Y68-Y69</f>
        <v>0</v>
      </c>
      <c r="Z43" s="275" t="n">
        <f aca="false">SUM(Z47:Z76)-Z61-Z68-Z69</f>
        <v>0</v>
      </c>
      <c r="AA43" s="275" t="n">
        <f aca="false">SUM(AA47:AA76)-AA61-AA68-AA69</f>
        <v>0</v>
      </c>
      <c r="AB43" s="275" t="n">
        <f aca="false">SUM(AB47:AB76)-AB61-AB68-AB69</f>
        <v>0</v>
      </c>
      <c r="AC43" s="275" t="n">
        <f aca="false">SUM(AC47:AC76)-AC61-AC68-AC69</f>
        <v>0</v>
      </c>
      <c r="AD43" s="275" t="n">
        <f aca="false">SUM(AD47:AD76)-AD61-AD68-AD69</f>
        <v>0</v>
      </c>
      <c r="AE43" s="275" t="n">
        <f aca="false">SUM(AE47:AE76)-AE61-AE68-AE69</f>
        <v>0</v>
      </c>
      <c r="AF43" s="275" t="n">
        <f aca="false">SUM(AF47:AF76)-AF61-AF68-AF69</f>
        <v>0</v>
      </c>
      <c r="AG43" s="275" t="n">
        <f aca="false">SUM(AG47:AG76)-AG61-AG68-AG69</f>
        <v>0</v>
      </c>
      <c r="AH43" s="59"/>
      <c r="AI43" s="276" t="s">
        <v>211</v>
      </c>
      <c r="AJ43" s="277" t="s">
        <v>212</v>
      </c>
      <c r="AK43" s="59"/>
      <c r="AL43" s="77"/>
      <c r="AN43" s="59"/>
      <c r="AO43" s="59"/>
      <c r="AP43" s="59"/>
      <c r="AQ43" s="59"/>
      <c r="AR43" s="59"/>
      <c r="AS43" s="59"/>
    </row>
    <row r="44" customFormat="false" ht="12.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310"/>
      <c r="D46" s="310"/>
      <c r="E46" s="310"/>
      <c r="F46" s="310"/>
      <c r="G46" s="310"/>
      <c r="H46" s="310"/>
      <c r="I46" s="310"/>
      <c r="J46" s="310"/>
      <c r="K46" s="310"/>
      <c r="L46" s="310"/>
      <c r="M46" s="310"/>
      <c r="N46" s="310"/>
      <c r="O46" s="310"/>
      <c r="P46" s="292"/>
      <c r="Q46" s="310"/>
      <c r="R46" s="292" t="s">
        <v>497</v>
      </c>
      <c r="S46" s="310"/>
      <c r="T46" s="292"/>
      <c r="U46" s="310"/>
      <c r="V46" s="310"/>
      <c r="W46" s="292"/>
      <c r="X46" s="310"/>
      <c r="Y46" s="310"/>
      <c r="Z46" s="310"/>
      <c r="AA46" s="310"/>
      <c r="AB46" s="310"/>
      <c r="AC46" s="310"/>
      <c r="AD46" s="310"/>
      <c r="AE46" s="292"/>
      <c r="AF46" s="310"/>
      <c r="AG46" s="311"/>
      <c r="AH46" s="59"/>
      <c r="AI46" s="287" t="n">
        <v>3</v>
      </c>
      <c r="AJ46" s="288" t="s">
        <v>217</v>
      </c>
      <c r="AK46" s="59"/>
      <c r="AL46" s="153"/>
      <c r="AN46" s="59"/>
      <c r="AO46" s="59"/>
      <c r="AP46" s="59"/>
      <c r="AQ46" s="59"/>
      <c r="AR46" s="59"/>
      <c r="AS46" s="59"/>
    </row>
    <row r="47" customFormat="false" ht="12.75" hidden="false" customHeight="true" outlineLevel="0" collapsed="false">
      <c r="A47" s="231" t="s">
        <v>218</v>
      </c>
      <c r="B47" s="294" t="n">
        <f aca="false">(PriceAlberta!B47+PriceBC!B47+BCIndex!B47+Straddle!B47+AlbertaIndex!B47+'Price - East '!B47+Options!B47+PriceEOL!B47+EOLIndex!B47+OptionsIndex!B47+OptionsProp!B47)/SpotRates!$F$36</f>
        <v>3405854.0552925</v>
      </c>
      <c r="C47" s="226" t="n">
        <v>0</v>
      </c>
      <c r="D47" s="226" t="n">
        <v>0</v>
      </c>
      <c r="E47" s="226" t="n">
        <v>0</v>
      </c>
      <c r="F47" s="226" t="n">
        <v>0</v>
      </c>
      <c r="G47" s="226" t="n">
        <v>0</v>
      </c>
      <c r="H47" s="226" t="n">
        <v>0</v>
      </c>
      <c r="I47" s="226" t="n">
        <v>0</v>
      </c>
      <c r="J47" s="226" t="n">
        <v>0</v>
      </c>
      <c r="K47" s="226" t="n">
        <v>0</v>
      </c>
      <c r="L47" s="226" t="n">
        <v>0</v>
      </c>
      <c r="M47" s="226" t="n">
        <v>0</v>
      </c>
      <c r="N47" s="226" t="n">
        <v>0</v>
      </c>
      <c r="O47" s="226" t="n">
        <v>0</v>
      </c>
      <c r="P47" s="226" t="n">
        <v>0</v>
      </c>
      <c r="Q47" s="226" t="n">
        <v>0</v>
      </c>
      <c r="R47" s="226" t="n">
        <v>0</v>
      </c>
      <c r="S47" s="226" t="n">
        <v>0</v>
      </c>
      <c r="T47" s="226" t="n">
        <v>0</v>
      </c>
      <c r="U47" s="226" t="n">
        <v>0</v>
      </c>
      <c r="V47" s="226" t="n">
        <v>0</v>
      </c>
      <c r="W47" s="226" t="n">
        <v>0</v>
      </c>
      <c r="X47" s="226" t="n">
        <v>0</v>
      </c>
      <c r="Y47" s="226" t="n">
        <v>0</v>
      </c>
      <c r="Z47" s="226" t="n">
        <v>0</v>
      </c>
      <c r="AA47" s="226" t="n">
        <v>0</v>
      </c>
      <c r="AB47" s="226" t="n">
        <v>0</v>
      </c>
      <c r="AC47" s="226" t="n">
        <v>0</v>
      </c>
      <c r="AD47" s="226" t="n">
        <v>0</v>
      </c>
      <c r="AE47" s="226" t="n">
        <v>0</v>
      </c>
      <c r="AF47" s="226" t="n">
        <v>0</v>
      </c>
      <c r="AG47" s="226" t="n">
        <v>0</v>
      </c>
      <c r="AH47" s="59"/>
      <c r="AI47" s="287" t="n">
        <v>4</v>
      </c>
      <c r="AJ47" s="288" t="s">
        <v>219</v>
      </c>
      <c r="AK47" s="59"/>
      <c r="AL47" s="61"/>
      <c r="AM47" s="60"/>
      <c r="AN47" s="98"/>
      <c r="AO47" s="59"/>
      <c r="AP47" s="59"/>
      <c r="AQ47" s="59"/>
      <c r="AR47" s="59"/>
      <c r="AS47" s="59"/>
    </row>
    <row r="48" customFormat="false" ht="12.75" hidden="false" customHeight="true" outlineLevel="0" collapsed="false">
      <c r="A48" s="295" t="s">
        <v>220</v>
      </c>
      <c r="B48" s="294" t="n">
        <f aca="false">(PriceAlberta!B48+PriceBC!B48+BCIndex!B48+Straddle!B48+AlbertaIndex!B48+'Price - East '!B48+Options!B48+PriceEOL!B48+EOLIndex!B48+OptionsIndex!B48+OptionsProp!B48)/SpotRates!$F$36</f>
        <v>-8261191.15625477</v>
      </c>
      <c r="C48" s="226" t="n">
        <v>0</v>
      </c>
      <c r="D48" s="226" t="n">
        <v>0</v>
      </c>
      <c r="E48" s="226" t="n">
        <v>0</v>
      </c>
      <c r="F48" s="226" t="n">
        <v>0</v>
      </c>
      <c r="G48" s="226" t="n">
        <v>0</v>
      </c>
      <c r="H48" s="226" t="n">
        <v>0</v>
      </c>
      <c r="I48" s="226" t="n">
        <v>0</v>
      </c>
      <c r="J48" s="226" t="n">
        <v>0</v>
      </c>
      <c r="K48" s="226" t="n">
        <v>0</v>
      </c>
      <c r="L48" s="226" t="n">
        <v>0</v>
      </c>
      <c r="M48" s="226" t="n">
        <v>0</v>
      </c>
      <c r="N48" s="226" t="n">
        <v>0</v>
      </c>
      <c r="O48" s="226" t="n">
        <v>0</v>
      </c>
      <c r="P48" s="226" t="n">
        <v>0</v>
      </c>
      <c r="Q48" s="226" t="n">
        <v>0</v>
      </c>
      <c r="R48" s="226" t="n">
        <v>0</v>
      </c>
      <c r="S48" s="226" t="n">
        <v>0</v>
      </c>
      <c r="T48" s="226" t="n">
        <v>0</v>
      </c>
      <c r="U48" s="226" t="n">
        <v>0</v>
      </c>
      <c r="V48" s="226" t="n">
        <v>0</v>
      </c>
      <c r="W48" s="226" t="n">
        <v>0</v>
      </c>
      <c r="X48" s="226" t="n">
        <v>0</v>
      </c>
      <c r="Y48" s="226" t="n">
        <v>0</v>
      </c>
      <c r="Z48" s="226" t="n">
        <v>0</v>
      </c>
      <c r="AA48" s="226" t="n">
        <v>0</v>
      </c>
      <c r="AB48" s="226" t="n">
        <v>0</v>
      </c>
      <c r="AC48" s="226" t="n">
        <v>0</v>
      </c>
      <c r="AD48" s="226" t="n">
        <v>0</v>
      </c>
      <c r="AE48" s="226" t="n">
        <v>0</v>
      </c>
      <c r="AF48" s="226" t="n">
        <v>0</v>
      </c>
      <c r="AG48" s="226" t="n">
        <v>0</v>
      </c>
      <c r="AH48" s="59"/>
      <c r="AI48" s="287" t="n">
        <v>5</v>
      </c>
      <c r="AJ48" s="288" t="s">
        <v>221</v>
      </c>
      <c r="AK48" s="59"/>
      <c r="AL48" s="61"/>
      <c r="AM48" s="226"/>
      <c r="AN48" s="296"/>
      <c r="AO48" s="61"/>
      <c r="AP48" s="61"/>
      <c r="AQ48" s="61"/>
      <c r="AR48" s="61"/>
      <c r="AS48" s="61"/>
      <c r="AT48" s="199"/>
      <c r="AU48" s="199"/>
    </row>
    <row r="49" customFormat="false" ht="12.75" hidden="false" customHeight="true" outlineLevel="0" collapsed="false">
      <c r="A49" s="295" t="s">
        <v>222</v>
      </c>
      <c r="B49" s="294" t="n">
        <f aca="false">(PriceAlberta!B49+PriceBC!B49+BCIndex!B49+Straddle!B49+AlbertaIndex!B49+'Price - East '!B49+Options!B49+PriceEOL!B49+EOLIndex!B49+OptionsIndex!B49+OptionsProp!B49)/SpotRates!$F$36</f>
        <v>-31645.5246677868</v>
      </c>
      <c r="C49" s="226" t="n">
        <v>0</v>
      </c>
      <c r="D49" s="226" t="n">
        <v>0</v>
      </c>
      <c r="E49" s="226" t="n">
        <v>0</v>
      </c>
      <c r="F49" s="226" t="n">
        <v>0</v>
      </c>
      <c r="G49" s="226" t="n">
        <v>0</v>
      </c>
      <c r="H49" s="226" t="n">
        <v>0</v>
      </c>
      <c r="I49" s="226" t="n">
        <v>0</v>
      </c>
      <c r="J49" s="226" t="n">
        <v>0</v>
      </c>
      <c r="K49" s="226" t="n">
        <v>0</v>
      </c>
      <c r="L49" s="226" t="n">
        <v>0</v>
      </c>
      <c r="M49" s="226" t="n">
        <v>0</v>
      </c>
      <c r="N49" s="226" t="n">
        <v>0</v>
      </c>
      <c r="O49" s="226" t="n">
        <v>0</v>
      </c>
      <c r="P49" s="226" t="n">
        <v>0</v>
      </c>
      <c r="Q49" s="226" t="n">
        <v>0</v>
      </c>
      <c r="R49" s="226" t="n">
        <v>0</v>
      </c>
      <c r="S49" s="226" t="n">
        <v>0</v>
      </c>
      <c r="T49" s="226" t="n">
        <v>0</v>
      </c>
      <c r="U49" s="226" t="n">
        <v>0</v>
      </c>
      <c r="V49" s="226" t="n">
        <v>0</v>
      </c>
      <c r="W49" s="226" t="n">
        <v>0</v>
      </c>
      <c r="X49" s="226" t="n">
        <v>0</v>
      </c>
      <c r="Y49" s="226" t="n">
        <v>0</v>
      </c>
      <c r="Z49" s="226" t="n">
        <v>0</v>
      </c>
      <c r="AA49" s="226" t="n">
        <v>0</v>
      </c>
      <c r="AB49" s="226" t="n">
        <v>0</v>
      </c>
      <c r="AC49" s="226" t="n">
        <v>0</v>
      </c>
      <c r="AD49" s="226" t="n">
        <v>0</v>
      </c>
      <c r="AE49" s="226" t="n">
        <v>0</v>
      </c>
      <c r="AF49" s="226" t="n">
        <v>0</v>
      </c>
      <c r="AG49" s="226" t="n">
        <v>0</v>
      </c>
      <c r="AH49" s="59"/>
      <c r="AI49" s="287" t="n">
        <v>6</v>
      </c>
      <c r="AJ49" s="288" t="s">
        <v>223</v>
      </c>
      <c r="AK49" s="59"/>
      <c r="AL49" s="61"/>
      <c r="AM49" s="226"/>
      <c r="AN49" s="296"/>
      <c r="AO49" s="61"/>
      <c r="AP49" s="61"/>
      <c r="AQ49" s="61"/>
      <c r="AR49" s="61"/>
      <c r="AS49" s="61"/>
      <c r="AT49" s="199"/>
      <c r="AU49" s="199"/>
    </row>
    <row r="50" customFormat="false" ht="12.75" hidden="false" customHeight="true" outlineLevel="0" collapsed="false">
      <c r="A50" s="295" t="s">
        <v>224</v>
      </c>
      <c r="B50" s="294" t="n">
        <f aca="false">(PriceAlberta!B50+PriceBC!B50+BCIndex!B50+Straddle!B50+AlbertaIndex!B50+'Price - East '!B50+Options!B50+PriceEOL!B50+EOLIndex!B50+OptionsIndex!B50+OptionsProp!B50)/SpotRates!$F$36</f>
        <v>0</v>
      </c>
      <c r="C50" s="226" t="n">
        <v>0</v>
      </c>
      <c r="D50" s="226" t="n">
        <v>0</v>
      </c>
      <c r="E50" s="226" t="n">
        <v>0</v>
      </c>
      <c r="F50" s="226" t="n">
        <v>0</v>
      </c>
      <c r="G50" s="226" t="n">
        <v>0</v>
      </c>
      <c r="H50" s="226" t="n">
        <v>0</v>
      </c>
      <c r="I50" s="226" t="n">
        <v>0</v>
      </c>
      <c r="J50" s="226" t="n">
        <v>0</v>
      </c>
      <c r="K50" s="226" t="n">
        <v>0</v>
      </c>
      <c r="L50" s="226" t="n">
        <v>0</v>
      </c>
      <c r="M50" s="226" t="n">
        <v>0</v>
      </c>
      <c r="N50" s="226" t="n">
        <v>0</v>
      </c>
      <c r="O50" s="226" t="n">
        <v>0</v>
      </c>
      <c r="P50" s="226" t="n">
        <v>0</v>
      </c>
      <c r="Q50" s="226" t="n">
        <v>0</v>
      </c>
      <c r="R50" s="226" t="n">
        <v>0</v>
      </c>
      <c r="S50" s="226" t="n">
        <v>0</v>
      </c>
      <c r="T50" s="226" t="n">
        <v>0</v>
      </c>
      <c r="U50" s="226" t="n">
        <v>0</v>
      </c>
      <c r="V50" s="226" t="n">
        <v>0</v>
      </c>
      <c r="W50" s="226" t="n">
        <v>0</v>
      </c>
      <c r="X50" s="226" t="n">
        <v>0</v>
      </c>
      <c r="Y50" s="226" t="n">
        <v>0</v>
      </c>
      <c r="Z50" s="226" t="n">
        <v>0</v>
      </c>
      <c r="AA50" s="226" t="n">
        <v>0</v>
      </c>
      <c r="AB50" s="226" t="n">
        <v>0</v>
      </c>
      <c r="AC50" s="226" t="n">
        <v>0</v>
      </c>
      <c r="AD50" s="226" t="n">
        <v>0</v>
      </c>
      <c r="AE50" s="226" t="n">
        <v>0</v>
      </c>
      <c r="AF50" s="226" t="n">
        <v>0</v>
      </c>
      <c r="AG50" s="226" t="n">
        <v>0</v>
      </c>
      <c r="AH50" s="59"/>
      <c r="AI50" s="297" t="n">
        <v>7</v>
      </c>
      <c r="AJ50" s="298" t="s">
        <v>214</v>
      </c>
      <c r="AK50" s="59"/>
      <c r="AL50" s="60"/>
      <c r="AM50" s="60"/>
      <c r="AN50" s="296"/>
      <c r="AO50" s="61"/>
      <c r="AP50" s="61"/>
      <c r="AQ50" s="61"/>
      <c r="AR50" s="61"/>
      <c r="AS50" s="61"/>
      <c r="AT50" s="199"/>
      <c r="AU50" s="199"/>
    </row>
    <row r="51" customFormat="false" ht="12.75" hidden="false" customHeight="true" outlineLevel="0" collapsed="false">
      <c r="A51" s="295" t="s">
        <v>225</v>
      </c>
      <c r="B51" s="294" t="n">
        <f aca="false">(PriceAlberta!B51+PriceBC!B51+BCIndex!B51+Straddle!B51+AlbertaIndex!B51+'Price - East '!B51+Options!B51+PriceEOL!B51+EOLIndex!B51+OptionsIndex!B51+OptionsProp!B51)/SpotRates!$F$36</f>
        <v>3543815.7934932</v>
      </c>
      <c r="C51" s="226" t="n">
        <v>0</v>
      </c>
      <c r="D51" s="226" t="n">
        <v>0</v>
      </c>
      <c r="E51" s="226" t="n">
        <v>0</v>
      </c>
      <c r="F51" s="226" t="n">
        <v>0</v>
      </c>
      <c r="G51" s="226" t="n">
        <v>0</v>
      </c>
      <c r="H51" s="226" t="n">
        <v>0</v>
      </c>
      <c r="I51" s="226" t="n">
        <v>0</v>
      </c>
      <c r="J51" s="226" t="n">
        <v>0</v>
      </c>
      <c r="K51" s="226" t="n">
        <v>0</v>
      </c>
      <c r="L51" s="226" t="n">
        <v>0</v>
      </c>
      <c r="M51" s="226" t="n">
        <v>0</v>
      </c>
      <c r="N51" s="226" t="n">
        <v>0</v>
      </c>
      <c r="O51" s="226" t="n">
        <v>0</v>
      </c>
      <c r="P51" s="226" t="n">
        <v>0</v>
      </c>
      <c r="Q51" s="226" t="n">
        <v>0</v>
      </c>
      <c r="R51" s="226" t="n">
        <v>0</v>
      </c>
      <c r="S51" s="226" t="n">
        <v>0</v>
      </c>
      <c r="T51" s="226" t="n">
        <v>0</v>
      </c>
      <c r="U51" s="226" t="n">
        <v>0</v>
      </c>
      <c r="V51" s="226" t="n">
        <v>0</v>
      </c>
      <c r="W51" s="226" t="n">
        <v>0</v>
      </c>
      <c r="X51" s="226" t="n">
        <v>0</v>
      </c>
      <c r="Y51" s="226" t="n">
        <v>0</v>
      </c>
      <c r="Z51" s="226" t="n">
        <v>0</v>
      </c>
      <c r="AA51" s="226" t="n">
        <v>0</v>
      </c>
      <c r="AB51" s="226" t="n">
        <v>0</v>
      </c>
      <c r="AC51" s="226" t="n">
        <v>0</v>
      </c>
      <c r="AD51" s="226" t="n">
        <v>0</v>
      </c>
      <c r="AE51" s="226" t="n">
        <v>0</v>
      </c>
      <c r="AF51" s="226" t="n">
        <v>0</v>
      </c>
      <c r="AG51" s="226" t="n">
        <v>0</v>
      </c>
      <c r="AH51" s="59"/>
      <c r="AI51" s="199"/>
      <c r="AJ51" s="59"/>
      <c r="AK51" s="59"/>
      <c r="AL51" s="60"/>
      <c r="AM51" s="60"/>
      <c r="AN51" s="98"/>
      <c r="AO51" s="59"/>
      <c r="AP51" s="59"/>
      <c r="AQ51" s="59"/>
      <c r="AR51" s="59"/>
      <c r="AS51" s="59"/>
    </row>
    <row r="52" customFormat="false" ht="12.75" hidden="false" customHeight="true" outlineLevel="0" collapsed="false">
      <c r="A52" s="295" t="s">
        <v>226</v>
      </c>
      <c r="B52" s="294" t="n">
        <f aca="false">(PriceAlberta!B52+PriceBC!B52+BCIndex!B52+Straddle!B52+AlbertaIndex!B52+'Price - East '!B52+Options!B52+PriceEOL!B52+EOLIndex!B52+OptionsIndex!B52+OptionsProp!B52)/SpotRates!$F$36</f>
        <v>0</v>
      </c>
      <c r="C52" s="226" t="n">
        <v>0</v>
      </c>
      <c r="D52" s="226" t="n">
        <v>0</v>
      </c>
      <c r="E52" s="226" t="n">
        <v>0</v>
      </c>
      <c r="F52" s="226" t="n">
        <v>0</v>
      </c>
      <c r="G52" s="226" t="n">
        <v>0</v>
      </c>
      <c r="H52" s="226" t="n">
        <v>0</v>
      </c>
      <c r="I52" s="226" t="n">
        <v>0</v>
      </c>
      <c r="J52" s="226" t="n">
        <v>0</v>
      </c>
      <c r="K52" s="226" t="n">
        <v>0</v>
      </c>
      <c r="L52" s="226" t="n">
        <v>0</v>
      </c>
      <c r="M52" s="226" t="n">
        <v>0</v>
      </c>
      <c r="N52" s="226" t="n">
        <v>0</v>
      </c>
      <c r="O52" s="226" t="n">
        <v>0</v>
      </c>
      <c r="P52" s="226" t="n">
        <v>0</v>
      </c>
      <c r="Q52" s="226" t="n">
        <v>0</v>
      </c>
      <c r="R52" s="226" t="n">
        <v>0</v>
      </c>
      <c r="S52" s="226" t="n">
        <v>0</v>
      </c>
      <c r="T52" s="226" t="n">
        <v>0</v>
      </c>
      <c r="U52" s="226" t="n">
        <v>0</v>
      </c>
      <c r="V52" s="226" t="n">
        <v>0</v>
      </c>
      <c r="W52" s="226" t="n">
        <v>0</v>
      </c>
      <c r="X52" s="226" t="n">
        <v>0</v>
      </c>
      <c r="Y52" s="226" t="n">
        <v>0</v>
      </c>
      <c r="Z52" s="226" t="n">
        <v>0</v>
      </c>
      <c r="AA52" s="226" t="n">
        <v>0</v>
      </c>
      <c r="AB52" s="226" t="n">
        <v>0</v>
      </c>
      <c r="AC52" s="226" t="n">
        <v>0</v>
      </c>
      <c r="AD52" s="226" t="n">
        <v>0</v>
      </c>
      <c r="AE52" s="226" t="n">
        <v>0</v>
      </c>
      <c r="AF52" s="226" t="n">
        <v>0</v>
      </c>
      <c r="AG52" s="226" t="n">
        <v>0</v>
      </c>
      <c r="AH52" s="59"/>
      <c r="AI52" s="199"/>
      <c r="AJ52" s="59"/>
      <c r="AK52" s="59"/>
      <c r="AL52" s="60"/>
      <c r="AM52" s="60"/>
      <c r="AN52" s="98"/>
      <c r="AO52" s="59"/>
      <c r="AP52" s="59"/>
      <c r="AQ52" s="59"/>
      <c r="AR52" s="59"/>
      <c r="AS52" s="59"/>
    </row>
    <row r="53" customFormat="false" ht="12.75" hidden="false" customHeight="true" outlineLevel="0" collapsed="false">
      <c r="A53" s="231" t="s">
        <v>227</v>
      </c>
      <c r="B53" s="294" t="n">
        <f aca="false">(PriceAlberta!B53+PriceBC!B53+BCIndex!B53+Straddle!B53+AlbertaIndex!B53+'Price - East '!B53+Options!B53+PriceEOL!B53+EOLIndex!B53+OptionsIndex!B53+OptionsProp!B53)/SpotRates!$F$36</f>
        <v>3779370.4368413</v>
      </c>
      <c r="C53" s="226" t="n">
        <v>0</v>
      </c>
      <c r="D53" s="226" t="n">
        <v>0</v>
      </c>
      <c r="E53" s="226" t="n">
        <v>0</v>
      </c>
      <c r="F53" s="226" t="n">
        <v>0</v>
      </c>
      <c r="G53" s="226" t="n">
        <v>0</v>
      </c>
      <c r="H53" s="226" t="n">
        <v>0</v>
      </c>
      <c r="I53" s="226" t="n">
        <v>0</v>
      </c>
      <c r="J53" s="226" t="n">
        <v>0</v>
      </c>
      <c r="K53" s="226" t="n">
        <v>0</v>
      </c>
      <c r="L53" s="226" t="n">
        <v>0</v>
      </c>
      <c r="M53" s="226" t="n">
        <v>0</v>
      </c>
      <c r="N53" s="226" t="n">
        <v>0</v>
      </c>
      <c r="O53" s="226" t="n">
        <v>0</v>
      </c>
      <c r="P53" s="226" t="n">
        <v>0</v>
      </c>
      <c r="Q53" s="226" t="n">
        <v>0</v>
      </c>
      <c r="R53" s="226" t="n">
        <v>0</v>
      </c>
      <c r="S53" s="226" t="n">
        <v>0</v>
      </c>
      <c r="T53" s="226" t="n">
        <v>0</v>
      </c>
      <c r="U53" s="226" t="n">
        <v>0</v>
      </c>
      <c r="V53" s="226" t="n">
        <v>0</v>
      </c>
      <c r="W53" s="226" t="n">
        <v>0</v>
      </c>
      <c r="X53" s="226" t="n">
        <v>0</v>
      </c>
      <c r="Y53" s="226" t="n">
        <v>0</v>
      </c>
      <c r="Z53" s="226" t="n">
        <v>0</v>
      </c>
      <c r="AA53" s="226" t="n">
        <v>0</v>
      </c>
      <c r="AB53" s="226" t="n">
        <v>0</v>
      </c>
      <c r="AC53" s="226" t="n">
        <v>0</v>
      </c>
      <c r="AD53" s="226" t="n">
        <v>0</v>
      </c>
      <c r="AE53" s="226" t="n">
        <v>0</v>
      </c>
      <c r="AF53" s="226" t="n">
        <v>0</v>
      </c>
      <c r="AG53" s="226" t="n">
        <v>0</v>
      </c>
      <c r="AH53" s="59"/>
      <c r="AJ53" s="59"/>
      <c r="AK53" s="59"/>
      <c r="AL53" s="61"/>
      <c r="AM53" s="60"/>
      <c r="AN53" s="98"/>
      <c r="AO53" s="59"/>
      <c r="AP53" s="59"/>
      <c r="AQ53" s="59"/>
      <c r="AR53" s="59"/>
      <c r="AS53" s="59"/>
    </row>
    <row r="54" customFormat="false" ht="12.75" hidden="false" customHeight="true" outlineLevel="0" collapsed="false">
      <c r="A54" s="231" t="s">
        <v>376</v>
      </c>
      <c r="B54" s="294" t="n">
        <f aca="false">(PriceAlberta!B54+PriceBC!B54+BCIndex!B54+Straddle!B54+AlbertaIndex!B54+'Price - East '!B54+Options!B54+PriceEOL!B54+EOLIndex!B54+OptionsIndex!B54+OptionsProp!B54)/SpotRates!$F$36</f>
        <v>-9929303.49778525</v>
      </c>
      <c r="C54" s="226" t="n">
        <v>0</v>
      </c>
      <c r="D54" s="226" t="n">
        <v>0</v>
      </c>
      <c r="E54" s="226" t="n">
        <v>0</v>
      </c>
      <c r="F54" s="226" t="n">
        <v>0</v>
      </c>
      <c r="G54" s="226" t="n">
        <v>0</v>
      </c>
      <c r="H54" s="226" t="n">
        <v>0</v>
      </c>
      <c r="I54" s="226" t="n">
        <v>0</v>
      </c>
      <c r="J54" s="226" t="n">
        <v>0</v>
      </c>
      <c r="K54" s="226" t="n">
        <v>0</v>
      </c>
      <c r="L54" s="226" t="n">
        <v>0</v>
      </c>
      <c r="M54" s="226" t="n">
        <v>0</v>
      </c>
      <c r="N54" s="226" t="n">
        <v>0</v>
      </c>
      <c r="O54" s="226" t="n">
        <v>0</v>
      </c>
      <c r="P54" s="226" t="n">
        <v>0</v>
      </c>
      <c r="Q54" s="226" t="n">
        <v>0</v>
      </c>
      <c r="R54" s="226" t="n">
        <v>0</v>
      </c>
      <c r="S54" s="226" t="n">
        <v>0</v>
      </c>
      <c r="T54" s="226" t="n">
        <v>0</v>
      </c>
      <c r="U54" s="226" t="n">
        <v>0</v>
      </c>
      <c r="V54" s="226" t="n">
        <v>0</v>
      </c>
      <c r="W54" s="226" t="n">
        <v>0</v>
      </c>
      <c r="X54" s="226" t="n">
        <v>0</v>
      </c>
      <c r="Y54" s="226" t="n">
        <v>0</v>
      </c>
      <c r="Z54" s="226" t="n">
        <v>0</v>
      </c>
      <c r="AA54" s="226" t="n">
        <v>0</v>
      </c>
      <c r="AB54" s="226" t="n">
        <v>0</v>
      </c>
      <c r="AC54" s="226" t="n">
        <v>0</v>
      </c>
      <c r="AD54" s="226" t="n">
        <v>0</v>
      </c>
      <c r="AE54" s="226" t="n">
        <v>0</v>
      </c>
      <c r="AF54" s="226" t="n">
        <v>0</v>
      </c>
      <c r="AG54" s="226" t="n">
        <v>0</v>
      </c>
      <c r="AH54" s="59"/>
      <c r="AJ54" s="59"/>
      <c r="AK54" s="59"/>
      <c r="AL54" s="61"/>
      <c r="AM54" s="60"/>
      <c r="AN54" s="98"/>
      <c r="AO54" s="59"/>
      <c r="AP54" s="59"/>
      <c r="AQ54" s="59"/>
      <c r="AR54" s="59"/>
      <c r="AS54" s="59"/>
    </row>
    <row r="55" customFormat="false" ht="12.75" hidden="false" customHeight="true" outlineLevel="0" collapsed="false">
      <c r="A55" s="231" t="s">
        <v>229</v>
      </c>
      <c r="B55" s="294" t="n">
        <f aca="false">(PriceAlberta!B55+PriceBC!B55+BCIndex!B55+Straddle!B55+AlbertaIndex!B55+'Price - East '!B55+Options!B55+PriceEOL!B55+EOLIndex!B55+OptionsIndex!B55+OptionsProp!B55)/SpotRates!$F$36</f>
        <v>1079845.9981671</v>
      </c>
      <c r="C55" s="226" t="n">
        <v>0</v>
      </c>
      <c r="D55" s="226" t="n">
        <v>0</v>
      </c>
      <c r="E55" s="226" t="n">
        <v>0</v>
      </c>
      <c r="F55" s="226" t="n">
        <v>0</v>
      </c>
      <c r="G55" s="226" t="n">
        <v>0</v>
      </c>
      <c r="H55" s="226" t="n">
        <v>0</v>
      </c>
      <c r="I55" s="226" t="n">
        <v>0</v>
      </c>
      <c r="J55" s="226" t="n">
        <v>0</v>
      </c>
      <c r="K55" s="226" t="n">
        <v>0</v>
      </c>
      <c r="L55" s="226" t="n">
        <v>0</v>
      </c>
      <c r="M55" s="226" t="n">
        <v>0</v>
      </c>
      <c r="N55" s="226" t="n">
        <v>0</v>
      </c>
      <c r="O55" s="226" t="n">
        <v>0</v>
      </c>
      <c r="P55" s="226" t="n">
        <v>0</v>
      </c>
      <c r="Q55" s="226" t="n">
        <v>0</v>
      </c>
      <c r="R55" s="226" t="n">
        <v>0</v>
      </c>
      <c r="S55" s="226" t="n">
        <v>0</v>
      </c>
      <c r="T55" s="226" t="n">
        <v>0</v>
      </c>
      <c r="U55" s="226" t="n">
        <v>0</v>
      </c>
      <c r="V55" s="226" t="n">
        <v>0</v>
      </c>
      <c r="W55" s="226" t="n">
        <v>0</v>
      </c>
      <c r="X55" s="226" t="n">
        <v>0</v>
      </c>
      <c r="Y55" s="226" t="n">
        <v>0</v>
      </c>
      <c r="Z55" s="226" t="n">
        <v>0</v>
      </c>
      <c r="AA55" s="226" t="n">
        <v>0</v>
      </c>
      <c r="AB55" s="226" t="n">
        <v>0</v>
      </c>
      <c r="AC55" s="226" t="n">
        <v>0</v>
      </c>
      <c r="AD55" s="226" t="n">
        <v>0</v>
      </c>
      <c r="AE55" s="226" t="n">
        <v>0</v>
      </c>
      <c r="AF55" s="226" t="n">
        <v>0</v>
      </c>
      <c r="AG55" s="226" t="n">
        <v>0</v>
      </c>
      <c r="AH55" s="59"/>
      <c r="AJ55" s="59"/>
      <c r="AK55" s="59"/>
      <c r="AL55" s="61"/>
      <c r="AM55" s="60"/>
      <c r="AN55" s="98"/>
      <c r="AO55" s="59"/>
      <c r="AP55" s="59"/>
      <c r="AQ55" s="59"/>
      <c r="AR55" s="59"/>
      <c r="AS55" s="59"/>
    </row>
    <row r="56" customFormat="false" ht="12.75" hidden="false" customHeight="true" outlineLevel="0" collapsed="false">
      <c r="A56" s="231" t="s">
        <v>230</v>
      </c>
      <c r="B56" s="294" t="n">
        <f aca="false">(PriceAlberta!B56+PriceBC!B56+BCIndex!B56+Straddle!B56+AlbertaIndex!B56+'Price - East '!B56+Options!B56+PriceEOL!B56+EOLIndex!B56+OptionsIndex!B56+OptionsProp!B56)/SpotRates!$F$36</f>
        <v>-637374.713609287</v>
      </c>
      <c r="C56" s="226" t="n">
        <v>0</v>
      </c>
      <c r="D56" s="226" t="n">
        <v>0</v>
      </c>
      <c r="E56" s="226" t="n">
        <v>0</v>
      </c>
      <c r="F56" s="226" t="n">
        <v>0</v>
      </c>
      <c r="G56" s="226" t="n">
        <v>0</v>
      </c>
      <c r="H56" s="226" t="n">
        <v>0</v>
      </c>
      <c r="I56" s="226" t="n">
        <v>0</v>
      </c>
      <c r="J56" s="226" t="n">
        <v>0</v>
      </c>
      <c r="K56" s="226" t="n">
        <v>0</v>
      </c>
      <c r="L56" s="226" t="n">
        <v>0</v>
      </c>
      <c r="M56" s="226" t="n">
        <v>0</v>
      </c>
      <c r="N56" s="226" t="n">
        <v>0</v>
      </c>
      <c r="O56" s="226" t="n">
        <v>0</v>
      </c>
      <c r="P56" s="226" t="n">
        <v>0</v>
      </c>
      <c r="Q56" s="226" t="n">
        <v>0</v>
      </c>
      <c r="R56" s="226" t="n">
        <v>0</v>
      </c>
      <c r="S56" s="226" t="n">
        <v>0</v>
      </c>
      <c r="T56" s="226" t="n">
        <v>0</v>
      </c>
      <c r="U56" s="226" t="n">
        <v>0</v>
      </c>
      <c r="V56" s="226" t="n">
        <v>0</v>
      </c>
      <c r="W56" s="226" t="n">
        <v>0</v>
      </c>
      <c r="X56" s="226" t="n">
        <v>0</v>
      </c>
      <c r="Y56" s="226" t="n">
        <v>0</v>
      </c>
      <c r="Z56" s="226" t="n">
        <v>0</v>
      </c>
      <c r="AA56" s="226" t="n">
        <v>0</v>
      </c>
      <c r="AB56" s="226" t="n">
        <v>0</v>
      </c>
      <c r="AC56" s="226" t="n">
        <v>0</v>
      </c>
      <c r="AD56" s="226" t="n">
        <v>0</v>
      </c>
      <c r="AE56" s="226" t="n">
        <v>0</v>
      </c>
      <c r="AF56" s="226" t="n">
        <v>0</v>
      </c>
      <c r="AG56" s="226" t="n">
        <v>0</v>
      </c>
      <c r="AH56" s="59"/>
      <c r="AI56" s="199"/>
      <c r="AJ56" s="59"/>
      <c r="AK56" s="59"/>
      <c r="AL56" s="61"/>
      <c r="AM56" s="60"/>
      <c r="AN56" s="98"/>
      <c r="AO56" s="59"/>
      <c r="AP56" s="59"/>
      <c r="AQ56" s="59"/>
      <c r="AR56" s="59"/>
      <c r="AS56" s="59"/>
    </row>
    <row r="57" customFormat="false" ht="12.75" hidden="false" customHeight="true" outlineLevel="0" collapsed="false">
      <c r="A57" s="295" t="s">
        <v>231</v>
      </c>
      <c r="B57" s="294" t="n">
        <f aca="false">(PriceAlberta!B57+PriceBC!B57+BCIndex!B57+Straddle!B57+AlbertaIndex!B57+'Price - East '!B57+Options!B57+PriceEOL!B57+EOLIndex!B57+OptionsIndex!B57+OptionsProp!B57)/SpotRates!$F$36</f>
        <v>714985.413166336</v>
      </c>
      <c r="C57" s="226" t="n">
        <v>0</v>
      </c>
      <c r="D57" s="226" t="n">
        <v>0</v>
      </c>
      <c r="E57" s="226" t="n">
        <v>0</v>
      </c>
      <c r="F57" s="226" t="n">
        <v>0</v>
      </c>
      <c r="G57" s="226" t="n">
        <v>0</v>
      </c>
      <c r="H57" s="226" t="n">
        <v>0</v>
      </c>
      <c r="I57" s="226" t="n">
        <v>0</v>
      </c>
      <c r="J57" s="226" t="n">
        <v>0</v>
      </c>
      <c r="K57" s="226" t="n">
        <v>0</v>
      </c>
      <c r="L57" s="226" t="n">
        <v>0</v>
      </c>
      <c r="M57" s="226" t="n">
        <v>0</v>
      </c>
      <c r="N57" s="226" t="n">
        <v>0</v>
      </c>
      <c r="O57" s="226" t="n">
        <v>0</v>
      </c>
      <c r="P57" s="226" t="n">
        <v>0</v>
      </c>
      <c r="Q57" s="226" t="n">
        <v>0</v>
      </c>
      <c r="R57" s="226" t="n">
        <v>0</v>
      </c>
      <c r="S57" s="226" t="n">
        <v>0</v>
      </c>
      <c r="T57" s="226" t="n">
        <v>0</v>
      </c>
      <c r="U57" s="226" t="n">
        <v>0</v>
      </c>
      <c r="V57" s="226" t="n">
        <v>0</v>
      </c>
      <c r="W57" s="226" t="n">
        <v>0</v>
      </c>
      <c r="X57" s="226" t="n">
        <v>0</v>
      </c>
      <c r="Y57" s="226" t="n">
        <v>0</v>
      </c>
      <c r="Z57" s="226" t="n">
        <v>0</v>
      </c>
      <c r="AA57" s="226" t="n">
        <v>0</v>
      </c>
      <c r="AB57" s="226" t="n">
        <v>0</v>
      </c>
      <c r="AC57" s="226" t="n">
        <v>0</v>
      </c>
      <c r="AD57" s="226" t="n">
        <v>0</v>
      </c>
      <c r="AE57" s="226" t="n">
        <v>0</v>
      </c>
      <c r="AF57" s="226" t="n">
        <v>0</v>
      </c>
      <c r="AG57" s="226" t="n">
        <v>0</v>
      </c>
      <c r="AH57" s="59"/>
      <c r="AI57" s="199"/>
      <c r="AJ57" s="59"/>
      <c r="AK57" s="59"/>
      <c r="AL57" s="61"/>
      <c r="AM57" s="60"/>
      <c r="AN57" s="98"/>
      <c r="AO57" s="59"/>
      <c r="AP57" s="59"/>
      <c r="AQ57" s="59"/>
      <c r="AR57" s="59"/>
      <c r="AS57" s="59"/>
    </row>
    <row r="58" customFormat="false" ht="12.75" hidden="false" customHeight="true" outlineLevel="0" collapsed="false">
      <c r="A58" s="295" t="s">
        <v>232</v>
      </c>
      <c r="B58" s="294" t="n">
        <f aca="false">(PriceAlberta!B58+PriceBC!B58+BCIndex!B58+Straddle!B58+AlbertaIndex!B58+'Price - East '!B58+Options!B58+PriceEOL!B58+EOLIndex!B58+OptionsIndex!B58+OptionsProp!B58)/SpotRates!$F$36</f>
        <v>545798.151825264</v>
      </c>
      <c r="C58" s="226" t="n">
        <v>0</v>
      </c>
      <c r="D58" s="226" t="n">
        <v>0</v>
      </c>
      <c r="E58" s="226" t="n">
        <v>0</v>
      </c>
      <c r="F58" s="226" t="n">
        <v>0</v>
      </c>
      <c r="G58" s="226" t="n">
        <v>0</v>
      </c>
      <c r="H58" s="226" t="n">
        <v>0</v>
      </c>
      <c r="I58" s="226" t="n">
        <v>0</v>
      </c>
      <c r="J58" s="226" t="n">
        <v>0</v>
      </c>
      <c r="K58" s="226" t="n">
        <v>0</v>
      </c>
      <c r="L58" s="226" t="n">
        <v>0</v>
      </c>
      <c r="M58" s="226" t="n">
        <v>0</v>
      </c>
      <c r="N58" s="226" t="n">
        <v>0</v>
      </c>
      <c r="O58" s="226" t="n">
        <v>0</v>
      </c>
      <c r="P58" s="226" t="n">
        <v>0</v>
      </c>
      <c r="Q58" s="226" t="n">
        <v>0</v>
      </c>
      <c r="R58" s="226" t="n">
        <v>0</v>
      </c>
      <c r="S58" s="226" t="n">
        <v>0</v>
      </c>
      <c r="T58" s="226" t="n">
        <v>0</v>
      </c>
      <c r="U58" s="226" t="n">
        <v>0</v>
      </c>
      <c r="V58" s="226" t="n">
        <v>0</v>
      </c>
      <c r="W58" s="226" t="n">
        <v>0</v>
      </c>
      <c r="X58" s="226" t="n">
        <v>0</v>
      </c>
      <c r="Y58" s="226" t="n">
        <v>0</v>
      </c>
      <c r="Z58" s="226" t="n">
        <v>0</v>
      </c>
      <c r="AA58" s="226" t="n">
        <v>0</v>
      </c>
      <c r="AB58" s="226" t="n">
        <v>0</v>
      </c>
      <c r="AC58" s="226" t="n">
        <v>0</v>
      </c>
      <c r="AD58" s="226" t="n">
        <v>0</v>
      </c>
      <c r="AE58" s="226" t="n">
        <v>0</v>
      </c>
      <c r="AF58" s="226" t="n">
        <v>0</v>
      </c>
      <c r="AG58" s="226" t="n">
        <v>0</v>
      </c>
      <c r="AH58" s="59"/>
      <c r="AI58" s="199"/>
      <c r="AJ58" s="59"/>
      <c r="AK58" s="59"/>
      <c r="AL58" s="61"/>
      <c r="AM58" s="60"/>
      <c r="AN58" s="296"/>
      <c r="AO58" s="61"/>
      <c r="AP58" s="61"/>
      <c r="AQ58" s="61"/>
      <c r="AR58" s="61"/>
      <c r="AS58" s="61"/>
      <c r="AT58" s="199"/>
      <c r="AU58" s="199"/>
      <c r="AV58" s="199"/>
      <c r="AW58" s="199"/>
      <c r="AX58" s="199"/>
    </row>
    <row r="59" customFormat="false" ht="12.75" hidden="false" customHeight="true" outlineLevel="0" collapsed="false">
      <c r="A59" s="295" t="s">
        <v>233</v>
      </c>
      <c r="B59" s="294" t="n">
        <f aca="false">(PriceAlberta!B59+PriceBC!B59+BCIndex!B59+Straddle!B59+AlbertaIndex!B59+'Price - East '!B59+Options!B59+PriceEOL!B59+EOLIndex!B59+OptionsIndex!B59+OptionsProp!B59)/SpotRates!$F$36</f>
        <v>581892.966244081</v>
      </c>
      <c r="C59" s="226" t="n">
        <v>0</v>
      </c>
      <c r="D59" s="226" t="n">
        <v>0</v>
      </c>
      <c r="E59" s="226" t="n">
        <v>0</v>
      </c>
      <c r="F59" s="226" t="n">
        <v>0</v>
      </c>
      <c r="G59" s="226" t="n">
        <v>0</v>
      </c>
      <c r="H59" s="226" t="n">
        <v>0</v>
      </c>
      <c r="I59" s="226" t="n">
        <v>0</v>
      </c>
      <c r="J59" s="226" t="n">
        <v>0</v>
      </c>
      <c r="K59" s="226" t="n">
        <v>0</v>
      </c>
      <c r="L59" s="226" t="n">
        <v>0</v>
      </c>
      <c r="M59" s="226" t="n">
        <v>0</v>
      </c>
      <c r="N59" s="226" t="n">
        <v>0</v>
      </c>
      <c r="O59" s="226" t="n">
        <v>0</v>
      </c>
      <c r="P59" s="226" t="n">
        <v>0</v>
      </c>
      <c r="Q59" s="226" t="n">
        <v>0</v>
      </c>
      <c r="R59" s="226" t="n">
        <v>0</v>
      </c>
      <c r="S59" s="226" t="n">
        <v>0</v>
      </c>
      <c r="T59" s="226" t="n">
        <v>0</v>
      </c>
      <c r="U59" s="226" t="n">
        <v>0</v>
      </c>
      <c r="V59" s="226" t="n">
        <v>0</v>
      </c>
      <c r="W59" s="226" t="n">
        <v>0</v>
      </c>
      <c r="X59" s="226" t="n">
        <v>0</v>
      </c>
      <c r="Y59" s="226" t="n">
        <v>0</v>
      </c>
      <c r="Z59" s="226" t="n">
        <v>0</v>
      </c>
      <c r="AA59" s="226" t="n">
        <v>0</v>
      </c>
      <c r="AB59" s="226" t="n">
        <v>0</v>
      </c>
      <c r="AC59" s="226" t="n">
        <v>0</v>
      </c>
      <c r="AD59" s="226" t="n">
        <v>0</v>
      </c>
      <c r="AE59" s="226" t="n">
        <v>0</v>
      </c>
      <c r="AF59" s="226" t="n">
        <v>0</v>
      </c>
      <c r="AG59" s="226" t="n">
        <v>0</v>
      </c>
      <c r="AH59" s="59"/>
      <c r="AI59" s="199"/>
      <c r="AJ59" s="59"/>
      <c r="AK59" s="59"/>
      <c r="AL59" s="61"/>
      <c r="AM59" s="60"/>
      <c r="AN59" s="296"/>
      <c r="AO59" s="61"/>
      <c r="AP59" s="61"/>
      <c r="AQ59" s="61"/>
      <c r="AR59" s="61"/>
      <c r="AS59" s="61"/>
      <c r="AT59" s="199"/>
      <c r="AU59" s="199"/>
      <c r="AV59" s="199"/>
      <c r="AW59" s="199"/>
      <c r="AX59" s="199"/>
    </row>
    <row r="60" customFormat="false" ht="12.75" hidden="false" customHeight="true" outlineLevel="0" collapsed="false">
      <c r="A60" s="295" t="s">
        <v>234</v>
      </c>
      <c r="B60" s="294" t="n">
        <f aca="false">(PriceAlberta!B60+PriceBC!B60+BCIndex!B60+Straddle!B60+AlbertaIndex!B60+'Price - East '!B60+Options!B60+PriceEOL!B60+EOLIndex!B60+OptionsIndex!B60+OptionsProp!B60)/SpotRates!$F$36</f>
        <v>427074.69069803</v>
      </c>
      <c r="C60" s="226" t="n">
        <v>0</v>
      </c>
      <c r="D60" s="226" t="n">
        <v>0</v>
      </c>
      <c r="E60" s="226" t="n">
        <v>0</v>
      </c>
      <c r="F60" s="226" t="n">
        <v>0</v>
      </c>
      <c r="G60" s="226" t="n">
        <v>0</v>
      </c>
      <c r="H60" s="226" t="n">
        <v>0</v>
      </c>
      <c r="I60" s="226" t="n">
        <v>0</v>
      </c>
      <c r="J60" s="226" t="n">
        <v>0</v>
      </c>
      <c r="K60" s="226" t="n">
        <v>0</v>
      </c>
      <c r="L60" s="226" t="n">
        <v>0</v>
      </c>
      <c r="M60" s="226" t="n">
        <v>0</v>
      </c>
      <c r="N60" s="226" t="n">
        <v>0</v>
      </c>
      <c r="O60" s="226" t="n">
        <v>0</v>
      </c>
      <c r="P60" s="226" t="n">
        <v>0</v>
      </c>
      <c r="Q60" s="226" t="n">
        <v>0</v>
      </c>
      <c r="R60" s="226" t="n">
        <v>0</v>
      </c>
      <c r="S60" s="226" t="n">
        <v>0</v>
      </c>
      <c r="T60" s="226" t="n">
        <v>0</v>
      </c>
      <c r="U60" s="226" t="n">
        <v>0</v>
      </c>
      <c r="V60" s="226" t="n">
        <v>0</v>
      </c>
      <c r="W60" s="226" t="n">
        <v>0</v>
      </c>
      <c r="X60" s="226" t="n">
        <v>0</v>
      </c>
      <c r="Y60" s="226" t="n">
        <v>0</v>
      </c>
      <c r="Z60" s="226" t="n">
        <v>0</v>
      </c>
      <c r="AA60" s="226" t="n">
        <v>0</v>
      </c>
      <c r="AB60" s="226" t="n">
        <v>0</v>
      </c>
      <c r="AC60" s="226" t="n">
        <v>0</v>
      </c>
      <c r="AD60" s="226" t="n">
        <v>0</v>
      </c>
      <c r="AE60" s="226" t="n">
        <v>0</v>
      </c>
      <c r="AF60" s="226" t="n">
        <v>0</v>
      </c>
      <c r="AG60" s="226" t="n">
        <v>0</v>
      </c>
      <c r="AH60" s="59"/>
      <c r="AI60" s="199"/>
      <c r="AJ60" s="59"/>
      <c r="AK60" s="59"/>
      <c r="AL60" s="61"/>
      <c r="AM60" s="60"/>
      <c r="AN60" s="296"/>
      <c r="AO60" s="61"/>
      <c r="AP60" s="61"/>
      <c r="AQ60" s="61"/>
      <c r="AR60" s="61"/>
      <c r="AS60" s="61"/>
      <c r="AT60" s="199"/>
      <c r="AU60" s="199"/>
      <c r="AV60" s="199"/>
      <c r="AW60" s="199"/>
      <c r="AX60" s="199"/>
    </row>
    <row r="61" customFormat="false" ht="12.75" hidden="false" customHeight="true" outlineLevel="0" collapsed="false">
      <c r="A61" s="295" t="s">
        <v>235</v>
      </c>
      <c r="B61" s="294" t="n">
        <f aca="false">(PriceAlberta!B61+PriceBC!B61+BCIndex!B61+Straddle!B61+AlbertaIndex!B61+'Price - East '!B61+Options!B61+PriceEOL!B61+EOLIndex!B61+OptionsIndex!B61+OptionsProp!B61)/SpotRates!$F$36</f>
        <v>-11268.634489079</v>
      </c>
      <c r="C61" s="226" t="n">
        <v>0</v>
      </c>
      <c r="D61" s="226" t="n">
        <v>0</v>
      </c>
      <c r="E61" s="226" t="n">
        <v>0</v>
      </c>
      <c r="F61" s="226" t="n">
        <v>0</v>
      </c>
      <c r="G61" s="226" t="n">
        <v>0</v>
      </c>
      <c r="H61" s="226" t="n">
        <v>0</v>
      </c>
      <c r="I61" s="226" t="n">
        <v>0</v>
      </c>
      <c r="J61" s="226" t="n">
        <v>0</v>
      </c>
      <c r="K61" s="226" t="n">
        <v>0</v>
      </c>
      <c r="L61" s="226" t="n">
        <v>0</v>
      </c>
      <c r="M61" s="226" t="n">
        <v>0</v>
      </c>
      <c r="N61" s="226" t="n">
        <v>0</v>
      </c>
      <c r="O61" s="226" t="n">
        <v>0</v>
      </c>
      <c r="P61" s="226" t="n">
        <v>0</v>
      </c>
      <c r="Q61" s="226" t="n">
        <v>0</v>
      </c>
      <c r="R61" s="226" t="n">
        <v>0</v>
      </c>
      <c r="S61" s="226" t="n">
        <v>0</v>
      </c>
      <c r="T61" s="226" t="n">
        <v>0</v>
      </c>
      <c r="U61" s="226" t="n">
        <v>0</v>
      </c>
      <c r="V61" s="226" t="n">
        <v>0</v>
      </c>
      <c r="W61" s="226" t="n">
        <v>0</v>
      </c>
      <c r="X61" s="226" t="n">
        <v>0</v>
      </c>
      <c r="Y61" s="226" t="n">
        <v>0</v>
      </c>
      <c r="Z61" s="226" t="n">
        <v>0</v>
      </c>
      <c r="AA61" s="226" t="n">
        <v>0</v>
      </c>
      <c r="AB61" s="226" t="n">
        <v>0</v>
      </c>
      <c r="AC61" s="226" t="n">
        <v>0</v>
      </c>
      <c r="AD61" s="226" t="n">
        <v>0</v>
      </c>
      <c r="AE61" s="226" t="n">
        <v>0</v>
      </c>
      <c r="AF61" s="226" t="n">
        <v>0</v>
      </c>
      <c r="AG61" s="226" t="n">
        <v>0</v>
      </c>
      <c r="AH61" s="59"/>
      <c r="AJ61" s="59"/>
      <c r="AK61" s="59"/>
      <c r="AL61" s="61"/>
      <c r="AM61" s="60"/>
      <c r="AN61" s="98"/>
      <c r="AO61" s="59"/>
      <c r="AP61" s="59"/>
      <c r="AQ61" s="59"/>
      <c r="AR61" s="59"/>
      <c r="AS61" s="59"/>
    </row>
    <row r="62" customFormat="false" ht="12.75" hidden="false" customHeight="true" outlineLevel="0" collapsed="false">
      <c r="A62" s="295" t="s">
        <v>236</v>
      </c>
      <c r="B62" s="294" t="n">
        <f aca="false">(PriceAlberta!B62+PriceBC!B62+BCIndex!B62+Straddle!B62+AlbertaIndex!B62+'Price - East '!B62+Options!B62+PriceEOL!B62+EOLIndex!B62+OptionsIndex!B62+OptionsProp!B62)/SpotRates!$F$36</f>
        <v>-272016.877959371</v>
      </c>
      <c r="C62" s="226" t="n">
        <v>0</v>
      </c>
      <c r="D62" s="226" t="n">
        <v>0</v>
      </c>
      <c r="E62" s="226" t="n">
        <v>0</v>
      </c>
      <c r="F62" s="226" t="n">
        <v>0</v>
      </c>
      <c r="G62" s="226" t="n">
        <v>0</v>
      </c>
      <c r="H62" s="226" t="n">
        <v>0</v>
      </c>
      <c r="I62" s="226" t="n">
        <v>0</v>
      </c>
      <c r="J62" s="226" t="n">
        <v>0</v>
      </c>
      <c r="K62" s="226" t="n">
        <v>0</v>
      </c>
      <c r="L62" s="226" t="n">
        <v>0</v>
      </c>
      <c r="M62" s="226" t="n">
        <v>0</v>
      </c>
      <c r="N62" s="226" t="n">
        <v>0</v>
      </c>
      <c r="O62" s="226" t="n">
        <v>0</v>
      </c>
      <c r="P62" s="226" t="n">
        <v>0</v>
      </c>
      <c r="Q62" s="226" t="n">
        <v>0</v>
      </c>
      <c r="R62" s="226" t="n">
        <v>0</v>
      </c>
      <c r="S62" s="226" t="n">
        <v>0</v>
      </c>
      <c r="T62" s="226" t="n">
        <v>0</v>
      </c>
      <c r="U62" s="226" t="n">
        <v>0</v>
      </c>
      <c r="V62" s="226" t="n">
        <v>0</v>
      </c>
      <c r="W62" s="226" t="n">
        <v>0</v>
      </c>
      <c r="X62" s="226" t="n">
        <v>0</v>
      </c>
      <c r="Y62" s="226" t="n">
        <v>0</v>
      </c>
      <c r="Z62" s="226" t="n">
        <v>0</v>
      </c>
      <c r="AA62" s="226" t="n">
        <v>0</v>
      </c>
      <c r="AB62" s="226" t="n">
        <v>0</v>
      </c>
      <c r="AC62" s="226" t="n">
        <v>0</v>
      </c>
      <c r="AD62" s="226" t="n">
        <v>0</v>
      </c>
      <c r="AE62" s="226" t="n">
        <v>0</v>
      </c>
      <c r="AF62" s="226" t="n">
        <v>0</v>
      </c>
      <c r="AG62" s="226" t="n">
        <v>0</v>
      </c>
      <c r="AH62" s="59"/>
      <c r="AJ62" s="59"/>
      <c r="AK62" s="59"/>
      <c r="AL62" s="61"/>
      <c r="AM62" s="60"/>
      <c r="AN62" s="98"/>
      <c r="AO62" s="98"/>
      <c r="AP62" s="59"/>
      <c r="AQ62" s="59"/>
      <c r="AR62" s="59"/>
      <c r="AS62" s="59"/>
    </row>
    <row r="63" customFormat="false" ht="12.75" hidden="false" customHeight="true" outlineLevel="0" collapsed="false">
      <c r="A63" s="295" t="s">
        <v>189</v>
      </c>
      <c r="B63" s="294" t="n">
        <f aca="false">(PriceAlberta!B63+PriceBC!B63+BCIndex!B63+Straddle!B63+AlbertaIndex!B63+'Price - East '!B63+Options!B63+PriceEOL!B63+EOLIndex!B63+OptionsIndex!B63+OptionsProp!B63)/SpotRates!$F$36</f>
        <v>0</v>
      </c>
      <c r="C63" s="226" t="n">
        <v>0</v>
      </c>
      <c r="D63" s="226" t="n">
        <v>0</v>
      </c>
      <c r="E63" s="226" t="n">
        <v>0</v>
      </c>
      <c r="F63" s="226" t="n">
        <v>0</v>
      </c>
      <c r="G63" s="226" t="n">
        <v>0</v>
      </c>
      <c r="H63" s="226" t="n">
        <v>0</v>
      </c>
      <c r="I63" s="226" t="n">
        <v>0</v>
      </c>
      <c r="J63" s="226" t="n">
        <v>0</v>
      </c>
      <c r="K63" s="226" t="n">
        <v>0</v>
      </c>
      <c r="L63" s="226" t="n">
        <v>0</v>
      </c>
      <c r="M63" s="226" t="n">
        <v>0</v>
      </c>
      <c r="N63" s="226" t="n">
        <v>0</v>
      </c>
      <c r="O63" s="226" t="n">
        <v>0</v>
      </c>
      <c r="P63" s="226" t="n">
        <v>0</v>
      </c>
      <c r="Q63" s="226" t="n">
        <v>0</v>
      </c>
      <c r="R63" s="226" t="n">
        <v>0</v>
      </c>
      <c r="S63" s="226" t="n">
        <v>0</v>
      </c>
      <c r="T63" s="226" t="n">
        <v>0</v>
      </c>
      <c r="U63" s="226" t="n">
        <v>0</v>
      </c>
      <c r="V63" s="226" t="n">
        <v>0</v>
      </c>
      <c r="W63" s="226" t="n">
        <v>0</v>
      </c>
      <c r="X63" s="226" t="n">
        <v>0</v>
      </c>
      <c r="Y63" s="226" t="n">
        <v>0</v>
      </c>
      <c r="Z63" s="226" t="n">
        <v>0</v>
      </c>
      <c r="AA63" s="226" t="n">
        <v>0</v>
      </c>
      <c r="AB63" s="226" t="n">
        <v>0</v>
      </c>
      <c r="AC63" s="226" t="n">
        <v>0</v>
      </c>
      <c r="AD63" s="226" t="n">
        <v>0</v>
      </c>
      <c r="AE63" s="226" t="n">
        <v>0</v>
      </c>
      <c r="AF63" s="226" t="n">
        <v>0</v>
      </c>
      <c r="AG63" s="226" t="n">
        <v>0</v>
      </c>
      <c r="AH63" s="59"/>
      <c r="AI63" s="199"/>
      <c r="AJ63" s="59"/>
      <c r="AK63" s="59"/>
      <c r="AL63" s="61"/>
      <c r="AM63" s="60"/>
      <c r="AN63" s="98"/>
      <c r="AO63" s="59"/>
      <c r="AP63" s="59"/>
      <c r="AQ63" s="59"/>
      <c r="AR63" s="59"/>
      <c r="AS63" s="59"/>
    </row>
    <row r="64" customFormat="false" ht="12.75" hidden="false" customHeight="true" outlineLevel="0" collapsed="false">
      <c r="A64" s="295" t="s">
        <v>237</v>
      </c>
      <c r="B64" s="294" t="n">
        <f aca="false">(PriceAlberta!B64+PriceBC!B64+BCIndex!B64+Straddle!B64+AlbertaIndex!B64+'Price - East '!B64+Options!B64+PriceEOL!B64+EOLIndex!B64+OptionsIndex!B64+OptionsProp!B64)/SpotRates!$F$36</f>
        <v>38050.0610966855</v>
      </c>
      <c r="C64" s="226" t="n">
        <v>0</v>
      </c>
      <c r="D64" s="226" t="n">
        <v>0</v>
      </c>
      <c r="E64" s="226" t="n">
        <v>0</v>
      </c>
      <c r="F64" s="226" t="n">
        <v>0</v>
      </c>
      <c r="G64" s="226" t="n">
        <v>0</v>
      </c>
      <c r="H64" s="226" t="n">
        <v>0</v>
      </c>
      <c r="I64" s="226" t="n">
        <v>0</v>
      </c>
      <c r="J64" s="226" t="n">
        <v>0</v>
      </c>
      <c r="K64" s="226" t="n">
        <v>0</v>
      </c>
      <c r="L64" s="226" t="n">
        <v>0</v>
      </c>
      <c r="M64" s="226" t="n">
        <v>0</v>
      </c>
      <c r="N64" s="226" t="n">
        <v>0</v>
      </c>
      <c r="O64" s="226" t="n">
        <v>0</v>
      </c>
      <c r="P64" s="226" t="n">
        <v>0</v>
      </c>
      <c r="Q64" s="226" t="n">
        <v>0</v>
      </c>
      <c r="R64" s="226" t="n">
        <v>0</v>
      </c>
      <c r="S64" s="226" t="n">
        <v>0</v>
      </c>
      <c r="T64" s="226" t="n">
        <v>0</v>
      </c>
      <c r="U64" s="226" t="n">
        <v>0</v>
      </c>
      <c r="V64" s="226" t="n">
        <v>0</v>
      </c>
      <c r="W64" s="226" t="n">
        <v>0</v>
      </c>
      <c r="X64" s="226" t="n">
        <v>0</v>
      </c>
      <c r="Y64" s="226" t="n">
        <v>0</v>
      </c>
      <c r="Z64" s="226" t="n">
        <v>0</v>
      </c>
      <c r="AA64" s="226" t="n">
        <v>0</v>
      </c>
      <c r="AB64" s="226" t="n">
        <v>0</v>
      </c>
      <c r="AC64" s="226" t="n">
        <v>0</v>
      </c>
      <c r="AD64" s="226" t="n">
        <v>0</v>
      </c>
      <c r="AE64" s="226" t="n">
        <v>0</v>
      </c>
      <c r="AF64" s="226" t="n">
        <v>0</v>
      </c>
      <c r="AG64" s="226" t="n">
        <v>0</v>
      </c>
      <c r="AH64" s="59"/>
      <c r="AI64" s="199"/>
      <c r="AJ64" s="59"/>
      <c r="AK64" s="59"/>
      <c r="AL64" s="60"/>
      <c r="AM64" s="60"/>
      <c r="AN64" s="59"/>
      <c r="AO64" s="59"/>
      <c r="AP64" s="59"/>
      <c r="AQ64" s="59"/>
      <c r="AR64" s="59"/>
      <c r="AS64" s="59"/>
    </row>
    <row r="65" customFormat="false" ht="12.75" hidden="false" customHeight="true" outlineLevel="0" collapsed="false">
      <c r="A65" s="231" t="s">
        <v>238</v>
      </c>
      <c r="B65" s="294" t="n">
        <f aca="false">(PriceAlberta!B65+PriceBC!B65+BCIndex!B65+Straddle!B65+AlbertaIndex!B65+'Price - East '!B65+Options!B65+PriceEOL!B65+EOLIndex!B65+OptionsIndex!B65+OptionsProp!B65)/SpotRates!$F$36</f>
        <v>12978.501603788</v>
      </c>
      <c r="C65" s="226" t="n">
        <v>0</v>
      </c>
      <c r="D65" s="226" t="n">
        <v>0</v>
      </c>
      <c r="E65" s="226" t="n">
        <v>0</v>
      </c>
      <c r="F65" s="226" t="n">
        <v>0</v>
      </c>
      <c r="G65" s="226" t="n">
        <v>0</v>
      </c>
      <c r="H65" s="226" t="n">
        <v>0</v>
      </c>
      <c r="I65" s="226" t="n">
        <v>0</v>
      </c>
      <c r="J65" s="226" t="n">
        <v>0</v>
      </c>
      <c r="K65" s="226" t="n">
        <v>0</v>
      </c>
      <c r="L65" s="226" t="n">
        <v>0</v>
      </c>
      <c r="M65" s="226" t="n">
        <v>0</v>
      </c>
      <c r="N65" s="226" t="n">
        <v>0</v>
      </c>
      <c r="O65" s="226" t="n">
        <v>0</v>
      </c>
      <c r="P65" s="226" t="n">
        <v>0</v>
      </c>
      <c r="Q65" s="226" t="n">
        <v>0</v>
      </c>
      <c r="R65" s="226" t="n">
        <v>0</v>
      </c>
      <c r="S65" s="226" t="n">
        <v>0</v>
      </c>
      <c r="T65" s="226" t="n">
        <v>0</v>
      </c>
      <c r="U65" s="226" t="n">
        <v>0</v>
      </c>
      <c r="V65" s="226" t="n">
        <v>0</v>
      </c>
      <c r="W65" s="226" t="n">
        <v>0</v>
      </c>
      <c r="X65" s="226" t="n">
        <v>0</v>
      </c>
      <c r="Y65" s="226" t="n">
        <v>0</v>
      </c>
      <c r="Z65" s="226" t="n">
        <v>0</v>
      </c>
      <c r="AA65" s="226" t="n">
        <v>0</v>
      </c>
      <c r="AB65" s="226" t="n">
        <v>0</v>
      </c>
      <c r="AC65" s="226" t="n">
        <v>0</v>
      </c>
      <c r="AD65" s="226" t="n">
        <v>0</v>
      </c>
      <c r="AE65" s="226" t="n">
        <v>0</v>
      </c>
      <c r="AF65" s="226" t="n">
        <v>0</v>
      </c>
      <c r="AG65" s="226" t="n">
        <v>0</v>
      </c>
      <c r="AH65" s="59"/>
      <c r="AJ65" s="59"/>
      <c r="AK65" s="59"/>
      <c r="AL65" s="61"/>
      <c r="AM65" s="60"/>
      <c r="AN65" s="59"/>
      <c r="AO65" s="59"/>
      <c r="AP65" s="59"/>
      <c r="AQ65" s="59"/>
      <c r="AR65" s="59"/>
      <c r="AS65" s="59"/>
    </row>
    <row r="66" customFormat="false" ht="12.75" hidden="false" customHeight="true" outlineLevel="0" collapsed="false">
      <c r="A66" s="231" t="s">
        <v>239</v>
      </c>
      <c r="B66" s="294" t="n">
        <f aca="false">(PriceAlberta!B66+PriceBC!B66+BCIndex!B66+Straddle!B66+AlbertaIndex!B66+'Price - East '!B66+Options!B66+PriceEOL!B66+EOLIndex!B66+OptionsIndex!B66+OptionsProp!B66)/SpotRates!$F$36</f>
        <v>0</v>
      </c>
      <c r="C66" s="226" t="n">
        <v>0</v>
      </c>
      <c r="D66" s="226" t="n">
        <v>0</v>
      </c>
      <c r="E66" s="226" t="n">
        <v>0</v>
      </c>
      <c r="F66" s="226" t="n">
        <v>0</v>
      </c>
      <c r="G66" s="226" t="n">
        <v>0</v>
      </c>
      <c r="H66" s="226" t="n">
        <v>0</v>
      </c>
      <c r="I66" s="226" t="n">
        <v>0</v>
      </c>
      <c r="J66" s="226" t="n">
        <v>0</v>
      </c>
      <c r="K66" s="226" t="n">
        <v>0</v>
      </c>
      <c r="L66" s="226" t="n">
        <v>0</v>
      </c>
      <c r="M66" s="226" t="n">
        <v>0</v>
      </c>
      <c r="N66" s="226" t="n">
        <v>0</v>
      </c>
      <c r="O66" s="226" t="n">
        <v>0</v>
      </c>
      <c r="P66" s="226" t="n">
        <v>0</v>
      </c>
      <c r="Q66" s="226" t="n">
        <v>0</v>
      </c>
      <c r="R66" s="226" t="n">
        <v>0</v>
      </c>
      <c r="S66" s="226" t="n">
        <v>0</v>
      </c>
      <c r="T66" s="226" t="n">
        <v>0</v>
      </c>
      <c r="U66" s="226" t="n">
        <v>0</v>
      </c>
      <c r="V66" s="226" t="n">
        <v>0</v>
      </c>
      <c r="W66" s="226" t="n">
        <v>0</v>
      </c>
      <c r="X66" s="226" t="n">
        <v>0</v>
      </c>
      <c r="Y66" s="226" t="n">
        <v>0</v>
      </c>
      <c r="Z66" s="226" t="n">
        <v>0</v>
      </c>
      <c r="AA66" s="226" t="n">
        <v>0</v>
      </c>
      <c r="AB66" s="226" t="n">
        <v>0</v>
      </c>
      <c r="AC66" s="226" t="n">
        <v>0</v>
      </c>
      <c r="AD66" s="226" t="n">
        <v>0</v>
      </c>
      <c r="AE66" s="226" t="n">
        <v>0</v>
      </c>
      <c r="AF66" s="226" t="n">
        <v>0</v>
      </c>
      <c r="AG66" s="226" t="n">
        <v>0</v>
      </c>
      <c r="AH66" s="59"/>
      <c r="AI66" s="199"/>
      <c r="AJ66" s="59"/>
      <c r="AK66" s="59"/>
      <c r="AL66" s="61"/>
      <c r="AM66" s="60"/>
      <c r="AN66" s="59"/>
      <c r="AO66" s="59"/>
      <c r="AP66" s="59"/>
      <c r="AQ66" s="59"/>
      <c r="AR66" s="59"/>
      <c r="AS66" s="59"/>
    </row>
    <row r="67" customFormat="false" ht="12.75" hidden="false" customHeight="true" outlineLevel="0" collapsed="false">
      <c r="A67" s="231" t="s">
        <v>240</v>
      </c>
      <c r="B67" s="294" t="n">
        <f aca="false">(PriceAlberta!B67+PriceBC!B67+BCIndex!B67+Straddle!B67+AlbertaIndex!B67+'Price - East '!B67+Options!B67+PriceEOL!B67+EOLIndex!B67+OptionsIndex!B67+OptionsProp!B67)/SpotRates!$F$36</f>
        <v>-42194.8984267604</v>
      </c>
      <c r="C67" s="226" t="n">
        <v>0</v>
      </c>
      <c r="D67" s="226" t="n">
        <v>0</v>
      </c>
      <c r="E67" s="226" t="n">
        <v>0</v>
      </c>
      <c r="F67" s="226" t="n">
        <v>0</v>
      </c>
      <c r="G67" s="226" t="n">
        <v>0</v>
      </c>
      <c r="H67" s="226" t="n">
        <v>0</v>
      </c>
      <c r="I67" s="226" t="n">
        <v>0</v>
      </c>
      <c r="J67" s="226" t="n">
        <v>0</v>
      </c>
      <c r="K67" s="226" t="n">
        <v>0</v>
      </c>
      <c r="L67" s="226" t="n">
        <v>0</v>
      </c>
      <c r="M67" s="226" t="n">
        <v>0</v>
      </c>
      <c r="N67" s="226" t="n">
        <v>0</v>
      </c>
      <c r="O67" s="226" t="n">
        <v>0</v>
      </c>
      <c r="P67" s="226" t="n">
        <v>0</v>
      </c>
      <c r="Q67" s="226" t="n">
        <v>0</v>
      </c>
      <c r="R67" s="226" t="n">
        <v>0</v>
      </c>
      <c r="S67" s="226" t="n">
        <v>0</v>
      </c>
      <c r="T67" s="226" t="n">
        <v>0</v>
      </c>
      <c r="U67" s="226" t="n">
        <v>0</v>
      </c>
      <c r="V67" s="226" t="n">
        <v>0</v>
      </c>
      <c r="W67" s="226" t="n">
        <v>0</v>
      </c>
      <c r="X67" s="226" t="n">
        <v>0</v>
      </c>
      <c r="Y67" s="226" t="n">
        <v>0</v>
      </c>
      <c r="Z67" s="226" t="n">
        <v>0</v>
      </c>
      <c r="AA67" s="226" t="n">
        <v>0</v>
      </c>
      <c r="AB67" s="226" t="n">
        <v>0</v>
      </c>
      <c r="AC67" s="226" t="n">
        <v>0</v>
      </c>
      <c r="AD67" s="226" t="n">
        <v>0</v>
      </c>
      <c r="AE67" s="226" t="n">
        <v>0</v>
      </c>
      <c r="AF67" s="226" t="n">
        <v>0</v>
      </c>
      <c r="AG67" s="226" t="n">
        <v>0</v>
      </c>
      <c r="AH67" s="59"/>
      <c r="AI67" s="199"/>
      <c r="AJ67" s="59"/>
      <c r="AK67" s="59"/>
      <c r="AL67" s="61"/>
      <c r="AM67" s="60"/>
      <c r="AN67" s="59"/>
      <c r="AO67" s="59"/>
      <c r="AP67" s="59"/>
      <c r="AQ67" s="59"/>
      <c r="AR67" s="59"/>
      <c r="AS67" s="59"/>
    </row>
    <row r="68" customFormat="false" ht="12.75" hidden="false" customHeight="true" outlineLevel="0" collapsed="false">
      <c r="A68" s="231" t="s">
        <v>241</v>
      </c>
      <c r="B68" s="294" t="n">
        <f aca="false">(PriceAlberta!B68+PriceBC!B68+BCIndex!B68+Straddle!B68+AlbertaIndex!B68+'Price - East '!B68+Options!B68+PriceEOL!B68+EOLIndex!B68+OptionsIndex!B68+OptionsProp!B68)/SpotRates!$F$36</f>
        <v>0</v>
      </c>
      <c r="C68" s="226" t="n">
        <v>0</v>
      </c>
      <c r="D68" s="226" t="n">
        <v>0</v>
      </c>
      <c r="E68" s="226" t="n">
        <v>0</v>
      </c>
      <c r="F68" s="226" t="n">
        <v>0</v>
      </c>
      <c r="G68" s="226" t="n">
        <v>0</v>
      </c>
      <c r="H68" s="226" t="n">
        <v>0</v>
      </c>
      <c r="I68" s="226" t="n">
        <v>0</v>
      </c>
      <c r="J68" s="226" t="n">
        <v>0</v>
      </c>
      <c r="K68" s="226" t="n">
        <v>0</v>
      </c>
      <c r="L68" s="226" t="n">
        <v>0</v>
      </c>
      <c r="M68" s="226" t="n">
        <v>0</v>
      </c>
      <c r="N68" s="226" t="n">
        <v>0</v>
      </c>
      <c r="O68" s="226" t="n">
        <v>0</v>
      </c>
      <c r="P68" s="226" t="n">
        <v>0</v>
      </c>
      <c r="Q68" s="226" t="n">
        <v>0</v>
      </c>
      <c r="R68" s="226" t="n">
        <v>0</v>
      </c>
      <c r="S68" s="226" t="n">
        <v>0</v>
      </c>
      <c r="T68" s="226" t="n">
        <v>0</v>
      </c>
      <c r="U68" s="226" t="n">
        <v>0</v>
      </c>
      <c r="V68" s="226" t="n">
        <v>0</v>
      </c>
      <c r="W68" s="226" t="n">
        <v>0</v>
      </c>
      <c r="X68" s="226" t="n">
        <v>0</v>
      </c>
      <c r="Y68" s="226" t="n">
        <v>0</v>
      </c>
      <c r="Z68" s="226" t="n">
        <v>0</v>
      </c>
      <c r="AA68" s="226" t="n">
        <v>0</v>
      </c>
      <c r="AB68" s="226" t="n">
        <v>0</v>
      </c>
      <c r="AC68" s="226" t="n">
        <v>0</v>
      </c>
      <c r="AD68" s="226" t="n">
        <v>0</v>
      </c>
      <c r="AE68" s="226" t="n">
        <v>0</v>
      </c>
      <c r="AF68" s="226" t="n">
        <v>0</v>
      </c>
      <c r="AG68" s="226" t="n">
        <v>0</v>
      </c>
      <c r="AH68" s="59"/>
      <c r="AJ68" s="59"/>
      <c r="AK68" s="59"/>
      <c r="AL68" s="61"/>
      <c r="AM68" s="60"/>
      <c r="AN68" s="59"/>
      <c r="AO68" s="59"/>
      <c r="AP68" s="59"/>
      <c r="AQ68" s="59"/>
      <c r="AR68" s="59"/>
      <c r="AS68" s="59"/>
    </row>
    <row r="69" customFormat="false" ht="12.75" hidden="false" customHeight="true" outlineLevel="0" collapsed="false">
      <c r="A69" s="295" t="s">
        <v>242</v>
      </c>
      <c r="B69" s="294" t="n">
        <f aca="false">(PriceAlberta!B69+PriceBC!B69+BCIndex!B69+Straddle!B69+AlbertaIndex!B69+'Price - East '!B69+Options!B69+PriceEOL!B69+EOLIndex!B69+OptionsIndex!B69+OptionsProp!B69)/SpotRates!$F$36</f>
        <v>0</v>
      </c>
      <c r="C69" s="226" t="n">
        <v>0</v>
      </c>
      <c r="D69" s="226" t="n">
        <v>0</v>
      </c>
      <c r="E69" s="226" t="n">
        <v>0</v>
      </c>
      <c r="F69" s="226" t="n">
        <v>0</v>
      </c>
      <c r="G69" s="226" t="n">
        <v>0</v>
      </c>
      <c r="H69" s="226" t="n">
        <v>0</v>
      </c>
      <c r="I69" s="226" t="n">
        <v>0</v>
      </c>
      <c r="J69" s="226" t="n">
        <v>0</v>
      </c>
      <c r="K69" s="226" t="n">
        <v>0</v>
      </c>
      <c r="L69" s="226" t="n">
        <v>0</v>
      </c>
      <c r="M69" s="226" t="n">
        <v>0</v>
      </c>
      <c r="N69" s="226" t="n">
        <v>0</v>
      </c>
      <c r="O69" s="226" t="n">
        <v>0</v>
      </c>
      <c r="P69" s="226" t="n">
        <v>0</v>
      </c>
      <c r="Q69" s="226" t="n">
        <v>0</v>
      </c>
      <c r="R69" s="226" t="n">
        <v>0</v>
      </c>
      <c r="S69" s="226" t="n">
        <v>0</v>
      </c>
      <c r="T69" s="226" t="n">
        <v>0</v>
      </c>
      <c r="U69" s="226" t="n">
        <v>0</v>
      </c>
      <c r="V69" s="226" t="n">
        <v>0</v>
      </c>
      <c r="W69" s="226" t="n">
        <v>0</v>
      </c>
      <c r="X69" s="226" t="n">
        <v>0</v>
      </c>
      <c r="Y69" s="226" t="n">
        <v>0</v>
      </c>
      <c r="Z69" s="226" t="n">
        <v>0</v>
      </c>
      <c r="AA69" s="226" t="n">
        <v>0</v>
      </c>
      <c r="AB69" s="226" t="n">
        <v>0</v>
      </c>
      <c r="AC69" s="226" t="n">
        <v>0</v>
      </c>
      <c r="AD69" s="226" t="n">
        <v>0</v>
      </c>
      <c r="AE69" s="226" t="n">
        <v>0</v>
      </c>
      <c r="AF69" s="226" t="n">
        <v>0</v>
      </c>
      <c r="AG69" s="226" t="n">
        <v>0</v>
      </c>
      <c r="AH69" s="59"/>
      <c r="AI69" s="199"/>
      <c r="AJ69" s="59"/>
      <c r="AK69" s="59"/>
      <c r="AL69" s="61"/>
      <c r="AM69" s="60"/>
      <c r="AN69" s="59"/>
      <c r="AO69" s="59"/>
      <c r="AP69" s="59"/>
      <c r="AQ69" s="59"/>
      <c r="AR69" s="59"/>
      <c r="AS69" s="59"/>
    </row>
    <row r="70" customFormat="false" ht="12.75" hidden="false" customHeight="true" outlineLevel="0" collapsed="false">
      <c r="A70" s="231" t="s">
        <v>243</v>
      </c>
      <c r="B70" s="294" t="n">
        <f aca="false">(PriceAlberta!B70+PriceBC!B70+BCIndex!B70+Straddle!B70+AlbertaIndex!B70+'Price - East '!B70+Options!B70+PriceEOL!B70+EOLIndex!B70+OptionsIndex!B70+OptionsProp!B70)/SpotRates!$F$36</f>
        <v>0</v>
      </c>
      <c r="C70" s="226" t="n">
        <v>0</v>
      </c>
      <c r="D70" s="226" t="n">
        <v>0</v>
      </c>
      <c r="E70" s="226" t="n">
        <v>0</v>
      </c>
      <c r="F70" s="226" t="n">
        <v>0</v>
      </c>
      <c r="G70" s="226" t="n">
        <v>0</v>
      </c>
      <c r="H70" s="226" t="n">
        <v>0</v>
      </c>
      <c r="I70" s="226" t="n">
        <v>0</v>
      </c>
      <c r="J70" s="226" t="n">
        <v>0</v>
      </c>
      <c r="K70" s="226" t="n">
        <v>0</v>
      </c>
      <c r="L70" s="226" t="n">
        <v>0</v>
      </c>
      <c r="M70" s="226" t="n">
        <v>0</v>
      </c>
      <c r="N70" s="226" t="n">
        <v>0</v>
      </c>
      <c r="O70" s="226" t="n">
        <v>0</v>
      </c>
      <c r="P70" s="226" t="n">
        <v>0</v>
      </c>
      <c r="Q70" s="226" t="n">
        <v>0</v>
      </c>
      <c r="R70" s="226" t="n">
        <v>0</v>
      </c>
      <c r="S70" s="226" t="n">
        <v>0</v>
      </c>
      <c r="T70" s="226" t="n">
        <v>0</v>
      </c>
      <c r="U70" s="226" t="n">
        <v>0</v>
      </c>
      <c r="V70" s="226" t="n">
        <v>0</v>
      </c>
      <c r="W70" s="226" t="n">
        <v>0</v>
      </c>
      <c r="X70" s="226" t="n">
        <v>0</v>
      </c>
      <c r="Y70" s="226" t="n">
        <v>0</v>
      </c>
      <c r="Z70" s="226" t="n">
        <v>0</v>
      </c>
      <c r="AA70" s="226" t="n">
        <v>0</v>
      </c>
      <c r="AB70" s="226" t="n">
        <v>0</v>
      </c>
      <c r="AC70" s="226" t="n">
        <v>0</v>
      </c>
      <c r="AD70" s="226" t="n">
        <v>0</v>
      </c>
      <c r="AE70" s="226" t="n">
        <v>0</v>
      </c>
      <c r="AF70" s="226" t="n">
        <v>0</v>
      </c>
      <c r="AG70" s="226" t="n">
        <v>0</v>
      </c>
      <c r="AH70" s="59"/>
      <c r="AJ70" s="59"/>
      <c r="AK70" s="59"/>
      <c r="AL70" s="61"/>
      <c r="AM70" s="60"/>
      <c r="AN70" s="59"/>
      <c r="AO70" s="59"/>
      <c r="AP70" s="59"/>
      <c r="AQ70" s="59"/>
      <c r="AR70" s="59"/>
      <c r="AS70" s="59"/>
    </row>
    <row r="71" customFormat="false" ht="12.75" hidden="fals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300"/>
      <c r="AH71" s="59"/>
      <c r="AJ71" s="59"/>
      <c r="AK71" s="59"/>
      <c r="AL71" s="61"/>
      <c r="AM71" s="60"/>
    </row>
    <row r="72" customFormat="false" ht="12.75" hidden="false" customHeight="true" outlineLevel="0" collapsed="false">
      <c r="A72" s="231"/>
      <c r="B72" s="294"/>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301"/>
      <c r="AH72" s="59"/>
      <c r="AJ72" s="59"/>
      <c r="AK72" s="59"/>
      <c r="AL72" s="61"/>
      <c r="AM72" s="60"/>
    </row>
    <row r="73" customFormat="false" ht="12.75" hidden="false" customHeight="true" outlineLevel="0" collapsed="false">
      <c r="A73" s="231"/>
      <c r="B73" s="294"/>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301"/>
      <c r="AH73" s="59"/>
      <c r="AJ73" s="59"/>
      <c r="AK73" s="59"/>
      <c r="AL73" s="61"/>
      <c r="AM73" s="60"/>
    </row>
    <row r="74" customFormat="false" ht="12.75" hidden="false" customHeight="true" outlineLevel="0" collapsed="false">
      <c r="A74" s="231"/>
      <c r="B74" s="294"/>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301"/>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SUM(B47:B75)-B61-B68-B69</f>
        <v>-5044060.60027494</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AH78" s="153"/>
      <c r="AJ78" s="153"/>
      <c r="AK78" s="226"/>
      <c r="AL78" s="61"/>
      <c r="AM78" s="60"/>
    </row>
    <row r="79" customFormat="false" ht="12.75" hidden="false" customHeight="true" outlineLevel="0" collapsed="false">
      <c r="A79" s="271" t="s">
        <v>340</v>
      </c>
      <c r="B79" s="271"/>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t="s">
        <v>210</v>
      </c>
      <c r="C81" s="275" t="n">
        <f aca="false">SUM(C85:C101)</f>
        <v>0</v>
      </c>
      <c r="D81" s="275" t="n">
        <f aca="false">SUM(D85:D101)</f>
        <v>0</v>
      </c>
      <c r="E81" s="275" t="n">
        <f aca="false">SUM(E85:E101)</f>
        <v>0</v>
      </c>
      <c r="F81" s="275" t="n">
        <f aca="false">SUM(F85:F101)</f>
        <v>0</v>
      </c>
      <c r="G81" s="275" t="n">
        <f aca="false">SUM(G85:G101)</f>
        <v>0</v>
      </c>
      <c r="H81" s="275" t="n">
        <f aca="false">SUM(H85:H101)</f>
        <v>0</v>
      </c>
      <c r="I81" s="275" t="n">
        <f aca="false">SUM(I85:I101)</f>
        <v>0</v>
      </c>
      <c r="J81" s="275" t="n">
        <f aca="false">SUM(J85:J101)</f>
        <v>0</v>
      </c>
      <c r="K81" s="275" t="n">
        <f aca="false">SUM(K85:K101)</f>
        <v>0</v>
      </c>
      <c r="L81" s="275" t="n">
        <f aca="false">SUM(L85:L101)</f>
        <v>0</v>
      </c>
      <c r="M81" s="275" t="n">
        <f aca="false">SUM(M85:M101)</f>
        <v>0</v>
      </c>
      <c r="N81" s="275" t="n">
        <f aca="false">SUM(N85:N101)</f>
        <v>0</v>
      </c>
      <c r="O81" s="275" t="n">
        <f aca="false">SUM(O85:O101)</f>
        <v>0</v>
      </c>
      <c r="P81" s="275" t="n">
        <f aca="false">SUM(P85:P101)</f>
        <v>0</v>
      </c>
      <c r="Q81" s="275" t="n">
        <f aca="false">SUM(Q85:Q101)</f>
        <v>0</v>
      </c>
      <c r="R81" s="275" t="n">
        <f aca="false">SUM(R85:R101)</f>
        <v>0</v>
      </c>
      <c r="S81" s="275" t="n">
        <f aca="false">SUM(S85:S101)</f>
        <v>0</v>
      </c>
      <c r="T81" s="275" t="n">
        <f aca="false">SUM(T85:T101)</f>
        <v>0</v>
      </c>
      <c r="U81" s="275" t="n">
        <f aca="false">SUM(U85:U101)</f>
        <v>0</v>
      </c>
      <c r="V81" s="275" t="n">
        <f aca="false">SUM(V85:V101)</f>
        <v>0</v>
      </c>
      <c r="W81" s="275" t="n">
        <f aca="false">SUM(W85:W101)</f>
        <v>0</v>
      </c>
      <c r="X81" s="275" t="n">
        <f aca="false">SUM(X85:X101)</f>
        <v>0</v>
      </c>
      <c r="Y81" s="275" t="n">
        <f aca="false">SUM(Y85:Y101)</f>
        <v>0</v>
      </c>
      <c r="Z81" s="275" t="n">
        <f aca="false">SUM(Z85:Z101)</f>
        <v>0</v>
      </c>
      <c r="AA81" s="275" t="n">
        <f aca="false">SUM(AA85:AA101)</f>
        <v>0</v>
      </c>
      <c r="AB81" s="275" t="n">
        <f aca="false">SUM(AB85:AB101)</f>
        <v>0</v>
      </c>
      <c r="AC81" s="275" t="n">
        <f aca="false">SUM(AC85:AC101)</f>
        <v>0</v>
      </c>
      <c r="AD81" s="275" t="n">
        <f aca="false">SUM(AD85:AD101)</f>
        <v>0</v>
      </c>
      <c r="AE81" s="275" t="n">
        <f aca="false">SUM(AE85:AE101)</f>
        <v>0</v>
      </c>
      <c r="AF81" s="275" t="n">
        <f aca="false">SUM(AF85:AF101)</f>
        <v>0</v>
      </c>
      <c r="AG81" s="275" t="n">
        <f aca="false">SUM(AG85:AG101)</f>
        <v>0</v>
      </c>
      <c r="AH81" s="59"/>
      <c r="AI81" s="76"/>
      <c r="AJ81" s="85"/>
      <c r="AK81" s="59"/>
      <c r="AL81" s="77"/>
      <c r="AN81" s="59"/>
      <c r="AO81" s="59"/>
      <c r="AP81" s="59"/>
      <c r="AQ81" s="59"/>
      <c r="AR81" s="59"/>
      <c r="AS81" s="59"/>
    </row>
    <row r="82" customFormat="false" ht="12.75" hidden="false" customHeight="true" outlineLevel="0" collapsed="false">
      <c r="A82" s="278" t="s">
        <v>248</v>
      </c>
      <c r="B82" s="279" t="n">
        <f aca="false">B44</f>
        <v>36831</v>
      </c>
      <c r="C82" s="280" t="n">
        <f aca="false">C44</f>
        <v>36831</v>
      </c>
      <c r="D82" s="280" t="n">
        <f aca="false">D44</f>
        <v>36832</v>
      </c>
      <c r="E82" s="280" t="n">
        <f aca="false">E44</f>
        <v>36833</v>
      </c>
      <c r="F82" s="280" t="n">
        <f aca="false">F44</f>
        <v>36834</v>
      </c>
      <c r="G82" s="280" t="n">
        <f aca="false">G44</f>
        <v>36835</v>
      </c>
      <c r="H82" s="280" t="n">
        <f aca="false">H44</f>
        <v>36836</v>
      </c>
      <c r="I82" s="280" t="n">
        <f aca="false">I44</f>
        <v>36837</v>
      </c>
      <c r="J82" s="280" t="n">
        <f aca="false">J44</f>
        <v>36838</v>
      </c>
      <c r="K82" s="280" t="n">
        <f aca="false">K44</f>
        <v>36839</v>
      </c>
      <c r="L82" s="280" t="n">
        <f aca="false">L44</f>
        <v>36840</v>
      </c>
      <c r="M82" s="280" t="n">
        <f aca="false">M44</f>
        <v>36841</v>
      </c>
      <c r="N82" s="280" t="n">
        <f aca="false">N44</f>
        <v>36842</v>
      </c>
      <c r="O82" s="280" t="n">
        <f aca="false">O44</f>
        <v>36843</v>
      </c>
      <c r="P82" s="280" t="n">
        <f aca="false">P44</f>
        <v>36844</v>
      </c>
      <c r="Q82" s="280" t="n">
        <f aca="false">Q44</f>
        <v>36845</v>
      </c>
      <c r="R82" s="280" t="n">
        <f aca="false">R44</f>
        <v>36846</v>
      </c>
      <c r="S82" s="280" t="n">
        <f aca="false">S44</f>
        <v>36847</v>
      </c>
      <c r="T82" s="280" t="n">
        <f aca="false">T44</f>
        <v>36848</v>
      </c>
      <c r="U82" s="280" t="n">
        <f aca="false">U44</f>
        <v>36849</v>
      </c>
      <c r="V82" s="280" t="n">
        <f aca="false">V44</f>
        <v>36850</v>
      </c>
      <c r="W82" s="280" t="n">
        <f aca="false">W44</f>
        <v>36851</v>
      </c>
      <c r="X82" s="280" t="n">
        <f aca="false">X44</f>
        <v>36852</v>
      </c>
      <c r="Y82" s="280" t="n">
        <f aca="false">Y44</f>
        <v>36853</v>
      </c>
      <c r="Z82" s="280" t="n">
        <f aca="false">Z44</f>
        <v>36854</v>
      </c>
      <c r="AA82" s="280" t="n">
        <f aca="false">AA44</f>
        <v>36855</v>
      </c>
      <c r="AB82" s="280" t="n">
        <f aca="false">AB44</f>
        <v>36856</v>
      </c>
      <c r="AC82" s="280" t="n">
        <f aca="false">AC44</f>
        <v>36857</v>
      </c>
      <c r="AD82" s="280" t="n">
        <f aca="false">AD44</f>
        <v>36858</v>
      </c>
      <c r="AE82" s="280" t="n">
        <f aca="false">AE44</f>
        <v>36859</v>
      </c>
      <c r="AF82" s="280" t="n">
        <f aca="false">AF44</f>
        <v>36860</v>
      </c>
      <c r="AG82" s="280" t="n">
        <f aca="false">AG44</f>
        <v>36861</v>
      </c>
      <c r="AH82" s="281"/>
      <c r="AI82" s="76"/>
      <c r="AJ82" s="309"/>
      <c r="AK82" s="281"/>
      <c r="AL82" s="284"/>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c r="DM82" s="281"/>
      <c r="DN82" s="281"/>
      <c r="DO82" s="281"/>
      <c r="DP82" s="281"/>
      <c r="DQ82" s="281"/>
      <c r="DR82" s="281"/>
      <c r="DS82" s="281"/>
      <c r="DT82" s="281"/>
      <c r="DU82" s="281"/>
      <c r="DV82" s="281"/>
      <c r="DW82" s="281"/>
      <c r="DX82" s="281"/>
      <c r="DY82" s="281"/>
      <c r="DZ82" s="281"/>
      <c r="EA82" s="281"/>
      <c r="EB82" s="281"/>
      <c r="EC82" s="281"/>
      <c r="ED82" s="281"/>
      <c r="EE82" s="281"/>
      <c r="EF82" s="281"/>
      <c r="EG82" s="281"/>
      <c r="EH82" s="281"/>
      <c r="EI82" s="281"/>
      <c r="EJ82" s="281"/>
      <c r="EK82" s="281"/>
      <c r="EL82" s="281"/>
      <c r="EM82" s="281"/>
      <c r="EN82" s="281"/>
      <c r="EO82" s="281"/>
      <c r="EP82" s="281"/>
      <c r="EQ82" s="281"/>
      <c r="ER82" s="281"/>
      <c r="ES82" s="281"/>
      <c r="ET82" s="281"/>
      <c r="EU82" s="281"/>
      <c r="EV82" s="281"/>
      <c r="EW82" s="281"/>
      <c r="EX82" s="281"/>
      <c r="EY82" s="281"/>
      <c r="EZ82" s="281"/>
      <c r="FA82" s="281"/>
      <c r="FB82" s="281"/>
      <c r="FC82" s="281"/>
      <c r="FD82" s="281"/>
      <c r="FE82" s="281"/>
      <c r="FF82" s="281"/>
      <c r="FG82" s="281"/>
      <c r="FH82" s="281"/>
      <c r="FI82" s="281"/>
      <c r="FJ82" s="281"/>
      <c r="FK82" s="281"/>
      <c r="FL82" s="281"/>
      <c r="FM82" s="281"/>
      <c r="FN82" s="281"/>
      <c r="FO82" s="281"/>
      <c r="FP82" s="281"/>
      <c r="FQ82" s="281"/>
      <c r="FR82" s="281"/>
      <c r="FS82" s="281"/>
      <c r="FT82" s="281"/>
      <c r="FU82" s="281"/>
      <c r="FV82" s="281"/>
      <c r="FW82" s="281"/>
      <c r="FX82" s="281"/>
      <c r="FY82" s="281"/>
      <c r="FZ82" s="281"/>
      <c r="GA82" s="281"/>
      <c r="GB82" s="281"/>
      <c r="GC82" s="281"/>
      <c r="GD82" s="281"/>
      <c r="GE82" s="281"/>
      <c r="GF82" s="281"/>
      <c r="GG82" s="281"/>
      <c r="GH82" s="281"/>
      <c r="GI82" s="281"/>
      <c r="GJ82" s="281"/>
      <c r="GK82" s="281"/>
      <c r="GL82" s="281"/>
      <c r="GM82" s="281"/>
      <c r="GN82" s="281"/>
      <c r="GO82" s="281"/>
      <c r="GP82" s="281"/>
      <c r="GQ82" s="281"/>
      <c r="GR82" s="281"/>
      <c r="GS82" s="281"/>
      <c r="GT82" s="281"/>
      <c r="GU82" s="281"/>
      <c r="GV82" s="281"/>
      <c r="GW82" s="281"/>
      <c r="GX82" s="281"/>
      <c r="GY82" s="281"/>
      <c r="GZ82" s="281"/>
      <c r="HA82" s="281"/>
      <c r="HB82" s="281"/>
      <c r="HC82" s="281"/>
      <c r="HD82" s="281"/>
      <c r="HE82" s="281"/>
      <c r="HF82" s="281"/>
      <c r="HG82" s="281"/>
      <c r="HH82" s="281"/>
      <c r="HI82" s="281"/>
      <c r="HJ82" s="281"/>
      <c r="HK82" s="281"/>
      <c r="HL82" s="281"/>
      <c r="HM82" s="281"/>
      <c r="HN82" s="281"/>
      <c r="HO82" s="281"/>
      <c r="HP82" s="281"/>
      <c r="HQ82" s="281"/>
      <c r="HR82" s="281"/>
      <c r="HS82" s="281"/>
      <c r="HT82" s="281"/>
      <c r="HU82" s="281"/>
      <c r="HV82" s="281"/>
      <c r="HW82" s="281"/>
      <c r="HX82" s="281"/>
      <c r="HY82" s="281"/>
      <c r="HZ82" s="281"/>
      <c r="IA82" s="281"/>
      <c r="IB82" s="281"/>
      <c r="IC82" s="281"/>
      <c r="ID82" s="281"/>
      <c r="IE82" s="281"/>
      <c r="IF82" s="281"/>
      <c r="IG82" s="281"/>
      <c r="IH82" s="281"/>
      <c r="II82" s="281"/>
      <c r="IJ82" s="281"/>
      <c r="IK82" s="281"/>
      <c r="IL82" s="281"/>
      <c r="IM82" s="281"/>
      <c r="IN82" s="281"/>
      <c r="IO82" s="281"/>
      <c r="IP82" s="281"/>
      <c r="IQ82" s="281"/>
      <c r="IR82" s="281"/>
      <c r="IS82" s="281"/>
      <c r="IT82" s="281"/>
      <c r="IU82" s="281"/>
      <c r="IV82" s="281"/>
      <c r="IW82" s="281"/>
    </row>
    <row r="83" customFormat="false" ht="12.75" hidden="false" customHeight="true" outlineLevel="0" collapsed="false">
      <c r="A83" s="285"/>
      <c r="B83" s="285"/>
      <c r="C83" s="286" t="str">
        <f aca="false">C45</f>
        <v>W</v>
      </c>
      <c r="D83" s="286" t="str">
        <f aca="false">D45</f>
        <v>R</v>
      </c>
      <c r="E83" s="286" t="str">
        <f aca="false">E45</f>
        <v>F</v>
      </c>
      <c r="F83" s="286" t="str">
        <f aca="false">F45</f>
        <v>S</v>
      </c>
      <c r="G83" s="286" t="str">
        <f aca="false">G45</f>
        <v>S</v>
      </c>
      <c r="H83" s="286" t="str">
        <f aca="false">H45</f>
        <v>M</v>
      </c>
      <c r="I83" s="286" t="str">
        <f aca="false">I45</f>
        <v>T</v>
      </c>
      <c r="J83" s="286" t="str">
        <f aca="false">J45</f>
        <v>W</v>
      </c>
      <c r="K83" s="286" t="str">
        <f aca="false">K45</f>
        <v>R</v>
      </c>
      <c r="L83" s="286" t="str">
        <f aca="false">L45</f>
        <v>F</v>
      </c>
      <c r="M83" s="286" t="str">
        <f aca="false">M45</f>
        <v>S</v>
      </c>
      <c r="N83" s="286" t="str">
        <f aca="false">N45</f>
        <v>S</v>
      </c>
      <c r="O83" s="286" t="str">
        <f aca="false">O45</f>
        <v>M</v>
      </c>
      <c r="P83" s="286" t="str">
        <f aca="false">P45</f>
        <v>T</v>
      </c>
      <c r="Q83" s="286" t="str">
        <f aca="false">Q45</f>
        <v>W</v>
      </c>
      <c r="R83" s="286" t="str">
        <f aca="false">R45</f>
        <v>R</v>
      </c>
      <c r="S83" s="286" t="str">
        <f aca="false">S45</f>
        <v>F</v>
      </c>
      <c r="T83" s="286" t="str">
        <f aca="false">T45</f>
        <v>S</v>
      </c>
      <c r="U83" s="286" t="str">
        <f aca="false">U45</f>
        <v>S</v>
      </c>
      <c r="V83" s="286" t="str">
        <f aca="false">V45</f>
        <v>M</v>
      </c>
      <c r="W83" s="286" t="str">
        <f aca="false">W45</f>
        <v>T</v>
      </c>
      <c r="X83" s="286" t="str">
        <f aca="false">X45</f>
        <v>W</v>
      </c>
      <c r="Y83" s="286" t="str">
        <f aca="false">Y45</f>
        <v>R</v>
      </c>
      <c r="Z83" s="286" t="str">
        <f aca="false">Z45</f>
        <v>F</v>
      </c>
      <c r="AA83" s="286" t="str">
        <f aca="false">AA45</f>
        <v>S</v>
      </c>
      <c r="AB83" s="286" t="str">
        <f aca="false">AB45</f>
        <v>S</v>
      </c>
      <c r="AC83" s="286" t="str">
        <f aca="false">AC45</f>
        <v>M</v>
      </c>
      <c r="AD83" s="286" t="str">
        <f aca="false">AD45</f>
        <v>T</v>
      </c>
      <c r="AE83" s="286" t="str">
        <f aca="false">AE45</f>
        <v>W</v>
      </c>
      <c r="AF83" s="286" t="str">
        <f aca="false">AF45</f>
        <v>R</v>
      </c>
      <c r="AG83" s="286" t="str">
        <f aca="false">AG45</f>
        <v>F</v>
      </c>
      <c r="AH83" s="59"/>
      <c r="AI83" s="76"/>
      <c r="AJ83" s="85"/>
      <c r="AK83" s="59"/>
      <c r="AL83" s="153"/>
      <c r="AN83" s="59"/>
      <c r="AO83" s="59"/>
      <c r="AP83" s="59"/>
      <c r="AQ83" s="59"/>
      <c r="AR83" s="59"/>
      <c r="AS83" s="59"/>
    </row>
    <row r="84" customFormat="false" ht="12.75" hidden="false" customHeight="true" outlineLevel="0" collapsed="false">
      <c r="A84" s="289"/>
      <c r="B84" s="290" t="s">
        <v>216</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1"/>
      <c r="AH84" s="153"/>
      <c r="AI84" s="199"/>
      <c r="AJ84" s="312"/>
      <c r="AK84" s="226"/>
      <c r="AL84" s="61"/>
      <c r="AM84" s="60"/>
    </row>
    <row r="85" customFormat="false" ht="12.75" hidden="false" customHeight="true" outlineLevel="0" collapsed="false">
      <c r="A85" s="231" t="s">
        <v>249</v>
      </c>
      <c r="B85" s="294" t="n">
        <f aca="false">SUM(C85:AG85)</f>
        <v>0</v>
      </c>
      <c r="C85" s="226" t="n">
        <v>0</v>
      </c>
      <c r="D85" s="226" t="n">
        <v>0</v>
      </c>
      <c r="E85" s="226" t="n">
        <v>0</v>
      </c>
      <c r="F85" s="226" t="n">
        <v>0</v>
      </c>
      <c r="G85" s="226" t="n">
        <v>0</v>
      </c>
      <c r="H85" s="226" t="n">
        <v>0</v>
      </c>
      <c r="I85" s="226" t="n">
        <v>0</v>
      </c>
      <c r="J85" s="226" t="n">
        <v>0</v>
      </c>
      <c r="K85" s="226" t="n">
        <v>0</v>
      </c>
      <c r="L85" s="226" t="n">
        <v>0</v>
      </c>
      <c r="M85" s="226" t="n">
        <v>0</v>
      </c>
      <c r="N85" s="226" t="n">
        <v>0</v>
      </c>
      <c r="O85" s="226" t="n">
        <v>0</v>
      </c>
      <c r="P85" s="226" t="n">
        <v>0</v>
      </c>
      <c r="Q85" s="226" t="n">
        <v>0</v>
      </c>
      <c r="R85" s="226" t="n">
        <v>0</v>
      </c>
      <c r="S85" s="226" t="n">
        <v>0</v>
      </c>
      <c r="T85" s="226" t="n">
        <v>0</v>
      </c>
      <c r="U85" s="226" t="n">
        <v>0</v>
      </c>
      <c r="V85" s="226" t="n">
        <v>0</v>
      </c>
      <c r="W85" s="226" t="n">
        <v>0</v>
      </c>
      <c r="X85" s="226" t="n">
        <v>0</v>
      </c>
      <c r="Y85" s="226" t="n">
        <v>0</v>
      </c>
      <c r="Z85" s="226" t="n">
        <v>0</v>
      </c>
      <c r="AA85" s="226" t="n">
        <v>0</v>
      </c>
      <c r="AB85" s="226" t="n">
        <v>0</v>
      </c>
      <c r="AC85" s="226" t="n">
        <v>0</v>
      </c>
      <c r="AD85" s="226" t="n">
        <v>0</v>
      </c>
      <c r="AE85" s="226" t="n">
        <v>0</v>
      </c>
      <c r="AF85" s="226" t="n">
        <v>0</v>
      </c>
      <c r="AG85" s="300" t="n">
        <v>0</v>
      </c>
      <c r="AH85" s="153"/>
      <c r="AJ85" s="153"/>
      <c r="AK85" s="226"/>
      <c r="AL85" s="61"/>
      <c r="AM85" s="60"/>
    </row>
    <row r="86" customFormat="false" ht="12.75" hidden="false" customHeight="true" outlineLevel="0" collapsed="false">
      <c r="A86" s="231" t="s">
        <v>250</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251</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252</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253</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254</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255</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256</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257</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258</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259</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260</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261</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c r="B98" s="294"/>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300"/>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SUM(B87:B101)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3" t="s">
        <v>271</v>
      </c>
      <c r="B126" s="153" t="s">
        <v>272</v>
      </c>
      <c r="C126" s="153"/>
      <c r="D126" s="324"/>
      <c r="E126" s="325" t="n">
        <f aca="false">-16307313-1</f>
        <v>-16307314</v>
      </c>
      <c r="G126" s="403"/>
      <c r="H126" s="327"/>
      <c r="I126" s="153"/>
      <c r="J126" s="59"/>
      <c r="K126" s="328"/>
      <c r="L126" s="325"/>
      <c r="M126" s="59"/>
      <c r="N126" s="59"/>
      <c r="O126" s="59"/>
      <c r="P126" s="59"/>
    </row>
    <row r="127" customFormat="false" ht="12.75" hidden="false" customHeight="true" outlineLevel="0" collapsed="false">
      <c r="A127" s="329" t="s">
        <v>273</v>
      </c>
      <c r="B127" s="153" t="s">
        <v>274</v>
      </c>
      <c r="C127" s="59"/>
      <c r="D127" s="301"/>
      <c r="E127" s="325" t="n">
        <v>-9060279</v>
      </c>
      <c r="G127" s="326"/>
      <c r="H127" s="62"/>
      <c r="I127" s="332"/>
      <c r="J127" s="59"/>
      <c r="K127" s="328"/>
      <c r="L127" s="325"/>
      <c r="M127" s="59"/>
      <c r="N127" s="59"/>
      <c r="O127" s="59"/>
      <c r="P127" s="59"/>
    </row>
    <row r="128" customFormat="false" ht="12.75" hidden="false" customHeight="true" outlineLevel="0" collapsed="false">
      <c r="A128" s="329" t="s">
        <v>275</v>
      </c>
      <c r="B128" s="153" t="s">
        <v>276</v>
      </c>
      <c r="C128" s="59"/>
      <c r="D128" s="301"/>
      <c r="E128" s="325" t="n">
        <v>-14320697</v>
      </c>
      <c r="G128" s="326"/>
      <c r="H128" s="153"/>
      <c r="I128" s="59"/>
      <c r="J128" s="59"/>
      <c r="K128" s="328"/>
      <c r="L128" s="325"/>
      <c r="M128" s="59"/>
      <c r="N128" s="59"/>
      <c r="O128" s="59"/>
      <c r="P128" s="59"/>
    </row>
    <row r="129" customFormat="false" ht="12.75" hidden="false" customHeight="true" outlineLevel="0" collapsed="false">
      <c r="A129" s="329" t="n">
        <v>36161</v>
      </c>
      <c r="B129" s="153" t="s">
        <v>279</v>
      </c>
      <c r="C129" s="59"/>
      <c r="D129" s="324"/>
      <c r="E129" s="325" t="n">
        <f aca="false">89879-772067-15407-17173</f>
        <v>-714768</v>
      </c>
      <c r="G129" s="326"/>
      <c r="H129" s="153"/>
      <c r="I129" s="59"/>
      <c r="J129" s="59"/>
      <c r="K129" s="324"/>
      <c r="L129" s="330"/>
      <c r="M129" s="59"/>
      <c r="N129" s="59"/>
      <c r="O129" s="59"/>
      <c r="P129" s="59"/>
    </row>
    <row r="130" customFormat="false" ht="12.75" hidden="false" customHeight="true" outlineLevel="0" collapsed="false">
      <c r="A130" s="329" t="n">
        <v>36192</v>
      </c>
      <c r="B130" s="153" t="s">
        <v>280</v>
      </c>
      <c r="C130" s="59"/>
      <c r="D130" s="324"/>
      <c r="E130" s="325" t="n">
        <f aca="false">3823407-739746+372424-73031+1</f>
        <v>3383055</v>
      </c>
      <c r="G130" s="326"/>
      <c r="H130" s="153"/>
      <c r="I130" s="59"/>
      <c r="J130" s="59"/>
      <c r="K130" s="324"/>
      <c r="L130" s="325"/>
      <c r="M130" s="59"/>
      <c r="N130" s="59"/>
      <c r="O130" s="59"/>
      <c r="P130" s="59"/>
    </row>
    <row r="131" customFormat="false" ht="12.75" hidden="false" customHeight="true" outlineLevel="0" collapsed="false">
      <c r="A131" s="329" t="n">
        <v>36220</v>
      </c>
      <c r="B131" s="153" t="s">
        <v>283</v>
      </c>
      <c r="C131" s="153"/>
      <c r="D131" s="324"/>
      <c r="E131" s="325" t="n">
        <f aca="false">-2514110-889103-272651-56970</f>
        <v>-3732834</v>
      </c>
      <c r="G131" s="326"/>
      <c r="H131" s="153"/>
      <c r="I131" s="59"/>
      <c r="J131" s="59"/>
      <c r="K131" s="324"/>
      <c r="L131" s="325"/>
      <c r="M131" s="59"/>
      <c r="N131" s="59"/>
      <c r="O131" s="59"/>
      <c r="P131" s="59"/>
    </row>
    <row r="132" customFormat="false" ht="12.75" hidden="false" customHeight="true" outlineLevel="0" collapsed="false">
      <c r="A132" s="329" t="n">
        <v>36251</v>
      </c>
      <c r="B132" s="153" t="s">
        <v>284</v>
      </c>
      <c r="C132" s="153"/>
      <c r="D132" s="324"/>
      <c r="E132" s="325" t="n">
        <f aca="false">625062-702433+174699-130411</f>
        <v>-33083</v>
      </c>
      <c r="G132" s="326"/>
      <c r="H132" s="59"/>
      <c r="I132" s="59"/>
      <c r="J132" s="59"/>
      <c r="K132" s="328"/>
      <c r="L132" s="330"/>
      <c r="M132" s="59"/>
      <c r="N132" s="59"/>
      <c r="O132" s="59"/>
      <c r="P132" s="59"/>
    </row>
    <row r="133" customFormat="false" ht="12.75" hidden="false" customHeight="true" outlineLevel="0" collapsed="false">
      <c r="A133" s="329" t="n">
        <v>36281</v>
      </c>
      <c r="B133" s="153" t="s">
        <v>285</v>
      </c>
      <c r="C133" s="153"/>
      <c r="D133" s="324"/>
      <c r="E133" s="325" t="n">
        <f aca="false">2272391-620556+633168-171822</f>
        <v>2113181</v>
      </c>
      <c r="G133" s="326"/>
      <c r="H133" s="153"/>
      <c r="I133" s="59"/>
      <c r="J133" s="59"/>
      <c r="K133" s="324"/>
      <c r="L133" s="330"/>
      <c r="M133" s="59"/>
      <c r="N133" s="59"/>
      <c r="O133" s="59"/>
      <c r="P133" s="59"/>
    </row>
    <row r="134" customFormat="false" ht="12.75" hidden="false" customHeight="true" outlineLevel="0" collapsed="false">
      <c r="A134" s="329" t="n">
        <v>36312</v>
      </c>
      <c r="B134" s="153" t="s">
        <v>286</v>
      </c>
      <c r="C134" s="153"/>
      <c r="D134" s="324"/>
      <c r="E134" s="325" t="n">
        <f aca="false">668469-748303+165915-212109</f>
        <v>-126028</v>
      </c>
      <c r="G134" s="326"/>
      <c r="H134" s="153"/>
      <c r="I134" s="59"/>
      <c r="J134" s="59"/>
      <c r="K134" s="324"/>
      <c r="L134" s="325"/>
      <c r="M134" s="98"/>
      <c r="N134" s="60"/>
      <c r="O134" s="59"/>
      <c r="P134" s="59"/>
    </row>
    <row r="135" customFormat="false" ht="12.75" hidden="false" customHeight="true" outlineLevel="0" collapsed="false">
      <c r="A135" s="329" t="n">
        <v>36342</v>
      </c>
      <c r="B135" s="153" t="s">
        <v>287</v>
      </c>
      <c r="C135" s="153"/>
      <c r="D135" s="324"/>
      <c r="E135" s="325" t="n">
        <f aca="false">1895896-707586+393936-136822</f>
        <v>1445424</v>
      </c>
      <c r="G135" s="326"/>
      <c r="H135" s="153"/>
      <c r="I135" s="59"/>
      <c r="J135" s="59"/>
      <c r="K135" s="324"/>
      <c r="L135" s="325"/>
      <c r="M135" s="98"/>
      <c r="N135" s="59"/>
      <c r="O135" s="59"/>
      <c r="P135" s="59"/>
    </row>
    <row r="136" customFormat="false" ht="12.75" hidden="false" customHeight="true" outlineLevel="0" collapsed="false">
      <c r="A136" s="329" t="n">
        <v>36373</v>
      </c>
      <c r="B136" s="153" t="s">
        <v>288</v>
      </c>
      <c r="C136" s="153"/>
      <c r="D136" s="324"/>
      <c r="E136" s="325" t="n">
        <f aca="false">23796-802892-103276-101049</f>
        <v>-983421</v>
      </c>
      <c r="G136" s="326"/>
      <c r="H136" s="153"/>
      <c r="I136" s="59"/>
      <c r="J136" s="59"/>
      <c r="K136" s="324"/>
      <c r="L136" s="325"/>
      <c r="M136" s="59"/>
      <c r="N136" s="98"/>
      <c r="O136" s="59"/>
      <c r="P136" s="59"/>
    </row>
    <row r="137" customFormat="false" ht="12.75" hidden="false" customHeight="true" outlineLevel="0" collapsed="false">
      <c r="A137" s="329" t="n">
        <v>36404</v>
      </c>
      <c r="B137" s="153" t="s">
        <v>289</v>
      </c>
      <c r="C137" s="153"/>
      <c r="D137" s="324"/>
      <c r="E137" s="325" t="n">
        <f aca="false">-(495135+726325+81557+172139)</f>
        <v>-1475156</v>
      </c>
      <c r="G137" s="326"/>
      <c r="H137" s="153"/>
      <c r="I137" s="59"/>
      <c r="J137" s="59"/>
      <c r="K137" s="324"/>
      <c r="L137" s="325"/>
      <c r="M137" s="59"/>
      <c r="N137" s="98"/>
      <c r="O137" s="59"/>
      <c r="P137" s="59"/>
    </row>
    <row r="138" customFormat="false" ht="12.75" hidden="false" customHeight="true" outlineLevel="0" collapsed="false">
      <c r="A138" s="329" t="n">
        <v>36434</v>
      </c>
      <c r="B138" s="153" t="s">
        <v>290</v>
      </c>
      <c r="C138" s="153"/>
      <c r="D138" s="324"/>
      <c r="E138" s="325" t="n">
        <f aca="false">1217665-717834+321203-151954</f>
        <v>669080</v>
      </c>
      <c r="G138" s="326"/>
      <c r="H138" s="153"/>
      <c r="I138" s="59"/>
      <c r="J138" s="59"/>
      <c r="K138" s="324"/>
      <c r="L138" s="325"/>
      <c r="M138" s="59"/>
      <c r="N138" s="59"/>
      <c r="O138" s="59"/>
      <c r="P138" s="59"/>
    </row>
    <row r="139" customFormat="false" ht="12.75" hidden="false" customHeight="true" outlineLevel="0" collapsed="false">
      <c r="A139" s="329" t="n">
        <v>36465</v>
      </c>
      <c r="B139" s="153" t="s">
        <v>291</v>
      </c>
      <c r="C139" s="153"/>
      <c r="D139" s="324"/>
      <c r="E139" s="325" t="n">
        <v>-277983</v>
      </c>
      <c r="G139" s="326"/>
      <c r="H139" s="153"/>
      <c r="I139" s="59"/>
      <c r="J139" s="59"/>
      <c r="K139" s="324"/>
      <c r="L139" s="325"/>
      <c r="M139" s="59"/>
      <c r="N139" s="59"/>
      <c r="O139" s="59"/>
      <c r="P139" s="59"/>
    </row>
    <row r="140" customFormat="false" ht="12.75" hidden="false" customHeight="true" outlineLevel="0" collapsed="false">
      <c r="A140" s="329" t="n">
        <v>36495</v>
      </c>
      <c r="B140" s="153" t="s">
        <v>292</v>
      </c>
      <c r="C140" s="153"/>
      <c r="D140" s="324"/>
      <c r="E140" s="325" t="n">
        <v>-505828</v>
      </c>
      <c r="G140" s="326"/>
      <c r="H140" s="153"/>
      <c r="I140" s="59"/>
      <c r="J140" s="59"/>
      <c r="K140" s="324"/>
      <c r="L140" s="325"/>
      <c r="M140" s="59"/>
      <c r="N140" s="59"/>
      <c r="O140" s="59"/>
      <c r="P140" s="59"/>
    </row>
    <row r="141" customFormat="false" ht="12.75" hidden="false" customHeight="true" outlineLevel="0" collapsed="false">
      <c r="A141" s="329" t="n">
        <v>36526</v>
      </c>
      <c r="B141" s="153" t="s">
        <v>293</v>
      </c>
      <c r="C141" s="153"/>
      <c r="D141" s="324"/>
      <c r="E141" s="325" t="n">
        <f aca="false">1969030-976206+504786-190902</f>
        <v>1306708</v>
      </c>
      <c r="G141" s="326"/>
      <c r="H141" s="153"/>
      <c r="I141" s="59"/>
      <c r="J141" s="59"/>
      <c r="K141" s="324"/>
      <c r="L141" s="325"/>
      <c r="M141" s="59"/>
      <c r="N141" s="59"/>
      <c r="O141" s="59"/>
      <c r="P141" s="59"/>
    </row>
    <row r="142" customFormat="false" ht="12.75" hidden="false" customHeight="true" outlineLevel="0" collapsed="false">
      <c r="A142" s="329" t="n">
        <v>36557</v>
      </c>
      <c r="B142" s="153" t="s">
        <v>294</v>
      </c>
      <c r="C142" s="153"/>
      <c r="D142" s="324"/>
      <c r="E142" s="325" t="n">
        <v>-3963775</v>
      </c>
      <c r="G142" s="326"/>
      <c r="H142" s="153"/>
      <c r="I142" s="59"/>
      <c r="J142" s="59"/>
      <c r="K142" s="324"/>
      <c r="L142" s="325"/>
      <c r="M142" s="59"/>
      <c r="N142" s="59"/>
      <c r="O142" s="59"/>
      <c r="P142" s="59"/>
    </row>
    <row r="143" customFormat="false" ht="12.75" hidden="false" customHeight="true" outlineLevel="0" collapsed="false">
      <c r="A143" s="329" t="n">
        <v>36586</v>
      </c>
      <c r="B143" s="153" t="s">
        <v>295</v>
      </c>
      <c r="C143" s="153"/>
      <c r="D143" s="324"/>
      <c r="E143" s="325" t="n">
        <v>-1448812</v>
      </c>
      <c r="G143" s="326"/>
      <c r="H143" s="153"/>
      <c r="I143" s="59"/>
      <c r="J143" s="59"/>
      <c r="K143" s="324"/>
      <c r="L143" s="325"/>
      <c r="M143" s="59"/>
      <c r="N143" s="59"/>
      <c r="O143" s="59"/>
      <c r="P143" s="59"/>
    </row>
    <row r="144" customFormat="false" ht="12.75" hidden="false" customHeight="true" outlineLevel="0" collapsed="false">
      <c r="A144" s="329" t="n">
        <v>36617</v>
      </c>
      <c r="B144" s="153" t="s">
        <v>297</v>
      </c>
      <c r="C144" s="153"/>
      <c r="D144" s="324"/>
      <c r="E144" s="325" t="n">
        <v>367706</v>
      </c>
      <c r="G144" s="326"/>
      <c r="H144" s="153"/>
      <c r="I144" s="59"/>
      <c r="J144" s="59"/>
      <c r="K144" s="324"/>
      <c r="L144" s="325"/>
      <c r="M144" s="59"/>
      <c r="N144" s="59"/>
      <c r="O144" s="59"/>
      <c r="P144" s="59"/>
    </row>
    <row r="145" customFormat="false" ht="12.75" hidden="false" customHeight="true" outlineLevel="0" collapsed="false">
      <c r="A145" s="329" t="n">
        <v>36647</v>
      </c>
      <c r="B145" s="153" t="s">
        <v>298</v>
      </c>
      <c r="C145" s="153"/>
      <c r="D145" s="324"/>
      <c r="E145" s="325" t="n">
        <v>-1615095</v>
      </c>
      <c r="G145" s="326"/>
      <c r="H145" s="153"/>
      <c r="I145" s="59"/>
      <c r="J145" s="59"/>
      <c r="K145" s="324"/>
      <c r="L145" s="325"/>
      <c r="M145" s="59"/>
      <c r="N145" s="59"/>
      <c r="O145" s="59"/>
      <c r="P145" s="59"/>
    </row>
    <row r="146" customFormat="false" ht="12.75" hidden="false" customHeight="true" outlineLevel="0" collapsed="false">
      <c r="A146" s="329" t="n">
        <v>36678</v>
      </c>
      <c r="B146" s="153" t="s">
        <v>298</v>
      </c>
      <c r="C146" s="153"/>
      <c r="D146" s="324"/>
      <c r="E146" s="325" t="n">
        <v>-2575301</v>
      </c>
      <c r="G146" s="326"/>
      <c r="H146" s="153"/>
      <c r="I146" s="59"/>
      <c r="J146" s="59"/>
      <c r="K146" s="324"/>
      <c r="L146" s="325"/>
      <c r="M146" s="59"/>
      <c r="N146" s="59"/>
      <c r="O146" s="59"/>
      <c r="P146" s="59"/>
    </row>
    <row r="147" customFormat="false" ht="12.75" hidden="false" customHeight="true" outlineLevel="0" collapsed="false">
      <c r="A147" s="329" t="n">
        <v>36708</v>
      </c>
      <c r="B147" s="153" t="s">
        <v>301</v>
      </c>
      <c r="C147" s="153"/>
      <c r="D147" s="324"/>
      <c r="E147" s="325" t="n">
        <v>-886991</v>
      </c>
      <c r="G147" s="326"/>
      <c r="H147" s="153"/>
      <c r="I147" s="59"/>
      <c r="J147" s="59"/>
      <c r="K147" s="324"/>
      <c r="L147" s="325"/>
      <c r="M147" s="59"/>
      <c r="N147" s="59"/>
      <c r="O147" s="59"/>
      <c r="P147" s="59"/>
    </row>
    <row r="148" customFormat="false" ht="12.75" hidden="false" customHeight="true" outlineLevel="0" collapsed="false">
      <c r="A148" s="329" t="n">
        <v>36739</v>
      </c>
      <c r="B148" s="153" t="s">
        <v>302</v>
      </c>
      <c r="C148" s="153"/>
      <c r="D148" s="324"/>
      <c r="E148" s="325" t="n">
        <v>-2584296</v>
      </c>
      <c r="G148" s="326"/>
      <c r="H148" s="153"/>
      <c r="I148" s="59"/>
      <c r="J148" s="59"/>
      <c r="K148" s="324"/>
      <c r="L148" s="325"/>
      <c r="M148" s="59"/>
      <c r="N148" s="59"/>
      <c r="O148" s="59"/>
      <c r="P148" s="59"/>
    </row>
    <row r="149" customFormat="false" ht="12.75" hidden="false" customHeight="true" outlineLevel="0" collapsed="false">
      <c r="A149" s="329" t="n">
        <v>36770</v>
      </c>
      <c r="B149" s="153" t="s">
        <v>303</v>
      </c>
      <c r="C149" s="153"/>
      <c r="D149" s="324"/>
      <c r="E149" s="325" t="n">
        <v>-1365417</v>
      </c>
      <c r="G149" s="326"/>
      <c r="H149" s="153"/>
      <c r="I149" s="59"/>
      <c r="J149" s="59"/>
      <c r="K149" s="324"/>
      <c r="L149" s="325"/>
      <c r="M149" s="59"/>
      <c r="N149" s="59"/>
      <c r="O149" s="59"/>
      <c r="P149" s="59"/>
    </row>
    <row r="150" customFormat="false" ht="12.75" hidden="false" customHeight="true" outlineLevel="0" collapsed="false">
      <c r="A150" s="329" t="n">
        <v>36800</v>
      </c>
      <c r="B150" s="153" t="s">
        <v>304</v>
      </c>
      <c r="C150" s="153"/>
      <c r="D150" s="324"/>
      <c r="E150" s="325" t="n">
        <v>-412286</v>
      </c>
      <c r="F150" s="325"/>
      <c r="G150" s="326"/>
      <c r="H150" s="153"/>
      <c r="I150" s="59"/>
      <c r="J150" s="59"/>
      <c r="K150" s="324"/>
      <c r="L150" s="325"/>
      <c r="M150" s="59"/>
      <c r="N150" s="59"/>
      <c r="O150" s="59"/>
      <c r="P150" s="59"/>
    </row>
    <row r="151" customFormat="false" ht="12.75" hidden="false" customHeight="true" outlineLevel="0" collapsed="false">
      <c r="A151" s="329"/>
      <c r="B151" s="153"/>
      <c r="C151" s="153"/>
      <c r="D151" s="324"/>
      <c r="E151" s="325"/>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25"/>
      <c r="M157" s="59"/>
      <c r="N157" s="59"/>
      <c r="O157" s="59"/>
      <c r="P157" s="59"/>
    </row>
    <row r="158" customFormat="false" ht="12.75" hidden="false" customHeight="true" outlineLevel="0" collapsed="false">
      <c r="A158" s="329"/>
      <c r="B158" s="153"/>
      <c r="C158" s="153"/>
      <c r="D158" s="324"/>
      <c r="E158" s="334"/>
      <c r="G158" s="326"/>
      <c r="H158" s="153"/>
      <c r="I158" s="59"/>
      <c r="J158" s="59"/>
      <c r="K158" s="324"/>
      <c r="L158" s="334"/>
      <c r="M158" s="59"/>
      <c r="N158" s="59"/>
      <c r="O158" s="59"/>
      <c r="P158" s="59"/>
    </row>
    <row r="159" customFormat="false" ht="12.75" hidden="false" customHeight="true" outlineLevel="0" collapsed="false">
      <c r="A159" s="335"/>
      <c r="B159" s="153"/>
      <c r="C159" s="153"/>
      <c r="D159" s="336" t="s">
        <v>306</v>
      </c>
      <c r="E159" s="338" t="n">
        <f aca="false">SUM(E126:E158)</f>
        <v>-53104210</v>
      </c>
      <c r="G159" s="335"/>
      <c r="H159" s="153"/>
      <c r="I159" s="59"/>
      <c r="J159" s="59"/>
      <c r="K159" s="336" t="s">
        <v>305</v>
      </c>
      <c r="L159" s="338" t="n">
        <f aca="false">SUM(L126:L158)</f>
        <v>0</v>
      </c>
      <c r="M159" s="59"/>
      <c r="N159" s="59"/>
      <c r="O159" s="59"/>
      <c r="P159" s="59"/>
    </row>
    <row r="160" customFormat="false" ht="12.75" hidden="false" customHeight="true" outlineLevel="0" collapsed="false">
      <c r="A160" s="339"/>
      <c r="B160" s="340"/>
      <c r="C160" s="340"/>
      <c r="D160" s="340"/>
      <c r="E160" s="341"/>
      <c r="G160" s="339"/>
      <c r="H160" s="340"/>
      <c r="I160" s="340"/>
      <c r="J160" s="340"/>
      <c r="K160" s="340"/>
      <c r="L160" s="341"/>
      <c r="M160" s="59"/>
      <c r="N160" s="59"/>
      <c r="O160" s="59"/>
      <c r="P160" s="59"/>
    </row>
    <row r="161" customFormat="false" ht="12.75" hidden="false" customHeight="true" outlineLevel="0" collapsed="false">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t="n">
        <v>34759</v>
      </c>
      <c r="B165" s="153" t="s">
        <v>308</v>
      </c>
      <c r="C165" s="153"/>
      <c r="D165" s="324"/>
      <c r="E165" s="325" t="n">
        <v>187000</v>
      </c>
      <c r="AJ165" s="59"/>
      <c r="AK165" s="59"/>
      <c r="AL165" s="59"/>
      <c r="AM165" s="59"/>
    </row>
    <row r="166" customFormat="false" ht="12.75" hidden="false" customHeight="true" outlineLevel="0" collapsed="false">
      <c r="A166" s="342" t="n">
        <v>34614</v>
      </c>
      <c r="B166" s="153" t="s">
        <v>311</v>
      </c>
      <c r="C166" s="153"/>
      <c r="D166" s="324"/>
      <c r="E166" s="325" t="n">
        <v>1836917</v>
      </c>
      <c r="AJ166" s="59"/>
      <c r="AK166" s="59"/>
      <c r="AL166" s="59"/>
      <c r="AM166" s="59"/>
    </row>
    <row r="167" customFormat="false" ht="12.75" hidden="false" customHeight="true" outlineLevel="0" collapsed="false">
      <c r="A167" s="342" t="n">
        <v>34759</v>
      </c>
      <c r="B167" s="153" t="s">
        <v>498</v>
      </c>
      <c r="C167" s="153"/>
      <c r="D167" s="324"/>
      <c r="E167" s="325" t="n">
        <v>-419408</v>
      </c>
      <c r="AJ167" s="59"/>
      <c r="AK167" s="59"/>
      <c r="AL167" s="59"/>
      <c r="AM167" s="59"/>
    </row>
    <row r="168" customFormat="false" ht="12.75" hidden="false" customHeight="true" outlineLevel="0" collapsed="false">
      <c r="A168" s="342" t="n">
        <v>34835</v>
      </c>
      <c r="B168" s="153" t="s">
        <v>499</v>
      </c>
      <c r="C168" s="153"/>
      <c r="D168" s="324"/>
      <c r="E168" s="330" t="n">
        <v>704656</v>
      </c>
      <c r="AJ168" s="59"/>
      <c r="AK168" s="59"/>
      <c r="AL168" s="59"/>
      <c r="AM168" s="59"/>
    </row>
    <row r="169" customFormat="false" ht="12.75" hidden="false" customHeight="true" outlineLevel="0" collapsed="false">
      <c r="A169" s="342" t="n">
        <v>35185</v>
      </c>
      <c r="B169" s="153" t="s">
        <v>318</v>
      </c>
      <c r="C169" s="153"/>
      <c r="D169" s="324"/>
      <c r="E169" s="325" t="n">
        <f aca="false">2272857/1.3617</f>
        <v>1669131.9673937</v>
      </c>
      <c r="AJ169" s="59"/>
      <c r="AK169" s="59"/>
      <c r="AL169" s="59"/>
      <c r="AM169" s="59"/>
    </row>
    <row r="170" customFormat="false" ht="12.75" hidden="false" customHeight="true" outlineLevel="0" collapsed="false">
      <c r="A170" s="342" t="n">
        <v>35915</v>
      </c>
      <c r="B170" s="153" t="s">
        <v>500</v>
      </c>
      <c r="C170" s="153"/>
      <c r="D170" s="324"/>
      <c r="E170" s="325" t="n">
        <v>1154961</v>
      </c>
      <c r="AJ170" s="59"/>
      <c r="AK170" s="59"/>
      <c r="AL170" s="59"/>
      <c r="AM170" s="59"/>
    </row>
    <row r="171" customFormat="false" ht="12.75" hidden="false" customHeight="true" outlineLevel="0" collapsed="false">
      <c r="A171" s="342" t="n">
        <v>35927</v>
      </c>
      <c r="B171" s="153" t="s">
        <v>501</v>
      </c>
      <c r="C171" s="332"/>
      <c r="D171" s="346"/>
      <c r="E171" s="330" t="n">
        <v>-1154961</v>
      </c>
      <c r="AJ171" s="59"/>
      <c r="AK171" s="59"/>
      <c r="AL171" s="59"/>
      <c r="AM171" s="59"/>
    </row>
    <row r="172" customFormat="false" ht="12.75" hidden="false" customHeight="true" outlineLevel="0" collapsed="false">
      <c r="A172" s="342" t="n">
        <v>36615</v>
      </c>
      <c r="B172" s="327" t="s">
        <v>502</v>
      </c>
      <c r="C172" s="332"/>
      <c r="D172" s="346"/>
      <c r="E172" s="330" t="n">
        <v>-3978297</v>
      </c>
      <c r="AJ172" s="59"/>
      <c r="AK172" s="59"/>
      <c r="AL172" s="59"/>
      <c r="AM172" s="59"/>
    </row>
    <row r="173" customFormat="false" ht="12.75" hidden="false" customHeight="true" outlineLevel="0" collapsed="false">
      <c r="A173" s="342"/>
      <c r="B173" s="327"/>
      <c r="C173" s="153"/>
      <c r="D173" s="324"/>
      <c r="E173" s="325"/>
      <c r="AJ173" s="59"/>
      <c r="AK173" s="59"/>
      <c r="AL173" s="59"/>
      <c r="AM173" s="59"/>
    </row>
    <row r="174" customFormat="false" ht="12.75" hidden="false" customHeight="true" outlineLevel="0" collapsed="false">
      <c r="A174" s="342"/>
      <c r="B174" s="153"/>
      <c r="C174" s="153"/>
      <c r="D174" s="324"/>
      <c r="E174" s="32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25"/>
      <c r="AJ176" s="59"/>
      <c r="AK176" s="59"/>
      <c r="AL176" s="59"/>
      <c r="AM176" s="59"/>
    </row>
    <row r="177" customFormat="false" ht="12.75" hidden="false" customHeight="true" outlineLevel="0" collapsed="false">
      <c r="A177" s="342"/>
      <c r="B177" s="153"/>
      <c r="C177" s="153"/>
      <c r="D177" s="324"/>
      <c r="E177" s="325"/>
      <c r="AJ177" s="59"/>
      <c r="AK177" s="59"/>
      <c r="AL177" s="59"/>
      <c r="AM177" s="59"/>
    </row>
    <row r="178" customFormat="false" ht="12.75" hidden="false" customHeight="true" outlineLevel="0" collapsed="false">
      <c r="A178" s="342"/>
      <c r="B178" s="62"/>
      <c r="C178" s="332"/>
      <c r="D178" s="346"/>
      <c r="E178" s="330"/>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-0.0326063008978963</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AJ188" s="59"/>
      <c r="AK188" s="59"/>
      <c r="AL188" s="59"/>
      <c r="AM188" s="59"/>
    </row>
    <row r="189" customFormat="false" ht="12.75" hidden="false" customHeight="true" outlineLevel="0" collapsed="false">
      <c r="A189" s="352" t="s">
        <v>331</v>
      </c>
      <c r="B189" s="350"/>
      <c r="C189" s="350"/>
      <c r="D189" s="350"/>
      <c r="E189" s="350"/>
      <c r="F189" s="350"/>
      <c r="G189" s="350"/>
      <c r="H189" s="350"/>
      <c r="I189" s="350"/>
      <c r="J189" s="350"/>
      <c r="K189" s="350"/>
      <c r="L189" s="350"/>
      <c r="M189" s="351"/>
      <c r="O189" s="59"/>
      <c r="P189" s="59"/>
      <c r="Q189" s="59"/>
      <c r="R189" s="59"/>
    </row>
    <row r="190" customFormat="false" ht="12.75" hidden="false" customHeight="true" outlineLevel="0" collapsed="false">
      <c r="A190" s="355" t="s">
        <v>332</v>
      </c>
      <c r="B190" s="356" t="s">
        <v>268</v>
      </c>
      <c r="C190" s="357" t="s">
        <v>333</v>
      </c>
      <c r="D190" s="358" t="s">
        <v>334</v>
      </c>
      <c r="E190" s="404" t="s">
        <v>269</v>
      </c>
      <c r="F190" s="404"/>
      <c r="G190" s="404"/>
      <c r="H190" s="404"/>
      <c r="I190" s="404"/>
      <c r="J190" s="404"/>
      <c r="K190" s="404"/>
      <c r="L190" s="404"/>
      <c r="M190" s="354" t="s">
        <v>270</v>
      </c>
      <c r="O190" s="59"/>
      <c r="P190" s="59"/>
      <c r="Q190" s="59"/>
      <c r="R190" s="59"/>
    </row>
    <row r="191" customFormat="false" ht="12.75" hidden="false" customHeight="true" outlineLevel="0" collapsed="false">
      <c r="A191" s="360"/>
      <c r="B191" s="361"/>
      <c r="C191" s="362"/>
      <c r="D191" s="324"/>
      <c r="E191" s="153"/>
      <c r="F191" s="153"/>
      <c r="G191" s="153"/>
      <c r="H191" s="153"/>
      <c r="I191" s="153"/>
      <c r="J191" s="153"/>
      <c r="K191" s="153"/>
      <c r="L191" s="1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c r="O195" s="59"/>
      <c r="P195" s="59"/>
      <c r="Q195" s="59"/>
      <c r="R195" s="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153"/>
      <c r="M213" s="359"/>
    </row>
    <row r="214" customFormat="false" ht="12.75" hidden="false" customHeight="true" outlineLevel="0" collapsed="false">
      <c r="A214" s="363"/>
      <c r="B214" s="361"/>
      <c r="C214" s="367"/>
      <c r="D214" s="324"/>
      <c r="E214" s="153"/>
      <c r="F214" s="153"/>
      <c r="G214" s="153"/>
      <c r="H214" s="153"/>
      <c r="I214" s="153"/>
      <c r="J214" s="153"/>
      <c r="K214" s="153"/>
      <c r="L214" s="336" t="s">
        <v>335</v>
      </c>
      <c r="M214" s="366" t="n">
        <f aca="false">SUM(M191:M213)</f>
        <v>0</v>
      </c>
    </row>
    <row r="215" customFormat="false" ht="12.75" hidden="false" customHeight="true" outlineLevel="0" collapsed="false">
      <c r="A215" s="368"/>
      <c r="B215" s="369"/>
      <c r="C215" s="340"/>
      <c r="D215" s="340"/>
      <c r="E215" s="340"/>
      <c r="F215" s="340"/>
      <c r="G215" s="340"/>
      <c r="H215" s="340"/>
      <c r="I215" s="340"/>
      <c r="J215" s="340"/>
      <c r="K215" s="340"/>
      <c r="L215" s="340"/>
      <c r="M215" s="341"/>
    </row>
    <row r="216" customFormat="false" ht="12.75" hidden="false" customHeight="true" outlineLevel="0" collapsed="false"/>
    <row r="217" customFormat="false" ht="12.75" hidden="false" customHeight="true" outlineLevel="0" collapsed="false"/>
    <row r="218" customFormat="false" ht="12.75" hidden="false" customHeight="true" outlineLevel="0" collapsed="false">
      <c r="A218" s="371" t="s">
        <v>336</v>
      </c>
      <c r="B218" s="372"/>
      <c r="C218" s="372"/>
      <c r="D218" s="372"/>
      <c r="E218" s="372"/>
      <c r="F218" s="373"/>
      <c r="G218" s="370"/>
      <c r="H218" s="370"/>
      <c r="I218" s="370"/>
      <c r="J218" s="370"/>
      <c r="K218" s="370"/>
      <c r="L218" s="370"/>
      <c r="M218" s="370"/>
      <c r="N218" s="370"/>
    </row>
    <row r="219" customFormat="false" ht="12.75" hidden="false" customHeight="true" outlineLevel="0" collapsed="false">
      <c r="A219" s="374" t="s">
        <v>332</v>
      </c>
      <c r="B219" s="375" t="s">
        <v>268</v>
      </c>
      <c r="C219" s="376" t="s">
        <v>333</v>
      </c>
      <c r="D219" s="377" t="s">
        <v>334</v>
      </c>
      <c r="E219" s="377"/>
      <c r="F219" s="378" t="s">
        <v>270</v>
      </c>
      <c r="G219" s="370"/>
      <c r="H219" s="370"/>
      <c r="I219" s="370"/>
      <c r="J219" s="370"/>
      <c r="K219" s="370"/>
      <c r="L219" s="370"/>
      <c r="M219" s="370"/>
      <c r="N219" s="370"/>
    </row>
    <row r="220" customFormat="false" ht="12.75" hidden="false" customHeight="true" outlineLevel="0" collapsed="false">
      <c r="A220" s="380"/>
      <c r="B220" s="361"/>
      <c r="C220" s="381"/>
      <c r="D220" s="153"/>
      <c r="E220" s="382"/>
      <c r="F220" s="383"/>
      <c r="G220" s="379"/>
      <c r="H220" s="379"/>
      <c r="I220" s="379"/>
      <c r="J220" s="379"/>
      <c r="K220" s="379"/>
      <c r="L220" s="379"/>
      <c r="M220" s="379"/>
      <c r="N220" s="379"/>
    </row>
    <row r="221" customFormat="false" ht="12.75" hidden="false" customHeight="true" outlineLevel="0" collapsed="false">
      <c r="A221" s="380"/>
      <c r="B221" s="361"/>
      <c r="C221" s="370"/>
      <c r="D221" s="385"/>
      <c r="E221" s="382"/>
      <c r="F221" s="405"/>
      <c r="G221" s="379"/>
      <c r="H221" s="379"/>
      <c r="I221" s="379"/>
      <c r="J221" s="379"/>
      <c r="K221" s="379"/>
      <c r="L221" s="379"/>
      <c r="M221" s="379"/>
      <c r="N221" s="379"/>
    </row>
    <row r="222" customFormat="false" ht="12.75" hidden="false" customHeight="true" outlineLevel="0" collapsed="false">
      <c r="A222" s="380"/>
      <c r="B222" s="361"/>
      <c r="C222" s="370"/>
      <c r="D222" s="385"/>
      <c r="E222" s="382"/>
      <c r="F222" s="384"/>
      <c r="G222" s="370"/>
      <c r="H222" s="370"/>
      <c r="I222" s="370"/>
      <c r="J222" s="370"/>
      <c r="K222" s="370"/>
      <c r="L222" s="370"/>
      <c r="M222" s="370"/>
      <c r="N222" s="370"/>
    </row>
    <row r="223" customFormat="false" ht="12.75" hidden="false" customHeight="true" outlineLevel="0" collapsed="false">
      <c r="A223" s="380"/>
      <c r="B223" s="361"/>
      <c r="C223" s="370"/>
      <c r="D223" s="385"/>
      <c r="E223" s="382"/>
      <c r="F223" s="384"/>
      <c r="G223" s="370"/>
      <c r="H223" s="370"/>
      <c r="I223" s="370"/>
      <c r="J223" s="370"/>
      <c r="K223" s="370"/>
      <c r="L223" s="370"/>
      <c r="M223" s="370"/>
      <c r="N223" s="370"/>
    </row>
    <row r="224" customFormat="false" ht="12.75" hidden="false" customHeight="true" outlineLevel="0" collapsed="false">
      <c r="A224" s="380"/>
      <c r="B224" s="361"/>
      <c r="C224" s="370"/>
      <c r="D224" s="385"/>
      <c r="E224" s="382"/>
      <c r="F224" s="384"/>
      <c r="G224" s="370"/>
      <c r="H224" s="370"/>
      <c r="I224" s="370"/>
      <c r="J224" s="370"/>
      <c r="K224" s="370"/>
      <c r="L224" s="370"/>
      <c r="M224" s="370"/>
      <c r="N224" s="370"/>
    </row>
    <row r="225" customFormat="false" ht="12.75" hidden="false" customHeight="true" outlineLevel="0" collapsed="false">
      <c r="A225" s="380"/>
      <c r="B225" s="361"/>
      <c r="C225" s="370"/>
      <c r="D225" s="385"/>
      <c r="E225" s="382"/>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4"/>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6" t="n">
        <f aca="false">SUM(F219:F237)</f>
        <v>0</v>
      </c>
      <c r="G238" s="370"/>
      <c r="H238" s="370"/>
      <c r="I238" s="370"/>
      <c r="J238" s="370"/>
      <c r="K238" s="370"/>
      <c r="L238" s="370"/>
      <c r="M238" s="370"/>
      <c r="N238" s="370"/>
    </row>
    <row r="239" customFormat="false" ht="12.75" hidden="false" customHeight="true" outlineLevel="0" collapsed="false">
      <c r="A239" s="388"/>
      <c r="B239" s="389"/>
      <c r="C239" s="390"/>
      <c r="D239" s="390"/>
      <c r="E239" s="391"/>
      <c r="F239" s="387"/>
      <c r="G239" s="370"/>
      <c r="H239" s="370"/>
      <c r="I239" s="370"/>
      <c r="J239" s="370"/>
      <c r="K239" s="370"/>
      <c r="L239" s="370"/>
      <c r="M239" s="370"/>
      <c r="N239" s="370"/>
    </row>
    <row r="240" customFormat="false" ht="12.75" hidden="false" customHeight="true" outlineLevel="0" collapsed="false"/>
  </sheetData>
  <mergeCells count="11">
    <mergeCell ref="S6:T6"/>
    <mergeCell ref="K28:L28"/>
    <mergeCell ref="A41:B41"/>
    <mergeCell ref="AI42:AJ42"/>
    <mergeCell ref="A79:B79"/>
    <mergeCell ref="A121:B121"/>
    <mergeCell ref="B125:D125"/>
    <mergeCell ref="G125:K125"/>
    <mergeCell ref="B164:D164"/>
    <mergeCell ref="E190:L190"/>
    <mergeCell ref="D219:E219"/>
  </mergeCells>
  <printOptions headings="false" gridLines="false" gridLinesSet="true" horizontalCentered="true" verticalCentered="false"/>
  <pageMargins left="0.25" right="0.25" top="0.25" bottom="0.25"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Roman,Italic"&amp;F/&amp;A&amp;R&amp;"Times New Roman,Italic"&amp;D &amp;T</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46"/>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F32" activeCellId="0" sqref="F32"/>
    </sheetView>
  </sheetViews>
  <sheetFormatPr defaultColWidth="9.0546875" defaultRowHeight="12.75" customHeight="true" zeroHeight="false" outlineLevelRow="0" outlineLevelCol="0"/>
  <cols>
    <col collapsed="false" customWidth="true" hidden="false" outlineLevel="0" max="1" min="1" style="0" width="17.99"/>
    <col collapsed="false" customWidth="true" hidden="false" outlineLevel="0" max="2" min="2" style="0" width="4.56"/>
    <col collapsed="false" customWidth="true" hidden="false" outlineLevel="0" max="3" min="3" style="0" width="4.14"/>
    <col collapsed="false" customWidth="true" hidden="false" outlineLevel="0" max="6" min="6" style="0" width="12.42"/>
    <col collapsed="false" customWidth="true" hidden="false" outlineLevel="0" max="7" min="7" style="20" width="15.56"/>
    <col collapsed="false" customWidth="true" hidden="false" outlineLevel="0" max="8" min="8" style="20" width="15.7"/>
    <col collapsed="false" customWidth="true" hidden="false" outlineLevel="0" max="9" min="9" style="0" width="14.7"/>
  </cols>
  <sheetData>
    <row r="1" customFormat="false" ht="23.25" hidden="false" customHeight="false" outlineLevel="0" collapsed="false">
      <c r="A1" s="21" t="s">
        <v>8</v>
      </c>
      <c r="B1" s="21"/>
      <c r="C1" s="22"/>
      <c r="D1" s="22"/>
      <c r="E1" s="22"/>
      <c r="F1" s="22"/>
      <c r="G1" s="23"/>
      <c r="H1" s="23"/>
      <c r="I1" s="22"/>
      <c r="J1" s="22"/>
      <c r="K1" s="22"/>
      <c r="L1" s="22"/>
    </row>
    <row r="3" customFormat="false" ht="12.75" hidden="false" customHeight="false" outlineLevel="0" collapsed="false">
      <c r="A3" s="24" t="n">
        <f aca="false">Report!A4</f>
        <v>36847</v>
      </c>
      <c r="B3" s="25"/>
    </row>
    <row r="5" customFormat="false" ht="20.25" hidden="false" customHeight="false" outlineLevel="0" collapsed="false">
      <c r="B5" s="11" t="s">
        <v>9</v>
      </c>
      <c r="C5" s="11"/>
    </row>
    <row r="7" customFormat="false" ht="15.75" hidden="false" customHeight="false" outlineLevel="0" collapsed="false">
      <c r="B7" s="26" t="s">
        <v>10</v>
      </c>
      <c r="C7" s="26"/>
      <c r="D7" s="27"/>
      <c r="E7" s="27"/>
      <c r="F7" s="27"/>
      <c r="G7" s="28"/>
      <c r="H7" s="28"/>
    </row>
    <row r="9" customFormat="false" ht="12.75" hidden="false" customHeight="false" outlineLevel="0" collapsed="false">
      <c r="C9" s="29" t="s">
        <v>11</v>
      </c>
      <c r="D9" s="29"/>
      <c r="E9" s="29"/>
      <c r="F9" s="29"/>
      <c r="G9" s="30"/>
    </row>
    <row r="10" customFormat="false" ht="16.5" hidden="false" customHeight="true" outlineLevel="0" collapsed="false">
      <c r="D10" s="0" t="s">
        <v>12</v>
      </c>
      <c r="G10" s="31" t="n">
        <v>1155365</v>
      </c>
    </row>
    <row r="11" customFormat="false" ht="16.5" hidden="false" customHeight="true" outlineLevel="0" collapsed="false">
      <c r="D11" s="0" t="s">
        <v>13</v>
      </c>
      <c r="G11" s="31" t="n">
        <v>0</v>
      </c>
    </row>
    <row r="12" customFormat="false" ht="16.5" hidden="false" customHeight="true" outlineLevel="0" collapsed="false">
      <c r="D12" s="0" t="s">
        <v>14</v>
      </c>
      <c r="G12" s="31" t="n">
        <v>0</v>
      </c>
      <c r="H12" s="23" t="n">
        <f aca="false">SUM(G10:G12)</f>
        <v>1155365</v>
      </c>
    </row>
    <row r="13" customFormat="false" ht="12.75" hidden="false" customHeight="false" outlineLevel="0" collapsed="false">
      <c r="C13" s="29" t="s">
        <v>15</v>
      </c>
      <c r="D13" s="29"/>
      <c r="E13" s="29"/>
      <c r="F13" s="29"/>
      <c r="G13" s="30"/>
    </row>
    <row r="14" customFormat="false" ht="17.25" hidden="false" customHeight="true" outlineLevel="0" collapsed="false">
      <c r="D14" s="0" t="s">
        <v>16</v>
      </c>
      <c r="G14" s="31" t="n">
        <v>185455</v>
      </c>
    </row>
    <row r="15" customFormat="false" ht="17.25" hidden="false" customHeight="true" outlineLevel="0" collapsed="false">
      <c r="D15" s="0" t="s">
        <v>13</v>
      </c>
      <c r="G15" s="31" t="n">
        <v>0</v>
      </c>
      <c r="H15" s="20" t="n">
        <f aca="false">SUM(G14:G15)</f>
        <v>185455</v>
      </c>
    </row>
    <row r="16" customFormat="false" ht="17.25" hidden="false" customHeight="true" outlineLevel="0" collapsed="false">
      <c r="G16" s="31"/>
    </row>
    <row r="17" customFormat="false" ht="12.75" hidden="false" customHeight="false" outlineLevel="0" collapsed="false">
      <c r="C17" s="29" t="s">
        <v>17</v>
      </c>
      <c r="D17" s="29"/>
      <c r="E17" s="29"/>
      <c r="F17" s="29"/>
      <c r="G17" s="30"/>
      <c r="H17" s="30" t="n">
        <v>0</v>
      </c>
      <c r="I17" s="32"/>
    </row>
    <row r="18" customFormat="false" ht="12.75" hidden="false" customHeight="false" outlineLevel="0" collapsed="false">
      <c r="C18" s="29" t="s">
        <v>18</v>
      </c>
      <c r="D18" s="29"/>
      <c r="E18" s="29"/>
      <c r="F18" s="29"/>
      <c r="G18" s="30"/>
      <c r="H18" s="20" t="n">
        <v>0</v>
      </c>
      <c r="I18" s="32"/>
    </row>
    <row r="19" customFormat="false" ht="14.25" hidden="false" customHeight="true" outlineLevel="0" collapsed="false">
      <c r="D19" s="0" t="s">
        <v>19</v>
      </c>
      <c r="G19" s="33" t="n">
        <f aca="false">I44-G14-G10</f>
        <v>-51628</v>
      </c>
      <c r="I19" s="32"/>
    </row>
    <row r="20" customFormat="false" ht="14.25" hidden="false" customHeight="true" outlineLevel="0" collapsed="false">
      <c r="D20" s="0" t="s">
        <v>13</v>
      </c>
      <c r="G20" s="33" t="n">
        <f aca="false">I45-G15-G11</f>
        <v>0</v>
      </c>
      <c r="H20" s="20" t="n">
        <v>0</v>
      </c>
      <c r="I20" s="32"/>
    </row>
    <row r="21" customFormat="false" ht="14.25" hidden="false" customHeight="true" outlineLevel="0" collapsed="false">
      <c r="D21" s="0" t="s">
        <v>20</v>
      </c>
      <c r="H21" s="31" t="n">
        <v>0</v>
      </c>
      <c r="I21" s="32"/>
    </row>
    <row r="22" customFormat="false" ht="12.75" hidden="false" customHeight="false" outlineLevel="0" collapsed="false">
      <c r="D22" s="0" t="s">
        <v>20</v>
      </c>
      <c r="H22" s="23" t="n">
        <v>0</v>
      </c>
      <c r="I22" s="32"/>
    </row>
    <row r="23" customFormat="false" ht="12.75" hidden="false" customHeight="false" outlineLevel="0" collapsed="false">
      <c r="H23" s="34" t="n">
        <f aca="false">SUM(H12:H22)+G19+G20</f>
        <v>1289192</v>
      </c>
    </row>
    <row r="24" customFormat="false" ht="12.75" hidden="false" customHeight="false" outlineLevel="0" collapsed="false">
      <c r="H24" s="35" t="n">
        <f aca="false">+H23-Report!M85</f>
        <v>0</v>
      </c>
    </row>
    <row r="25" customFormat="false" ht="15.75" hidden="false" customHeight="false" outlineLevel="0" collapsed="false">
      <c r="B25" s="26" t="s">
        <v>9</v>
      </c>
      <c r="C25" s="26"/>
      <c r="D25" s="27"/>
      <c r="E25" s="27"/>
      <c r="F25" s="27"/>
      <c r="G25" s="28"/>
      <c r="H25" s="28"/>
    </row>
    <row r="27" customFormat="false" ht="12.75" hidden="false" customHeight="false" outlineLevel="0" collapsed="false">
      <c r="D27" s="0" t="s">
        <v>19</v>
      </c>
      <c r="G27" s="20" t="n">
        <v>920404</v>
      </c>
    </row>
    <row r="28" customFormat="false" ht="12.75" hidden="false" customHeight="false" outlineLevel="0" collapsed="false">
      <c r="D28" s="0" t="s">
        <v>13</v>
      </c>
      <c r="G28" s="36" t="n">
        <v>-990</v>
      </c>
      <c r="H28" s="23" t="n">
        <f aca="false">SUM(G27:G28)</f>
        <v>919414</v>
      </c>
    </row>
    <row r="29" customFormat="false" ht="12.75" hidden="false" customHeight="false" outlineLevel="0" collapsed="false">
      <c r="H29" s="20" t="n">
        <v>0</v>
      </c>
    </row>
    <row r="30" customFormat="false" ht="12.75" hidden="false" customHeight="false" outlineLevel="0" collapsed="false">
      <c r="D30" s="16" t="s">
        <v>17</v>
      </c>
      <c r="H30" s="20" t="n">
        <v>0</v>
      </c>
      <c r="I30" s="32"/>
    </row>
    <row r="31" customFormat="false" ht="12.75" hidden="false" customHeight="false" outlineLevel="0" collapsed="false">
      <c r="D31" s="0" t="s">
        <v>21</v>
      </c>
      <c r="H31" s="31" t="n">
        <v>-1175</v>
      </c>
      <c r="I31" s="32"/>
    </row>
    <row r="32" customFormat="false" ht="12.75" hidden="false" customHeight="false" outlineLevel="0" collapsed="false">
      <c r="D32" s="0" t="s">
        <v>20</v>
      </c>
      <c r="H32" s="20" t="n">
        <v>0</v>
      </c>
      <c r="I32" s="32"/>
    </row>
    <row r="33" customFormat="false" ht="12.75" hidden="false" customHeight="false" outlineLevel="0" collapsed="false">
      <c r="D33" s="0" t="s">
        <v>20</v>
      </c>
      <c r="H33" s="31" t="n">
        <v>0</v>
      </c>
    </row>
    <row r="34" customFormat="false" ht="12.75" hidden="false" customHeight="false" outlineLevel="0" collapsed="false">
      <c r="H34" s="31" t="n">
        <v>0</v>
      </c>
    </row>
    <row r="35" customFormat="false" ht="12.75" hidden="false" customHeight="false" outlineLevel="0" collapsed="false">
      <c r="H35" s="34" t="n">
        <f aca="false">SUBTOTAL(9,H27:H34)</f>
        <v>918239</v>
      </c>
    </row>
    <row r="36" customFormat="false" ht="12.75" hidden="false" customHeight="false" outlineLevel="0" collapsed="false">
      <c r="H36" s="37"/>
    </row>
    <row r="37" customFormat="false" ht="16.5" hidden="false" customHeight="false" outlineLevel="0" collapsed="false">
      <c r="B37" s="38" t="s">
        <v>22</v>
      </c>
      <c r="C37" s="39"/>
      <c r="D37" s="39"/>
      <c r="E37" s="39"/>
      <c r="F37" s="39"/>
      <c r="G37" s="40"/>
      <c r="H37" s="41" t="n">
        <f aca="false">H35+H23</f>
        <v>2207431</v>
      </c>
      <c r="I37" s="16"/>
    </row>
    <row r="38" customFormat="false" ht="13.5" hidden="false" customHeight="false" outlineLevel="0" collapsed="false"/>
    <row r="39" customFormat="false" ht="12.75" hidden="false" customHeight="false" outlineLevel="0" collapsed="false">
      <c r="G39" s="42" t="s">
        <v>23</v>
      </c>
      <c r="H39" s="43" t="n">
        <f aca="false">+Report!G85+Report!M85-NewDeals!H37</f>
        <v>0</v>
      </c>
    </row>
    <row r="43" customFormat="false" ht="12.75" hidden="false" customHeight="false" outlineLevel="0" collapsed="false">
      <c r="E43" s="44"/>
      <c r="F43" s="45"/>
      <c r="G43" s="46"/>
      <c r="H43" s="47"/>
      <c r="I43" s="48" t="s">
        <v>24</v>
      </c>
    </row>
    <row r="44" customFormat="false" ht="12.75" hidden="false" customHeight="false" outlineLevel="0" collapsed="false">
      <c r="E44" s="49"/>
      <c r="F44" s="50"/>
      <c r="G44" s="51" t="s">
        <v>25</v>
      </c>
      <c r="H44" s="40"/>
      <c r="I44" s="52" t="n">
        <v>1289192</v>
      </c>
    </row>
    <row r="45" customFormat="false" ht="12.75" hidden="false" customHeight="false" outlineLevel="0" collapsed="false">
      <c r="E45" s="49"/>
      <c r="F45" s="50"/>
      <c r="G45" s="53" t="s">
        <v>13</v>
      </c>
      <c r="H45" s="40"/>
      <c r="I45" s="52" t="n">
        <v>0</v>
      </c>
    </row>
    <row r="46" customFormat="false" ht="12.75" hidden="false" customHeight="false" outlineLevel="0" collapsed="false">
      <c r="E46" s="54"/>
      <c r="F46" s="55"/>
      <c r="G46" s="56" t="s">
        <v>26</v>
      </c>
      <c r="H46" s="57"/>
      <c r="I46" s="58"/>
    </row>
  </sheetData>
  <printOptions headings="false" gridLines="false" gridLinesSet="true" horizontalCentered="false" verticalCentered="false"/>
  <pageMargins left="0.747916666666667" right="0.747916666666667" top="0.670138888888889"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21"/>
  <sheetViews>
    <sheetView showFormulas="false" showGridLines="false" showRowColHeaders="true" showZeros="true" rightToLeft="false" tabSelected="false" showOutlineSymbols="true" defaultGridColor="true" view="normal" topLeftCell="A61" colorId="64" zoomScale="75" zoomScaleNormal="75" zoomScalePageLayoutView="100" workbookViewId="0">
      <selection pane="topLeft" activeCell="O97" activeCellId="0" sqref="O97"/>
    </sheetView>
  </sheetViews>
  <sheetFormatPr defaultColWidth="8.41796875" defaultRowHeight="12.75" customHeight="true" zeroHeight="false" outlineLevelRow="0" outlineLevelCol="0"/>
  <cols>
    <col collapsed="false" customWidth="true" hidden="false" outlineLevel="0" max="1" min="1" style="714" width="8.85"/>
    <col collapsed="false" customWidth="true" hidden="false" outlineLevel="0" max="2" min="2" style="714" width="1.7"/>
    <col collapsed="false" customWidth="true" hidden="false" outlineLevel="0" max="3" min="3" style="715" width="10.71"/>
    <col collapsed="false" customWidth="true" hidden="false" outlineLevel="0" max="4" min="4" style="714" width="1.56"/>
    <col collapsed="false" customWidth="true" hidden="false" outlineLevel="0" max="5" min="5" style="714" width="18.99"/>
    <col collapsed="false" customWidth="true" hidden="false" outlineLevel="0" max="6" min="6" style="714" width="3.28"/>
    <col collapsed="false" customWidth="true" hidden="false" outlineLevel="0" max="7" min="7" style="714" width="29.41"/>
    <col collapsed="false" customWidth="true" hidden="false" outlineLevel="0" max="8" min="8" style="714" width="2.99"/>
    <col collapsed="false" customWidth="true" hidden="false" outlineLevel="0" max="9" min="9" style="714" width="34.13"/>
    <col collapsed="false" customWidth="true" hidden="true" outlineLevel="0" max="10" min="10" style="714" width="3.28"/>
    <col collapsed="false" customWidth="true" hidden="true" outlineLevel="0" max="11" min="11" style="716" width="6.85"/>
    <col collapsed="false" customWidth="true" hidden="true" outlineLevel="0" max="12" min="12" style="716" width="1.56"/>
    <col collapsed="false" customWidth="true" hidden="true" outlineLevel="0" max="13" min="13" style="716" width="9.85"/>
    <col collapsed="false" customWidth="true" hidden="true" outlineLevel="0" max="14" min="14" style="714" width="3.28"/>
    <col collapsed="false" customWidth="true" hidden="false" outlineLevel="0" max="15" min="15" style="717" width="18.85"/>
    <col collapsed="false" customWidth="true" hidden="false" outlineLevel="0" max="16" min="16" style="714" width="3.28"/>
    <col collapsed="false" customWidth="true" hidden="false" outlineLevel="0" max="17" min="17" style="714" width="18.14"/>
    <col collapsed="false" customWidth="true" hidden="false" outlineLevel="0" max="18" min="18" style="718" width="14.28"/>
    <col collapsed="false" customWidth="true" hidden="false" outlineLevel="0" max="19" min="19" style="60" width="10.99"/>
    <col collapsed="false" customWidth="true" hidden="false" outlineLevel="0" max="20" min="20" style="714" width="4.14"/>
    <col collapsed="false" customWidth="true" hidden="false" outlineLevel="0" max="21" min="21" style="714" width="2.42"/>
    <col collapsed="false" customWidth="false" hidden="false" outlineLevel="0" max="22" min="22" style="714" width="8.41"/>
    <col collapsed="false" customWidth="true" hidden="false" outlineLevel="0" max="23" min="23" style="714" width="2.42"/>
    <col collapsed="false" customWidth="true" hidden="false" outlineLevel="0" max="24" min="24" style="714" width="4.99"/>
    <col collapsed="false" customWidth="true" hidden="false" outlineLevel="0" max="25" min="25" style="714" width="2.42"/>
    <col collapsed="false" customWidth="true" hidden="false" outlineLevel="0" max="26" min="26" style="714" width="6.7"/>
    <col collapsed="false" customWidth="true" hidden="false" outlineLevel="0" max="27" min="27" style="714" width="2.42"/>
    <col collapsed="false" customWidth="true" hidden="false" outlineLevel="0" max="28" min="28" style="714" width="6.7"/>
    <col collapsed="false" customWidth="true" hidden="false" outlineLevel="0" max="29" min="29" style="714" width="2.42"/>
    <col collapsed="false" customWidth="true" hidden="false" outlineLevel="0" max="30" min="30" style="714" width="17.85"/>
    <col collapsed="false" customWidth="true" hidden="false" outlineLevel="0" max="31" min="31" style="714" width="3.28"/>
    <col collapsed="false" customWidth="true" hidden="false" outlineLevel="0" max="32" min="32" style="714" width="13.56"/>
    <col collapsed="false" customWidth="true" hidden="false" outlineLevel="0" max="33" min="33" style="714" width="3.28"/>
    <col collapsed="false" customWidth="true" hidden="false" outlineLevel="0" max="34" min="34" style="714" width="10.99"/>
    <col collapsed="false" customWidth="true" hidden="false" outlineLevel="0" max="35" min="35" style="714" width="2.42"/>
    <col collapsed="false" customWidth="true" hidden="false" outlineLevel="0" max="36" min="36" style="714" width="4.99"/>
    <col collapsed="false" customWidth="true" hidden="false" outlineLevel="0" max="37" min="37" style="714" width="1.56"/>
    <col collapsed="false" customWidth="true" hidden="false" outlineLevel="0" max="38" min="38" style="714" width="5.85"/>
    <col collapsed="false" customWidth="true" hidden="false" outlineLevel="0" max="39" min="39" style="714" width="3.28"/>
    <col collapsed="false" customWidth="true" hidden="false" outlineLevel="0" max="40" min="40" style="714" width="9.28"/>
    <col collapsed="false" customWidth="true" hidden="false" outlineLevel="0" max="41" min="41" style="714" width="2.42"/>
    <col collapsed="false" customWidth="true" hidden="false" outlineLevel="0" max="42" min="42" style="714" width="15.7"/>
    <col collapsed="false" customWidth="false" hidden="false" outlineLevel="0" max="257" min="43" style="714" width="8.41"/>
  </cols>
  <sheetData>
    <row r="1" customFormat="false" ht="12.75" hidden="false" customHeight="true" outlineLevel="0" collapsed="false">
      <c r="A1" s="0"/>
      <c r="B1" s="719"/>
      <c r="C1" s="0"/>
      <c r="D1" s="720"/>
      <c r="E1" s="0"/>
      <c r="F1" s="0"/>
      <c r="G1" s="721" t="s">
        <v>503</v>
      </c>
      <c r="H1" s="722"/>
      <c r="I1" s="720"/>
      <c r="J1" s="720"/>
      <c r="K1" s="723"/>
      <c r="L1" s="723"/>
      <c r="M1" s="723"/>
      <c r="N1" s="719"/>
      <c r="O1" s="724"/>
      <c r="S1" s="124"/>
      <c r="AE1" s="722" t="s">
        <v>504</v>
      </c>
      <c r="AG1" s="725"/>
    </row>
    <row r="2" customFormat="false" ht="12.75" hidden="false" customHeight="true" outlineLevel="0" collapsed="false">
      <c r="A2" s="0"/>
      <c r="B2" s="719"/>
      <c r="C2" s="0"/>
      <c r="D2" s="720"/>
      <c r="E2" s="0"/>
      <c r="F2" s="0"/>
      <c r="G2" s="722" t="str">
        <f aca="false">PriceAlberta!B3</f>
        <v>Canadian Gas (C4) - AB &amp; BC</v>
      </c>
      <c r="H2" s="722"/>
      <c r="I2" s="720"/>
      <c r="J2" s="720"/>
      <c r="K2" s="723"/>
      <c r="L2" s="723"/>
      <c r="M2" s="723"/>
      <c r="N2" s="719"/>
      <c r="O2" s="724"/>
    </row>
    <row r="3" customFormat="false" ht="12.75" hidden="false" customHeight="true" outlineLevel="0" collapsed="false">
      <c r="A3" s="0"/>
      <c r="B3" s="719"/>
      <c r="C3" s="0" t="s">
        <v>55</v>
      </c>
      <c r="D3" s="720"/>
      <c r="E3" s="0"/>
      <c r="F3" s="0"/>
      <c r="G3" s="726" t="n">
        <f aca="false">PriceAlberta!B5</f>
        <v>36847</v>
      </c>
      <c r="H3" s="722"/>
      <c r="I3" s="720"/>
      <c r="J3" s="720"/>
      <c r="K3" s="723"/>
      <c r="L3" s="723"/>
      <c r="M3" s="723"/>
      <c r="N3" s="719"/>
      <c r="O3" s="724"/>
    </row>
    <row r="4" customFormat="false" ht="12.75" hidden="false" customHeight="true" outlineLevel="0" collapsed="false">
      <c r="F4" s="725"/>
      <c r="G4" s="722"/>
      <c r="H4" s="725"/>
    </row>
    <row r="5" customFormat="false" ht="12.75" hidden="false" customHeight="true" outlineLevel="0" collapsed="false">
      <c r="C5" s="727"/>
      <c r="L5" s="728" t="s">
        <v>505</v>
      </c>
      <c r="O5" s="720" t="s">
        <v>506</v>
      </c>
      <c r="Q5" s="720" t="s">
        <v>507</v>
      </c>
    </row>
    <row r="6" customFormat="false" ht="12.75" hidden="false" customHeight="true" outlineLevel="0" collapsed="false">
      <c r="A6" s="59"/>
      <c r="B6" s="59"/>
      <c r="C6" s="729"/>
      <c r="D6" s="59"/>
      <c r="E6" s="59"/>
      <c r="F6" s="59"/>
      <c r="G6" s="59"/>
      <c r="H6" s="59"/>
      <c r="I6" s="59"/>
      <c r="K6" s="730"/>
      <c r="L6" s="728" t="s">
        <v>508</v>
      </c>
      <c r="M6" s="730"/>
      <c r="O6" s="731" t="s">
        <v>509</v>
      </c>
      <c r="P6" s="0"/>
      <c r="Q6" s="731" t="s">
        <v>509</v>
      </c>
      <c r="R6" s="655" t="s">
        <v>510</v>
      </c>
      <c r="V6" s="124" t="s">
        <v>511</v>
      </c>
    </row>
    <row r="7" customFormat="false" ht="12.75" hidden="false" customHeight="true" outlineLevel="0" collapsed="false">
      <c r="A7" s="732" t="s">
        <v>512</v>
      </c>
      <c r="B7" s="732"/>
      <c r="C7" s="732" t="s">
        <v>268</v>
      </c>
      <c r="D7" s="732"/>
      <c r="E7" s="732" t="s">
        <v>513</v>
      </c>
      <c r="G7" s="732" t="s">
        <v>514</v>
      </c>
      <c r="I7" s="732" t="s">
        <v>515</v>
      </c>
      <c r="K7" s="733" t="s">
        <v>516</v>
      </c>
      <c r="M7" s="733" t="s">
        <v>517</v>
      </c>
      <c r="O7" s="734" t="s">
        <v>518</v>
      </c>
      <c r="P7" s="0"/>
      <c r="Q7" s="734" t="s">
        <v>518</v>
      </c>
      <c r="R7" s="734" t="s">
        <v>519</v>
      </c>
      <c r="S7" s="734" t="s">
        <v>520</v>
      </c>
      <c r="V7" s="735" t="s">
        <v>521</v>
      </c>
    </row>
    <row r="8" customFormat="false" ht="12.75" hidden="false" customHeight="true" outlineLevel="0" collapsed="false">
      <c r="P8" s="0"/>
      <c r="Q8" s="717"/>
      <c r="R8" s="0"/>
      <c r="S8" s="736"/>
      <c r="V8" s="124" t="s">
        <v>522</v>
      </c>
      <c r="AP8" s="714" t="s">
        <v>523</v>
      </c>
    </row>
    <row r="9" customFormat="false" ht="12.75" hidden="false" customHeight="true" outlineLevel="0" collapsed="false">
      <c r="A9" s="714" t="s">
        <v>524</v>
      </c>
      <c r="C9" s="737" t="n">
        <v>36832</v>
      </c>
      <c r="G9" s="725" t="s">
        <v>525</v>
      </c>
      <c r="H9" s="59"/>
      <c r="I9" s="738" t="s">
        <v>526</v>
      </c>
      <c r="O9" s="736" t="n">
        <f aca="false">3172/1000</f>
        <v>3.172</v>
      </c>
      <c r="P9" s="739"/>
      <c r="Q9" s="740" t="n">
        <f aca="false">O9*R9</f>
        <v>4.856332</v>
      </c>
      <c r="R9" s="741" t="n">
        <f aca="false">VLOOKUP(C9,SpotRates!$A$4:$D$34,4,FALSE())</f>
        <v>1.531</v>
      </c>
      <c r="S9" s="736" t="n">
        <f aca="false">+(SpotRates!$D$36-'Orig Sched'!R9)*'Orig Sched'!O9</f>
        <v>0.0872300000000003</v>
      </c>
      <c r="T9" s="0"/>
      <c r="U9" s="0"/>
      <c r="V9" s="647" t="s">
        <v>527</v>
      </c>
      <c r="AP9" s="742" t="s">
        <v>528</v>
      </c>
    </row>
    <row r="10" customFormat="false" ht="12.75" hidden="false" customHeight="true" outlineLevel="0" collapsed="false">
      <c r="C10" s="737"/>
      <c r="F10" s="59"/>
      <c r="G10" s="714" t="s">
        <v>529</v>
      </c>
      <c r="H10" s="59"/>
      <c r="I10" s="738"/>
      <c r="J10" s="59"/>
      <c r="K10" s="98"/>
      <c r="L10" s="98"/>
      <c r="M10" s="60"/>
      <c r="N10" s="59"/>
      <c r="O10" s="736" t="n">
        <v>0</v>
      </c>
      <c r="P10" s="743"/>
      <c r="Q10" s="736" t="n">
        <f aca="false">+O10*SpotRates!$D$36</f>
        <v>0</v>
      </c>
      <c r="R10" s="741"/>
      <c r="S10" s="736"/>
      <c r="T10" s="0"/>
      <c r="U10" s="0"/>
      <c r="V10" s="647" t="s">
        <v>530</v>
      </c>
      <c r="AP10" s="744" t="s">
        <v>531</v>
      </c>
    </row>
    <row r="11" customFormat="false" ht="12.75" hidden="false" customHeight="true" outlineLevel="0" collapsed="false">
      <c r="I11" s="745"/>
      <c r="O11" s="736"/>
      <c r="P11" s="739"/>
      <c r="Q11" s="736"/>
      <c r="R11" s="0"/>
      <c r="S11" s="0"/>
      <c r="T11" s="0"/>
      <c r="U11" s="0"/>
      <c r="V11" s="0"/>
      <c r="AP11" s="744" t="s">
        <v>532</v>
      </c>
    </row>
    <row r="12" customFormat="false" ht="12.75" hidden="false" customHeight="true" outlineLevel="0" collapsed="false">
      <c r="A12" s="714" t="s">
        <v>533</v>
      </c>
      <c r="C12" s="737" t="n">
        <v>36832</v>
      </c>
      <c r="G12" s="725" t="s">
        <v>525</v>
      </c>
      <c r="H12" s="59"/>
      <c r="I12" s="738" t="s">
        <v>526</v>
      </c>
      <c r="O12" s="739" t="n">
        <f aca="false">10294.59/1000/R12</f>
        <v>6.72409536250817</v>
      </c>
      <c r="P12" s="739"/>
      <c r="Q12" s="740" t="n">
        <f aca="false">O12*R12</f>
        <v>10.29459</v>
      </c>
      <c r="R12" s="741" t="n">
        <f aca="false">VLOOKUP(C12,SpotRates!$A$4:$D$34,4,FALSE())</f>
        <v>1.531</v>
      </c>
      <c r="S12" s="736" t="n">
        <f aca="false">+(SpotRates!$D$36-'Orig Sched'!R12)*'Orig Sched'!O12</f>
        <v>0.184912622468975</v>
      </c>
      <c r="AP12" s="744" t="s">
        <v>534</v>
      </c>
    </row>
    <row r="13" customFormat="false" ht="12.75" hidden="false" customHeight="true" outlineLevel="0" collapsed="false">
      <c r="C13" s="737"/>
      <c r="F13" s="59"/>
      <c r="G13" s="714" t="s">
        <v>529</v>
      </c>
      <c r="H13" s="59"/>
      <c r="I13" s="738"/>
      <c r="J13" s="59"/>
      <c r="K13" s="98"/>
      <c r="L13" s="98"/>
      <c r="M13" s="60"/>
      <c r="N13" s="59"/>
      <c r="O13" s="736" t="n">
        <v>0</v>
      </c>
      <c r="P13" s="743"/>
      <c r="Q13" s="736" t="n">
        <f aca="false">+O13*SpotRates!$D$36</f>
        <v>0</v>
      </c>
      <c r="R13" s="59"/>
      <c r="S13" s="736"/>
      <c r="AP13" s="744" t="s">
        <v>535</v>
      </c>
    </row>
    <row r="14" customFormat="false" ht="12.75" hidden="false" customHeight="true" outlineLevel="0" collapsed="false">
      <c r="F14" s="59"/>
      <c r="H14" s="59"/>
      <c r="I14" s="59"/>
      <c r="J14" s="59"/>
      <c r="K14" s="98"/>
      <c r="L14" s="98"/>
      <c r="M14" s="60"/>
      <c r="N14" s="59"/>
      <c r="O14" s="736"/>
      <c r="P14" s="743"/>
      <c r="Q14" s="736"/>
      <c r="R14" s="59"/>
      <c r="S14" s="0"/>
      <c r="AP14" s="744" t="s">
        <v>536</v>
      </c>
    </row>
    <row r="15" customFormat="false" ht="12.75" hidden="false" customHeight="true" outlineLevel="0" collapsed="false">
      <c r="A15" s="714" t="s">
        <v>537</v>
      </c>
      <c r="C15" s="737" t="n">
        <v>36833</v>
      </c>
      <c r="G15" s="725" t="s">
        <v>525</v>
      </c>
      <c r="H15" s="59"/>
      <c r="I15" s="738" t="s">
        <v>535</v>
      </c>
      <c r="O15" s="739" t="n">
        <f aca="false">40963.23/1000</f>
        <v>40.96323</v>
      </c>
      <c r="P15" s="739"/>
      <c r="Q15" s="740" t="n">
        <f aca="false">O15*R15</f>
        <v>62.75566836</v>
      </c>
      <c r="R15" s="741" t="n">
        <f aca="false">VLOOKUP(C15,SpotRates!$A$4:$D$34,4,FALSE())</f>
        <v>1.532</v>
      </c>
      <c r="S15" s="736" t="n">
        <f aca="false">+(SpotRates!$D$36-'Orig Sched'!R15)*'Orig Sched'!O15</f>
        <v>1.085525595</v>
      </c>
      <c r="AP15" s="744" t="s">
        <v>526</v>
      </c>
    </row>
    <row r="16" customFormat="false" ht="12.75" hidden="false" customHeight="true" outlineLevel="0" collapsed="false">
      <c r="C16" s="737"/>
      <c r="F16" s="59"/>
      <c r="G16" s="714" t="s">
        <v>529</v>
      </c>
      <c r="H16" s="59"/>
      <c r="I16" s="738"/>
      <c r="J16" s="59"/>
      <c r="K16" s="98"/>
      <c r="L16" s="98"/>
      <c r="M16" s="60"/>
      <c r="N16" s="59"/>
      <c r="O16" s="736" t="n">
        <v>0</v>
      </c>
      <c r="P16" s="743"/>
      <c r="Q16" s="736" t="n">
        <f aca="false">+O16*SpotRates!$D$36</f>
        <v>0</v>
      </c>
      <c r="R16" s="59"/>
      <c r="S16" s="736"/>
      <c r="AP16" s="744" t="s">
        <v>538</v>
      </c>
    </row>
    <row r="17" customFormat="false" ht="12.75" hidden="false" customHeight="true" outlineLevel="0" collapsed="false">
      <c r="F17" s="59"/>
      <c r="H17" s="59"/>
      <c r="I17" s="59"/>
      <c r="J17" s="59"/>
      <c r="K17" s="98"/>
      <c r="L17" s="98"/>
      <c r="M17" s="60"/>
      <c r="N17" s="59"/>
      <c r="O17" s="736"/>
      <c r="P17" s="743"/>
      <c r="Q17" s="736"/>
      <c r="R17" s="59"/>
      <c r="S17" s="0"/>
      <c r="AP17" s="744" t="s">
        <v>539</v>
      </c>
    </row>
    <row r="18" customFormat="false" ht="12.75" hidden="false" customHeight="true" outlineLevel="0" collapsed="false">
      <c r="A18" s="714" t="s">
        <v>540</v>
      </c>
      <c r="C18" s="737" t="n">
        <v>36833</v>
      </c>
      <c r="G18" s="725" t="s">
        <v>525</v>
      </c>
      <c r="H18" s="59"/>
      <c r="I18" s="738" t="s">
        <v>535</v>
      </c>
      <c r="O18" s="739" t="n">
        <f aca="false">7709.02/1000</f>
        <v>7.70902</v>
      </c>
      <c r="P18" s="739"/>
      <c r="Q18" s="740" t="n">
        <f aca="false">O18*R18</f>
        <v>11.81021864</v>
      </c>
      <c r="R18" s="741" t="n">
        <f aca="false">VLOOKUP(C18,SpotRates!$A$4:$D$34,4,FALSE())</f>
        <v>1.532</v>
      </c>
      <c r="S18" s="736" t="n">
        <f aca="false">+(SpotRates!$D$36-'Orig Sched'!R18)*'Orig Sched'!O18</f>
        <v>0.20428903</v>
      </c>
      <c r="AP18" s="744" t="s">
        <v>541</v>
      </c>
    </row>
    <row r="19" customFormat="false" ht="12.75" hidden="false" customHeight="true" outlineLevel="0" collapsed="false">
      <c r="C19" s="737"/>
      <c r="F19" s="59"/>
      <c r="G19" s="714" t="s">
        <v>529</v>
      </c>
      <c r="H19" s="59"/>
      <c r="I19" s="738"/>
      <c r="J19" s="59"/>
      <c r="K19" s="98"/>
      <c r="L19" s="98"/>
      <c r="M19" s="60"/>
      <c r="N19" s="59"/>
      <c r="O19" s="736" t="n">
        <v>0</v>
      </c>
      <c r="P19" s="743"/>
      <c r="Q19" s="736" t="n">
        <f aca="false">+O19*SpotRates!$D$36</f>
        <v>0</v>
      </c>
      <c r="R19" s="59"/>
      <c r="S19" s="736"/>
      <c r="AP19" s="744"/>
    </row>
    <row r="20" customFormat="false" ht="12.75" hidden="false" customHeight="true" outlineLevel="0" collapsed="false">
      <c r="F20" s="59"/>
      <c r="H20" s="59"/>
      <c r="I20" s="738"/>
      <c r="J20" s="59"/>
      <c r="K20" s="98"/>
      <c r="L20" s="98"/>
      <c r="M20" s="60"/>
      <c r="N20" s="59"/>
      <c r="O20" s="736"/>
      <c r="P20" s="743"/>
      <c r="Q20" s="736"/>
      <c r="R20" s="59"/>
      <c r="S20" s="0"/>
      <c r="AP20" s="744"/>
    </row>
    <row r="21" customFormat="false" ht="12.75" hidden="false" customHeight="true" outlineLevel="0" collapsed="false">
      <c r="A21" s="714" t="s">
        <v>542</v>
      </c>
      <c r="C21" s="737" t="n">
        <v>36836</v>
      </c>
      <c r="G21" s="725" t="s">
        <v>525</v>
      </c>
      <c r="H21" s="59"/>
      <c r="I21" s="738" t="s">
        <v>535</v>
      </c>
      <c r="O21" s="739" t="n">
        <f aca="false">9131/R21/1000</f>
        <v>5.96797385620915</v>
      </c>
      <c r="P21" s="739"/>
      <c r="Q21" s="740" t="n">
        <f aca="false">O21*R21</f>
        <v>9.131</v>
      </c>
      <c r="R21" s="741" t="n">
        <f aca="false">VLOOKUP(C21,SpotRates!$A$4:$D$34,4,FALSE())</f>
        <v>1.53</v>
      </c>
      <c r="S21" s="736" t="n">
        <f aca="false">+(SpotRates!$D$36-'Orig Sched'!R21)*'Orig Sched'!O21</f>
        <v>0.170087254901961</v>
      </c>
      <c r="AP21" s="744"/>
    </row>
    <row r="22" customFormat="false" ht="12.75" hidden="false" customHeight="true" outlineLevel="0" collapsed="false">
      <c r="C22" s="737"/>
      <c r="F22" s="59"/>
      <c r="G22" s="714" t="s">
        <v>529</v>
      </c>
      <c r="H22" s="59"/>
      <c r="I22" s="738"/>
      <c r="J22" s="59"/>
      <c r="K22" s="98"/>
      <c r="L22" s="98"/>
      <c r="M22" s="60"/>
      <c r="N22" s="59"/>
      <c r="O22" s="736" t="n">
        <v>0</v>
      </c>
      <c r="P22" s="743"/>
      <c r="Q22" s="736" t="n">
        <f aca="false">+O22*SpotRates!$D$36</f>
        <v>0</v>
      </c>
      <c r="R22" s="59"/>
      <c r="S22" s="736"/>
      <c r="AP22" s="744"/>
    </row>
    <row r="23" customFormat="false" ht="12.75" hidden="false" customHeight="true" outlineLevel="0" collapsed="false">
      <c r="F23" s="0"/>
      <c r="H23" s="0"/>
      <c r="I23" s="0"/>
      <c r="J23" s="0"/>
      <c r="K23" s="0"/>
      <c r="L23" s="0"/>
      <c r="M23" s="0"/>
      <c r="N23" s="0"/>
      <c r="O23" s="736"/>
      <c r="P23" s="739"/>
      <c r="Q23" s="736"/>
      <c r="R23" s="0"/>
      <c r="S23" s="0"/>
      <c r="T23" s="0"/>
      <c r="U23" s="0"/>
      <c r="V23" s="0"/>
      <c r="W23" s="0"/>
      <c r="X23" s="0"/>
      <c r="Y23" s="0"/>
      <c r="Z23" s="0"/>
      <c r="AA23" s="0"/>
      <c r="AB23" s="0"/>
      <c r="AC23" s="0"/>
      <c r="AD23" s="0"/>
      <c r="AE23" s="0"/>
      <c r="AF23" s="0"/>
      <c r="AG23" s="0"/>
      <c r="AH23" s="0"/>
      <c r="AI23" s="0"/>
      <c r="AJ23" s="0"/>
      <c r="AK23" s="0"/>
      <c r="AL23" s="0"/>
      <c r="AM23" s="0"/>
      <c r="AN23" s="0"/>
      <c r="AO23" s="0"/>
      <c r="AP23" s="746"/>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row>
    <row r="24" customFormat="false" ht="12.75" hidden="false" customHeight="true" outlineLevel="0" collapsed="false">
      <c r="A24" s="714" t="s">
        <v>543</v>
      </c>
      <c r="C24" s="737" t="n">
        <v>36837</v>
      </c>
      <c r="E24" s="714" t="s">
        <v>544</v>
      </c>
      <c r="G24" s="725" t="s">
        <v>525</v>
      </c>
      <c r="H24" s="59"/>
      <c r="I24" s="738" t="s">
        <v>535</v>
      </c>
      <c r="O24" s="739" t="n">
        <v>29.858</v>
      </c>
      <c r="P24" s="739"/>
      <c r="Q24" s="740" t="n">
        <f aca="false">O24*R24</f>
        <v>45.7782856</v>
      </c>
      <c r="R24" s="741" t="n">
        <f aca="false">VLOOKUP(C24,SpotRates!$A$4:$D$34,4,FALSE())</f>
        <v>1.5332</v>
      </c>
      <c r="S24" s="736" t="n">
        <f aca="false">+(SpotRates!$D$36-'Orig Sched'!R24)*'Orig Sched'!O24</f>
        <v>0.755407400000003</v>
      </c>
      <c r="T24" s="0"/>
      <c r="U24" s="0"/>
      <c r="V24" s="0"/>
      <c r="AP24" s="744"/>
    </row>
    <row r="25" customFormat="false" ht="12.75" hidden="false" customHeight="true" outlineLevel="0" collapsed="false">
      <c r="C25" s="737"/>
      <c r="E25" s="747"/>
      <c r="F25" s="59"/>
      <c r="G25" s="714" t="s">
        <v>529</v>
      </c>
      <c r="H25" s="59"/>
      <c r="I25" s="738"/>
      <c r="J25" s="59"/>
      <c r="K25" s="98"/>
      <c r="L25" s="98"/>
      <c r="M25" s="60"/>
      <c r="N25" s="59"/>
      <c r="O25" s="736" t="n">
        <v>0</v>
      </c>
      <c r="P25" s="743"/>
      <c r="Q25" s="736" t="n">
        <f aca="false">+O25*SpotRates!$D$36</f>
        <v>0</v>
      </c>
      <c r="R25" s="0"/>
      <c r="S25" s="736"/>
      <c r="T25" s="0"/>
      <c r="U25" s="0"/>
      <c r="V25" s="0"/>
      <c r="AP25" s="744"/>
    </row>
    <row r="26" customFormat="false" ht="12.75" hidden="false" customHeight="true" outlineLevel="0" collapsed="false">
      <c r="E26" s="747"/>
      <c r="F26" s="0"/>
      <c r="H26" s="0"/>
      <c r="I26" s="0"/>
      <c r="J26" s="0"/>
      <c r="K26" s="0"/>
      <c r="L26" s="0"/>
      <c r="M26" s="0"/>
      <c r="N26" s="0"/>
      <c r="O26" s="736"/>
      <c r="P26" s="739"/>
      <c r="Q26" s="736"/>
      <c r="R26" s="0"/>
      <c r="S26" s="0"/>
      <c r="T26" s="0"/>
      <c r="U26" s="0"/>
      <c r="V26" s="0"/>
      <c r="W26" s="0"/>
      <c r="X26" s="0"/>
      <c r="Y26" s="0"/>
      <c r="Z26" s="0"/>
      <c r="AA26" s="0"/>
      <c r="AB26" s="0"/>
      <c r="AC26" s="0"/>
      <c r="AD26" s="0"/>
      <c r="AE26" s="0"/>
      <c r="AF26" s="0"/>
      <c r="AG26" s="0"/>
      <c r="AH26" s="0"/>
      <c r="AI26" s="0"/>
      <c r="AJ26" s="0"/>
      <c r="AK26" s="0"/>
      <c r="AL26" s="0"/>
      <c r="AM26" s="0"/>
      <c r="AN26" s="0"/>
      <c r="AO26" s="0"/>
      <c r="AP26" s="746"/>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row>
    <row r="27" customFormat="false" ht="12.75" hidden="false" customHeight="true" outlineLevel="0" collapsed="false">
      <c r="A27" s="714" t="s">
        <v>545</v>
      </c>
      <c r="C27" s="737" t="n">
        <v>36837</v>
      </c>
      <c r="E27" s="747" t="s">
        <v>546</v>
      </c>
      <c r="G27" s="725" t="s">
        <v>525</v>
      </c>
      <c r="H27" s="59"/>
      <c r="I27" s="738" t="s">
        <v>526</v>
      </c>
      <c r="O27" s="739" t="n">
        <f aca="false">3334.8/R27/1000</f>
        <v>2.17505870075659</v>
      </c>
      <c r="P27" s="739"/>
      <c r="Q27" s="740" t="n">
        <f aca="false">O27*R27</f>
        <v>3.3348</v>
      </c>
      <c r="R27" s="741" t="n">
        <f aca="false">VLOOKUP(C27,SpotRates!$A$4:$D$34,4,FALSE())</f>
        <v>1.5332</v>
      </c>
      <c r="S27" s="736" t="n">
        <f aca="false">+(SpotRates!$D$36-'Orig Sched'!R27)*'Orig Sched'!O27</f>
        <v>0.0550289851291419</v>
      </c>
      <c r="T27" s="0"/>
      <c r="U27" s="0"/>
      <c r="V27" s="0"/>
      <c r="AP27" s="744"/>
    </row>
    <row r="28" customFormat="false" ht="12.75" hidden="false" customHeight="true" outlineLevel="0" collapsed="false">
      <c r="C28" s="737"/>
      <c r="E28" s="747"/>
      <c r="F28" s="59"/>
      <c r="G28" s="714" t="s">
        <v>529</v>
      </c>
      <c r="H28" s="59"/>
      <c r="I28" s="738"/>
      <c r="J28" s="59"/>
      <c r="K28" s="98"/>
      <c r="L28" s="98"/>
      <c r="M28" s="60"/>
      <c r="N28" s="59"/>
      <c r="O28" s="736" t="n">
        <v>0</v>
      </c>
      <c r="P28" s="743"/>
      <c r="Q28" s="736" t="n">
        <f aca="false">+O28*SpotRates!$D$36</f>
        <v>0</v>
      </c>
      <c r="R28" s="0"/>
      <c r="S28" s="736"/>
      <c r="T28" s="0"/>
      <c r="U28" s="0"/>
      <c r="V28" s="0"/>
      <c r="AP28" s="744"/>
    </row>
    <row r="29" customFormat="false" ht="12.75" hidden="false" customHeight="true" outlineLevel="0" collapsed="false">
      <c r="E29" s="747"/>
      <c r="F29" s="0"/>
      <c r="H29" s="0"/>
      <c r="I29" s="0"/>
      <c r="J29" s="0"/>
      <c r="K29" s="0"/>
      <c r="L29" s="0"/>
      <c r="M29" s="0"/>
      <c r="N29" s="0"/>
      <c r="O29" s="736"/>
      <c r="P29" s="739"/>
      <c r="Q29" s="736"/>
      <c r="R29" s="0"/>
      <c r="S29" s="0"/>
      <c r="T29" s="0"/>
      <c r="U29" s="0"/>
      <c r="V29" s="0"/>
      <c r="W29" s="0"/>
      <c r="X29" s="0"/>
      <c r="Y29" s="0"/>
      <c r="Z29" s="0"/>
      <c r="AA29" s="0"/>
      <c r="AB29" s="0"/>
      <c r="AC29" s="0"/>
      <c r="AD29" s="0"/>
      <c r="AE29" s="0"/>
      <c r="AF29" s="0"/>
      <c r="AG29" s="0"/>
      <c r="AH29" s="0"/>
      <c r="AI29" s="0"/>
      <c r="AJ29" s="0"/>
      <c r="AK29" s="0"/>
      <c r="AL29" s="0"/>
      <c r="AM29" s="0"/>
      <c r="AN29" s="0"/>
      <c r="AO29" s="0"/>
      <c r="AP29" s="746"/>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row>
    <row r="30" customFormat="false" ht="12.75" hidden="false" customHeight="true" outlineLevel="0" collapsed="false">
      <c r="A30" s="714" t="s">
        <v>547</v>
      </c>
      <c r="C30" s="737" t="n">
        <v>36837</v>
      </c>
      <c r="E30" s="747" t="s">
        <v>548</v>
      </c>
      <c r="G30" s="725" t="s">
        <v>525</v>
      </c>
      <c r="H30" s="59"/>
      <c r="I30" s="738" t="s">
        <v>535</v>
      </c>
      <c r="J30" s="0"/>
      <c r="K30" s="0"/>
      <c r="L30" s="0"/>
      <c r="M30" s="0"/>
      <c r="N30" s="0"/>
      <c r="O30" s="739" t="n">
        <f aca="false">29205.38/1000/R30</f>
        <v>19.0486433602922</v>
      </c>
      <c r="P30" s="739"/>
      <c r="Q30" s="740" t="n">
        <f aca="false">O30*R30</f>
        <v>29.20538</v>
      </c>
      <c r="R30" s="741" t="n">
        <f aca="false">VLOOKUP(C30,SpotRates!$A$4:$D$34,4,FALSE())</f>
        <v>1.5332</v>
      </c>
      <c r="S30" s="736" t="n">
        <f aca="false">+(SpotRates!$D$36-'Orig Sched'!R30)*'Orig Sched'!O30</f>
        <v>0.481930677015395</v>
      </c>
      <c r="T30" s="0"/>
      <c r="U30" s="0"/>
      <c r="V30" s="0"/>
      <c r="W30" s="0"/>
      <c r="X30" s="0"/>
      <c r="Y30" s="0"/>
      <c r="Z30" s="0"/>
      <c r="AA30" s="0"/>
      <c r="AB30" s="0"/>
      <c r="AC30" s="0"/>
      <c r="AD30" s="0"/>
      <c r="AE30" s="0"/>
      <c r="AF30" s="0"/>
      <c r="AG30" s="0"/>
      <c r="AH30" s="0"/>
      <c r="AI30" s="0"/>
      <c r="AJ30" s="0"/>
      <c r="AK30" s="0"/>
      <c r="AL30" s="0"/>
      <c r="AM30" s="0"/>
      <c r="AN30" s="0"/>
      <c r="AO30" s="0"/>
      <c r="AP30" s="746"/>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row>
    <row r="31" customFormat="false" ht="12.75" hidden="false" customHeight="true" outlineLevel="0" collapsed="false">
      <c r="C31" s="737"/>
      <c r="E31" s="747"/>
      <c r="F31" s="0"/>
      <c r="G31" s="714" t="s">
        <v>529</v>
      </c>
      <c r="H31" s="0"/>
      <c r="I31" s="0"/>
      <c r="J31" s="0"/>
      <c r="K31" s="0"/>
      <c r="L31" s="0"/>
      <c r="M31" s="0"/>
      <c r="N31" s="0"/>
      <c r="O31" s="736" t="n">
        <v>0</v>
      </c>
      <c r="P31" s="739"/>
      <c r="Q31" s="736" t="n">
        <f aca="false">+O31*SpotRates!$D$36</f>
        <v>0</v>
      </c>
      <c r="R31" s="59"/>
      <c r="S31" s="736"/>
      <c r="T31" s="0"/>
      <c r="U31" s="0"/>
      <c r="V31" s="0"/>
      <c r="W31" s="0"/>
      <c r="X31" s="0"/>
      <c r="Y31" s="0"/>
      <c r="Z31" s="0"/>
      <c r="AA31" s="0"/>
      <c r="AB31" s="0"/>
      <c r="AC31" s="0"/>
      <c r="AD31" s="0"/>
      <c r="AE31" s="0"/>
      <c r="AF31" s="0"/>
      <c r="AG31" s="0"/>
      <c r="AH31" s="0"/>
      <c r="AI31" s="0"/>
      <c r="AJ31" s="0"/>
      <c r="AK31" s="0"/>
      <c r="AL31" s="0"/>
      <c r="AM31" s="0"/>
      <c r="AN31" s="0"/>
      <c r="AO31" s="0"/>
      <c r="AP31" s="746"/>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row>
    <row r="32" customFormat="false" ht="12.75" hidden="false" customHeight="true" outlineLevel="0" collapsed="false">
      <c r="F32" s="59"/>
      <c r="H32" s="59"/>
      <c r="I32" s="59"/>
      <c r="J32" s="59"/>
      <c r="K32" s="98"/>
      <c r="L32" s="98"/>
      <c r="M32" s="60"/>
      <c r="N32" s="59"/>
      <c r="O32" s="736"/>
      <c r="P32" s="59"/>
      <c r="Q32" s="736"/>
      <c r="R32" s="59"/>
      <c r="S32" s="0"/>
      <c r="AP32" s="744"/>
    </row>
    <row r="33" customFormat="false" ht="12.75" hidden="false" customHeight="true" outlineLevel="0" collapsed="false">
      <c r="A33" s="714" t="s">
        <v>549</v>
      </c>
      <c r="C33" s="737" t="n">
        <v>36837</v>
      </c>
      <c r="E33" s="714" t="s">
        <v>550</v>
      </c>
      <c r="G33" s="725" t="s">
        <v>525</v>
      </c>
      <c r="H33" s="59"/>
      <c r="I33" s="738" t="s">
        <v>535</v>
      </c>
      <c r="J33" s="0"/>
      <c r="K33" s="0"/>
      <c r="L33" s="0"/>
      <c r="M33" s="0"/>
      <c r="N33" s="0"/>
      <c r="O33" s="739" t="n">
        <f aca="false">29205.38/1000/R33</f>
        <v>19.0486433602922</v>
      </c>
      <c r="P33" s="739"/>
      <c r="Q33" s="740" t="n">
        <f aca="false">O33*R33</f>
        <v>29.20538</v>
      </c>
      <c r="R33" s="741" t="n">
        <f aca="false">VLOOKUP(C33,SpotRates!$A$4:$D$34,4,FALSE())</f>
        <v>1.5332</v>
      </c>
      <c r="S33" s="736" t="n">
        <f aca="false">+(SpotRates!$D$36-'Orig Sched'!R33)*'Orig Sched'!O33</f>
        <v>0.481930677015395</v>
      </c>
      <c r="T33" s="0"/>
      <c r="U33" s="0"/>
      <c r="V33" s="0"/>
      <c r="W33" s="0"/>
      <c r="X33" s="0"/>
      <c r="Y33" s="0"/>
      <c r="Z33" s="0"/>
      <c r="AA33" s="0"/>
      <c r="AB33" s="0"/>
      <c r="AC33" s="0"/>
      <c r="AD33" s="0"/>
      <c r="AE33" s="0"/>
      <c r="AF33" s="0"/>
      <c r="AG33" s="0"/>
      <c r="AH33" s="0"/>
      <c r="AI33" s="0"/>
      <c r="AJ33" s="0"/>
      <c r="AK33" s="0"/>
      <c r="AL33" s="0"/>
      <c r="AM33" s="0"/>
      <c r="AN33" s="0"/>
      <c r="AO33" s="0"/>
      <c r="AP33" s="746"/>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row>
    <row r="34" customFormat="false" ht="12.75" hidden="false" customHeight="true" outlineLevel="0" collapsed="false">
      <c r="C34" s="737"/>
      <c r="F34" s="0"/>
      <c r="G34" s="714" t="s">
        <v>529</v>
      </c>
      <c r="H34" s="0"/>
      <c r="I34" s="0"/>
      <c r="J34" s="0"/>
      <c r="K34" s="0"/>
      <c r="L34" s="0"/>
      <c r="M34" s="0"/>
      <c r="N34" s="0"/>
      <c r="O34" s="736" t="n">
        <v>0</v>
      </c>
      <c r="P34" s="739"/>
      <c r="Q34" s="736" t="n">
        <f aca="false">+O34*SpotRates!$D$36</f>
        <v>0</v>
      </c>
      <c r="R34" s="59"/>
      <c r="S34" s="736"/>
      <c r="T34" s="0"/>
      <c r="U34" s="0"/>
      <c r="V34" s="0"/>
      <c r="W34" s="0"/>
      <c r="X34" s="0"/>
      <c r="Y34" s="0"/>
      <c r="Z34" s="0"/>
      <c r="AA34" s="0"/>
      <c r="AB34" s="0"/>
      <c r="AC34" s="0"/>
      <c r="AD34" s="0"/>
      <c r="AE34" s="0"/>
      <c r="AF34" s="0"/>
      <c r="AG34" s="0"/>
      <c r="AH34" s="0"/>
      <c r="AI34" s="0"/>
      <c r="AJ34" s="0"/>
      <c r="AK34" s="0"/>
      <c r="AL34" s="0"/>
      <c r="AM34" s="0"/>
      <c r="AN34" s="0"/>
      <c r="AO34" s="0"/>
      <c r="AP34" s="746"/>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row>
    <row r="35" customFormat="false" ht="12.75" hidden="false" customHeight="true" outlineLevel="0" collapsed="false">
      <c r="F35" s="59"/>
      <c r="H35" s="59"/>
      <c r="I35" s="59"/>
      <c r="J35" s="59"/>
      <c r="K35" s="98"/>
      <c r="L35" s="98"/>
      <c r="M35" s="60"/>
      <c r="N35" s="59"/>
      <c r="O35" s="736"/>
      <c r="P35" s="59"/>
      <c r="Q35" s="736"/>
      <c r="R35" s="59"/>
      <c r="S35" s="0"/>
      <c r="AP35" s="748"/>
    </row>
    <row r="36" customFormat="false" ht="12.75" hidden="false" customHeight="true" outlineLevel="0" collapsed="false">
      <c r="A36" s="714" t="s">
        <v>551</v>
      </c>
      <c r="C36" s="737" t="n">
        <v>36837</v>
      </c>
      <c r="E36" s="714" t="s">
        <v>552</v>
      </c>
      <c r="G36" s="725" t="s">
        <v>525</v>
      </c>
      <c r="H36" s="59"/>
      <c r="I36" s="738" t="s">
        <v>535</v>
      </c>
      <c r="J36" s="0"/>
      <c r="K36" s="0"/>
      <c r="L36" s="0"/>
      <c r="M36" s="0"/>
      <c r="N36" s="0"/>
      <c r="O36" s="739" t="n">
        <f aca="false">30736.01/1000</f>
        <v>30.73601</v>
      </c>
      <c r="P36" s="739"/>
      <c r="Q36" s="740" t="n">
        <f aca="false">O36*R36</f>
        <v>47.124450532</v>
      </c>
      <c r="R36" s="741" t="n">
        <f aca="false">VLOOKUP(C36,SpotRates!$A$4:$D$34,4,FALSE())</f>
        <v>1.5332</v>
      </c>
      <c r="S36" s="736" t="n">
        <f aca="false">+(SpotRates!$D$36-'Orig Sched'!R36)*'Orig Sched'!O36</f>
        <v>0.777621053000003</v>
      </c>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row>
    <row r="37" customFormat="false" ht="12.75" hidden="false" customHeight="true" outlineLevel="0" collapsed="false">
      <c r="C37" s="737"/>
      <c r="F37" s="0"/>
      <c r="G37" s="714" t="s">
        <v>529</v>
      </c>
      <c r="H37" s="0"/>
      <c r="I37" s="0"/>
      <c r="J37" s="0"/>
      <c r="K37" s="0"/>
      <c r="L37" s="0"/>
      <c r="M37" s="0"/>
      <c r="N37" s="0"/>
      <c r="O37" s="736" t="n">
        <v>0</v>
      </c>
      <c r="P37" s="739"/>
      <c r="Q37" s="736" t="n">
        <f aca="false">+O37*SpotRates!$D$36</f>
        <v>0</v>
      </c>
      <c r="R37" s="59"/>
      <c r="S37" s="736"/>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row>
    <row r="38" customFormat="false" ht="12.75" hidden="false" customHeight="true" outlineLevel="0" collapsed="false">
      <c r="F38" s="59"/>
      <c r="H38" s="59"/>
      <c r="I38" s="59"/>
      <c r="J38" s="59"/>
      <c r="K38" s="98"/>
      <c r="L38" s="98"/>
      <c r="M38" s="60"/>
      <c r="N38" s="59"/>
      <c r="O38" s="736"/>
      <c r="P38" s="59"/>
      <c r="Q38" s="736"/>
      <c r="R38" s="59"/>
      <c r="S38" s="0"/>
    </row>
    <row r="39" customFormat="false" ht="12.75" hidden="false" customHeight="true" outlineLevel="0" collapsed="false">
      <c r="C39" s="737" t="n">
        <v>36838</v>
      </c>
      <c r="E39" s="714" t="s">
        <v>553</v>
      </c>
      <c r="G39" s="725" t="s">
        <v>525</v>
      </c>
      <c r="H39" s="59"/>
      <c r="I39" s="738" t="s">
        <v>538</v>
      </c>
      <c r="J39" s="0"/>
      <c r="K39" s="0"/>
      <c r="L39" s="0"/>
      <c r="M39" s="0"/>
      <c r="N39" s="0"/>
      <c r="O39" s="739" t="n">
        <v>0</v>
      </c>
      <c r="P39" s="739"/>
      <c r="Q39" s="740" t="n">
        <f aca="false">O39*R39</f>
        <v>0</v>
      </c>
      <c r="R39" s="741" t="n">
        <f aca="false">VLOOKUP(C39,SpotRates!$A$4:$D$34,4,FALSE())</f>
        <v>1.54</v>
      </c>
      <c r="S39" s="736" t="n">
        <f aca="false">+(SpotRates!$D$36-'Orig Sched'!R39)*'Orig Sched'!O39</f>
        <v>0</v>
      </c>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row>
    <row r="40" customFormat="false" ht="12.75" hidden="false" customHeight="true" outlineLevel="0" collapsed="false">
      <c r="C40" s="737"/>
      <c r="F40" s="0"/>
      <c r="G40" s="714" t="s">
        <v>529</v>
      </c>
      <c r="H40" s="0"/>
      <c r="I40" s="0"/>
      <c r="J40" s="0"/>
      <c r="K40" s="0"/>
      <c r="L40" s="0"/>
      <c r="M40" s="0"/>
      <c r="N40" s="0"/>
      <c r="O40" s="736" t="n">
        <f aca="false">-1100000/1000</f>
        <v>-1100</v>
      </c>
      <c r="P40" s="739"/>
      <c r="Q40" s="736" t="n">
        <f aca="false">+O40*R39</f>
        <v>-1694</v>
      </c>
      <c r="R40" s="59"/>
      <c r="S40" s="736"/>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row>
    <row r="41" customFormat="false" ht="12.75" hidden="false" customHeight="true" outlineLevel="0" collapsed="false">
      <c r="F41" s="59"/>
      <c r="H41" s="59"/>
      <c r="I41" s="59"/>
      <c r="J41" s="59"/>
      <c r="K41" s="98"/>
      <c r="L41" s="98"/>
      <c r="M41" s="60"/>
      <c r="N41" s="59"/>
      <c r="O41" s="736"/>
      <c r="P41" s="59"/>
      <c r="Q41" s="736"/>
      <c r="R41" s="59"/>
      <c r="S41" s="0"/>
    </row>
    <row r="42" customFormat="false" ht="12.75" hidden="false" customHeight="true" outlineLevel="0" collapsed="false">
      <c r="C42" s="737" t="n">
        <v>36838</v>
      </c>
      <c r="E42" s="714" t="s">
        <v>553</v>
      </c>
      <c r="G42" s="725" t="s">
        <v>525</v>
      </c>
      <c r="H42" s="59"/>
      <c r="I42" s="738" t="s">
        <v>538</v>
      </c>
      <c r="J42" s="0"/>
      <c r="K42" s="0"/>
      <c r="L42" s="0"/>
      <c r="M42" s="0"/>
      <c r="N42" s="0"/>
      <c r="O42" s="739" t="n">
        <f aca="false">1100000/1000</f>
        <v>1100</v>
      </c>
      <c r="P42" s="739"/>
      <c r="Q42" s="740" t="n">
        <f aca="false">O42*R42</f>
        <v>1694</v>
      </c>
      <c r="R42" s="741" t="n">
        <f aca="false">VLOOKUP(C42,SpotRates!$A$4:$D$34,4,FALSE())</f>
        <v>1.54</v>
      </c>
      <c r="S42" s="736" t="n">
        <f aca="false">+(SpotRates!$D$36-'Orig Sched'!R42)*'Orig Sched'!O42</f>
        <v>20.35</v>
      </c>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row>
    <row r="43" customFormat="false" ht="12.75" hidden="false" customHeight="true" outlineLevel="0" collapsed="false">
      <c r="C43" s="737"/>
      <c r="F43" s="0"/>
      <c r="G43" s="714" t="s">
        <v>529</v>
      </c>
      <c r="H43" s="0"/>
      <c r="I43" s="0"/>
      <c r="J43" s="0"/>
      <c r="K43" s="0"/>
      <c r="L43" s="0"/>
      <c r="M43" s="0"/>
      <c r="N43" s="0"/>
      <c r="O43" s="736" t="n">
        <v>0</v>
      </c>
      <c r="P43" s="739"/>
      <c r="Q43" s="736" t="n">
        <f aca="false">+O43*SpotRates!$D$36</f>
        <v>0</v>
      </c>
      <c r="R43" s="59"/>
      <c r="S43" s="736"/>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row>
    <row r="44" customFormat="false" ht="12.75" hidden="false" customHeight="true" outlineLevel="0" collapsed="false">
      <c r="F44" s="59"/>
      <c r="H44" s="59"/>
      <c r="I44" s="59"/>
      <c r="J44" s="59"/>
      <c r="K44" s="98"/>
      <c r="L44" s="98"/>
      <c r="M44" s="60"/>
      <c r="N44" s="59"/>
      <c r="O44" s="736"/>
      <c r="P44" s="59"/>
      <c r="Q44" s="736"/>
      <c r="R44" s="59"/>
      <c r="S44" s="0"/>
    </row>
    <row r="45" customFormat="false" ht="12.75" hidden="false" customHeight="true" outlineLevel="0" collapsed="false">
      <c r="A45" s="714" t="s">
        <v>537</v>
      </c>
      <c r="C45" s="737" t="n">
        <v>36838</v>
      </c>
      <c r="E45" s="714" t="s">
        <v>552</v>
      </c>
      <c r="G45" s="725" t="s">
        <v>525</v>
      </c>
      <c r="H45" s="59"/>
      <c r="I45" s="738" t="s">
        <v>535</v>
      </c>
      <c r="J45" s="0"/>
      <c r="K45" s="0"/>
      <c r="L45" s="0"/>
      <c r="M45" s="0"/>
      <c r="N45" s="0"/>
      <c r="O45" s="739" t="n">
        <f aca="false">23890.73/1000</f>
        <v>23.89073</v>
      </c>
      <c r="P45" s="739"/>
      <c r="Q45" s="736" t="n">
        <f aca="false">O45*R45</f>
        <v>36.7917242</v>
      </c>
      <c r="R45" s="741" t="n">
        <f aca="false">VLOOKUP(C45,SpotRates!$A$4:$D$34,4,FALSE())</f>
        <v>1.54</v>
      </c>
      <c r="S45" s="736" t="n">
        <f aca="false">+(SpotRates!$D$36-'Orig Sched'!R45)*'Orig Sched'!O45</f>
        <v>0.441978504999999</v>
      </c>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75" hidden="false" customHeight="true" outlineLevel="0" collapsed="false">
      <c r="C46" s="737"/>
      <c r="F46" s="0"/>
      <c r="G46" s="714" t="s">
        <v>529</v>
      </c>
      <c r="H46" s="0"/>
      <c r="I46" s="0"/>
      <c r="J46" s="0"/>
      <c r="K46" s="0"/>
      <c r="L46" s="0"/>
      <c r="M46" s="0"/>
      <c r="N46" s="0"/>
      <c r="O46" s="736" t="n">
        <v>0</v>
      </c>
      <c r="P46" s="739"/>
      <c r="Q46" s="736" t="n">
        <f aca="false">+O46*SpotRates!$D$36</f>
        <v>0</v>
      </c>
      <c r="R46" s="59"/>
      <c r="S46" s="736"/>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75" hidden="false" customHeight="true" outlineLevel="0" collapsed="false">
      <c r="F47" s="59"/>
      <c r="H47" s="59"/>
      <c r="I47" s="59"/>
      <c r="J47" s="59"/>
      <c r="K47" s="98"/>
      <c r="L47" s="98"/>
      <c r="M47" s="60"/>
      <c r="N47" s="59"/>
      <c r="O47" s="736"/>
      <c r="P47" s="59"/>
      <c r="Q47" s="736"/>
      <c r="R47" s="59"/>
      <c r="S47" s="0"/>
    </row>
    <row r="48" customFormat="false" ht="12.75" hidden="false" customHeight="true" outlineLevel="0" collapsed="false">
      <c r="A48" s="714" t="s">
        <v>554</v>
      </c>
      <c r="C48" s="737" t="n">
        <v>36838</v>
      </c>
      <c r="E48" s="714" t="s">
        <v>552</v>
      </c>
      <c r="G48" s="725" t="s">
        <v>525</v>
      </c>
      <c r="H48" s="59"/>
      <c r="I48" s="738" t="s">
        <v>535</v>
      </c>
      <c r="J48" s="0"/>
      <c r="K48" s="0"/>
      <c r="L48" s="0"/>
      <c r="M48" s="0"/>
      <c r="N48" s="0"/>
      <c r="O48" s="739" t="n">
        <f aca="false">20494.49/1000</f>
        <v>20.49449</v>
      </c>
      <c r="P48" s="739"/>
      <c r="Q48" s="736" t="n">
        <f aca="false">O48*R48</f>
        <v>31.5615146</v>
      </c>
      <c r="R48" s="741" t="n">
        <f aca="false">VLOOKUP(C48,SpotRates!$A$4:$D$34,4,FALSE())</f>
        <v>1.54</v>
      </c>
      <c r="S48" s="736" t="n">
        <f aca="false">+(SpotRates!$D$36-'Orig Sched'!R48)*'Orig Sched'!O48</f>
        <v>0.379148064999999</v>
      </c>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75" hidden="false" customHeight="true" outlineLevel="0" collapsed="false">
      <c r="C49" s="737"/>
      <c r="F49" s="0"/>
      <c r="G49" s="714" t="s">
        <v>529</v>
      </c>
      <c r="H49" s="0"/>
      <c r="I49" s="0"/>
      <c r="J49" s="0"/>
      <c r="K49" s="0"/>
      <c r="L49" s="0"/>
      <c r="M49" s="0"/>
      <c r="N49" s="0"/>
      <c r="O49" s="736" t="n">
        <v>0</v>
      </c>
      <c r="P49" s="739"/>
      <c r="Q49" s="736" t="n">
        <f aca="false">+O49*SpotRates!$D$36</f>
        <v>0</v>
      </c>
      <c r="R49" s="59"/>
      <c r="S49" s="736"/>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75" hidden="false" customHeight="true" outlineLevel="0" collapsed="false">
      <c r="E50" s="747"/>
      <c r="F50" s="0"/>
      <c r="H50" s="0"/>
      <c r="I50" s="0"/>
      <c r="J50" s="0"/>
      <c r="K50" s="0"/>
      <c r="L50" s="0"/>
      <c r="M50" s="0"/>
      <c r="N50" s="0"/>
      <c r="O50" s="736"/>
      <c r="P50" s="739"/>
      <c r="Q50" s="736"/>
      <c r="R50" s="59"/>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row>
    <row r="51" customFormat="false" ht="12.75" hidden="false" customHeight="true" outlineLevel="0" collapsed="false">
      <c r="A51" s="714" t="s">
        <v>551</v>
      </c>
      <c r="C51" s="737" t="n">
        <v>36838</v>
      </c>
      <c r="E51" s="747" t="s">
        <v>552</v>
      </c>
      <c r="G51" s="725" t="s">
        <v>525</v>
      </c>
      <c r="H51" s="59"/>
      <c r="I51" s="738" t="s">
        <v>535</v>
      </c>
      <c r="J51" s="0"/>
      <c r="K51" s="0"/>
      <c r="L51" s="0"/>
      <c r="M51" s="0"/>
      <c r="N51" s="0"/>
      <c r="O51" s="739" t="n">
        <f aca="false">17918/1000</f>
        <v>17.918</v>
      </c>
      <c r="P51" s="739"/>
      <c r="Q51" s="736" t="n">
        <f aca="false">O51*R51</f>
        <v>27.59372</v>
      </c>
      <c r="R51" s="741" t="n">
        <f aca="false">VLOOKUP(C51,SpotRates!$A$4:$D$34,4,FALSE())</f>
        <v>1.54</v>
      </c>
      <c r="S51" s="736" t="n">
        <f aca="false">+(SpotRates!$D$36-'Orig Sched'!R51)*'Orig Sched'!O51</f>
        <v>0.331482999999999</v>
      </c>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row>
    <row r="52" customFormat="false" ht="12.75" hidden="false" customHeight="true" outlineLevel="0" collapsed="false">
      <c r="C52" s="737"/>
      <c r="E52" s="747"/>
      <c r="F52" s="0"/>
      <c r="G52" s="714" t="s">
        <v>529</v>
      </c>
      <c r="H52" s="0"/>
      <c r="I52" s="0"/>
      <c r="J52" s="0"/>
      <c r="K52" s="0"/>
      <c r="L52" s="0"/>
      <c r="M52" s="0"/>
      <c r="N52" s="0"/>
      <c r="O52" s="736" t="n">
        <v>0</v>
      </c>
      <c r="P52" s="739"/>
      <c r="Q52" s="736" t="n">
        <f aca="false">+O52*SpotRates!$D$36</f>
        <v>0</v>
      </c>
      <c r="R52" s="59"/>
      <c r="S52" s="736"/>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row>
    <row r="53" customFormat="false" ht="12.75" hidden="false" customHeight="true" outlineLevel="0" collapsed="false">
      <c r="E53" s="747"/>
      <c r="F53" s="59"/>
      <c r="H53" s="59"/>
      <c r="I53" s="59"/>
      <c r="J53" s="59"/>
      <c r="K53" s="98"/>
      <c r="L53" s="98"/>
      <c r="M53" s="60"/>
      <c r="N53" s="59"/>
      <c r="O53" s="736"/>
      <c r="P53" s="59"/>
      <c r="Q53" s="736"/>
      <c r="R53" s="59"/>
      <c r="S53" s="0"/>
    </row>
    <row r="54" customFormat="false" ht="12.75" hidden="false" customHeight="true" outlineLevel="0" collapsed="false">
      <c r="A54" s="714" t="s">
        <v>555</v>
      </c>
      <c r="C54" s="737" t="n">
        <v>36838</v>
      </c>
      <c r="E54" s="714" t="s">
        <v>552</v>
      </c>
      <c r="G54" s="725" t="s">
        <v>525</v>
      </c>
      <c r="H54" s="59"/>
      <c r="I54" s="738" t="s">
        <v>535</v>
      </c>
      <c r="J54" s="0"/>
      <c r="K54" s="0"/>
      <c r="L54" s="0"/>
      <c r="M54" s="0"/>
      <c r="N54" s="0"/>
      <c r="O54" s="739" t="n">
        <f aca="false">17918.04/1000</f>
        <v>17.91804</v>
      </c>
      <c r="P54" s="739"/>
      <c r="Q54" s="736" t="n">
        <f aca="false">O54*R54</f>
        <v>27.5937816</v>
      </c>
      <c r="R54" s="741" t="n">
        <f aca="false">VLOOKUP(C54,SpotRates!$A$4:$D$34,4,FALSE())</f>
        <v>1.54</v>
      </c>
      <c r="S54" s="736" t="n">
        <f aca="false">+(SpotRates!$D$36-'Orig Sched'!R54)*'Orig Sched'!O54</f>
        <v>0.331483739999999</v>
      </c>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row>
    <row r="55" customFormat="false" ht="12.75" hidden="false" customHeight="true" outlineLevel="0" collapsed="false">
      <c r="C55" s="737"/>
      <c r="E55" s="747"/>
      <c r="F55" s="0"/>
      <c r="G55" s="714" t="s">
        <v>529</v>
      </c>
      <c r="H55" s="0"/>
      <c r="I55" s="0"/>
      <c r="J55" s="0"/>
      <c r="K55" s="0"/>
      <c r="L55" s="0"/>
      <c r="M55" s="0"/>
      <c r="N55" s="0"/>
      <c r="O55" s="736" t="n">
        <v>0</v>
      </c>
      <c r="P55" s="739"/>
      <c r="Q55" s="736" t="n">
        <f aca="false">+O55*SpotRates!$D$36</f>
        <v>0</v>
      </c>
      <c r="R55" s="59"/>
      <c r="S55" s="736"/>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row>
    <row r="56" customFormat="false" ht="12.75" hidden="false" customHeight="true" outlineLevel="0" collapsed="false">
      <c r="E56" s="747"/>
      <c r="F56" s="59"/>
      <c r="H56" s="59"/>
      <c r="I56" s="59"/>
      <c r="J56" s="59"/>
      <c r="K56" s="98"/>
      <c r="L56" s="98"/>
      <c r="M56" s="60"/>
      <c r="N56" s="59"/>
      <c r="O56" s="736"/>
      <c r="P56" s="59"/>
      <c r="Q56" s="736"/>
      <c r="R56" s="59"/>
      <c r="S56" s="0"/>
    </row>
    <row r="57" customFormat="false" ht="12.75" hidden="false" customHeight="true" outlineLevel="0" collapsed="false">
      <c r="A57" s="714" t="s">
        <v>556</v>
      </c>
      <c r="C57" s="737" t="n">
        <v>36838</v>
      </c>
      <c r="E57" s="714" t="s">
        <v>557</v>
      </c>
      <c r="G57" s="725" t="s">
        <v>525</v>
      </c>
      <c r="H57" s="59"/>
      <c r="I57" s="738" t="s">
        <v>531</v>
      </c>
      <c r="J57" s="0"/>
      <c r="K57" s="0"/>
      <c r="L57" s="0"/>
      <c r="M57" s="0"/>
      <c r="N57" s="0"/>
      <c r="O57" s="739" t="n">
        <f aca="false">27557.95/1000</f>
        <v>27.55795</v>
      </c>
      <c r="P57" s="739"/>
      <c r="Q57" s="736" t="n">
        <f aca="false">O57*R57</f>
        <v>42.439243</v>
      </c>
      <c r="R57" s="741" t="n">
        <f aca="false">VLOOKUP(C57,SpotRates!$A$4:$D$34,4,FALSE())</f>
        <v>1.54</v>
      </c>
      <c r="S57" s="736" t="n">
        <f aca="false">+(SpotRates!$D$36-'Orig Sched'!R57)*'Orig Sched'!O57</f>
        <v>0.509822074999999</v>
      </c>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row>
    <row r="58" customFormat="false" ht="12.75" hidden="false" customHeight="true" outlineLevel="0" collapsed="false">
      <c r="C58" s="737"/>
      <c r="E58" s="747"/>
      <c r="F58" s="0"/>
      <c r="G58" s="714" t="s">
        <v>529</v>
      </c>
      <c r="H58" s="0"/>
      <c r="I58" s="0"/>
      <c r="J58" s="0"/>
      <c r="K58" s="0"/>
      <c r="L58" s="0"/>
      <c r="M58" s="0"/>
      <c r="N58" s="0"/>
      <c r="O58" s="736" t="n">
        <v>0</v>
      </c>
      <c r="P58" s="739"/>
      <c r="Q58" s="736" t="n">
        <f aca="false">+O58*SpotRates!$D$36</f>
        <v>0</v>
      </c>
      <c r="R58" s="736"/>
      <c r="S58" s="736"/>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row>
    <row r="59" customFormat="false" ht="12.75" hidden="false" customHeight="true" outlineLevel="0" collapsed="false">
      <c r="E59" s="747"/>
      <c r="F59" s="59"/>
      <c r="H59" s="59"/>
      <c r="I59" s="59"/>
      <c r="J59" s="59"/>
      <c r="K59" s="98"/>
      <c r="L59" s="98"/>
      <c r="M59" s="60"/>
      <c r="N59" s="59"/>
      <c r="O59" s="736"/>
      <c r="P59" s="59"/>
      <c r="Q59" s="736"/>
      <c r="R59" s="149"/>
      <c r="S59" s="0"/>
    </row>
    <row r="60" customFormat="false" ht="12.75" hidden="false" customHeight="true" outlineLevel="0" collapsed="false">
      <c r="A60" s="714" t="s">
        <v>558</v>
      </c>
      <c r="C60" s="737" t="n">
        <v>36838</v>
      </c>
      <c r="E60" s="747" t="s">
        <v>559</v>
      </c>
      <c r="G60" s="725" t="s">
        <v>525</v>
      </c>
      <c r="H60" s="59"/>
      <c r="I60" s="738" t="s">
        <v>526</v>
      </c>
      <c r="J60" s="0"/>
      <c r="K60" s="0"/>
      <c r="L60" s="0"/>
      <c r="M60" s="0"/>
      <c r="N60" s="0"/>
      <c r="O60" s="739" t="n">
        <f aca="false">837.69/1000/R60</f>
        <v>0.543954545454546</v>
      </c>
      <c r="P60" s="739"/>
      <c r="Q60" s="736" t="n">
        <f aca="false">O60*R60</f>
        <v>0.83769</v>
      </c>
      <c r="R60" s="741" t="n">
        <f aca="false">VLOOKUP(C60,SpotRates!$A$4:$D$34,4,FALSE())</f>
        <v>1.54</v>
      </c>
      <c r="S60" s="736" t="n">
        <f aca="false">+(SpotRates!$D$36-'Orig Sched'!R60)*'Orig Sched'!O60</f>
        <v>0.0100631590909091</v>
      </c>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row>
    <row r="61" customFormat="false" ht="12.75" hidden="false" customHeight="true" outlineLevel="0" collapsed="false">
      <c r="C61" s="737"/>
      <c r="F61" s="0"/>
      <c r="G61" s="714" t="s">
        <v>529</v>
      </c>
      <c r="H61" s="0"/>
      <c r="I61" s="0"/>
      <c r="J61" s="0"/>
      <c r="K61" s="0"/>
      <c r="L61" s="0"/>
      <c r="M61" s="0"/>
      <c r="N61" s="0"/>
      <c r="O61" s="736" t="n">
        <v>0</v>
      </c>
      <c r="P61" s="739"/>
      <c r="Q61" s="736" t="n">
        <f aca="false">+O61*SpotRates!$D$36</f>
        <v>0</v>
      </c>
      <c r="R61" s="59"/>
      <c r="S61" s="736"/>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row>
    <row r="62" customFormat="false" ht="12.75" hidden="false" customHeight="true" outlineLevel="0" collapsed="false">
      <c r="F62" s="59"/>
      <c r="H62" s="59"/>
      <c r="I62" s="59"/>
      <c r="J62" s="59"/>
      <c r="K62" s="98"/>
      <c r="L62" s="98"/>
      <c r="M62" s="60"/>
      <c r="N62" s="59"/>
      <c r="O62" s="736"/>
      <c r="P62" s="59"/>
      <c r="Q62" s="736"/>
      <c r="R62" s="59"/>
      <c r="S62" s="0"/>
    </row>
    <row r="63" customFormat="false" ht="12.75" hidden="false" customHeight="true" outlineLevel="0" collapsed="false">
      <c r="A63" s="714" t="s">
        <v>560</v>
      </c>
      <c r="C63" s="737" t="n">
        <v>36839</v>
      </c>
      <c r="E63" s="714" t="s">
        <v>552</v>
      </c>
      <c r="G63" s="725" t="s">
        <v>525</v>
      </c>
      <c r="H63" s="59"/>
      <c r="I63" s="738" t="s">
        <v>535</v>
      </c>
      <c r="J63" s="0"/>
      <c r="K63" s="0"/>
      <c r="L63" s="0"/>
      <c r="M63" s="0"/>
      <c r="N63" s="0"/>
      <c r="O63" s="739" t="n">
        <f aca="false">772.17/1000</f>
        <v>0.77217</v>
      </c>
      <c r="P63" s="739"/>
      <c r="Q63" s="736" t="n">
        <f aca="false">O63*R63</f>
        <v>1.19531916</v>
      </c>
      <c r="R63" s="741" t="n">
        <f aca="false">VLOOKUP(C63,SpotRates!$A$4:$D$34,4,FALSE())</f>
        <v>1.548</v>
      </c>
      <c r="S63" s="736" t="n">
        <f aca="false">+(SpotRates!$D$36-'Orig Sched'!R63)*'Orig Sched'!O63</f>
        <v>0.00810778499999996</v>
      </c>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row>
    <row r="64" customFormat="false" ht="12.75" hidden="false" customHeight="true" outlineLevel="0" collapsed="false">
      <c r="C64" s="737"/>
      <c r="F64" s="0"/>
      <c r="G64" s="714" t="s">
        <v>529</v>
      </c>
      <c r="H64" s="0"/>
      <c r="I64" s="0"/>
      <c r="J64" s="0"/>
      <c r="K64" s="0"/>
      <c r="L64" s="0"/>
      <c r="M64" s="0"/>
      <c r="N64" s="0"/>
      <c r="O64" s="736" t="n">
        <v>0</v>
      </c>
      <c r="P64" s="739"/>
      <c r="Q64" s="736" t="n">
        <f aca="false">+O64*SpotRates!$D$36</f>
        <v>0</v>
      </c>
      <c r="R64" s="59"/>
      <c r="S64" s="736"/>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row>
    <row r="65" customFormat="false" ht="12.75" hidden="false" customHeight="true" outlineLevel="0" collapsed="false">
      <c r="F65" s="59"/>
      <c r="H65" s="59"/>
      <c r="I65" s="59"/>
      <c r="J65" s="59"/>
      <c r="K65" s="98"/>
      <c r="L65" s="98"/>
      <c r="M65" s="60"/>
      <c r="N65" s="59"/>
      <c r="O65" s="736"/>
      <c r="P65" s="59"/>
      <c r="Q65" s="736"/>
      <c r="R65" s="59"/>
      <c r="S65" s="0"/>
    </row>
    <row r="66" customFormat="false" ht="12.75" hidden="false" customHeight="true" outlineLevel="0" collapsed="false">
      <c r="A66" s="714" t="s">
        <v>561</v>
      </c>
      <c r="C66" s="737" t="n">
        <v>36839</v>
      </c>
      <c r="E66" s="714" t="s">
        <v>552</v>
      </c>
      <c r="G66" s="725" t="s">
        <v>525</v>
      </c>
      <c r="H66" s="59"/>
      <c r="I66" s="738" t="s">
        <v>535</v>
      </c>
      <c r="J66" s="0"/>
      <c r="K66" s="0"/>
      <c r="L66" s="0"/>
      <c r="M66" s="0"/>
      <c r="N66" s="0"/>
      <c r="O66" s="739" t="n">
        <f aca="false">10252.87/1000</f>
        <v>10.25287</v>
      </c>
      <c r="P66" s="739"/>
      <c r="Q66" s="736" t="n">
        <f aca="false">O66*R66</f>
        <v>15.87144276</v>
      </c>
      <c r="R66" s="741" t="n">
        <f aca="false">VLOOKUP(C66,SpotRates!$A$4:$D$34,4,FALSE())</f>
        <v>1.548</v>
      </c>
      <c r="S66" s="736" t="n">
        <f aca="false">+(SpotRates!$D$36-'Orig Sched'!R66)*'Orig Sched'!O66</f>
        <v>0.107655135</v>
      </c>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row>
    <row r="67" customFormat="false" ht="12.75" hidden="false" customHeight="true" outlineLevel="0" collapsed="false">
      <c r="C67" s="737"/>
      <c r="F67" s="0"/>
      <c r="G67" s="714" t="s">
        <v>529</v>
      </c>
      <c r="H67" s="0"/>
      <c r="I67" s="0"/>
      <c r="J67" s="0"/>
      <c r="K67" s="0"/>
      <c r="L67" s="0"/>
      <c r="M67" s="0"/>
      <c r="N67" s="0"/>
      <c r="O67" s="736" t="n">
        <v>0</v>
      </c>
      <c r="P67" s="739"/>
      <c r="Q67" s="736" t="n">
        <f aca="false">+O67*SpotRates!$D$36</f>
        <v>0</v>
      </c>
      <c r="R67" s="59"/>
      <c r="S67" s="736"/>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row>
    <row r="68" customFormat="false" ht="12.75" hidden="false" customHeight="true" outlineLevel="0" collapsed="false">
      <c r="F68" s="59"/>
      <c r="H68" s="59"/>
      <c r="I68" s="59"/>
      <c r="J68" s="59"/>
      <c r="K68" s="98"/>
      <c r="L68" s="98"/>
      <c r="M68" s="60"/>
      <c r="N68" s="59"/>
      <c r="O68" s="736"/>
      <c r="P68" s="59"/>
      <c r="Q68" s="736"/>
      <c r="R68" s="59"/>
      <c r="S68" s="0"/>
    </row>
    <row r="69" customFormat="false" ht="12.75" hidden="false" customHeight="true" outlineLevel="0" collapsed="false">
      <c r="A69" s="714" t="s">
        <v>562</v>
      </c>
      <c r="C69" s="737" t="n">
        <v>36840</v>
      </c>
      <c r="E69" s="714" t="s">
        <v>563</v>
      </c>
      <c r="G69" s="725" t="s">
        <v>525</v>
      </c>
      <c r="H69" s="59"/>
      <c r="I69" s="738" t="s">
        <v>535</v>
      </c>
      <c r="J69" s="0"/>
      <c r="K69" s="0"/>
      <c r="L69" s="0"/>
      <c r="M69" s="0"/>
      <c r="N69" s="0"/>
      <c r="O69" s="739" t="n">
        <f aca="false">24131.38/R69/1000</f>
        <v>15.6575266026473</v>
      </c>
      <c r="P69" s="739"/>
      <c r="Q69" s="736" t="n">
        <f aca="false">O69*R69</f>
        <v>24.13138</v>
      </c>
      <c r="R69" s="741" t="n">
        <f aca="false">VLOOKUP(C69,SpotRates!$A$4:$D$34,4,FALSE())</f>
        <v>1.5412</v>
      </c>
      <c r="S69" s="736" t="n">
        <f aca="false">+(SpotRates!$D$36-'Orig Sched'!R69)*'Orig Sched'!O69</f>
        <v>0.2708752102258</v>
      </c>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row>
    <row r="70" customFormat="false" ht="12.75" hidden="false" customHeight="true" outlineLevel="0" collapsed="false">
      <c r="C70" s="737"/>
      <c r="F70" s="0"/>
      <c r="G70" s="714" t="s">
        <v>529</v>
      </c>
      <c r="H70" s="0"/>
      <c r="I70" s="0"/>
      <c r="J70" s="0"/>
      <c r="K70" s="0"/>
      <c r="L70" s="0"/>
      <c r="M70" s="0"/>
      <c r="N70" s="0"/>
      <c r="O70" s="736" t="n">
        <v>0</v>
      </c>
      <c r="P70" s="739"/>
      <c r="Q70" s="736" t="n">
        <f aca="false">+O70*SpotRates!$D$36</f>
        <v>0</v>
      </c>
      <c r="R70" s="59"/>
      <c r="S70" s="736"/>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row>
    <row r="71" customFormat="false" ht="12.75" hidden="false" customHeight="true" outlineLevel="0" collapsed="false">
      <c r="F71" s="59"/>
      <c r="H71" s="59"/>
      <c r="I71" s="59"/>
      <c r="J71" s="59"/>
      <c r="K71" s="98"/>
      <c r="L71" s="98"/>
      <c r="M71" s="60"/>
      <c r="N71" s="59"/>
      <c r="O71" s="736"/>
      <c r="P71" s="59"/>
      <c r="Q71" s="736"/>
      <c r="R71" s="59"/>
      <c r="S71" s="0"/>
    </row>
    <row r="72" customFormat="false" ht="12.75" hidden="false" customHeight="true" outlineLevel="0" collapsed="false">
      <c r="A72" s="714" t="s">
        <v>564</v>
      </c>
      <c r="C72" s="737" t="n">
        <v>36845</v>
      </c>
      <c r="E72" s="714" t="s">
        <v>565</v>
      </c>
      <c r="G72" s="725" t="s">
        <v>525</v>
      </c>
      <c r="H72" s="59"/>
      <c r="I72" s="738" t="s">
        <v>526</v>
      </c>
      <c r="J72" s="0"/>
      <c r="K72" s="0"/>
      <c r="L72" s="0"/>
      <c r="M72" s="0"/>
      <c r="N72" s="0"/>
      <c r="O72" s="739" t="n">
        <f aca="false">1777.68/1000/R72</f>
        <v>1.14467482292337</v>
      </c>
      <c r="P72" s="739"/>
      <c r="Q72" s="736" t="n">
        <f aca="false">O72*R72</f>
        <v>1.77768</v>
      </c>
      <c r="R72" s="741" t="n">
        <f aca="false">VLOOKUP(C72,SpotRates!$A$4:$D$34,4,FALSE())</f>
        <v>1.553</v>
      </c>
      <c r="S72" s="736" t="n">
        <f aca="false">+(SpotRates!$D$36-'Orig Sched'!R72)*'Orig Sched'!O72</f>
        <v>0.00629571152607863</v>
      </c>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row>
    <row r="73" customFormat="false" ht="12.75" hidden="false" customHeight="true" outlineLevel="0" collapsed="false">
      <c r="C73" s="737"/>
      <c r="F73" s="0"/>
      <c r="G73" s="714" t="s">
        <v>529</v>
      </c>
      <c r="H73" s="0"/>
      <c r="I73" s="0"/>
      <c r="J73" s="0"/>
      <c r="K73" s="0"/>
      <c r="L73" s="0"/>
      <c r="M73" s="0"/>
      <c r="N73" s="0"/>
      <c r="O73" s="736" t="n">
        <v>0</v>
      </c>
      <c r="P73" s="739"/>
      <c r="Q73" s="736" t="n">
        <f aca="false">+O73*SpotRates!$D$36</f>
        <v>0</v>
      </c>
      <c r="R73" s="59"/>
      <c r="S73" s="736"/>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row>
    <row r="74" customFormat="false" ht="12.75" hidden="false" customHeight="true" outlineLevel="0" collapsed="false">
      <c r="F74" s="59"/>
      <c r="H74" s="59"/>
      <c r="I74" s="59"/>
      <c r="J74" s="59"/>
      <c r="K74" s="98"/>
      <c r="L74" s="98"/>
      <c r="M74" s="60"/>
      <c r="N74" s="59"/>
      <c r="O74" s="736"/>
      <c r="P74" s="59"/>
      <c r="Q74" s="736"/>
      <c r="R74" s="59"/>
      <c r="S74" s="0"/>
    </row>
    <row r="75" customFormat="false" ht="12.75" hidden="false" customHeight="true" outlineLevel="0" collapsed="false">
      <c r="A75" s="714" t="s">
        <v>566</v>
      </c>
      <c r="C75" s="737" t="n">
        <v>36845</v>
      </c>
      <c r="E75" s="714" t="s">
        <v>565</v>
      </c>
      <c r="G75" s="725" t="s">
        <v>525</v>
      </c>
      <c r="H75" s="59"/>
      <c r="I75" s="738" t="s">
        <v>526</v>
      </c>
      <c r="J75" s="0"/>
      <c r="K75" s="0"/>
      <c r="L75" s="0"/>
      <c r="M75" s="0"/>
      <c r="N75" s="0"/>
      <c r="O75" s="739" t="n">
        <f aca="false">2950.78/1000/R75</f>
        <v>1.90005151320026</v>
      </c>
      <c r="P75" s="739"/>
      <c r="Q75" s="736" t="n">
        <f aca="false">O75*R75</f>
        <v>2.95078</v>
      </c>
      <c r="R75" s="741" t="n">
        <f aca="false">VLOOKUP(C75,SpotRates!$A$4:$D$34,4,FALSE())</f>
        <v>1.553</v>
      </c>
      <c r="S75" s="736" t="n">
        <f aca="false">+(SpotRates!$D$36-'Orig Sched'!R75)*'Orig Sched'!O75</f>
        <v>0.0104502833226015</v>
      </c>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row>
    <row r="76" customFormat="false" ht="12.75" hidden="false" customHeight="true" outlineLevel="0" collapsed="false">
      <c r="C76" s="737"/>
      <c r="F76" s="0"/>
      <c r="G76" s="714" t="s">
        <v>529</v>
      </c>
      <c r="H76" s="0"/>
      <c r="I76" s="0"/>
      <c r="J76" s="0"/>
      <c r="K76" s="0"/>
      <c r="L76" s="0"/>
      <c r="M76" s="0"/>
      <c r="N76" s="0"/>
      <c r="O76" s="736" t="n">
        <v>0</v>
      </c>
      <c r="P76" s="739"/>
      <c r="Q76" s="736" t="n">
        <f aca="false">+O76*SpotRates!$D$36</f>
        <v>0</v>
      </c>
      <c r="R76" s="59"/>
      <c r="S76" s="736"/>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row>
    <row r="77" customFormat="false" ht="12.75" hidden="false" customHeight="true" outlineLevel="0" collapsed="false">
      <c r="F77" s="59"/>
      <c r="H77" s="59"/>
      <c r="I77" s="59"/>
      <c r="J77" s="59"/>
      <c r="K77" s="98"/>
      <c r="L77" s="98"/>
      <c r="M77" s="60"/>
      <c r="N77" s="59"/>
      <c r="O77" s="736"/>
      <c r="P77" s="59"/>
      <c r="Q77" s="736"/>
      <c r="R77" s="59"/>
      <c r="S77" s="0"/>
    </row>
    <row r="78" customFormat="false" ht="12.75" hidden="false" customHeight="true" outlineLevel="0" collapsed="false">
      <c r="A78" s="714" t="s">
        <v>567</v>
      </c>
      <c r="C78" s="737" t="n">
        <v>36845</v>
      </c>
      <c r="E78" s="714" t="s">
        <v>563</v>
      </c>
      <c r="G78" s="725" t="s">
        <v>525</v>
      </c>
      <c r="H78" s="59"/>
      <c r="I78" s="738" t="s">
        <v>535</v>
      </c>
      <c r="J78" s="0"/>
      <c r="K78" s="0"/>
      <c r="L78" s="0"/>
      <c r="M78" s="0"/>
      <c r="N78" s="0"/>
      <c r="O78" s="739" t="n">
        <f aca="false">30929.15/1000/R78</f>
        <v>19.9157437218287</v>
      </c>
      <c r="P78" s="739"/>
      <c r="Q78" s="736" t="n">
        <f aca="false">O78*R78</f>
        <v>30.92915</v>
      </c>
      <c r="R78" s="741" t="n">
        <f aca="false">VLOOKUP(C78,SpotRates!$A$4:$D$34,4,FALSE())</f>
        <v>1.553</v>
      </c>
      <c r="S78" s="736" t="n">
        <f aca="false">+(SpotRates!$D$36-'Orig Sched'!R78)*'Orig Sched'!O78</f>
        <v>0.109536590470059</v>
      </c>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row>
    <row r="79" customFormat="false" ht="12.75" hidden="false" customHeight="true" outlineLevel="0" collapsed="false">
      <c r="C79" s="737"/>
      <c r="F79" s="0"/>
      <c r="G79" s="714" t="s">
        <v>529</v>
      </c>
      <c r="H79" s="0"/>
      <c r="I79" s="0"/>
      <c r="J79" s="0"/>
      <c r="K79" s="0"/>
      <c r="L79" s="0"/>
      <c r="M79" s="0"/>
      <c r="N79" s="0"/>
      <c r="O79" s="736" t="n">
        <v>0</v>
      </c>
      <c r="P79" s="739"/>
      <c r="Q79" s="736" t="n">
        <f aca="false">+O79*SpotRates!$D$36</f>
        <v>0</v>
      </c>
      <c r="R79" s="59"/>
      <c r="S79" s="736"/>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row>
    <row r="80" customFormat="false" ht="12.75" hidden="false" customHeight="true" outlineLevel="0" collapsed="false">
      <c r="F80" s="59"/>
      <c r="H80" s="59"/>
      <c r="I80" s="59"/>
      <c r="J80" s="59"/>
      <c r="K80" s="98"/>
      <c r="L80" s="98"/>
      <c r="M80" s="60"/>
      <c r="N80" s="59"/>
      <c r="O80" s="736"/>
      <c r="P80" s="59"/>
      <c r="Q80" s="736"/>
      <c r="R80" s="59"/>
      <c r="S80" s="0"/>
    </row>
    <row r="81" customFormat="false" ht="12.75" hidden="false" customHeight="true" outlineLevel="0" collapsed="false">
      <c r="A81" s="714" t="s">
        <v>568</v>
      </c>
      <c r="C81" s="737" t="n">
        <v>36846</v>
      </c>
      <c r="E81" s="714" t="s">
        <v>569</v>
      </c>
      <c r="G81" s="725" t="s">
        <v>525</v>
      </c>
      <c r="H81" s="59"/>
      <c r="I81" s="738" t="s">
        <v>531</v>
      </c>
      <c r="J81" s="0"/>
      <c r="K81" s="0"/>
      <c r="L81" s="0"/>
      <c r="M81" s="0"/>
      <c r="N81" s="0"/>
      <c r="O81" s="739" t="n">
        <f aca="false">47862.77/1000</f>
        <v>47.86277</v>
      </c>
      <c r="P81" s="739"/>
      <c r="Q81" s="736" t="n">
        <f aca="false">O81*R81</f>
        <v>74.37874458</v>
      </c>
      <c r="R81" s="741" t="n">
        <f aca="false">VLOOKUP(C81,SpotRates!$A$4:$D$34,4,FALSE())</f>
        <v>1.554</v>
      </c>
      <c r="S81" s="736" t="n">
        <f aca="false">+(SpotRates!$D$36-'Orig Sched'!R81)*'Orig Sched'!O81</f>
        <v>0.215382464999998</v>
      </c>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row>
    <row r="82" customFormat="false" ht="12.75" hidden="false" customHeight="true" outlineLevel="0" collapsed="false">
      <c r="C82" s="737"/>
      <c r="F82" s="0"/>
      <c r="G82" s="714" t="s">
        <v>529</v>
      </c>
      <c r="H82" s="0"/>
      <c r="I82" s="0"/>
      <c r="J82" s="0"/>
      <c r="K82" s="0"/>
      <c r="L82" s="0"/>
      <c r="M82" s="0"/>
      <c r="N82" s="0"/>
      <c r="O82" s="736" t="n">
        <v>0</v>
      </c>
      <c r="P82" s="739"/>
      <c r="Q82" s="736" t="n">
        <f aca="false">+O82*SpotRates!$D$36</f>
        <v>0</v>
      </c>
      <c r="R82" s="59"/>
      <c r="S82" s="736"/>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row>
    <row r="83" customFormat="false" ht="12.75" hidden="false" customHeight="true" outlineLevel="0" collapsed="false">
      <c r="F83" s="59"/>
      <c r="H83" s="59"/>
      <c r="I83" s="59"/>
      <c r="J83" s="59"/>
      <c r="K83" s="98"/>
      <c r="L83" s="98"/>
      <c r="M83" s="60"/>
      <c r="N83" s="59"/>
      <c r="O83" s="736"/>
      <c r="P83" s="59"/>
      <c r="Q83" s="736"/>
      <c r="R83" s="59"/>
      <c r="S83" s="0"/>
    </row>
    <row r="84" customFormat="false" ht="12.75" hidden="false" customHeight="true" outlineLevel="0" collapsed="false">
      <c r="A84" s="714" t="s">
        <v>570</v>
      </c>
      <c r="C84" s="737" t="n">
        <v>36846</v>
      </c>
      <c r="E84" s="714" t="s">
        <v>569</v>
      </c>
      <c r="G84" s="725" t="s">
        <v>525</v>
      </c>
      <c r="H84" s="59"/>
      <c r="I84" s="738" t="s">
        <v>531</v>
      </c>
      <c r="J84" s="0"/>
      <c r="K84" s="0"/>
      <c r="L84" s="0"/>
      <c r="M84" s="0"/>
      <c r="N84" s="0"/>
      <c r="O84" s="739" t="n">
        <f aca="false">51335.44/1000</f>
        <v>51.33544</v>
      </c>
      <c r="P84" s="739"/>
      <c r="Q84" s="736" t="n">
        <f aca="false">O84*R84</f>
        <v>79.77527376</v>
      </c>
      <c r="R84" s="741" t="n">
        <f aca="false">VLOOKUP(C84,SpotRates!$A$4:$D$34,4,FALSE())</f>
        <v>1.554</v>
      </c>
      <c r="S84" s="736" t="n">
        <f aca="false">+(SpotRates!$D$36-'Orig Sched'!R84)*'Orig Sched'!O84</f>
        <v>0.231009479999997</v>
      </c>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row>
    <row r="85" customFormat="false" ht="12.75" hidden="false" customHeight="true" outlineLevel="0" collapsed="false">
      <c r="C85" s="737"/>
      <c r="F85" s="0"/>
      <c r="G85" s="714" t="s">
        <v>529</v>
      </c>
      <c r="H85" s="0"/>
      <c r="I85" s="749"/>
      <c r="J85" s="0"/>
      <c r="K85" s="0"/>
      <c r="L85" s="0"/>
      <c r="M85" s="0"/>
      <c r="N85" s="0"/>
      <c r="O85" s="736" t="n">
        <v>0</v>
      </c>
      <c r="P85" s="739"/>
      <c r="Q85" s="736" t="n">
        <f aca="false">+O85*SpotRates!$D$36</f>
        <v>0</v>
      </c>
      <c r="R85" s="59"/>
      <c r="S85" s="736"/>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row>
    <row r="86" customFormat="false" ht="12.75" hidden="false" customHeight="true" outlineLevel="0" collapsed="false">
      <c r="F86" s="59"/>
      <c r="H86" s="59"/>
      <c r="I86" s="59"/>
      <c r="J86" s="59"/>
      <c r="K86" s="98"/>
      <c r="L86" s="98"/>
      <c r="M86" s="60"/>
      <c r="N86" s="59"/>
      <c r="O86" s="736"/>
      <c r="P86" s="59"/>
      <c r="Q86" s="736"/>
      <c r="R86" s="59"/>
      <c r="S86" s="0"/>
    </row>
    <row r="87" customFormat="false" ht="12.75" hidden="false" customHeight="true" outlineLevel="0" collapsed="false">
      <c r="A87" s="714" t="s">
        <v>571</v>
      </c>
      <c r="C87" s="737" t="n">
        <v>36846</v>
      </c>
      <c r="E87" s="714" t="s">
        <v>572</v>
      </c>
      <c r="G87" s="725" t="s">
        <v>525</v>
      </c>
      <c r="H87" s="59"/>
      <c r="I87" s="738" t="s">
        <v>526</v>
      </c>
      <c r="J87" s="0"/>
      <c r="K87" s="0"/>
      <c r="L87" s="0"/>
      <c r="M87" s="0"/>
      <c r="N87" s="0"/>
      <c r="O87" s="739" t="n">
        <f aca="false">829.72/1000/R87</f>
        <v>0.533925353925354</v>
      </c>
      <c r="P87" s="739"/>
      <c r="Q87" s="736" t="n">
        <f aca="false">O87*R87</f>
        <v>0.82972</v>
      </c>
      <c r="R87" s="741" t="n">
        <f aca="false">VLOOKUP(C87,SpotRates!$A$4:$D$34,4,FALSE())</f>
        <v>1.554</v>
      </c>
      <c r="S87" s="736" t="n">
        <f aca="false">+(SpotRates!$D$36-'Orig Sched'!R87)*'Orig Sched'!O87</f>
        <v>0.00240266409266407</v>
      </c>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row>
    <row r="88" customFormat="false" ht="12.75" hidden="false" customHeight="true" outlineLevel="0" collapsed="false">
      <c r="C88" s="737"/>
      <c r="F88" s="0"/>
      <c r="G88" s="714" t="s">
        <v>529</v>
      </c>
      <c r="H88" s="0"/>
      <c r="I88" s="0"/>
      <c r="J88" s="0"/>
      <c r="K88" s="0"/>
      <c r="L88" s="0"/>
      <c r="M88" s="0"/>
      <c r="N88" s="0"/>
      <c r="O88" s="736" t="n">
        <v>0</v>
      </c>
      <c r="P88" s="739"/>
      <c r="Q88" s="736" t="n">
        <f aca="false">+O88*SpotRates!$D$36</f>
        <v>0</v>
      </c>
      <c r="R88" s="59"/>
      <c r="S88" s="736"/>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row>
    <row r="89" customFormat="false" ht="12.75" hidden="false" customHeight="true" outlineLevel="0" collapsed="false">
      <c r="F89" s="59"/>
      <c r="H89" s="59"/>
      <c r="I89" s="59"/>
      <c r="J89" s="59"/>
      <c r="K89" s="98"/>
      <c r="L89" s="98"/>
      <c r="M89" s="60"/>
      <c r="N89" s="59"/>
      <c r="O89" s="736"/>
      <c r="P89" s="59"/>
      <c r="Q89" s="736"/>
      <c r="R89" s="59"/>
      <c r="S89" s="0"/>
    </row>
    <row r="90" customFormat="false" ht="12.75" hidden="false" customHeight="true" outlineLevel="0" collapsed="false">
      <c r="A90" s="714" t="s">
        <v>573</v>
      </c>
      <c r="C90" s="737" t="n">
        <v>36847</v>
      </c>
      <c r="E90" s="714" t="s">
        <v>572</v>
      </c>
      <c r="G90" s="725" t="s">
        <v>525</v>
      </c>
      <c r="H90" s="59"/>
      <c r="I90" s="738" t="s">
        <v>526</v>
      </c>
      <c r="J90" s="0"/>
      <c r="K90" s="0"/>
      <c r="L90" s="0"/>
      <c r="M90" s="0"/>
      <c r="N90" s="0"/>
      <c r="O90" s="739" t="n">
        <f aca="false">920.21/1000/R90</f>
        <v>0.590445941610523</v>
      </c>
      <c r="P90" s="739"/>
      <c r="Q90" s="736" t="n">
        <f aca="false">O90*R90</f>
        <v>0.92021</v>
      </c>
      <c r="R90" s="741" t="n">
        <f aca="false">VLOOKUP(C90,SpotRates!$A$4:$D$34,4,FALSE())</f>
        <v>1.5585</v>
      </c>
      <c r="S90" s="736" t="n">
        <f aca="false">+(SpotRates!$D$36-'Orig Sched'!R90)*'Orig Sched'!O90</f>
        <v>0</v>
      </c>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row>
    <row r="91" customFormat="false" ht="12.75" hidden="false" customHeight="true" outlineLevel="0" collapsed="false">
      <c r="C91" s="737"/>
      <c r="F91" s="0"/>
      <c r="G91" s="714" t="s">
        <v>529</v>
      </c>
      <c r="H91" s="0"/>
      <c r="I91" s="0"/>
      <c r="J91" s="0"/>
      <c r="K91" s="0"/>
      <c r="L91" s="0"/>
      <c r="M91" s="0"/>
      <c r="N91" s="0"/>
      <c r="O91" s="736" t="n">
        <v>0</v>
      </c>
      <c r="P91" s="739"/>
      <c r="Q91" s="736" t="n">
        <f aca="false">+O91*SpotRates!$D$36</f>
        <v>0</v>
      </c>
      <c r="R91" s="59"/>
      <c r="S91" s="736"/>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row>
    <row r="92" customFormat="false" ht="12.75" hidden="false" customHeight="true" outlineLevel="0" collapsed="false">
      <c r="F92" s="59"/>
      <c r="H92" s="59"/>
      <c r="I92" s="59"/>
      <c r="J92" s="59"/>
      <c r="K92" s="98"/>
      <c r="L92" s="98"/>
      <c r="M92" s="60"/>
      <c r="N92" s="59"/>
      <c r="O92" s="736"/>
      <c r="P92" s="59"/>
      <c r="Q92" s="736"/>
      <c r="R92" s="59"/>
      <c r="S92" s="0"/>
    </row>
    <row r="93" customFormat="false" ht="12.75" hidden="false" customHeight="true" outlineLevel="0" collapsed="false">
      <c r="A93" s="714" t="s">
        <v>574</v>
      </c>
      <c r="C93" s="737" t="n">
        <v>36847</v>
      </c>
      <c r="E93" s="714" t="s">
        <v>572</v>
      </c>
      <c r="G93" s="725" t="s">
        <v>525</v>
      </c>
      <c r="H93" s="59"/>
      <c r="I93" s="738" t="s">
        <v>526</v>
      </c>
      <c r="J93" s="0"/>
      <c r="K93" s="0"/>
      <c r="L93" s="0"/>
      <c r="M93" s="0"/>
      <c r="N93" s="0"/>
      <c r="O93" s="739" t="n">
        <f aca="false">825.72/1000/R93</f>
        <v>0.529817131857555</v>
      </c>
      <c r="P93" s="739"/>
      <c r="Q93" s="750" t="n">
        <f aca="false">O93*R93</f>
        <v>0.82572</v>
      </c>
      <c r="R93" s="741" t="n">
        <f aca="false">VLOOKUP(C93,SpotRates!$A$4:$D$34,4,FALSE())</f>
        <v>1.5585</v>
      </c>
      <c r="S93" s="736" t="n">
        <f aca="false">+(SpotRates!$D$36-'Orig Sched'!R93)*'Orig Sched'!O93</f>
        <v>0</v>
      </c>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row>
    <row r="94" customFormat="false" ht="12.75" hidden="false" customHeight="true" outlineLevel="0" collapsed="false">
      <c r="C94" s="737"/>
      <c r="F94" s="0"/>
      <c r="G94" s="714" t="s">
        <v>529</v>
      </c>
      <c r="H94" s="0"/>
      <c r="I94" s="0"/>
      <c r="J94" s="0"/>
      <c r="K94" s="0"/>
      <c r="L94" s="0"/>
      <c r="M94" s="0"/>
      <c r="N94" s="0"/>
      <c r="O94" s="736" t="n">
        <v>0</v>
      </c>
      <c r="P94" s="739"/>
      <c r="Q94" s="736" t="n">
        <f aca="false">+O94*SpotRates!$D$36</f>
        <v>0</v>
      </c>
      <c r="R94" s="59"/>
      <c r="S94" s="736"/>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row>
    <row r="95" customFormat="false" ht="12.75" hidden="false" customHeight="true" outlineLevel="0" collapsed="false">
      <c r="F95" s="0"/>
      <c r="H95" s="0"/>
      <c r="I95" s="0"/>
      <c r="J95" s="0"/>
      <c r="K95" s="0"/>
      <c r="L95" s="0"/>
      <c r="M95" s="0"/>
      <c r="N95" s="0"/>
      <c r="O95" s="736"/>
      <c r="P95" s="739"/>
      <c r="Q95" s="736"/>
      <c r="R95" s="59"/>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row>
    <row r="96" customFormat="false" ht="12.75" hidden="false" customHeight="true" outlineLevel="0" collapsed="false">
      <c r="A96" s="714" t="s">
        <v>575</v>
      </c>
      <c r="C96" s="737" t="n">
        <v>36847</v>
      </c>
      <c r="E96" s="714" t="s">
        <v>576</v>
      </c>
      <c r="G96" s="725" t="s">
        <v>525</v>
      </c>
      <c r="H96" s="59"/>
      <c r="I96" s="738" t="s">
        <v>535</v>
      </c>
      <c r="J96" s="0"/>
      <c r="K96" s="0"/>
      <c r="L96" s="0"/>
      <c r="M96" s="0"/>
      <c r="N96" s="0"/>
      <c r="O96" s="739" t="n">
        <f aca="false">2564.03/1000</f>
        <v>2.56403</v>
      </c>
      <c r="P96" s="739"/>
      <c r="Q96" s="736" t="n">
        <f aca="false">O96*R96</f>
        <v>3.996040755</v>
      </c>
      <c r="R96" s="741" t="n">
        <f aca="false">VLOOKUP(C96,SpotRates!$A$4:$D$34,4,FALSE())</f>
        <v>1.5585</v>
      </c>
      <c r="S96" s="736" t="n">
        <f aca="false">+(SpotRates!$D$36-'Orig Sched'!R96)*'Orig Sched'!O96</f>
        <v>0</v>
      </c>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row>
    <row r="97" customFormat="false" ht="12.75" hidden="false" customHeight="true" outlineLevel="0" collapsed="false">
      <c r="C97" s="737"/>
      <c r="F97" s="0"/>
      <c r="G97" s="714" t="s">
        <v>529</v>
      </c>
      <c r="H97" s="0"/>
      <c r="I97" s="0"/>
      <c r="J97" s="0"/>
      <c r="K97" s="0"/>
      <c r="L97" s="0"/>
      <c r="M97" s="0"/>
      <c r="N97" s="0"/>
      <c r="O97" s="736" t="n">
        <v>0</v>
      </c>
      <c r="P97" s="739"/>
      <c r="Q97" s="736" t="n">
        <f aca="false">+O97*SpotRates!$D$36</f>
        <v>0</v>
      </c>
      <c r="R97" s="59"/>
      <c r="S97" s="736"/>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row>
    <row r="98" customFormat="false" ht="12.75" hidden="false" customHeight="true" outlineLevel="0" collapsed="false">
      <c r="F98" s="0"/>
      <c r="H98" s="0"/>
      <c r="I98" s="0"/>
      <c r="J98" s="0"/>
      <c r="K98" s="0"/>
      <c r="L98" s="0"/>
      <c r="M98" s="0"/>
      <c r="N98" s="0"/>
      <c r="O98" s="736"/>
      <c r="P98" s="739"/>
      <c r="Q98" s="736"/>
      <c r="R98" s="59"/>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row>
    <row r="99" customFormat="false" ht="12.75" hidden="false" customHeight="true" outlineLevel="0" collapsed="false">
      <c r="C99" s="737" t="n">
        <v>36831</v>
      </c>
      <c r="G99" s="725" t="s">
        <v>525</v>
      </c>
      <c r="H99" s="59"/>
      <c r="I99" s="738"/>
      <c r="J99" s="0"/>
      <c r="K99" s="0"/>
      <c r="L99" s="0"/>
      <c r="M99" s="0"/>
      <c r="N99" s="0"/>
      <c r="O99" s="739" t="n">
        <v>0</v>
      </c>
      <c r="P99" s="739"/>
      <c r="Q99" s="736" t="n">
        <f aca="false">O99*R99</f>
        <v>0</v>
      </c>
      <c r="R99" s="741" t="n">
        <f aca="false">VLOOKUP(C99,SpotRates!$A$4:$D$34,4,FALSE())</f>
        <v>1.5332</v>
      </c>
      <c r="S99" s="736" t="n">
        <f aca="false">+(SpotRates!$D$36-'Orig Sched'!R99)*'Orig Sched'!O99</f>
        <v>0</v>
      </c>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row>
    <row r="100" customFormat="false" ht="12.75" hidden="false" customHeight="true" outlineLevel="0" collapsed="false">
      <c r="C100" s="737"/>
      <c r="F100" s="0"/>
      <c r="G100" s="714" t="s">
        <v>529</v>
      </c>
      <c r="H100" s="0"/>
      <c r="I100" s="0"/>
      <c r="J100" s="0"/>
      <c r="K100" s="0"/>
      <c r="L100" s="0"/>
      <c r="M100" s="0"/>
      <c r="N100" s="0"/>
      <c r="O100" s="736" t="n">
        <v>0</v>
      </c>
      <c r="P100" s="739"/>
      <c r="Q100" s="736" t="n">
        <f aca="false">+O100*SpotRates!$D$36</f>
        <v>0</v>
      </c>
      <c r="R100" s="59"/>
      <c r="S100" s="736"/>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row>
    <row r="101" customFormat="false" ht="12.75" hidden="false" customHeight="true" outlineLevel="0" collapsed="false">
      <c r="F101" s="59"/>
      <c r="H101" s="59"/>
      <c r="I101" s="59"/>
      <c r="J101" s="59"/>
      <c r="K101" s="98"/>
      <c r="L101" s="98"/>
      <c r="M101" s="60"/>
      <c r="N101" s="59"/>
      <c r="O101" s="736"/>
      <c r="P101" s="59"/>
      <c r="Q101" s="736"/>
      <c r="R101" s="59"/>
      <c r="S101" s="0"/>
    </row>
    <row r="102" customFormat="false" ht="12.75" hidden="false" customHeight="true" outlineLevel="0" collapsed="false">
      <c r="C102" s="737" t="n">
        <v>36831</v>
      </c>
      <c r="G102" s="725" t="s">
        <v>525</v>
      </c>
      <c r="H102" s="59"/>
      <c r="I102" s="738"/>
      <c r="J102" s="0"/>
      <c r="K102" s="0"/>
      <c r="L102" s="0"/>
      <c r="M102" s="0"/>
      <c r="N102" s="0"/>
      <c r="O102" s="739" t="n">
        <v>0</v>
      </c>
      <c r="P102" s="739"/>
      <c r="Q102" s="736" t="n">
        <f aca="false">O102*R102</f>
        <v>0</v>
      </c>
      <c r="R102" s="741" t="n">
        <f aca="false">VLOOKUP(C102,SpotRates!$A$4:$D$34,4,FALSE())</f>
        <v>1.5332</v>
      </c>
      <c r="S102" s="736" t="n">
        <f aca="false">+(SpotRates!$D$36-'Orig Sched'!R102)*'Orig Sched'!O102</f>
        <v>0</v>
      </c>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row>
    <row r="103" customFormat="false" ht="12.75" hidden="false" customHeight="true" outlineLevel="0" collapsed="false">
      <c r="C103" s="737"/>
      <c r="F103" s="0"/>
      <c r="G103" s="714" t="s">
        <v>529</v>
      </c>
      <c r="H103" s="0"/>
      <c r="I103" s="0"/>
      <c r="J103" s="0"/>
      <c r="K103" s="0"/>
      <c r="L103" s="0"/>
      <c r="M103" s="0"/>
      <c r="N103" s="0"/>
      <c r="O103" s="736" t="n">
        <v>0</v>
      </c>
      <c r="P103" s="739"/>
      <c r="Q103" s="736" t="n">
        <f aca="false">+O103*SpotRates!$D$36</f>
        <v>0</v>
      </c>
      <c r="R103" s="59"/>
      <c r="S103" s="736"/>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row>
    <row r="104" customFormat="false" ht="12.75" hidden="false" customHeight="true" outlineLevel="0" collapsed="false">
      <c r="F104" s="59"/>
      <c r="H104" s="59"/>
      <c r="I104" s="59"/>
      <c r="J104" s="59"/>
      <c r="K104" s="98"/>
      <c r="L104" s="98"/>
      <c r="M104" s="60"/>
      <c r="N104" s="59"/>
      <c r="O104" s="736"/>
      <c r="P104" s="59"/>
      <c r="Q104" s="736"/>
      <c r="R104" s="59"/>
      <c r="S104" s="0"/>
    </row>
    <row r="105" customFormat="false" ht="12.75" hidden="false" customHeight="true" outlineLevel="0" collapsed="false">
      <c r="C105" s="737" t="n">
        <v>36831</v>
      </c>
      <c r="G105" s="725" t="s">
        <v>525</v>
      </c>
      <c r="H105" s="59"/>
      <c r="I105" s="738"/>
      <c r="J105" s="0"/>
      <c r="K105" s="0"/>
      <c r="L105" s="0"/>
      <c r="M105" s="0"/>
      <c r="N105" s="0"/>
      <c r="O105" s="739" t="n">
        <v>0</v>
      </c>
      <c r="P105" s="739"/>
      <c r="Q105" s="736" t="n">
        <f aca="false">O105*R105</f>
        <v>0</v>
      </c>
      <c r="R105" s="741" t="n">
        <f aca="false">VLOOKUP(C105,SpotRates!$A$4:$D$34,4,FALSE())</f>
        <v>1.5332</v>
      </c>
      <c r="S105" s="736" t="n">
        <f aca="false">+(SpotRates!$D$36-'Orig Sched'!R105)*'Orig Sched'!O105</f>
        <v>0</v>
      </c>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row>
    <row r="106" customFormat="false" ht="12.75" hidden="false" customHeight="true" outlineLevel="0" collapsed="false">
      <c r="C106" s="737"/>
      <c r="F106" s="0"/>
      <c r="G106" s="714" t="s">
        <v>529</v>
      </c>
      <c r="H106" s="0"/>
      <c r="I106" s="0"/>
      <c r="J106" s="0"/>
      <c r="K106" s="0"/>
      <c r="L106" s="0"/>
      <c r="M106" s="0"/>
      <c r="N106" s="0"/>
      <c r="O106" s="736" t="n">
        <v>0</v>
      </c>
      <c r="P106" s="739"/>
      <c r="Q106" s="736" t="n">
        <f aca="false">+O106*SpotRates!$D$36</f>
        <v>0</v>
      </c>
      <c r="R106" s="59"/>
      <c r="S106" s="736"/>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row>
    <row r="107" customFormat="false" ht="12.75" hidden="false" customHeight="true" outlineLevel="0" collapsed="false">
      <c r="F107" s="59"/>
      <c r="H107" s="59"/>
      <c r="I107" s="59"/>
      <c r="J107" s="59"/>
      <c r="K107" s="98"/>
      <c r="L107" s="98"/>
      <c r="M107" s="60"/>
      <c r="N107" s="59"/>
      <c r="O107" s="736"/>
      <c r="P107" s="59"/>
      <c r="Q107" s="736"/>
      <c r="R107" s="59"/>
      <c r="S107" s="0"/>
    </row>
    <row r="108" customFormat="false" ht="12.75" hidden="false" customHeight="true" outlineLevel="0" collapsed="false">
      <c r="C108" s="737" t="n">
        <v>36831</v>
      </c>
      <c r="G108" s="725" t="s">
        <v>525</v>
      </c>
      <c r="H108" s="59"/>
      <c r="I108" s="738"/>
      <c r="J108" s="0"/>
      <c r="K108" s="0"/>
      <c r="L108" s="0"/>
      <c r="M108" s="0"/>
      <c r="N108" s="0"/>
      <c r="O108" s="739" t="n">
        <v>0</v>
      </c>
      <c r="P108" s="739"/>
      <c r="Q108" s="736" t="n">
        <f aca="false">O108*R108</f>
        <v>0</v>
      </c>
      <c r="R108" s="741" t="n">
        <f aca="false">VLOOKUP(C108,SpotRates!$A$4:$D$34,4,FALSE())</f>
        <v>1.5332</v>
      </c>
      <c r="S108" s="736" t="n">
        <f aca="false">+(SpotRates!$D$36-'Orig Sched'!R108)*'Orig Sched'!O108</f>
        <v>0</v>
      </c>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row>
    <row r="109" customFormat="false" ht="12.75" hidden="false" customHeight="true" outlineLevel="0" collapsed="false">
      <c r="C109" s="737"/>
      <c r="F109" s="0"/>
      <c r="G109" s="714" t="s">
        <v>529</v>
      </c>
      <c r="H109" s="0"/>
      <c r="I109" s="0"/>
      <c r="J109" s="0"/>
      <c r="K109" s="0"/>
      <c r="L109" s="0"/>
      <c r="M109" s="0"/>
      <c r="N109" s="0"/>
      <c r="O109" s="736" t="n">
        <v>0</v>
      </c>
      <c r="P109" s="739"/>
      <c r="Q109" s="736" t="n">
        <f aca="false">+O109*SpotRates!$D$36</f>
        <v>0</v>
      </c>
      <c r="R109" s="59"/>
      <c r="S109" s="736"/>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row>
    <row r="110" customFormat="false" ht="12.75" hidden="false" customHeight="true" outlineLevel="0" collapsed="false">
      <c r="F110" s="59"/>
      <c r="H110" s="59"/>
      <c r="I110" s="59"/>
      <c r="J110" s="59"/>
      <c r="K110" s="98"/>
      <c r="L110" s="98"/>
      <c r="M110" s="60"/>
      <c r="N110" s="59"/>
      <c r="O110" s="736"/>
      <c r="P110" s="59"/>
      <c r="Q110" s="736"/>
      <c r="R110" s="59"/>
      <c r="S110" s="0"/>
    </row>
    <row r="111" customFormat="false" ht="12.75" hidden="false" customHeight="true" outlineLevel="0" collapsed="false">
      <c r="C111" s="737" t="n">
        <v>36831</v>
      </c>
      <c r="G111" s="725" t="s">
        <v>525</v>
      </c>
      <c r="H111" s="59"/>
      <c r="I111" s="738"/>
      <c r="J111" s="0"/>
      <c r="K111" s="0"/>
      <c r="L111" s="0"/>
      <c r="M111" s="0"/>
      <c r="N111" s="0"/>
      <c r="O111" s="739" t="n">
        <v>0</v>
      </c>
      <c r="P111" s="739"/>
      <c r="Q111" s="736" t="n">
        <f aca="false">O111*R111</f>
        <v>0</v>
      </c>
      <c r="R111" s="741" t="n">
        <f aca="false">VLOOKUP(C111,SpotRates!$A$4:$D$34,4,FALSE())</f>
        <v>1.5332</v>
      </c>
      <c r="S111" s="736" t="n">
        <f aca="false">+(SpotRates!$D$36-'Orig Sched'!R111)*'Orig Sched'!O111</f>
        <v>0</v>
      </c>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row>
    <row r="112" customFormat="false" ht="12.75" hidden="false" customHeight="true" outlineLevel="0" collapsed="false">
      <c r="C112" s="737"/>
      <c r="F112" s="0"/>
      <c r="G112" s="714" t="s">
        <v>529</v>
      </c>
      <c r="H112" s="0"/>
      <c r="I112" s="0"/>
      <c r="J112" s="0"/>
      <c r="K112" s="0"/>
      <c r="L112" s="0"/>
      <c r="M112" s="0"/>
      <c r="N112" s="0"/>
      <c r="O112" s="736" t="n">
        <v>0</v>
      </c>
      <c r="P112" s="739"/>
      <c r="Q112" s="736" t="n">
        <f aca="false">+O112*SpotRates!$D$36</f>
        <v>0</v>
      </c>
      <c r="R112" s="59"/>
      <c r="S112" s="736"/>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row>
    <row r="113" customFormat="false" ht="12.75" hidden="false" customHeight="true" outlineLevel="0" collapsed="false">
      <c r="F113" s="59"/>
      <c r="H113" s="59"/>
      <c r="I113" s="59"/>
      <c r="J113" s="59"/>
      <c r="K113" s="98"/>
      <c r="L113" s="98"/>
      <c r="M113" s="60"/>
      <c r="N113" s="59"/>
      <c r="O113" s="736"/>
      <c r="P113" s="59"/>
      <c r="Q113" s="736"/>
      <c r="R113" s="59"/>
      <c r="S113" s="0"/>
    </row>
    <row r="114" customFormat="false" ht="12.75" hidden="false" customHeight="true" outlineLevel="0" collapsed="false">
      <c r="C114" s="737" t="n">
        <v>36831</v>
      </c>
      <c r="G114" s="725" t="s">
        <v>525</v>
      </c>
      <c r="H114" s="59"/>
      <c r="I114" s="738"/>
      <c r="J114" s="0"/>
      <c r="K114" s="0"/>
      <c r="L114" s="0"/>
      <c r="M114" s="0"/>
      <c r="N114" s="0"/>
      <c r="O114" s="739" t="n">
        <v>0</v>
      </c>
      <c r="P114" s="739"/>
      <c r="Q114" s="736" t="n">
        <f aca="false">O114*R114</f>
        <v>0</v>
      </c>
      <c r="R114" s="741" t="n">
        <f aca="false">VLOOKUP(C114,SpotRates!$A$4:$D$34,4,FALSE())</f>
        <v>1.5332</v>
      </c>
      <c r="S114" s="736" t="n">
        <f aca="false">+(SpotRates!$D$36-'Orig Sched'!R114)*'Orig Sched'!O114</f>
        <v>0</v>
      </c>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c r="IW114" s="0"/>
    </row>
    <row r="115" customFormat="false" ht="12.75" hidden="false" customHeight="true" outlineLevel="0" collapsed="false">
      <c r="C115" s="737"/>
      <c r="F115" s="0"/>
      <c r="G115" s="714" t="s">
        <v>529</v>
      </c>
      <c r="H115" s="0"/>
      <c r="I115" s="0"/>
      <c r="J115" s="0"/>
      <c r="K115" s="0"/>
      <c r="L115" s="0"/>
      <c r="M115" s="0"/>
      <c r="N115" s="0"/>
      <c r="O115" s="736" t="n">
        <v>0</v>
      </c>
      <c r="P115" s="739"/>
      <c r="Q115" s="736" t="n">
        <f aca="false">+O115*SpotRates!$D$36</f>
        <v>0</v>
      </c>
      <c r="R115" s="59"/>
      <c r="S115" s="736"/>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c r="IW115" s="0"/>
    </row>
    <row r="116" customFormat="false" ht="12.75" hidden="false" customHeight="true" outlineLevel="0" collapsed="false">
      <c r="C116" s="737"/>
      <c r="F116" s="59"/>
      <c r="H116" s="59"/>
      <c r="I116" s="59"/>
      <c r="J116" s="59"/>
      <c r="K116" s="98"/>
      <c r="L116" s="98"/>
      <c r="M116" s="60"/>
      <c r="N116" s="59"/>
      <c r="O116" s="736"/>
      <c r="P116" s="59"/>
      <c r="Q116" s="736"/>
      <c r="R116" s="59"/>
      <c r="S116" s="0"/>
    </row>
    <row r="117" customFormat="false" ht="12.75" hidden="false" customHeight="true" outlineLevel="0" collapsed="false">
      <c r="C117" s="737" t="n">
        <v>36831</v>
      </c>
      <c r="G117" s="725" t="s">
        <v>525</v>
      </c>
      <c r="H117" s="59"/>
      <c r="I117" s="738"/>
      <c r="J117" s="0"/>
      <c r="K117" s="0"/>
      <c r="L117" s="0"/>
      <c r="M117" s="0"/>
      <c r="N117" s="0"/>
      <c r="O117" s="739" t="n">
        <v>0</v>
      </c>
      <c r="P117" s="739"/>
      <c r="Q117" s="736" t="n">
        <f aca="false">O117*R117</f>
        <v>0</v>
      </c>
      <c r="R117" s="741" t="n">
        <f aca="false">VLOOKUP(C117,SpotRates!$A$4:$D$34,4,FALSE())</f>
        <v>1.5332</v>
      </c>
      <c r="S117" s="736" t="n">
        <f aca="false">+(SpotRates!$D$36-'Orig Sched'!R117)*'Orig Sched'!O117</f>
        <v>0</v>
      </c>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c r="IW117" s="0"/>
    </row>
    <row r="118" customFormat="false" ht="12.75" hidden="false" customHeight="true" outlineLevel="0" collapsed="false">
      <c r="C118" s="737"/>
      <c r="F118" s="0"/>
      <c r="G118" s="714" t="s">
        <v>529</v>
      </c>
      <c r="H118" s="0"/>
      <c r="I118" s="0"/>
      <c r="J118" s="0"/>
      <c r="K118" s="0"/>
      <c r="L118" s="0"/>
      <c r="M118" s="0"/>
      <c r="N118" s="0"/>
      <c r="O118" s="736" t="n">
        <v>0</v>
      </c>
      <c r="P118" s="739"/>
      <c r="Q118" s="736" t="n">
        <f aca="false">+O118*SpotRates!$D$36</f>
        <v>0</v>
      </c>
      <c r="R118" s="59"/>
      <c r="S118" s="736"/>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c r="IW118" s="0"/>
    </row>
    <row r="119" customFormat="false" ht="12.75" hidden="false" customHeight="true" outlineLevel="0" collapsed="false">
      <c r="F119" s="59"/>
      <c r="H119" s="59"/>
      <c r="I119" s="59"/>
      <c r="J119" s="59"/>
      <c r="K119" s="98"/>
      <c r="L119" s="98"/>
      <c r="M119" s="60"/>
      <c r="N119" s="59"/>
      <c r="O119" s="736"/>
      <c r="P119" s="59"/>
      <c r="Q119" s="736"/>
      <c r="R119" s="59"/>
      <c r="S119" s="0"/>
    </row>
    <row r="120" customFormat="false" ht="12.75" hidden="false" customHeight="true" outlineLevel="0" collapsed="false">
      <c r="C120" s="737" t="n">
        <v>36831</v>
      </c>
      <c r="G120" s="725" t="s">
        <v>525</v>
      </c>
      <c r="H120" s="59"/>
      <c r="I120" s="738"/>
      <c r="J120" s="0"/>
      <c r="K120" s="0"/>
      <c r="L120" s="0"/>
      <c r="M120" s="0"/>
      <c r="N120" s="0"/>
      <c r="O120" s="739" t="n">
        <v>0</v>
      </c>
      <c r="P120" s="739"/>
      <c r="Q120" s="736" t="n">
        <f aca="false">O120*R120</f>
        <v>0</v>
      </c>
      <c r="R120" s="741" t="n">
        <f aca="false">VLOOKUP(C120,SpotRates!$A$4:$D$34,4,FALSE())</f>
        <v>1.5332</v>
      </c>
      <c r="S120" s="736" t="n">
        <f aca="false">+(SpotRates!$D$36-'Orig Sched'!R120)*'Orig Sched'!O120</f>
        <v>0</v>
      </c>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c r="IW120" s="0"/>
    </row>
    <row r="121" customFormat="false" ht="12.75" hidden="false" customHeight="true" outlineLevel="0" collapsed="false">
      <c r="C121" s="737"/>
      <c r="F121" s="0"/>
      <c r="G121" s="714" t="s">
        <v>529</v>
      </c>
      <c r="H121" s="0"/>
      <c r="I121" s="0"/>
      <c r="J121" s="0"/>
      <c r="K121" s="0"/>
      <c r="L121" s="0"/>
      <c r="M121" s="0"/>
      <c r="N121" s="0"/>
      <c r="O121" s="736" t="n">
        <v>0</v>
      </c>
      <c r="P121" s="739"/>
      <c r="Q121" s="736" t="n">
        <f aca="false">+O121*SpotRates!$D$36</f>
        <v>0</v>
      </c>
      <c r="R121" s="59"/>
      <c r="S121" s="736"/>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c r="IW121" s="0"/>
    </row>
    <row r="122" customFormat="false" ht="12.75" hidden="false" customHeight="true" outlineLevel="0" collapsed="false">
      <c r="F122" s="59"/>
      <c r="H122" s="59"/>
      <c r="I122" s="59"/>
      <c r="J122" s="59"/>
      <c r="K122" s="98"/>
      <c r="L122" s="98"/>
      <c r="M122" s="60"/>
      <c r="N122" s="59"/>
      <c r="O122" s="736"/>
      <c r="P122" s="59"/>
      <c r="Q122" s="736"/>
      <c r="R122" s="59"/>
      <c r="S122" s="0"/>
    </row>
    <row r="123" customFormat="false" ht="12.75" hidden="false" customHeight="true" outlineLevel="0" collapsed="false">
      <c r="C123" s="737" t="n">
        <v>36831</v>
      </c>
      <c r="E123" s="751"/>
      <c r="G123" s="725" t="s">
        <v>525</v>
      </c>
      <c r="H123" s="59"/>
      <c r="I123" s="738"/>
      <c r="J123" s="0"/>
      <c r="K123" s="0"/>
      <c r="L123" s="0"/>
      <c r="M123" s="0"/>
      <c r="N123" s="0"/>
      <c r="O123" s="739" t="n">
        <v>0</v>
      </c>
      <c r="P123" s="739"/>
      <c r="Q123" s="736" t="n">
        <f aca="false">O123*R123</f>
        <v>0</v>
      </c>
      <c r="R123" s="741" t="n">
        <f aca="false">VLOOKUP(C123,SpotRates!$A$4:$D$34,4,FALSE())</f>
        <v>1.5332</v>
      </c>
      <c r="S123" s="736" t="n">
        <f aca="false">+(SpotRates!$D$36-'Orig Sched'!R123)*'Orig Sched'!O123</f>
        <v>0</v>
      </c>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c r="IW123" s="0"/>
    </row>
    <row r="124" customFormat="false" ht="12.75" hidden="false" customHeight="true" outlineLevel="0" collapsed="false">
      <c r="C124" s="737"/>
      <c r="F124" s="0"/>
      <c r="G124" s="714" t="s">
        <v>529</v>
      </c>
      <c r="H124" s="0"/>
      <c r="I124" s="0"/>
      <c r="J124" s="0"/>
      <c r="K124" s="0"/>
      <c r="L124" s="0"/>
      <c r="M124" s="0"/>
      <c r="N124" s="0"/>
      <c r="O124" s="736" t="n">
        <v>0</v>
      </c>
      <c r="P124" s="739"/>
      <c r="Q124" s="736" t="n">
        <f aca="false">+O124*SpotRates!$D$36</f>
        <v>0</v>
      </c>
      <c r="R124" s="59"/>
      <c r="S124" s="736"/>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c r="IW124" s="0"/>
    </row>
    <row r="125" customFormat="false" ht="12.75" hidden="false" customHeight="true" outlineLevel="0" collapsed="false">
      <c r="F125" s="59"/>
      <c r="H125" s="59"/>
      <c r="I125" s="59"/>
      <c r="J125" s="59"/>
      <c r="K125" s="98"/>
      <c r="L125" s="98"/>
      <c r="M125" s="60"/>
      <c r="N125" s="59"/>
      <c r="O125" s="736"/>
      <c r="P125" s="59"/>
      <c r="Q125" s="736"/>
      <c r="R125" s="59"/>
      <c r="S125" s="0"/>
    </row>
    <row r="126" customFormat="false" ht="12.75" hidden="false" customHeight="true" outlineLevel="0" collapsed="false">
      <c r="C126" s="737" t="n">
        <v>36831</v>
      </c>
      <c r="G126" s="725" t="s">
        <v>525</v>
      </c>
      <c r="H126" s="59"/>
      <c r="I126" s="738"/>
      <c r="J126" s="0"/>
      <c r="K126" s="0"/>
      <c r="L126" s="0"/>
      <c r="M126" s="0"/>
      <c r="N126" s="0"/>
      <c r="O126" s="739" t="n">
        <v>0</v>
      </c>
      <c r="P126" s="739"/>
      <c r="Q126" s="736" t="n">
        <f aca="false">O126*R126</f>
        <v>0</v>
      </c>
      <c r="R126" s="741" t="n">
        <f aca="false">VLOOKUP(C126,SpotRates!$A$4:$D$34,4,FALSE())</f>
        <v>1.5332</v>
      </c>
      <c r="S126" s="736" t="n">
        <f aca="false">+(SpotRates!$D$36-'Orig Sched'!R126)*'Orig Sched'!O126</f>
        <v>0</v>
      </c>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row>
    <row r="127" customFormat="false" ht="12.75" hidden="false" customHeight="true" outlineLevel="0" collapsed="false">
      <c r="C127" s="737"/>
      <c r="F127" s="0"/>
      <c r="G127" s="714" t="s">
        <v>529</v>
      </c>
      <c r="H127" s="0"/>
      <c r="I127" s="0"/>
      <c r="J127" s="0"/>
      <c r="K127" s="0"/>
      <c r="L127" s="0"/>
      <c r="M127" s="0"/>
      <c r="N127" s="0"/>
      <c r="O127" s="736" t="n">
        <v>0</v>
      </c>
      <c r="P127" s="739"/>
      <c r="Q127" s="736" t="n">
        <f aca="false">+O127*SpotRates!$D$36</f>
        <v>0</v>
      </c>
      <c r="R127" s="59"/>
      <c r="S127" s="736"/>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row>
    <row r="128" customFormat="false" ht="12.75" hidden="false" customHeight="true" outlineLevel="0" collapsed="false">
      <c r="F128" s="59"/>
      <c r="H128" s="59"/>
      <c r="I128" s="59"/>
      <c r="J128" s="59"/>
      <c r="K128" s="98"/>
      <c r="L128" s="98"/>
      <c r="M128" s="60"/>
      <c r="N128" s="59"/>
      <c r="O128" s="736"/>
      <c r="P128" s="59"/>
      <c r="Q128" s="736"/>
      <c r="R128" s="59"/>
      <c r="S128" s="0"/>
    </row>
    <row r="129" customFormat="false" ht="12.75" hidden="false" customHeight="true" outlineLevel="0" collapsed="false">
      <c r="C129" s="737" t="n">
        <v>36831</v>
      </c>
      <c r="G129" s="725" t="s">
        <v>525</v>
      </c>
      <c r="H129" s="59"/>
      <c r="I129" s="738"/>
      <c r="J129" s="0"/>
      <c r="K129" s="0"/>
      <c r="L129" s="0"/>
      <c r="M129" s="0"/>
      <c r="N129" s="0"/>
      <c r="O129" s="739" t="n">
        <v>0</v>
      </c>
      <c r="P129" s="739"/>
      <c r="Q129" s="736" t="n">
        <f aca="false">O129*R129</f>
        <v>0</v>
      </c>
      <c r="R129" s="741" t="n">
        <f aca="false">VLOOKUP(C129,SpotRates!$A$4:$D$34,4,FALSE())</f>
        <v>1.5332</v>
      </c>
      <c r="S129" s="736" t="n">
        <f aca="false">+(SpotRates!$D$36-'Orig Sched'!R129)*'Orig Sched'!O129</f>
        <v>0</v>
      </c>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row>
    <row r="130" customFormat="false" ht="12.75" hidden="false" customHeight="true" outlineLevel="0" collapsed="false">
      <c r="C130" s="737"/>
      <c r="F130" s="0"/>
      <c r="G130" s="714" t="s">
        <v>529</v>
      </c>
      <c r="H130" s="0"/>
      <c r="I130" s="0"/>
      <c r="J130" s="0"/>
      <c r="K130" s="0"/>
      <c r="L130" s="0"/>
      <c r="M130" s="0"/>
      <c r="N130" s="0"/>
      <c r="O130" s="736" t="n">
        <v>0</v>
      </c>
      <c r="P130" s="739"/>
      <c r="Q130" s="736" t="n">
        <f aca="false">+O130*SpotRates!$D$36</f>
        <v>0</v>
      </c>
      <c r="R130" s="59"/>
      <c r="S130" s="736"/>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row>
    <row r="131" customFormat="false" ht="12.75" hidden="false" customHeight="true" outlineLevel="0" collapsed="false">
      <c r="F131" s="59"/>
      <c r="H131" s="59"/>
      <c r="I131" s="59"/>
      <c r="J131" s="59"/>
      <c r="K131" s="98"/>
      <c r="L131" s="98"/>
      <c r="M131" s="60"/>
      <c r="N131" s="59"/>
      <c r="O131" s="736"/>
      <c r="P131" s="59"/>
      <c r="Q131" s="736"/>
      <c r="R131" s="59"/>
      <c r="S131" s="0"/>
    </row>
    <row r="132" customFormat="false" ht="12.75" hidden="false" customHeight="true" outlineLevel="0" collapsed="false">
      <c r="C132" s="737" t="n">
        <v>36831</v>
      </c>
      <c r="E132" s="751"/>
      <c r="G132" s="725" t="s">
        <v>525</v>
      </c>
      <c r="H132" s="59"/>
      <c r="I132" s="738"/>
      <c r="J132" s="0"/>
      <c r="K132" s="0"/>
      <c r="L132" s="0"/>
      <c r="M132" s="0"/>
      <c r="N132" s="0"/>
      <c r="O132" s="739" t="n">
        <v>0</v>
      </c>
      <c r="P132" s="739"/>
      <c r="Q132" s="736" t="n">
        <f aca="false">O132*R132</f>
        <v>0</v>
      </c>
      <c r="R132" s="741" t="n">
        <f aca="false">VLOOKUP(C132,SpotRates!$A$4:$D$34,4,FALSE())</f>
        <v>1.5332</v>
      </c>
      <c r="S132" s="736" t="n">
        <f aca="false">+(SpotRates!$D$36-'Orig Sched'!R132)*'Orig Sched'!O132</f>
        <v>0</v>
      </c>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row>
    <row r="133" customFormat="false" ht="12.75" hidden="false" customHeight="true" outlineLevel="0" collapsed="false">
      <c r="C133" s="737"/>
      <c r="F133" s="0"/>
      <c r="G133" s="714" t="s">
        <v>529</v>
      </c>
      <c r="H133" s="0"/>
      <c r="I133" s="0"/>
      <c r="J133" s="0"/>
      <c r="K133" s="0"/>
      <c r="L133" s="0"/>
      <c r="M133" s="0"/>
      <c r="N133" s="0"/>
      <c r="O133" s="736" t="n">
        <v>0</v>
      </c>
      <c r="P133" s="739"/>
      <c r="Q133" s="736" t="n">
        <f aca="false">+O133*SpotRates!$D$36</f>
        <v>0</v>
      </c>
      <c r="R133" s="59"/>
      <c r="S133" s="736"/>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row>
    <row r="134" customFormat="false" ht="12.75" hidden="false" customHeight="true" outlineLevel="0" collapsed="false">
      <c r="F134" s="59"/>
      <c r="H134" s="59"/>
      <c r="I134" s="59"/>
      <c r="J134" s="59"/>
      <c r="K134" s="98"/>
      <c r="L134" s="98"/>
      <c r="M134" s="60"/>
      <c r="N134" s="59"/>
      <c r="O134" s="736"/>
      <c r="P134" s="59"/>
      <c r="Q134" s="736"/>
      <c r="R134" s="59"/>
      <c r="S134" s="0"/>
    </row>
    <row r="135" customFormat="false" ht="12.75" hidden="false" customHeight="true" outlineLevel="0" collapsed="false">
      <c r="C135" s="737" t="n">
        <v>36831</v>
      </c>
      <c r="G135" s="725" t="s">
        <v>525</v>
      </c>
      <c r="H135" s="59"/>
      <c r="I135" s="738"/>
      <c r="J135" s="0"/>
      <c r="K135" s="0"/>
      <c r="L135" s="0"/>
      <c r="M135" s="0"/>
      <c r="N135" s="0"/>
      <c r="O135" s="739" t="n">
        <v>0</v>
      </c>
      <c r="P135" s="739"/>
      <c r="Q135" s="736" t="n">
        <f aca="false">O135*R135</f>
        <v>0</v>
      </c>
      <c r="R135" s="741" t="n">
        <f aca="false">VLOOKUP(C135,SpotRates!$A$4:$D$34,4,FALSE())</f>
        <v>1.5332</v>
      </c>
      <c r="S135" s="736" t="n">
        <f aca="false">+(SpotRates!$D$36-'Orig Sched'!R135)*'Orig Sched'!O135</f>
        <v>0</v>
      </c>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row>
    <row r="136" customFormat="false" ht="12.75" hidden="false" customHeight="true" outlineLevel="0" collapsed="false">
      <c r="C136" s="737"/>
      <c r="F136" s="0"/>
      <c r="G136" s="714" t="s">
        <v>529</v>
      </c>
      <c r="H136" s="0"/>
      <c r="I136" s="0"/>
      <c r="J136" s="0"/>
      <c r="K136" s="0"/>
      <c r="L136" s="0"/>
      <c r="M136" s="0"/>
      <c r="N136" s="0"/>
      <c r="O136" s="736" t="n">
        <v>0</v>
      </c>
      <c r="P136" s="739"/>
      <c r="Q136" s="736" t="n">
        <f aca="false">+O136*SpotRates!$D$36</f>
        <v>0</v>
      </c>
      <c r="R136" s="59"/>
      <c r="S136" s="736"/>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row>
    <row r="137" customFormat="false" ht="12.75" hidden="false" customHeight="true" outlineLevel="0" collapsed="false">
      <c r="F137" s="59"/>
      <c r="H137" s="59"/>
      <c r="I137" s="59"/>
      <c r="J137" s="59"/>
      <c r="K137" s="98"/>
      <c r="L137" s="98"/>
      <c r="M137" s="60"/>
      <c r="N137" s="59"/>
      <c r="O137" s="736"/>
      <c r="P137" s="59"/>
      <c r="Q137" s="736"/>
      <c r="R137" s="59"/>
      <c r="S137" s="0"/>
    </row>
    <row r="138" customFormat="false" ht="12.75" hidden="false" customHeight="true" outlineLevel="0" collapsed="false">
      <c r="C138" s="737" t="n">
        <v>36831</v>
      </c>
      <c r="G138" s="725" t="s">
        <v>525</v>
      </c>
      <c r="H138" s="59"/>
      <c r="I138" s="738"/>
      <c r="J138" s="0"/>
      <c r="K138" s="0"/>
      <c r="L138" s="0"/>
      <c r="M138" s="0"/>
      <c r="N138" s="0"/>
      <c r="O138" s="739" t="n">
        <v>0</v>
      </c>
      <c r="P138" s="739"/>
      <c r="Q138" s="736" t="n">
        <f aca="false">O138*R138</f>
        <v>0</v>
      </c>
      <c r="R138" s="741" t="n">
        <f aca="false">VLOOKUP(C138,SpotRates!$A$4:$D$34,4,FALSE())</f>
        <v>1.5332</v>
      </c>
      <c r="S138" s="736" t="n">
        <f aca="false">+(SpotRates!$D$36-'Orig Sched'!R138)*'Orig Sched'!O138</f>
        <v>0</v>
      </c>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row>
    <row r="139" customFormat="false" ht="12.75" hidden="false" customHeight="true" outlineLevel="0" collapsed="false">
      <c r="C139" s="737"/>
      <c r="F139" s="0"/>
      <c r="G139" s="714" t="s">
        <v>529</v>
      </c>
      <c r="H139" s="0"/>
      <c r="I139" s="0"/>
      <c r="J139" s="0"/>
      <c r="K139" s="0"/>
      <c r="L139" s="0"/>
      <c r="M139" s="0"/>
      <c r="N139" s="0"/>
      <c r="O139" s="736" t="n">
        <v>0</v>
      </c>
      <c r="P139" s="739"/>
      <c r="Q139" s="736" t="n">
        <f aca="false">+O139*SpotRates!$D$36</f>
        <v>0</v>
      </c>
      <c r="R139" s="59"/>
      <c r="S139" s="736"/>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row>
    <row r="140" customFormat="false" ht="12.75" hidden="false" customHeight="true" outlineLevel="0" collapsed="false">
      <c r="F140" s="59"/>
      <c r="H140" s="59"/>
      <c r="I140" s="59"/>
      <c r="J140" s="59"/>
      <c r="K140" s="98"/>
      <c r="L140" s="98"/>
      <c r="M140" s="60"/>
      <c r="N140" s="59"/>
      <c r="O140" s="736"/>
      <c r="P140" s="59"/>
      <c r="Q140" s="736"/>
      <c r="R140" s="59"/>
      <c r="S140" s="0"/>
    </row>
    <row r="141" customFormat="false" ht="12.75" hidden="false" customHeight="true" outlineLevel="0" collapsed="false">
      <c r="C141" s="737" t="n">
        <v>36831</v>
      </c>
      <c r="G141" s="725" t="s">
        <v>525</v>
      </c>
      <c r="H141" s="59"/>
      <c r="I141" s="738"/>
      <c r="J141" s="0"/>
      <c r="K141" s="0"/>
      <c r="L141" s="0"/>
      <c r="M141" s="0"/>
      <c r="N141" s="0"/>
      <c r="O141" s="739" t="n">
        <v>0</v>
      </c>
      <c r="P141" s="739"/>
      <c r="Q141" s="736" t="n">
        <f aca="false">O141*R141</f>
        <v>0</v>
      </c>
      <c r="R141" s="741" t="n">
        <f aca="false">VLOOKUP(C141,SpotRates!$A$4:$D$34,4,FALSE())</f>
        <v>1.5332</v>
      </c>
      <c r="S141" s="736" t="n">
        <f aca="false">+(SpotRates!$D$36-'Orig Sched'!R141)*'Orig Sched'!O141</f>
        <v>0</v>
      </c>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row>
    <row r="142" customFormat="false" ht="12.75" hidden="false" customHeight="true" outlineLevel="0" collapsed="false">
      <c r="C142" s="737"/>
      <c r="F142" s="0"/>
      <c r="G142" s="714" t="s">
        <v>529</v>
      </c>
      <c r="H142" s="0"/>
      <c r="I142" s="0"/>
      <c r="J142" s="0"/>
      <c r="K142" s="0"/>
      <c r="L142" s="0"/>
      <c r="M142" s="0"/>
      <c r="N142" s="0"/>
      <c r="O142" s="736" t="n">
        <v>0</v>
      </c>
      <c r="P142" s="739"/>
      <c r="Q142" s="736" t="n">
        <f aca="false">+O142*SpotRates!$D$36</f>
        <v>0</v>
      </c>
      <c r="R142" s="59"/>
      <c r="S142" s="736"/>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c r="IW142" s="0"/>
    </row>
    <row r="143" customFormat="false" ht="12.75" hidden="false" customHeight="true" outlineLevel="0" collapsed="false">
      <c r="F143" s="59"/>
      <c r="H143" s="59"/>
      <c r="I143" s="59"/>
      <c r="J143" s="59"/>
      <c r="K143" s="98"/>
      <c r="L143" s="98"/>
      <c r="M143" s="60"/>
      <c r="N143" s="59"/>
      <c r="O143" s="736"/>
      <c r="P143" s="59"/>
      <c r="Q143" s="736"/>
      <c r="R143" s="59"/>
      <c r="S143" s="0"/>
    </row>
    <row r="144" customFormat="false" ht="12.75" hidden="false" customHeight="true" outlineLevel="0" collapsed="false">
      <c r="C144" s="737" t="n">
        <v>36831</v>
      </c>
      <c r="D144" s="714" t="s">
        <v>546</v>
      </c>
      <c r="G144" s="725" t="s">
        <v>525</v>
      </c>
      <c r="H144" s="59"/>
      <c r="I144" s="738"/>
      <c r="J144" s="0"/>
      <c r="K144" s="0"/>
      <c r="L144" s="0"/>
      <c r="M144" s="0"/>
      <c r="N144" s="0"/>
      <c r="O144" s="739" t="n">
        <v>0</v>
      </c>
      <c r="P144" s="739"/>
      <c r="Q144" s="736" t="n">
        <f aca="false">O144*R144</f>
        <v>0</v>
      </c>
      <c r="R144" s="741" t="n">
        <f aca="false">VLOOKUP(C144,SpotRates!$A$4:$D$34,4,FALSE())</f>
        <v>1.5332</v>
      </c>
      <c r="S144" s="736" t="n">
        <f aca="false">+(SpotRates!$D$36-'Orig Sched'!R144)*'Orig Sched'!O144</f>
        <v>0</v>
      </c>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row>
    <row r="145" customFormat="false" ht="12.75" hidden="false" customHeight="true" outlineLevel="0" collapsed="false">
      <c r="C145" s="737"/>
      <c r="F145" s="0"/>
      <c r="G145" s="714" t="s">
        <v>529</v>
      </c>
      <c r="H145" s="0"/>
      <c r="I145" s="0"/>
      <c r="J145" s="0"/>
      <c r="K145" s="0"/>
      <c r="L145" s="0"/>
      <c r="M145" s="0"/>
      <c r="N145" s="0"/>
      <c r="O145" s="736" t="n">
        <v>0</v>
      </c>
      <c r="P145" s="739"/>
      <c r="Q145" s="736" t="n">
        <f aca="false">+O145*SpotRates!$D$36</f>
        <v>0</v>
      </c>
      <c r="R145" s="59"/>
      <c r="S145" s="736"/>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c r="IW145" s="0"/>
    </row>
    <row r="146" customFormat="false" ht="12.75" hidden="false" customHeight="true" outlineLevel="0" collapsed="false">
      <c r="F146" s="59"/>
      <c r="H146" s="59"/>
      <c r="I146" s="59"/>
      <c r="J146" s="59"/>
      <c r="K146" s="98"/>
      <c r="L146" s="98"/>
      <c r="M146" s="60"/>
      <c r="N146" s="59"/>
      <c r="O146" s="736"/>
      <c r="P146" s="59"/>
      <c r="Q146" s="736"/>
      <c r="R146" s="59"/>
      <c r="S146" s="0"/>
    </row>
    <row r="147" customFormat="false" ht="12.75" hidden="false" customHeight="true" outlineLevel="0" collapsed="false">
      <c r="C147" s="737" t="n">
        <v>36831</v>
      </c>
      <c r="G147" s="725" t="s">
        <v>525</v>
      </c>
      <c r="H147" s="59"/>
      <c r="I147" s="738"/>
      <c r="J147" s="0"/>
      <c r="K147" s="0"/>
      <c r="L147" s="0"/>
      <c r="M147" s="0"/>
      <c r="N147" s="0"/>
      <c r="O147" s="739" t="n">
        <v>0</v>
      </c>
      <c r="P147" s="739"/>
      <c r="Q147" s="736" t="n">
        <f aca="false">O147*R147</f>
        <v>0</v>
      </c>
      <c r="R147" s="741" t="n">
        <f aca="false">VLOOKUP(C147,SpotRates!$A$4:$D$34,4,FALSE())</f>
        <v>1.5332</v>
      </c>
      <c r="S147" s="736" t="n">
        <f aca="false">+(SpotRates!$D$36-'Orig Sched'!R147)*'Orig Sched'!O147</f>
        <v>0</v>
      </c>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row>
    <row r="148" customFormat="false" ht="12.75" hidden="false" customHeight="true" outlineLevel="0" collapsed="false">
      <c r="C148" s="737"/>
      <c r="F148" s="0"/>
      <c r="G148" s="714" t="s">
        <v>529</v>
      </c>
      <c r="H148" s="0"/>
      <c r="I148" s="0"/>
      <c r="J148" s="0"/>
      <c r="K148" s="0"/>
      <c r="L148" s="0"/>
      <c r="M148" s="0"/>
      <c r="N148" s="0"/>
      <c r="O148" s="736" t="n">
        <v>0</v>
      </c>
      <c r="P148" s="739"/>
      <c r="Q148" s="736" t="n">
        <f aca="false">+O148*SpotRates!$D$36</f>
        <v>0</v>
      </c>
      <c r="R148" s="59"/>
      <c r="S148" s="736"/>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row>
    <row r="149" customFormat="false" ht="12.75" hidden="false" customHeight="true" outlineLevel="0" collapsed="false">
      <c r="F149" s="59"/>
      <c r="H149" s="59"/>
      <c r="I149" s="59"/>
      <c r="J149" s="59"/>
      <c r="K149" s="98"/>
      <c r="L149" s="98"/>
      <c r="M149" s="60"/>
      <c r="N149" s="59"/>
      <c r="O149" s="736"/>
      <c r="P149" s="59"/>
      <c r="Q149" s="736"/>
      <c r="R149" s="59"/>
      <c r="S149" s="0"/>
    </row>
    <row r="150" customFormat="false" ht="12.75" hidden="false" customHeight="true" outlineLevel="0" collapsed="false">
      <c r="C150" s="737" t="n">
        <v>36831</v>
      </c>
      <c r="G150" s="725" t="s">
        <v>525</v>
      </c>
      <c r="H150" s="59"/>
      <c r="I150" s="738"/>
      <c r="J150" s="0"/>
      <c r="K150" s="0"/>
      <c r="L150" s="0"/>
      <c r="M150" s="0"/>
      <c r="N150" s="0"/>
      <c r="O150" s="739" t="n">
        <v>0</v>
      </c>
      <c r="P150" s="739"/>
      <c r="Q150" s="736" t="n">
        <f aca="false">O150*R150</f>
        <v>0</v>
      </c>
      <c r="R150" s="741" t="n">
        <f aca="false">VLOOKUP(C150,SpotRates!$A$4:$D$34,4,FALSE())</f>
        <v>1.5332</v>
      </c>
      <c r="S150" s="736" t="n">
        <f aca="false">+(SpotRates!$D$36-'Orig Sched'!R150)*'Orig Sched'!O150</f>
        <v>0</v>
      </c>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c r="IW150" s="0"/>
    </row>
    <row r="151" customFormat="false" ht="12.75" hidden="false" customHeight="true" outlineLevel="0" collapsed="false">
      <c r="C151" s="737"/>
      <c r="F151" s="0"/>
      <c r="G151" s="714" t="s">
        <v>529</v>
      </c>
      <c r="H151" s="0"/>
      <c r="I151" s="0"/>
      <c r="J151" s="0"/>
      <c r="K151" s="0"/>
      <c r="L151" s="0"/>
      <c r="M151" s="0"/>
      <c r="N151" s="0"/>
      <c r="O151" s="736" t="n">
        <v>0</v>
      </c>
      <c r="P151" s="739"/>
      <c r="Q151" s="736" t="n">
        <f aca="false">+O151*SpotRates!$D$36</f>
        <v>0</v>
      </c>
      <c r="R151" s="59"/>
      <c r="S151" s="736"/>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c r="IW151" s="0"/>
    </row>
    <row r="152" customFormat="false" ht="12.75" hidden="false" customHeight="true" outlineLevel="0" collapsed="false">
      <c r="F152" s="59"/>
      <c r="H152" s="59"/>
      <c r="I152" s="59"/>
      <c r="J152" s="59"/>
      <c r="K152" s="98"/>
      <c r="L152" s="98"/>
      <c r="M152" s="60"/>
      <c r="N152" s="59"/>
      <c r="O152" s="736"/>
      <c r="P152" s="59"/>
      <c r="Q152" s="736"/>
      <c r="R152" s="59"/>
      <c r="S152" s="0"/>
    </row>
    <row r="153" customFormat="false" ht="12.75" hidden="false" customHeight="true" outlineLevel="0" collapsed="false">
      <c r="C153" s="737" t="n">
        <v>36831</v>
      </c>
      <c r="G153" s="725" t="s">
        <v>525</v>
      </c>
      <c r="H153" s="59"/>
      <c r="I153" s="738"/>
      <c r="J153" s="0"/>
      <c r="K153" s="0"/>
      <c r="L153" s="0"/>
      <c r="M153" s="0"/>
      <c r="N153" s="0"/>
      <c r="O153" s="739" t="n">
        <v>0</v>
      </c>
      <c r="P153" s="739"/>
      <c r="Q153" s="736" t="n">
        <f aca="false">O153*R153</f>
        <v>0</v>
      </c>
      <c r="R153" s="741" t="n">
        <f aca="false">VLOOKUP(C153,SpotRates!$A$4:$D$34,4,FALSE())</f>
        <v>1.5332</v>
      </c>
      <c r="S153" s="736" t="n">
        <f aca="false">+(SpotRates!$D$36-'Orig Sched'!R153)*'Orig Sched'!O153</f>
        <v>0</v>
      </c>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c r="IW153" s="0"/>
    </row>
    <row r="154" customFormat="false" ht="12.75" hidden="false" customHeight="true" outlineLevel="0" collapsed="false">
      <c r="C154" s="737"/>
      <c r="F154" s="0"/>
      <c r="G154" s="714" t="s">
        <v>529</v>
      </c>
      <c r="H154" s="0"/>
      <c r="I154" s="0"/>
      <c r="J154" s="0"/>
      <c r="K154" s="0"/>
      <c r="L154" s="0"/>
      <c r="M154" s="0"/>
      <c r="N154" s="0"/>
      <c r="O154" s="736" t="n">
        <v>0</v>
      </c>
      <c r="P154" s="739"/>
      <c r="Q154" s="736" t="n">
        <f aca="false">+O154*SpotRates!$D$36</f>
        <v>0</v>
      </c>
      <c r="R154" s="59"/>
      <c r="S154" s="736"/>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c r="IW154" s="0"/>
    </row>
    <row r="155" customFormat="false" ht="12.75" hidden="false" customHeight="true" outlineLevel="0" collapsed="false">
      <c r="F155" s="59"/>
      <c r="H155" s="59"/>
      <c r="I155" s="59"/>
      <c r="J155" s="59"/>
      <c r="K155" s="98"/>
      <c r="L155" s="98"/>
      <c r="M155" s="60"/>
      <c r="N155" s="59"/>
      <c r="O155" s="736"/>
      <c r="P155" s="59"/>
      <c r="Q155" s="736"/>
      <c r="R155" s="59"/>
      <c r="S155" s="0"/>
    </row>
    <row r="156" customFormat="false" ht="12.75" hidden="false" customHeight="true" outlineLevel="0" collapsed="false">
      <c r="C156" s="737" t="n">
        <v>36831</v>
      </c>
      <c r="G156" s="725" t="s">
        <v>525</v>
      </c>
      <c r="H156" s="59"/>
      <c r="I156" s="738"/>
      <c r="J156" s="0"/>
      <c r="K156" s="0"/>
      <c r="L156" s="0"/>
      <c r="M156" s="0"/>
      <c r="N156" s="0"/>
      <c r="O156" s="739" t="n">
        <v>0</v>
      </c>
      <c r="P156" s="739"/>
      <c r="Q156" s="736" t="n">
        <f aca="false">O156*R156</f>
        <v>0</v>
      </c>
      <c r="R156" s="741" t="n">
        <f aca="false">VLOOKUP(C156,SpotRates!$A$4:$D$34,4,FALSE())</f>
        <v>1.5332</v>
      </c>
      <c r="S156" s="736" t="n">
        <f aca="false">+(SpotRates!$D$36-'Orig Sched'!R156)*'Orig Sched'!O156</f>
        <v>0</v>
      </c>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c r="IW156" s="0"/>
    </row>
    <row r="157" customFormat="false" ht="12.75" hidden="false" customHeight="true" outlineLevel="0" collapsed="false">
      <c r="C157" s="737"/>
      <c r="F157" s="0"/>
      <c r="G157" s="714" t="s">
        <v>529</v>
      </c>
      <c r="H157" s="0"/>
      <c r="I157" s="0"/>
      <c r="J157" s="0"/>
      <c r="K157" s="0"/>
      <c r="L157" s="0"/>
      <c r="M157" s="0"/>
      <c r="N157" s="0"/>
      <c r="O157" s="736" t="n">
        <v>0</v>
      </c>
      <c r="P157" s="739"/>
      <c r="Q157" s="736" t="n">
        <f aca="false">+O157*SpotRates!$D$36</f>
        <v>0</v>
      </c>
      <c r="R157" s="59"/>
      <c r="S157" s="736"/>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c r="IW157" s="0"/>
    </row>
    <row r="158" customFormat="false" ht="12.75" hidden="false" customHeight="true" outlineLevel="0" collapsed="false">
      <c r="F158" s="59"/>
      <c r="H158" s="59"/>
      <c r="I158" s="59"/>
      <c r="J158" s="59"/>
      <c r="K158" s="98"/>
      <c r="L158" s="98"/>
      <c r="M158" s="60"/>
      <c r="N158" s="59"/>
      <c r="O158" s="736"/>
      <c r="P158" s="59"/>
      <c r="Q158" s="736"/>
      <c r="R158" s="59"/>
      <c r="S158" s="0"/>
    </row>
    <row r="159" customFormat="false" ht="12.75" hidden="false" customHeight="true" outlineLevel="0" collapsed="false">
      <c r="C159" s="737" t="n">
        <v>36831</v>
      </c>
      <c r="G159" s="725" t="s">
        <v>525</v>
      </c>
      <c r="H159" s="59"/>
      <c r="I159" s="738"/>
      <c r="J159" s="0"/>
      <c r="K159" s="0"/>
      <c r="L159" s="0"/>
      <c r="M159" s="0"/>
      <c r="N159" s="0"/>
      <c r="O159" s="739" t="n">
        <v>0</v>
      </c>
      <c r="P159" s="739"/>
      <c r="Q159" s="736" t="n">
        <f aca="false">+O159*SpotRates!$D$36</f>
        <v>0</v>
      </c>
      <c r="R159" s="741" t="n">
        <f aca="false">VLOOKUP(C159,SpotRates!$A$4:$D$34,4,FALSE())</f>
        <v>1.5332</v>
      </c>
      <c r="S159" s="736" t="n">
        <f aca="false">+(SpotRates!$D$36-'Orig Sched'!R159)*'Orig Sched'!O159</f>
        <v>0</v>
      </c>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c r="IW159" s="0"/>
    </row>
    <row r="160" customFormat="false" ht="12.75" hidden="false" customHeight="true" outlineLevel="0" collapsed="false">
      <c r="C160" s="737"/>
      <c r="F160" s="0"/>
      <c r="G160" s="714" t="s">
        <v>529</v>
      </c>
      <c r="H160" s="0"/>
      <c r="I160" s="0"/>
      <c r="J160" s="0"/>
      <c r="K160" s="0"/>
      <c r="L160" s="0"/>
      <c r="M160" s="0"/>
      <c r="N160" s="0"/>
      <c r="O160" s="736" t="n">
        <v>0</v>
      </c>
      <c r="P160" s="739"/>
      <c r="Q160" s="736" t="n">
        <f aca="false">+O160*SpotRates!$D$36</f>
        <v>0</v>
      </c>
      <c r="R160" s="59"/>
      <c r="S160" s="736"/>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c r="IW160" s="0"/>
    </row>
    <row r="161" customFormat="false" ht="12.75" hidden="false" customHeight="true" outlineLevel="0" collapsed="false">
      <c r="F161" s="59"/>
      <c r="H161" s="59"/>
      <c r="I161" s="59"/>
      <c r="J161" s="59"/>
      <c r="K161" s="98"/>
      <c r="L161" s="98"/>
      <c r="M161" s="60"/>
      <c r="N161" s="59"/>
      <c r="O161" s="736"/>
      <c r="P161" s="59"/>
      <c r="Q161" s="736"/>
      <c r="R161" s="59"/>
      <c r="S161" s="0"/>
    </row>
    <row r="162" customFormat="false" ht="12.75" hidden="false" customHeight="true" outlineLevel="0" collapsed="false">
      <c r="C162" s="737" t="n">
        <v>36831</v>
      </c>
      <c r="G162" s="725" t="s">
        <v>525</v>
      </c>
      <c r="H162" s="59"/>
      <c r="I162" s="738"/>
      <c r="J162" s="0"/>
      <c r="K162" s="0"/>
      <c r="L162" s="0"/>
      <c r="M162" s="0"/>
      <c r="N162" s="0"/>
      <c r="O162" s="739" t="n">
        <v>0</v>
      </c>
      <c r="P162" s="739"/>
      <c r="Q162" s="736" t="n">
        <f aca="false">+O162*SpotRates!$D$36</f>
        <v>0</v>
      </c>
      <c r="R162" s="741" t="n">
        <f aca="false">VLOOKUP(C162,SpotRates!$A$4:$D$34,4,FALSE())</f>
        <v>1.5332</v>
      </c>
      <c r="S162" s="736" t="n">
        <f aca="false">+(SpotRates!$D$36-'Orig Sched'!R162)*'Orig Sched'!O162</f>
        <v>0</v>
      </c>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c r="IW162" s="0"/>
    </row>
    <row r="163" customFormat="false" ht="12.75" hidden="false" customHeight="true" outlineLevel="0" collapsed="false">
      <c r="C163" s="737"/>
      <c r="F163" s="0"/>
      <c r="G163" s="714" t="s">
        <v>529</v>
      </c>
      <c r="H163" s="0"/>
      <c r="I163" s="0"/>
      <c r="J163" s="0"/>
      <c r="K163" s="0"/>
      <c r="L163" s="0"/>
      <c r="M163" s="0"/>
      <c r="N163" s="0"/>
      <c r="O163" s="736" t="n">
        <v>0</v>
      </c>
      <c r="P163" s="739"/>
      <c r="Q163" s="736" t="n">
        <f aca="false">+O163*SpotRates!$D$36</f>
        <v>0</v>
      </c>
      <c r="R163" s="59"/>
      <c r="S163" s="736"/>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c r="IW163" s="0"/>
    </row>
    <row r="164" customFormat="false" ht="10.5" hidden="false" customHeight="true" outlineLevel="0" collapsed="false">
      <c r="F164" s="59"/>
      <c r="H164" s="59"/>
      <c r="I164" s="59"/>
      <c r="J164" s="59"/>
      <c r="K164" s="98"/>
      <c r="L164" s="98"/>
      <c r="M164" s="60"/>
      <c r="N164" s="59"/>
      <c r="O164" s="736"/>
      <c r="P164" s="59"/>
      <c r="Q164" s="736"/>
      <c r="R164" s="59"/>
      <c r="S164" s="0"/>
    </row>
    <row r="165" customFormat="false" ht="12.75" hidden="false" customHeight="true" outlineLevel="0" collapsed="false">
      <c r="C165" s="737" t="n">
        <v>36831</v>
      </c>
      <c r="G165" s="725" t="s">
        <v>525</v>
      </c>
      <c r="H165" s="59"/>
      <c r="I165" s="738"/>
      <c r="J165" s="0"/>
      <c r="K165" s="0"/>
      <c r="L165" s="0"/>
      <c r="M165" s="0"/>
      <c r="N165" s="0"/>
      <c r="O165" s="739" t="n">
        <v>0</v>
      </c>
      <c r="P165" s="739"/>
      <c r="Q165" s="736" t="n">
        <f aca="false">+O165*SpotRates!$D$36</f>
        <v>0</v>
      </c>
      <c r="R165" s="741" t="n">
        <f aca="false">VLOOKUP(C165,SpotRates!$A$4:$D$34,4,FALSE())</f>
        <v>1.5332</v>
      </c>
      <c r="S165" s="736" t="n">
        <f aca="false">+(SpotRates!$D$36-'Orig Sched'!R165)*'Orig Sched'!O165</f>
        <v>0</v>
      </c>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c r="IW165" s="0"/>
    </row>
    <row r="166" customFormat="false" ht="12.75" hidden="false" customHeight="true" outlineLevel="0" collapsed="false">
      <c r="C166" s="737"/>
      <c r="F166" s="0"/>
      <c r="G166" s="714" t="s">
        <v>529</v>
      </c>
      <c r="H166" s="0"/>
      <c r="I166" s="0"/>
      <c r="J166" s="0"/>
      <c r="K166" s="0"/>
      <c r="L166" s="0"/>
      <c r="M166" s="0"/>
      <c r="N166" s="0"/>
      <c r="O166" s="736" t="n">
        <v>0</v>
      </c>
      <c r="P166" s="739"/>
      <c r="Q166" s="736" t="n">
        <f aca="false">+O166*SpotRates!$D$36</f>
        <v>0</v>
      </c>
      <c r="R166" s="59"/>
      <c r="S166" s="736"/>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c r="IW166" s="0"/>
    </row>
    <row r="167" customFormat="false" ht="12.75" hidden="false" customHeight="true" outlineLevel="0" collapsed="false">
      <c r="F167" s="59"/>
      <c r="H167" s="59"/>
      <c r="I167" s="59"/>
      <c r="J167" s="59"/>
      <c r="K167" s="98"/>
      <c r="L167" s="98"/>
      <c r="M167" s="60"/>
      <c r="N167" s="59"/>
      <c r="O167" s="736"/>
      <c r="P167" s="59"/>
      <c r="Q167" s="736"/>
      <c r="R167" s="59"/>
      <c r="S167" s="0"/>
    </row>
    <row r="168" customFormat="false" ht="12.75" hidden="false" customHeight="true" outlineLevel="0" collapsed="false">
      <c r="C168" s="737" t="n">
        <v>36831</v>
      </c>
      <c r="G168" s="725" t="s">
        <v>525</v>
      </c>
      <c r="H168" s="59"/>
      <c r="I168" s="738"/>
      <c r="J168" s="0"/>
      <c r="K168" s="0"/>
      <c r="L168" s="0"/>
      <c r="M168" s="0"/>
      <c r="N168" s="0"/>
      <c r="O168" s="739" t="n">
        <v>0</v>
      </c>
      <c r="P168" s="739"/>
      <c r="Q168" s="736" t="n">
        <v>0</v>
      </c>
      <c r="R168" s="741" t="n">
        <f aca="false">VLOOKUP(C168,SpotRates!$A$4:$D$34,4,FALSE())</f>
        <v>1.5332</v>
      </c>
      <c r="S168" s="736" t="n">
        <f aca="false">+(SpotRates!$D$36-'Orig Sched'!R168)*'Orig Sched'!O168</f>
        <v>0</v>
      </c>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c r="IW168" s="0"/>
    </row>
    <row r="169" customFormat="false" ht="12.75" hidden="false" customHeight="true" outlineLevel="0" collapsed="false">
      <c r="C169" s="737"/>
      <c r="F169" s="0"/>
      <c r="G169" s="714" t="s">
        <v>529</v>
      </c>
      <c r="H169" s="0"/>
      <c r="I169" s="0"/>
      <c r="J169" s="0"/>
      <c r="K169" s="0"/>
      <c r="L169" s="0"/>
      <c r="M169" s="0"/>
      <c r="N169" s="0"/>
      <c r="O169" s="736" t="n">
        <v>0</v>
      </c>
      <c r="P169" s="739"/>
      <c r="Q169" s="736" t="n">
        <v>0</v>
      </c>
      <c r="R169" s="59"/>
      <c r="S169" s="736"/>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c r="IW169" s="0"/>
    </row>
    <row r="170" customFormat="false" ht="12.75" hidden="false" customHeight="true" outlineLevel="0" collapsed="false">
      <c r="F170" s="59"/>
      <c r="H170" s="59"/>
      <c r="I170" s="59"/>
      <c r="J170" s="59"/>
      <c r="K170" s="98"/>
      <c r="L170" s="98"/>
      <c r="M170" s="60"/>
      <c r="N170" s="59"/>
      <c r="O170" s="736"/>
      <c r="P170" s="59"/>
      <c r="Q170" s="736"/>
      <c r="R170" s="59"/>
      <c r="S170" s="0"/>
    </row>
    <row r="171" customFormat="false" ht="12.75" hidden="false" customHeight="true" outlineLevel="0" collapsed="false">
      <c r="C171" s="737" t="n">
        <v>36831</v>
      </c>
      <c r="G171" s="725" t="s">
        <v>525</v>
      </c>
      <c r="H171" s="59"/>
      <c r="I171" s="738"/>
      <c r="J171" s="0"/>
      <c r="K171" s="0"/>
      <c r="L171" s="0"/>
      <c r="M171" s="0"/>
      <c r="N171" s="0"/>
      <c r="O171" s="739" t="n">
        <v>0</v>
      </c>
      <c r="P171" s="739"/>
      <c r="Q171" s="736" t="n">
        <f aca="false">O171*R171</f>
        <v>0</v>
      </c>
      <c r="R171" s="741" t="n">
        <f aca="false">VLOOKUP(C171,SpotRates!$A$4:$D$34,4,FALSE())</f>
        <v>1.5332</v>
      </c>
      <c r="S171" s="736" t="n">
        <f aca="false">+(SpotRates!$D$36-'Orig Sched'!R171)*'Orig Sched'!O171</f>
        <v>0</v>
      </c>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c r="IW171" s="0"/>
    </row>
    <row r="172" customFormat="false" ht="12.75" hidden="false" customHeight="true" outlineLevel="0" collapsed="false">
      <c r="C172" s="737"/>
      <c r="F172" s="0"/>
      <c r="G172" s="714" t="s">
        <v>529</v>
      </c>
      <c r="H172" s="0"/>
      <c r="I172" s="0"/>
      <c r="J172" s="0"/>
      <c r="K172" s="0"/>
      <c r="L172" s="0"/>
      <c r="M172" s="0"/>
      <c r="N172" s="0"/>
      <c r="O172" s="736" t="n">
        <v>0</v>
      </c>
      <c r="P172" s="739"/>
      <c r="Q172" s="736" t="n">
        <f aca="false">+O172*SpotRates!$D$36</f>
        <v>0</v>
      </c>
      <c r="R172" s="59"/>
      <c r="S172" s="736"/>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c r="IW172" s="0"/>
    </row>
    <row r="173" customFormat="false" ht="12.75" hidden="false" customHeight="true" outlineLevel="0" collapsed="false">
      <c r="F173" s="59"/>
      <c r="H173" s="59"/>
      <c r="I173" s="59"/>
      <c r="J173" s="59"/>
      <c r="K173" s="98"/>
      <c r="L173" s="98"/>
      <c r="M173" s="60"/>
      <c r="N173" s="59"/>
      <c r="O173" s="736"/>
      <c r="P173" s="59"/>
      <c r="Q173" s="736"/>
      <c r="R173" s="59"/>
      <c r="S173" s="0"/>
    </row>
    <row r="174" customFormat="false" ht="12.75" hidden="false" customHeight="true" outlineLevel="0" collapsed="false">
      <c r="C174" s="737" t="n">
        <v>36831</v>
      </c>
      <c r="G174" s="725" t="s">
        <v>525</v>
      </c>
      <c r="H174" s="59"/>
      <c r="I174" s="738"/>
      <c r="J174" s="0"/>
      <c r="K174" s="0"/>
      <c r="L174" s="0"/>
      <c r="M174" s="0"/>
      <c r="N174" s="0"/>
      <c r="O174" s="739" t="n">
        <v>0</v>
      </c>
      <c r="P174" s="739"/>
      <c r="Q174" s="736" t="n">
        <f aca="false">O174*R174</f>
        <v>0</v>
      </c>
      <c r="R174" s="741" t="n">
        <f aca="false">VLOOKUP(C174,SpotRates!$A$4:$D$34,4,FALSE())</f>
        <v>1.5332</v>
      </c>
      <c r="S174" s="736" t="n">
        <f aca="false">+(SpotRates!$D$36-'Orig Sched'!R174)*'Orig Sched'!O174</f>
        <v>0</v>
      </c>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c r="IW174" s="0"/>
    </row>
    <row r="175" customFormat="false" ht="12.75" hidden="false" customHeight="true" outlineLevel="0" collapsed="false">
      <c r="C175" s="737"/>
      <c r="F175" s="0"/>
      <c r="G175" s="714" t="s">
        <v>529</v>
      </c>
      <c r="H175" s="0"/>
      <c r="I175" s="0"/>
      <c r="J175" s="0"/>
      <c r="K175" s="0"/>
      <c r="L175" s="0"/>
      <c r="M175" s="0"/>
      <c r="N175" s="0"/>
      <c r="O175" s="736" t="n">
        <v>0</v>
      </c>
      <c r="P175" s="739"/>
      <c r="Q175" s="736" t="n">
        <f aca="false">+O175*SpotRates!$D$36</f>
        <v>0</v>
      </c>
      <c r="R175" s="59"/>
      <c r="S175" s="736"/>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c r="IW175" s="0"/>
    </row>
    <row r="176" customFormat="false" ht="12.75" hidden="false" customHeight="true" outlineLevel="0" collapsed="false">
      <c r="F176" s="59"/>
      <c r="H176" s="59"/>
      <c r="I176" s="59"/>
      <c r="J176" s="59"/>
      <c r="K176" s="98"/>
      <c r="L176" s="98"/>
      <c r="M176" s="60"/>
      <c r="N176" s="59"/>
      <c r="O176" s="736"/>
      <c r="P176" s="59"/>
      <c r="Q176" s="736"/>
      <c r="R176" s="59"/>
      <c r="S176" s="0"/>
    </row>
    <row r="177" customFormat="false" ht="12.75" hidden="false" customHeight="true" outlineLevel="0" collapsed="false">
      <c r="C177" s="737" t="n">
        <v>36831</v>
      </c>
      <c r="G177" s="725" t="s">
        <v>525</v>
      </c>
      <c r="H177" s="59"/>
      <c r="I177" s="738"/>
      <c r="J177" s="0"/>
      <c r="K177" s="0"/>
      <c r="L177" s="0"/>
      <c r="M177" s="0"/>
      <c r="N177" s="0"/>
      <c r="O177" s="739" t="n">
        <v>0</v>
      </c>
      <c r="P177" s="739"/>
      <c r="Q177" s="736" t="n">
        <f aca="false">+O177*SpotRates!$D$36</f>
        <v>0</v>
      </c>
      <c r="R177" s="741" t="n">
        <f aca="false">VLOOKUP(C177,SpotRates!$A$4:$D$34,4,FALSE())</f>
        <v>1.5332</v>
      </c>
      <c r="S177" s="736" t="n">
        <f aca="false">+(SpotRates!$D$36-'Orig Sched'!R177)*'Orig Sched'!O177</f>
        <v>0</v>
      </c>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c r="IW177" s="0"/>
    </row>
    <row r="178" customFormat="false" ht="12.75" hidden="false" customHeight="true" outlineLevel="0" collapsed="false">
      <c r="C178" s="737"/>
      <c r="F178" s="0"/>
      <c r="G178" s="714" t="s">
        <v>529</v>
      </c>
      <c r="H178" s="0"/>
      <c r="I178" s="0"/>
      <c r="J178" s="0"/>
      <c r="K178" s="0"/>
      <c r="L178" s="0"/>
      <c r="M178" s="0"/>
      <c r="N178" s="0"/>
      <c r="O178" s="736" t="n">
        <v>0</v>
      </c>
      <c r="P178" s="739"/>
      <c r="Q178" s="736" t="n">
        <f aca="false">+O178*SpotRates!$D$36</f>
        <v>0</v>
      </c>
      <c r="R178" s="59"/>
      <c r="S178" s="736"/>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c r="IW178" s="0"/>
    </row>
    <row r="179" customFormat="false" ht="12.75" hidden="false" customHeight="true" outlineLevel="0" collapsed="false">
      <c r="F179" s="59"/>
      <c r="H179" s="59"/>
      <c r="I179" s="59"/>
      <c r="J179" s="59"/>
      <c r="K179" s="98"/>
      <c r="L179" s="98"/>
      <c r="M179" s="60"/>
      <c r="N179" s="59"/>
      <c r="O179" s="736"/>
      <c r="P179" s="59"/>
      <c r="Q179" s="736"/>
      <c r="R179" s="59"/>
      <c r="S179" s="0"/>
    </row>
    <row r="180" customFormat="false" ht="12.75" hidden="false" customHeight="true" outlineLevel="0" collapsed="false">
      <c r="A180" s="715"/>
      <c r="C180" s="737"/>
      <c r="K180" s="60"/>
      <c r="L180" s="60"/>
      <c r="M180" s="60"/>
      <c r="P180" s="0"/>
      <c r="Q180" s="717"/>
      <c r="R180" s="0"/>
    </row>
    <row r="181" customFormat="false" ht="12.75" hidden="false" customHeight="true" outlineLevel="0" collapsed="false">
      <c r="A181" s="752" t="s">
        <v>577</v>
      </c>
      <c r="B181" s="753"/>
      <c r="C181" s="754"/>
      <c r="D181" s="755"/>
      <c r="E181" s="755"/>
      <c r="F181" s="755"/>
      <c r="G181" s="755"/>
      <c r="H181" s="755"/>
      <c r="I181" s="755"/>
      <c r="J181" s="756"/>
      <c r="K181" s="757" t="n">
        <f aca="false">SUBTOTAL(9,K8:K180)</f>
        <v>0</v>
      </c>
      <c r="L181" s="757"/>
      <c r="M181" s="757" t="n">
        <f aca="false">SUBTOTAL(9,M8:M180)</f>
        <v>0</v>
      </c>
      <c r="N181" s="756"/>
      <c r="O181" s="758" t="n">
        <f aca="false">SUBTOTAL(9,O8:O180)</f>
        <v>426.785304273506</v>
      </c>
      <c r="P181" s="0"/>
      <c r="Q181" s="759" t="n">
        <f aca="false">SUM(Q9:Q177)</f>
        <v>657.895239547</v>
      </c>
      <c r="R181" s="0"/>
      <c r="S181" s="759" t="n">
        <f aca="false">SUM(S9:S177)</f>
        <v>27.5996571632589</v>
      </c>
    </row>
    <row r="182" customFormat="false" ht="12.75" hidden="false" customHeight="true" outlineLevel="0" collapsed="false">
      <c r="J182" s="760"/>
      <c r="K182" s="60"/>
      <c r="L182" s="60"/>
      <c r="M182" s="60"/>
      <c r="N182" s="760"/>
      <c r="O182" s="761"/>
      <c r="P182" s="0"/>
      <c r="Q182" s="0"/>
      <c r="R182" s="0"/>
    </row>
    <row r="183" customFormat="false" ht="12.75" hidden="false" customHeight="true" outlineLevel="0" collapsed="false">
      <c r="A183" s="762"/>
      <c r="B183" s="762"/>
      <c r="J183" s="760"/>
      <c r="M183" s="763"/>
      <c r="N183" s="760"/>
      <c r="O183" s="764"/>
      <c r="P183" s="0"/>
      <c r="Q183" s="764"/>
      <c r="R183" s="0"/>
    </row>
    <row r="184" customFormat="false" ht="12.75" hidden="false" customHeight="true" outlineLevel="0" collapsed="false">
      <c r="A184" s="0"/>
      <c r="B184" s="0"/>
      <c r="C184" s="655"/>
      <c r="D184" s="0"/>
      <c r="E184" s="0"/>
      <c r="F184" s="0"/>
      <c r="G184" s="0"/>
      <c r="H184" s="0"/>
      <c r="I184" s="0"/>
      <c r="J184" s="0"/>
      <c r="K184" s="648"/>
      <c r="L184" s="648"/>
      <c r="M184" s="648"/>
      <c r="N184" s="0"/>
      <c r="O184" s="125"/>
      <c r="P184" s="0"/>
      <c r="Q184" s="0"/>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c r="IW184" s="0"/>
    </row>
    <row r="185" customFormat="false" ht="12.75" hidden="false" customHeight="true" outlineLevel="0" collapsed="false">
      <c r="A185" s="0"/>
      <c r="B185" s="0"/>
      <c r="C185" s="655"/>
      <c r="D185" s="0"/>
      <c r="E185" s="0"/>
      <c r="F185" s="0"/>
      <c r="G185" s="0"/>
      <c r="H185" s="0"/>
      <c r="I185" s="0"/>
      <c r="J185" s="0"/>
      <c r="K185" s="648"/>
      <c r="L185" s="648"/>
      <c r="M185" s="648"/>
      <c r="N185" s="0"/>
      <c r="O185" s="0"/>
      <c r="P185" s="0"/>
      <c r="Q185" s="0"/>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c r="IW185" s="0"/>
    </row>
    <row r="186" customFormat="false" ht="12.75" hidden="false" customHeight="true" outlineLevel="0" collapsed="false">
      <c r="G186" s="765"/>
      <c r="I186" s="765"/>
      <c r="K186" s="766"/>
      <c r="L186" s="766"/>
      <c r="M186" s="766"/>
      <c r="O186" s="767"/>
      <c r="P186" s="768"/>
      <c r="Q186" s="769"/>
    </row>
    <row r="187" customFormat="false" ht="12.75" hidden="false" customHeight="true" outlineLevel="0" collapsed="false">
      <c r="A187" s="770"/>
      <c r="G187" s="765"/>
      <c r="I187" s="765"/>
      <c r="K187" s="766"/>
      <c r="L187" s="766"/>
      <c r="M187" s="766"/>
      <c r="O187" s="771"/>
      <c r="P187" s="768"/>
      <c r="Q187" s="772"/>
    </row>
    <row r="188" customFormat="false" ht="12.75" hidden="false" customHeight="true" outlineLevel="0" collapsed="false">
      <c r="A188" s="770"/>
      <c r="G188" s="765"/>
      <c r="I188" s="765"/>
      <c r="K188" s="766"/>
      <c r="L188" s="766"/>
      <c r="M188" s="766"/>
      <c r="O188" s="767"/>
      <c r="P188" s="768"/>
      <c r="Q188" s="772"/>
    </row>
    <row r="189" customFormat="false" ht="12.75" hidden="false" customHeight="true" outlineLevel="0" collapsed="false">
      <c r="A189" s="770"/>
      <c r="G189" s="765"/>
      <c r="I189" s="765"/>
      <c r="K189" s="766"/>
      <c r="L189" s="766"/>
      <c r="M189" s="766"/>
      <c r="O189" s="767"/>
      <c r="P189" s="768"/>
      <c r="Q189" s="772"/>
    </row>
    <row r="190" customFormat="false" ht="12.75" hidden="false" customHeight="true" outlineLevel="0" collapsed="false">
      <c r="A190" s="770"/>
      <c r="G190" s="765"/>
      <c r="I190" s="765"/>
      <c r="K190" s="766"/>
      <c r="L190" s="766"/>
      <c r="M190" s="766"/>
      <c r="O190" s="767"/>
      <c r="P190" s="768"/>
      <c r="Q190" s="772"/>
    </row>
    <row r="191" customFormat="false" ht="12.75" hidden="false" customHeight="true" outlineLevel="0" collapsed="false">
      <c r="A191" s="770"/>
      <c r="G191" s="765"/>
      <c r="I191" s="765"/>
      <c r="K191" s="766"/>
      <c r="L191" s="766"/>
      <c r="M191" s="766"/>
      <c r="O191" s="767"/>
      <c r="P191" s="768"/>
      <c r="Q191" s="772"/>
    </row>
    <row r="192" customFormat="false" ht="12.75" hidden="false" customHeight="true" outlineLevel="0" collapsed="false">
      <c r="A192" s="770"/>
      <c r="G192" s="765"/>
      <c r="I192" s="765"/>
      <c r="K192" s="766"/>
      <c r="L192" s="766"/>
      <c r="M192" s="766"/>
      <c r="O192" s="767"/>
      <c r="P192" s="768"/>
      <c r="Q192" s="772"/>
    </row>
    <row r="193" customFormat="false" ht="12.75" hidden="false" customHeight="true" outlineLevel="0" collapsed="false">
      <c r="A193" s="770"/>
      <c r="B193" s="770"/>
      <c r="G193" s="765"/>
      <c r="I193" s="765"/>
      <c r="K193" s="766"/>
      <c r="L193" s="766"/>
      <c r="M193" s="766"/>
      <c r="O193" s="767"/>
      <c r="P193" s="768"/>
      <c r="Q193" s="772"/>
    </row>
    <row r="194" customFormat="false" ht="12.75" hidden="false" customHeight="true" outlineLevel="0" collapsed="false">
      <c r="A194" s="770"/>
      <c r="B194" s="770"/>
      <c r="G194" s="765"/>
      <c r="I194" s="765"/>
      <c r="K194" s="766"/>
      <c r="L194" s="766"/>
      <c r="M194" s="766"/>
      <c r="O194" s="767"/>
      <c r="P194" s="768"/>
      <c r="Q194" s="772"/>
    </row>
    <row r="195" customFormat="false" ht="12.75" hidden="false" customHeight="true" outlineLevel="0" collapsed="false">
      <c r="A195" s="770"/>
      <c r="B195" s="770"/>
      <c r="G195" s="765"/>
      <c r="I195" s="765"/>
      <c r="K195" s="766"/>
      <c r="L195" s="766"/>
      <c r="M195" s="766"/>
      <c r="O195" s="767"/>
      <c r="P195" s="768"/>
      <c r="Q195" s="772"/>
    </row>
    <row r="196" customFormat="false" ht="12.75" hidden="false" customHeight="true" outlineLevel="0" collapsed="false">
      <c r="A196" s="770"/>
      <c r="B196" s="770"/>
      <c r="G196" s="765"/>
      <c r="I196" s="765"/>
      <c r="K196" s="766"/>
      <c r="L196" s="766"/>
      <c r="M196" s="766"/>
      <c r="O196" s="767"/>
      <c r="P196" s="768"/>
      <c r="Q196" s="772"/>
    </row>
    <row r="197" customFormat="false" ht="12.75" hidden="false" customHeight="true" outlineLevel="0" collapsed="false">
      <c r="A197" s="770"/>
      <c r="G197" s="765"/>
      <c r="I197" s="765"/>
      <c r="K197" s="766"/>
      <c r="L197" s="766"/>
      <c r="M197" s="766"/>
      <c r="O197" s="767"/>
      <c r="P197" s="768"/>
      <c r="Q197" s="772"/>
    </row>
    <row r="198" customFormat="false" ht="12.75" hidden="false" customHeight="true" outlineLevel="0" collapsed="false">
      <c r="A198" s="770"/>
      <c r="G198" s="765"/>
      <c r="I198" s="765"/>
      <c r="K198" s="766"/>
      <c r="L198" s="766"/>
      <c r="M198" s="766"/>
      <c r="O198" s="767"/>
      <c r="P198" s="768"/>
      <c r="Q198" s="772"/>
    </row>
    <row r="199" customFormat="false" ht="12.75" hidden="false" customHeight="true" outlineLevel="0" collapsed="false">
      <c r="A199" s="770"/>
      <c r="G199" s="765"/>
      <c r="I199" s="765"/>
      <c r="K199" s="766"/>
      <c r="L199" s="766"/>
      <c r="M199" s="766"/>
      <c r="O199" s="767"/>
      <c r="P199" s="768"/>
      <c r="Q199" s="772"/>
    </row>
    <row r="200" customFormat="false" ht="12.75" hidden="false" customHeight="true" outlineLevel="0" collapsed="false">
      <c r="A200" s="770"/>
      <c r="G200" s="765"/>
      <c r="I200" s="765"/>
      <c r="K200" s="766"/>
      <c r="L200" s="766"/>
      <c r="M200" s="766"/>
      <c r="O200" s="767"/>
      <c r="P200" s="768"/>
      <c r="Q200" s="772"/>
    </row>
    <row r="201" customFormat="false" ht="12.75" hidden="false" customHeight="true" outlineLevel="0" collapsed="false">
      <c r="A201" s="770"/>
      <c r="G201" s="765"/>
      <c r="I201" s="765"/>
      <c r="K201" s="766"/>
      <c r="L201" s="766"/>
      <c r="M201" s="766"/>
      <c r="O201" s="767"/>
      <c r="P201" s="768"/>
      <c r="Q201" s="772"/>
    </row>
    <row r="202" customFormat="false" ht="12.75" hidden="false" customHeight="true" outlineLevel="0" collapsed="false">
      <c r="A202" s="770"/>
      <c r="G202" s="765"/>
      <c r="I202" s="765"/>
      <c r="K202" s="766"/>
      <c r="L202" s="766"/>
      <c r="M202" s="766"/>
      <c r="O202" s="767"/>
      <c r="P202" s="768"/>
      <c r="Q202" s="772"/>
    </row>
    <row r="203" customFormat="false" ht="12.75" hidden="false" customHeight="true" outlineLevel="0" collapsed="false">
      <c r="A203" s="770"/>
      <c r="G203" s="765"/>
      <c r="I203" s="765"/>
      <c r="K203" s="766"/>
      <c r="L203" s="766"/>
      <c r="M203" s="766"/>
      <c r="O203" s="767"/>
      <c r="P203" s="768"/>
      <c r="Q203" s="772"/>
    </row>
    <row r="204" customFormat="false" ht="12.75" hidden="false" customHeight="true" outlineLevel="0" collapsed="false">
      <c r="A204" s="770"/>
      <c r="G204" s="765"/>
      <c r="I204" s="765"/>
      <c r="K204" s="766"/>
      <c r="L204" s="766"/>
      <c r="M204" s="766"/>
      <c r="O204" s="767"/>
      <c r="P204" s="768"/>
      <c r="Q204" s="772"/>
    </row>
    <row r="205" customFormat="false" ht="12.75" hidden="false" customHeight="true" outlineLevel="0" collapsed="false">
      <c r="A205" s="770"/>
      <c r="G205" s="765"/>
      <c r="I205" s="765"/>
      <c r="K205" s="766"/>
      <c r="L205" s="766"/>
      <c r="M205" s="766"/>
      <c r="O205" s="767"/>
      <c r="P205" s="768"/>
      <c r="Q205" s="772"/>
    </row>
    <row r="206" customFormat="false" ht="12.75" hidden="false" customHeight="true" outlineLevel="0" collapsed="false">
      <c r="A206" s="770"/>
      <c r="G206" s="765"/>
      <c r="I206" s="765"/>
      <c r="K206" s="766"/>
      <c r="L206" s="766"/>
      <c r="M206" s="766"/>
      <c r="O206" s="767"/>
      <c r="P206" s="768"/>
      <c r="Q206" s="772"/>
    </row>
    <row r="207" customFormat="false" ht="12.75" hidden="false" customHeight="true" outlineLevel="0" collapsed="false">
      <c r="A207" s="770"/>
      <c r="G207" s="765"/>
      <c r="I207" s="765"/>
      <c r="K207" s="766"/>
      <c r="L207" s="766"/>
      <c r="M207" s="766"/>
      <c r="O207" s="767"/>
      <c r="P207" s="768"/>
      <c r="Q207" s="772"/>
    </row>
    <row r="208" customFormat="false" ht="12.75" hidden="false" customHeight="true" outlineLevel="0" collapsed="false">
      <c r="A208" s="770"/>
      <c r="G208" s="765"/>
      <c r="I208" s="765"/>
      <c r="K208" s="766"/>
      <c r="L208" s="766"/>
      <c r="M208" s="766"/>
      <c r="O208" s="767"/>
      <c r="P208" s="768"/>
      <c r="Q208" s="772"/>
    </row>
    <row r="209" customFormat="false" ht="12.75" hidden="false" customHeight="true" outlineLevel="0" collapsed="false">
      <c r="A209" s="770"/>
      <c r="G209" s="765"/>
      <c r="I209" s="765"/>
      <c r="K209" s="766"/>
      <c r="L209" s="766"/>
      <c r="M209" s="766"/>
      <c r="O209" s="767"/>
      <c r="P209" s="768"/>
      <c r="Q209" s="772"/>
    </row>
    <row r="210" customFormat="false" ht="12.75" hidden="false" customHeight="true" outlineLevel="0" collapsed="false">
      <c r="A210" s="770"/>
      <c r="G210" s="765"/>
      <c r="I210" s="765"/>
      <c r="K210" s="766"/>
      <c r="L210" s="766"/>
      <c r="M210" s="766"/>
      <c r="O210" s="767"/>
      <c r="P210" s="768"/>
      <c r="Q210" s="772"/>
    </row>
    <row r="211" customFormat="false" ht="12.75" hidden="false" customHeight="true" outlineLevel="0" collapsed="false">
      <c r="A211" s="770"/>
      <c r="G211" s="765"/>
      <c r="I211" s="765"/>
      <c r="K211" s="766"/>
      <c r="L211" s="766"/>
      <c r="M211" s="766"/>
      <c r="O211" s="767"/>
      <c r="P211" s="768"/>
      <c r="Q211" s="772"/>
    </row>
    <row r="212" customFormat="false" ht="12.75" hidden="false" customHeight="true" outlineLevel="0" collapsed="false">
      <c r="A212" s="770"/>
      <c r="G212" s="765"/>
      <c r="I212" s="765"/>
      <c r="K212" s="766"/>
      <c r="L212" s="766"/>
      <c r="M212" s="766"/>
      <c r="O212" s="767"/>
      <c r="P212" s="768"/>
      <c r="Q212" s="772"/>
    </row>
    <row r="213" customFormat="false" ht="12.75" hidden="false" customHeight="true" outlineLevel="0" collapsed="false">
      <c r="A213" s="770"/>
      <c r="G213" s="765"/>
      <c r="I213" s="765"/>
      <c r="K213" s="766"/>
      <c r="L213" s="766"/>
      <c r="M213" s="766"/>
      <c r="O213" s="767"/>
      <c r="P213" s="768"/>
      <c r="Q213" s="772"/>
    </row>
    <row r="214" customFormat="false" ht="12.75" hidden="false" customHeight="true" outlineLevel="0" collapsed="false">
      <c r="A214" s="770"/>
      <c r="G214" s="765"/>
      <c r="I214" s="765"/>
      <c r="K214" s="766"/>
      <c r="L214" s="766"/>
      <c r="M214" s="766"/>
      <c r="O214" s="767"/>
      <c r="P214" s="768"/>
      <c r="Q214" s="772"/>
      <c r="V214" s="714" t="n">
        <v>19101</v>
      </c>
    </row>
    <row r="215" customFormat="false" ht="12.75" hidden="false" customHeight="true" outlineLevel="0" collapsed="false">
      <c r="A215" s="770"/>
      <c r="G215" s="765"/>
      <c r="I215" s="765"/>
      <c r="K215" s="766"/>
      <c r="L215" s="766"/>
      <c r="M215" s="766"/>
      <c r="O215" s="767"/>
      <c r="P215" s="768"/>
      <c r="Q215" s="772"/>
    </row>
    <row r="216" customFormat="false" ht="12.75" hidden="false" customHeight="true" outlineLevel="0" collapsed="false">
      <c r="A216" s="770"/>
      <c r="G216" s="765"/>
      <c r="I216" s="765"/>
      <c r="K216" s="766"/>
      <c r="L216" s="766"/>
      <c r="M216" s="766"/>
      <c r="O216" s="767"/>
      <c r="P216" s="768"/>
      <c r="Q216" s="772"/>
    </row>
    <row r="217" customFormat="false" ht="12.75" hidden="false" customHeight="true" outlineLevel="0" collapsed="false">
      <c r="A217" s="770"/>
      <c r="G217" s="765"/>
      <c r="I217" s="765"/>
      <c r="K217" s="766"/>
      <c r="L217" s="766"/>
      <c r="M217" s="766"/>
      <c r="O217" s="767"/>
      <c r="P217" s="768"/>
      <c r="Q217" s="772"/>
    </row>
    <row r="218" customFormat="false" ht="12.75" hidden="false" customHeight="true" outlineLevel="0" collapsed="false">
      <c r="A218" s="770"/>
      <c r="G218" s="765"/>
      <c r="I218" s="765"/>
      <c r="K218" s="766"/>
      <c r="L218" s="766"/>
      <c r="M218" s="766"/>
      <c r="O218" s="767"/>
      <c r="P218" s="768"/>
      <c r="Q218" s="772"/>
    </row>
    <row r="219" customFormat="false" ht="12.75" hidden="false" customHeight="true" outlineLevel="0" collapsed="false">
      <c r="A219" s="770"/>
      <c r="G219" s="765"/>
      <c r="I219" s="765"/>
      <c r="K219" s="766"/>
      <c r="L219" s="766"/>
      <c r="M219" s="766"/>
      <c r="O219" s="767"/>
      <c r="P219" s="768"/>
      <c r="Q219" s="772"/>
    </row>
    <row r="220" customFormat="false" ht="12.75" hidden="false" customHeight="true" outlineLevel="0" collapsed="false">
      <c r="A220" s="770"/>
      <c r="G220" s="765"/>
      <c r="I220" s="765"/>
      <c r="K220" s="766"/>
      <c r="L220" s="766"/>
      <c r="M220" s="766"/>
      <c r="O220" s="767"/>
      <c r="P220" s="768"/>
      <c r="Q220" s="772"/>
    </row>
    <row r="221" customFormat="false" ht="12.75" hidden="false" customHeight="true" outlineLevel="0" collapsed="false">
      <c r="A221" s="770"/>
    </row>
  </sheetData>
  <dataValidations count="1">
    <dataValidation allowBlank="true" errorStyle="stop" operator="between" showDropDown="false" showErrorMessage="true" showInputMessage="false" sqref="I8:I265" type="list">
      <formula1>orignames</formula1>
      <formula2>0</formula2>
    </dataValidation>
  </dataValidations>
  <printOptions headings="false" gridLines="false" gridLinesSet="true" horizontalCentered="true" verticalCentered="false"/>
  <pageMargins left="0.25" right="0.25" top="0.5" bottom="0.75"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Roman,Italic"&amp;F/&amp;A&amp;R&amp;"Times New Roman,Italic"&amp;D &amp;T</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1" topLeftCell="E2" activePane="bottomRight" state="frozen"/>
      <selection pane="topLeft" activeCell="A1" activeCellId="0" sqref="A1"/>
      <selection pane="topRight" activeCell="E1" activeCellId="0" sqref="E1"/>
      <selection pane="bottomLeft" activeCell="A2" activeCellId="0" sqref="A2"/>
      <selection pane="bottomRight" activeCell="L19" activeCellId="0" sqref="L19:Q22"/>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20.28"/>
    <col collapsed="false" customWidth="true" hidden="false" outlineLevel="0" max="3" min="3" style="193" width="14.41"/>
    <col collapsed="false" customWidth="true" hidden="false" outlineLevel="0" max="4" min="4" style="193" width="13.56"/>
    <col collapsed="false" customWidth="true" hidden="false" outlineLevel="0" max="11" min="5"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true" hidden="false" outlineLevel="0" max="38" min="38" style="193" width="11.99"/>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193" t="n">
        <f aca="false">M38</f>
        <v>0</v>
      </c>
      <c r="D1" s="195"/>
      <c r="E1" s="195"/>
      <c r="F1" s="196"/>
      <c r="G1" s="196"/>
      <c r="H1" s="59"/>
      <c r="I1" s="59"/>
      <c r="J1" s="59"/>
      <c r="K1" s="59"/>
      <c r="L1" s="59"/>
      <c r="M1" s="59"/>
      <c r="N1" s="59"/>
      <c r="O1" s="59"/>
    </row>
    <row r="2" customFormat="false" ht="12.75" hidden="false" customHeight="true" outlineLevel="0" collapsed="false">
      <c r="A2" s="198" t="s">
        <v>127</v>
      </c>
      <c r="D2" s="59"/>
      <c r="E2" s="195"/>
      <c r="F2" s="196"/>
      <c r="G2" s="196"/>
      <c r="H2" s="59"/>
      <c r="I2" s="59"/>
      <c r="J2" s="59"/>
      <c r="K2" s="59"/>
      <c r="L2" s="59"/>
      <c r="M2" s="59"/>
      <c r="N2" s="59"/>
      <c r="O2" s="59"/>
    </row>
    <row r="3" customFormat="false" ht="12.75" hidden="false" customHeight="true" outlineLevel="0" collapsed="false">
      <c r="A3" s="201" t="s">
        <v>128</v>
      </c>
      <c r="B3" s="202" t="s">
        <v>578</v>
      </c>
      <c r="C3" s="202" t="s">
        <v>42</v>
      </c>
      <c r="D3" s="204"/>
      <c r="E3" s="195"/>
      <c r="F3" s="773"/>
      <c r="G3" s="59"/>
      <c r="H3" s="59"/>
      <c r="I3" s="59"/>
      <c r="J3" s="59"/>
      <c r="K3" s="59"/>
      <c r="L3" s="59"/>
      <c r="M3" s="60"/>
      <c r="N3" s="59"/>
      <c r="O3" s="59"/>
    </row>
    <row r="4" customFormat="false" ht="12.75" hidden="false" customHeight="true" outlineLevel="0" collapsed="false">
      <c r="A4" s="201" t="s">
        <v>1</v>
      </c>
      <c r="B4" s="207" t="n">
        <f aca="false">PriceAlberta!B4</f>
        <v>36831</v>
      </c>
      <c r="D4" s="59"/>
      <c r="E4" s="195"/>
      <c r="F4" s="773"/>
      <c r="G4" s="59"/>
      <c r="H4" s="59"/>
      <c r="I4" s="59"/>
      <c r="J4" s="59"/>
      <c r="K4" s="59"/>
      <c r="L4" s="59"/>
      <c r="M4" s="59"/>
      <c r="N4" s="59"/>
      <c r="O4" s="59"/>
    </row>
    <row r="5" customFormat="false" ht="12.75" hidden="false" customHeight="true" outlineLevel="0" collapsed="false">
      <c r="A5" s="201" t="s">
        <v>2</v>
      </c>
      <c r="B5" s="774" t="n">
        <f aca="false">PriceAlberta!B5</f>
        <v>36847</v>
      </c>
      <c r="C5" s="394"/>
      <c r="V5" s="153"/>
      <c r="W5" s="153"/>
      <c r="X5" s="153"/>
      <c r="Y5" s="153"/>
      <c r="Z5" s="153"/>
      <c r="AA5" s="153"/>
    </row>
    <row r="6" customFormat="false" ht="12.75" hidden="false" customHeight="true" outlineLevel="0" collapsed="false">
      <c r="A6" s="201" t="s">
        <v>130</v>
      </c>
      <c r="B6" s="713" t="n">
        <v>493692</v>
      </c>
      <c r="C6" s="394"/>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K7" s="214"/>
      <c r="L7" s="215" t="s">
        <v>134</v>
      </c>
      <c r="M7" s="215" t="s">
        <v>135</v>
      </c>
      <c r="N7" s="216" t="s">
        <v>136</v>
      </c>
      <c r="O7" s="215"/>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D8" s="218" t="s">
        <v>142</v>
      </c>
      <c r="E8" s="218" t="s">
        <v>143</v>
      </c>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D9" s="262" t="n">
        <v>-4320978</v>
      </c>
      <c r="E9" s="262" t="n">
        <v>-4313718</v>
      </c>
      <c r="F9" s="59" t="s">
        <v>148</v>
      </c>
      <c r="G9" s="193" t="s">
        <v>149</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D10" s="225" t="n">
        <v>-97720</v>
      </c>
      <c r="E10" s="225" t="n">
        <v>-97978</v>
      </c>
      <c r="F10" s="59" t="s">
        <v>148</v>
      </c>
      <c r="G10" s="193" t="s">
        <v>149</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154</v>
      </c>
      <c r="D11" s="225"/>
      <c r="E11" s="225"/>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225" t="n">
        <v>0</v>
      </c>
      <c r="E12" s="225"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229" t="n">
        <v>0</v>
      </c>
      <c r="E13" s="229" t="n">
        <v>0</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E14" s="231" t="n">
        <f aca="false">+E159</f>
        <v>339524</v>
      </c>
      <c r="F14" s="193" t="s">
        <v>165</v>
      </c>
      <c r="K14" s="219" t="s">
        <v>166</v>
      </c>
      <c r="L14" s="232" t="n">
        <f aca="false">SUM(L9:L13)/100</f>
        <v>0</v>
      </c>
      <c r="M14" s="232" t="n">
        <f aca="false">SUM(M9:M13)/100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E15" s="231" t="n">
        <f aca="false">+L159</f>
        <v>0</v>
      </c>
      <c r="F15" s="193" t="s">
        <v>165</v>
      </c>
      <c r="K15" s="219" t="s">
        <v>169</v>
      </c>
      <c r="L15" s="94" t="n">
        <v>0</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D16" s="0"/>
      <c r="E16" s="231" t="n">
        <f aca="false">+E185</f>
        <v>0</v>
      </c>
      <c r="F16" s="193" t="s">
        <v>165</v>
      </c>
      <c r="I16" s="238"/>
      <c r="J16" s="238"/>
      <c r="K16" s="219" t="s">
        <v>174</v>
      </c>
      <c r="L16" s="775" t="n">
        <v>0</v>
      </c>
      <c r="M16" s="775" t="n">
        <v>0</v>
      </c>
      <c r="N16" s="240" t="n">
        <v>0</v>
      </c>
      <c r="O16" s="241" t="n">
        <v>0</v>
      </c>
      <c r="P16" s="241" t="n">
        <v>0</v>
      </c>
      <c r="Q16" s="241" t="n">
        <v>0</v>
      </c>
      <c r="R16" s="242"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D17" s="0"/>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D18" s="0"/>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D19" s="0"/>
      <c r="E19" s="248" t="n">
        <f aca="false">SUM(E9:E16)</f>
        <v>-4072172</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153"/>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SUM(E19)-SUM(B58+B59+B64+B65)</f>
        <v>-4072172</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75" hidden="false" customHeight="true" outlineLevel="0" collapsed="false">
      <c r="A22" s="193" t="s">
        <v>181</v>
      </c>
      <c r="E22" s="262" t="n">
        <v>0</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75" hidden="false" customHeight="true" outlineLevel="0" collapsed="false">
      <c r="A23" s="193" t="s">
        <v>182</v>
      </c>
      <c r="E23" s="231" t="n">
        <f aca="false">+B63</f>
        <v>0</v>
      </c>
      <c r="F23" s="193" t="s">
        <v>165</v>
      </c>
      <c r="G23" s="153"/>
      <c r="I23" s="153"/>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153"/>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-M214</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13090711</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0</v>
      </c>
      <c r="F30" s="193" t="s">
        <v>193</v>
      </c>
      <c r="I30" s="153"/>
      <c r="J30" s="153"/>
      <c r="K30" s="219" t="s">
        <v>194</v>
      </c>
      <c r="L30" s="153"/>
      <c r="M30" s="226" t="n">
        <v>-4072172</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v>
      </c>
      <c r="N31" s="60" t="n">
        <f aca="false">M31</f>
        <v>0</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226" t="n">
        <v>13090711</v>
      </c>
      <c r="N32" s="60"/>
      <c r="O32" s="153" t="s">
        <v>191</v>
      </c>
      <c r="P32" s="153"/>
      <c r="Q32" s="153"/>
      <c r="R32" s="220"/>
      <c r="AI32" s="59"/>
    </row>
    <row r="33" customFormat="false" ht="12.75" hidden="false" customHeight="true" outlineLevel="0" collapsed="false">
      <c r="A33" s="193" t="s">
        <v>199</v>
      </c>
      <c r="E33" s="231" t="n">
        <f aca="false">+B67</f>
        <v>0</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0</v>
      </c>
      <c r="N34" s="60" t="n">
        <f aca="false">B63</f>
        <v>0</v>
      </c>
      <c r="O34" s="153" t="s">
        <v>202</v>
      </c>
      <c r="P34" s="153"/>
      <c r="Q34" s="153"/>
      <c r="R34" s="220"/>
    </row>
    <row r="35" customFormat="false" ht="12.75" hidden="false" customHeight="true" outlineLevel="0" collapsed="false">
      <c r="A35" s="193" t="s">
        <v>203</v>
      </c>
      <c r="E35" s="231" t="n">
        <f aca="false">F238</f>
        <v>0</v>
      </c>
      <c r="F35" s="193" t="s">
        <v>193</v>
      </c>
      <c r="K35" s="219"/>
      <c r="L35" s="153"/>
      <c r="M35" s="60"/>
      <c r="N35" s="60"/>
      <c r="O35" s="153"/>
      <c r="P35" s="153"/>
      <c r="Q35" s="153"/>
      <c r="R35" s="220"/>
    </row>
    <row r="36" customFormat="false" ht="12.75" hidden="false" customHeight="true" outlineLevel="0" collapsed="false">
      <c r="A36" s="223" t="s">
        <v>204</v>
      </c>
      <c r="E36" s="248" t="n">
        <f aca="false">SUM(E29:E35)</f>
        <v>13090711</v>
      </c>
      <c r="K36" s="219" t="s">
        <v>205</v>
      </c>
      <c r="L36" s="62"/>
      <c r="M36" s="60" t="n">
        <f aca="false">SUM(M30:M34)</f>
        <v>9018539</v>
      </c>
      <c r="N36" s="60" t="n">
        <f aca="false">SUM(N30:N34)</f>
        <v>0</v>
      </c>
      <c r="O36" s="153"/>
      <c r="P36" s="153"/>
      <c r="Q36" s="153"/>
      <c r="R36" s="220"/>
    </row>
    <row r="37" customFormat="false" ht="12.75" hidden="false" customHeight="true" outlineLevel="0" collapsed="false">
      <c r="K37" s="265"/>
      <c r="L37" s="62"/>
      <c r="M37" s="62"/>
      <c r="N37" s="62"/>
      <c r="O37" s="153"/>
      <c r="P37" s="153"/>
      <c r="Q37" s="153"/>
      <c r="R37" s="220"/>
    </row>
    <row r="38" customFormat="false" ht="12.75" hidden="false" customHeight="true" outlineLevel="0" collapsed="false">
      <c r="A38" s="221" t="s">
        <v>206</v>
      </c>
      <c r="C38" s="226"/>
      <c r="E38" s="248" t="n">
        <f aca="false">+E36+E26+E19</f>
        <v>9018539</v>
      </c>
      <c r="K38" s="219"/>
      <c r="L38" s="266" t="s">
        <v>207</v>
      </c>
      <c r="M38" s="124" t="n">
        <f aca="false">M36-E38</f>
        <v>0</v>
      </c>
      <c r="N38" s="124" t="n">
        <f aca="false">+N36-E26</f>
        <v>0</v>
      </c>
      <c r="O38" s="153"/>
      <c r="P38" s="153"/>
      <c r="Q38" s="153"/>
      <c r="R38" s="220"/>
      <c r="AN38" s="59"/>
      <c r="AO38" s="59"/>
      <c r="AP38" s="59"/>
      <c r="AQ38" s="59"/>
      <c r="AR38" s="59"/>
      <c r="AS38" s="59"/>
    </row>
    <row r="39" customFormat="false" ht="12.75" hidden="false" customHeight="true" outlineLevel="0" collapsed="false">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K40" s="153"/>
      <c r="L40" s="153"/>
      <c r="M40" s="153"/>
      <c r="N40" s="153"/>
      <c r="O40" s="153"/>
      <c r="P40" s="153"/>
      <c r="AJ40" s="59"/>
      <c r="AK40" s="59"/>
      <c r="AN40" s="59"/>
      <c r="AO40" s="59"/>
      <c r="AP40" s="59"/>
      <c r="AQ40" s="59"/>
      <c r="AR40" s="59"/>
      <c r="AS40" s="59"/>
    </row>
    <row r="41" customFormat="false" ht="12.75" hidden="false" customHeight="true" outlineLevel="0" collapsed="false">
      <c r="A41" s="271" t="s">
        <v>208</v>
      </c>
      <c r="B41" s="271"/>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SUM(C47:C76)-C61-C68-C69</f>
        <v>0</v>
      </c>
      <c r="D43" s="275" t="n">
        <f aca="false">SUM(D47:D76)-D61-D68-D69</f>
        <v>0</v>
      </c>
      <c r="E43" s="275" t="n">
        <f aca="false">SUM(E47:E76)-E61-E68-E69</f>
        <v>0</v>
      </c>
      <c r="F43" s="275" t="n">
        <f aca="false">SUM(F47:F76)-F61-F68-F69</f>
        <v>0</v>
      </c>
      <c r="G43" s="275" t="n">
        <f aca="false">SUM(G47:G76)-G61-G68-G69</f>
        <v>0</v>
      </c>
      <c r="H43" s="275" t="n">
        <f aca="false">SUM(H47:H76)-H61-H68-H69</f>
        <v>0</v>
      </c>
      <c r="I43" s="275" t="n">
        <f aca="false">SUM(I47:I76)-I61-I68-I69</f>
        <v>0</v>
      </c>
      <c r="J43" s="275" t="n">
        <f aca="false">SUM(J47:J76)-J61-J68-J69</f>
        <v>0</v>
      </c>
      <c r="K43" s="275" t="n">
        <f aca="false">SUM(K47:K76)-K61-K68-K69</f>
        <v>0</v>
      </c>
      <c r="L43" s="275" t="n">
        <f aca="false">SUM(L47:L76)-L61-L68-L69</f>
        <v>0</v>
      </c>
      <c r="M43" s="275" t="n">
        <f aca="false">SUM(M47:M76)-M61-M68-M69</f>
        <v>0</v>
      </c>
      <c r="N43" s="275" t="n">
        <f aca="false">SUM(N47:N76)-N61-N68-N69</f>
        <v>0</v>
      </c>
      <c r="O43" s="275" t="n">
        <f aca="false">SUM(O47:O76)-O61-O68-O69</f>
        <v>0</v>
      </c>
      <c r="P43" s="275" t="n">
        <f aca="false">SUM(P47:P76)-P61-P68-P69</f>
        <v>0</v>
      </c>
      <c r="Q43" s="275" t="n">
        <f aca="false">SUM(Q47:Q76)-Q61-Q68-Q69</f>
        <v>0</v>
      </c>
      <c r="R43" s="275" t="n">
        <f aca="false">SUM(R47:R76)-R61-R68-R69</f>
        <v>0</v>
      </c>
      <c r="S43" s="275" t="n">
        <f aca="false">SUM(S47:S76)-S61-S68-S69</f>
        <v>0</v>
      </c>
      <c r="T43" s="275" t="n">
        <f aca="false">SUM(T47:T76)-T61-T68-T69</f>
        <v>0</v>
      </c>
      <c r="U43" s="275" t="n">
        <f aca="false">SUM(U47:U76)-U61-U68-U69</f>
        <v>0</v>
      </c>
      <c r="V43" s="275" t="n">
        <f aca="false">SUM(V47:V76)-V61-V68-V69</f>
        <v>0</v>
      </c>
      <c r="W43" s="275" t="n">
        <f aca="false">SUM(W47:W76)-W61-W68-W69</f>
        <v>0</v>
      </c>
      <c r="X43" s="275" t="n">
        <f aca="false">SUM(X47:X76)-X61-X68-X69</f>
        <v>0</v>
      </c>
      <c r="Y43" s="275" t="n">
        <f aca="false">SUM(Y47:Y76)-Y61-Y68-Y69</f>
        <v>0</v>
      </c>
      <c r="Z43" s="275" t="n">
        <f aca="false">SUM(Z47:Z76)-Z61-Z68-Z69</f>
        <v>0</v>
      </c>
      <c r="AA43" s="275" t="n">
        <f aca="false">SUM(AA47:AA76)-AA61-AA68-AA69</f>
        <v>0</v>
      </c>
      <c r="AB43" s="275" t="n">
        <f aca="false">SUM(AB47:AB76)-AB60-AB68-AB69</f>
        <v>0</v>
      </c>
      <c r="AC43" s="275" t="n">
        <f aca="false">SUM(AC47:AC76)-AC61-AC68-AC69</f>
        <v>0</v>
      </c>
      <c r="AD43" s="275" t="n">
        <f aca="false">SUM(AD47:AD76)-AD61-AD68-AD69</f>
        <v>0</v>
      </c>
      <c r="AE43" s="275" t="n">
        <f aca="false">SUM(AE47:AE76)-AE60-AE68-AE69</f>
        <v>0</v>
      </c>
      <c r="AF43" s="275" t="n">
        <f aca="false">SUM(AF47:AF76)-AF61-AF68-AF69</f>
        <v>0</v>
      </c>
      <c r="AG43" s="275" t="n">
        <f aca="false">SUM(AG47:AG76)-AG61-AG68-AG69</f>
        <v>0</v>
      </c>
      <c r="AH43" s="59"/>
      <c r="AI43" s="276" t="s">
        <v>211</v>
      </c>
      <c r="AJ43" s="277" t="s">
        <v>212</v>
      </c>
      <c r="AK43" s="59"/>
      <c r="AL43" s="77"/>
      <c r="AN43" s="59"/>
      <c r="AO43" s="59"/>
      <c r="AP43" s="59"/>
      <c r="AQ43" s="59"/>
      <c r="AR43" s="59"/>
      <c r="AS43" s="59"/>
    </row>
    <row r="44" customFormat="false" ht="12.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292"/>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3"/>
      <c r="AD46" s="292"/>
      <c r="AE46" s="293"/>
      <c r="AF46" s="292"/>
      <c r="AG46" s="293"/>
      <c r="AH46" s="59"/>
      <c r="AI46" s="287" t="n">
        <v>3</v>
      </c>
      <c r="AJ46" s="288" t="s">
        <v>217</v>
      </c>
      <c r="AK46" s="59"/>
      <c r="AL46" s="153"/>
      <c r="AN46" s="59"/>
      <c r="AO46" s="59"/>
      <c r="AP46" s="59"/>
      <c r="AQ46" s="59"/>
      <c r="AR46" s="59"/>
      <c r="AS46" s="59"/>
    </row>
    <row r="47" customFormat="false" ht="12.75" hidden="false" customHeight="true" outlineLevel="0" collapsed="false">
      <c r="A47" s="231" t="s">
        <v>218</v>
      </c>
      <c r="B47" s="294" t="n">
        <f aca="false">SUM(C47:AG47)</f>
        <v>0</v>
      </c>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59"/>
      <c r="AI47" s="287" t="n">
        <v>4</v>
      </c>
      <c r="AJ47" s="288" t="s">
        <v>219</v>
      </c>
      <c r="AK47" s="59"/>
      <c r="AL47" s="61"/>
      <c r="AM47" s="60"/>
      <c r="AN47" s="98"/>
      <c r="AO47" s="59"/>
      <c r="AP47" s="59"/>
      <c r="AQ47" s="59"/>
      <c r="AR47" s="59"/>
      <c r="AS47" s="59"/>
    </row>
    <row r="48" customFormat="false" ht="12.75" hidden="false" customHeight="true" outlineLevel="0" collapsed="false">
      <c r="A48" s="295" t="s">
        <v>220</v>
      </c>
      <c r="B48" s="294" t="n">
        <f aca="false">SUM(C48:AG48)</f>
        <v>0</v>
      </c>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59"/>
      <c r="AI48" s="287" t="n">
        <v>5</v>
      </c>
      <c r="AJ48" s="288" t="s">
        <v>221</v>
      </c>
      <c r="AK48" s="59"/>
      <c r="AL48" s="61"/>
      <c r="AM48" s="226"/>
      <c r="AN48" s="296"/>
      <c r="AO48" s="61"/>
      <c r="AP48" s="61"/>
      <c r="AQ48" s="61"/>
      <c r="AR48" s="61"/>
      <c r="AS48" s="61"/>
      <c r="AT48" s="199"/>
      <c r="AU48" s="199"/>
    </row>
    <row r="49" customFormat="false" ht="12.75" hidden="false" customHeight="true" outlineLevel="0" collapsed="false">
      <c r="A49" s="295" t="s">
        <v>222</v>
      </c>
      <c r="B49" s="294" t="n">
        <f aca="false">SUM(C49:AG49)</f>
        <v>0</v>
      </c>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59"/>
      <c r="AI49" s="287" t="n">
        <v>6</v>
      </c>
      <c r="AJ49" s="288" t="s">
        <v>223</v>
      </c>
      <c r="AK49" s="59"/>
      <c r="AL49" s="61"/>
      <c r="AM49" s="226"/>
      <c r="AN49" s="296"/>
      <c r="AO49" s="61"/>
      <c r="AP49" s="61"/>
      <c r="AQ49" s="61"/>
      <c r="AR49" s="61"/>
      <c r="AS49" s="61"/>
      <c r="AT49" s="199"/>
      <c r="AU49" s="199"/>
    </row>
    <row r="50" customFormat="false" ht="12.75" hidden="false" customHeight="true" outlineLevel="0" collapsed="false">
      <c r="A50" s="295" t="s">
        <v>224</v>
      </c>
      <c r="B50" s="294" t="n">
        <f aca="false">SUM(C50:AG50)</f>
        <v>0</v>
      </c>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59"/>
      <c r="AI50" s="297" t="n">
        <v>7</v>
      </c>
      <c r="AJ50" s="298" t="s">
        <v>214</v>
      </c>
      <c r="AK50" s="59"/>
      <c r="AL50" s="60"/>
      <c r="AM50" s="60"/>
      <c r="AN50" s="296"/>
      <c r="AO50" s="61"/>
      <c r="AP50" s="61"/>
      <c r="AQ50" s="61"/>
      <c r="AR50" s="61"/>
      <c r="AS50" s="61"/>
      <c r="AT50" s="199"/>
      <c r="AU50" s="199"/>
    </row>
    <row r="51" customFormat="false" ht="12.75" hidden="false" customHeight="true" outlineLevel="0" collapsed="false">
      <c r="A51" s="295" t="s">
        <v>225</v>
      </c>
      <c r="B51" s="294" t="n">
        <f aca="false">SUM(C51:AG51)</f>
        <v>0</v>
      </c>
      <c r="C51" s="226"/>
      <c r="D51" s="226"/>
      <c r="E51" s="226"/>
      <c r="F51" s="226"/>
      <c r="G51" s="226"/>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59"/>
      <c r="AI51" s="199"/>
      <c r="AJ51" s="59"/>
      <c r="AK51" s="59"/>
      <c r="AL51" s="60"/>
      <c r="AM51" s="60"/>
      <c r="AN51" s="98"/>
      <c r="AO51" s="59"/>
      <c r="AP51" s="59"/>
      <c r="AQ51" s="59"/>
      <c r="AR51" s="59"/>
      <c r="AS51" s="59"/>
    </row>
    <row r="52" customFormat="false" ht="12.75" hidden="false" customHeight="true" outlineLevel="0" collapsed="false">
      <c r="A52" s="295" t="s">
        <v>226</v>
      </c>
      <c r="B52" s="294" t="n">
        <f aca="false">SUM(C52:AG52)</f>
        <v>0</v>
      </c>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226"/>
      <c r="AH52" s="59"/>
      <c r="AI52" s="199"/>
      <c r="AJ52" s="59"/>
      <c r="AK52" s="59"/>
      <c r="AL52" s="60"/>
      <c r="AM52" s="60"/>
      <c r="AN52" s="98"/>
      <c r="AO52" s="59"/>
      <c r="AP52" s="59"/>
      <c r="AQ52" s="59"/>
      <c r="AR52" s="59"/>
      <c r="AS52" s="59"/>
    </row>
    <row r="53" customFormat="false" ht="12.75" hidden="false" customHeight="true" outlineLevel="0" collapsed="false">
      <c r="A53" s="231" t="s">
        <v>227</v>
      </c>
      <c r="B53" s="294" t="n">
        <f aca="false">SUM(C53:AG53)</f>
        <v>0</v>
      </c>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59"/>
      <c r="AJ53" s="59"/>
      <c r="AK53" s="59"/>
      <c r="AL53" s="61"/>
      <c r="AM53" s="60"/>
      <c r="AN53" s="98"/>
      <c r="AO53" s="59"/>
      <c r="AP53" s="59"/>
      <c r="AQ53" s="59"/>
      <c r="AR53" s="59"/>
      <c r="AS53" s="59"/>
    </row>
    <row r="54" customFormat="false" ht="12.75" hidden="false" customHeight="true" outlineLevel="0" collapsed="false">
      <c r="A54" s="231" t="s">
        <v>228</v>
      </c>
      <c r="B54" s="294" t="n">
        <f aca="false">SUM(C54:AG54)</f>
        <v>0</v>
      </c>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59"/>
      <c r="AJ54" s="59"/>
      <c r="AK54" s="59"/>
      <c r="AL54" s="61"/>
      <c r="AM54" s="60"/>
      <c r="AN54" s="98"/>
      <c r="AO54" s="59"/>
      <c r="AP54" s="59"/>
      <c r="AQ54" s="59"/>
      <c r="AR54" s="59"/>
      <c r="AS54" s="59"/>
    </row>
    <row r="55" customFormat="false" ht="12.75" hidden="false" customHeight="true" outlineLevel="0" collapsed="false">
      <c r="A55" s="231" t="s">
        <v>229</v>
      </c>
      <c r="B55" s="294" t="n">
        <f aca="false">SUM(C55:AG55)</f>
        <v>0</v>
      </c>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226"/>
      <c r="AH55" s="59"/>
      <c r="AJ55" s="59"/>
      <c r="AK55" s="59"/>
      <c r="AL55" s="61"/>
      <c r="AM55" s="60"/>
      <c r="AN55" s="98"/>
      <c r="AO55" s="59"/>
      <c r="AP55" s="59"/>
      <c r="AQ55" s="59"/>
      <c r="AR55" s="59"/>
      <c r="AS55" s="59"/>
    </row>
    <row r="56" customFormat="false" ht="12.75" hidden="false" customHeight="true" outlineLevel="0" collapsed="false">
      <c r="A56" s="231" t="s">
        <v>230</v>
      </c>
      <c r="B56" s="294" t="n">
        <f aca="false">SUM(C56:AG56)</f>
        <v>0</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59"/>
      <c r="AI56" s="199"/>
      <c r="AJ56" s="59"/>
      <c r="AK56" s="59"/>
      <c r="AL56" s="61"/>
      <c r="AM56" s="60"/>
      <c r="AN56" s="98"/>
      <c r="AO56" s="59"/>
      <c r="AP56" s="59"/>
      <c r="AQ56" s="59"/>
      <c r="AR56" s="59"/>
      <c r="AS56" s="59"/>
    </row>
    <row r="57" customFormat="false" ht="12.75" hidden="false" customHeight="true" outlineLevel="0" collapsed="false">
      <c r="A57" s="295" t="s">
        <v>231</v>
      </c>
      <c r="B57" s="294" t="n">
        <f aca="false">SUM(C57:AG57)</f>
        <v>0</v>
      </c>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59"/>
      <c r="AI57" s="199"/>
      <c r="AJ57" s="59"/>
      <c r="AK57" s="59"/>
      <c r="AL57" s="61"/>
      <c r="AM57" s="60"/>
      <c r="AN57" s="98"/>
      <c r="AO57" s="59"/>
      <c r="AP57" s="59"/>
      <c r="AQ57" s="59"/>
      <c r="AR57" s="59"/>
      <c r="AS57" s="59"/>
    </row>
    <row r="58" customFormat="false" ht="12.75" hidden="false" customHeight="true" outlineLevel="0" collapsed="false">
      <c r="A58" s="295" t="s">
        <v>232</v>
      </c>
      <c r="B58" s="294" t="n">
        <f aca="false">SUM(C58:AG58)</f>
        <v>0</v>
      </c>
      <c r="C58" s="226"/>
      <c r="D58" s="226"/>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59"/>
      <c r="AI58" s="199"/>
      <c r="AJ58" s="59"/>
      <c r="AK58" s="59"/>
      <c r="AL58" s="61"/>
      <c r="AM58" s="60"/>
      <c r="AN58" s="296"/>
      <c r="AO58" s="61"/>
      <c r="AP58" s="61"/>
      <c r="AQ58" s="61"/>
      <c r="AR58" s="61"/>
      <c r="AS58" s="61"/>
      <c r="AT58" s="199"/>
      <c r="AU58" s="199"/>
      <c r="AV58" s="199"/>
      <c r="AW58" s="199"/>
      <c r="AX58" s="199"/>
    </row>
    <row r="59" customFormat="false" ht="12.75" hidden="false" customHeight="true" outlineLevel="0" collapsed="false">
      <c r="A59" s="295" t="s">
        <v>233</v>
      </c>
      <c r="B59" s="294" t="n">
        <f aca="false">SUM(C59:AG59)</f>
        <v>0</v>
      </c>
      <c r="C59" s="226"/>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59"/>
      <c r="AI59" s="199"/>
      <c r="AJ59" s="59"/>
      <c r="AK59" s="59"/>
      <c r="AL59" s="61"/>
      <c r="AM59" s="60"/>
      <c r="AN59" s="296"/>
      <c r="AO59" s="61"/>
      <c r="AP59" s="61"/>
      <c r="AQ59" s="61"/>
      <c r="AR59" s="61"/>
      <c r="AS59" s="61"/>
      <c r="AT59" s="199"/>
      <c r="AU59" s="199"/>
      <c r="AV59" s="199"/>
      <c r="AW59" s="199"/>
      <c r="AX59" s="199"/>
    </row>
    <row r="60" customFormat="false" ht="12.75" hidden="false" customHeight="true" outlineLevel="0" collapsed="false">
      <c r="A60" s="295" t="s">
        <v>234</v>
      </c>
      <c r="B60" s="294" t="n">
        <f aca="false">SUM(C60:AG60)</f>
        <v>0</v>
      </c>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59"/>
      <c r="AI60" s="199"/>
      <c r="AJ60" s="59"/>
      <c r="AK60" s="59"/>
      <c r="AL60" s="61"/>
      <c r="AM60" s="60"/>
      <c r="AN60" s="296"/>
      <c r="AO60" s="61"/>
      <c r="AP60" s="61"/>
      <c r="AQ60" s="61"/>
      <c r="AR60" s="61"/>
      <c r="AS60" s="61"/>
      <c r="AT60" s="199"/>
      <c r="AU60" s="199"/>
      <c r="AV60" s="199"/>
      <c r="AW60" s="199"/>
      <c r="AX60" s="199"/>
    </row>
    <row r="61" customFormat="false" ht="12.75" hidden="false" customHeight="true" outlineLevel="0" collapsed="false">
      <c r="A61" s="295" t="s">
        <v>235</v>
      </c>
      <c r="B61" s="294" t="n">
        <f aca="false">SUM(C61:AG61)</f>
        <v>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59"/>
      <c r="AJ61" s="59"/>
      <c r="AK61" s="59"/>
      <c r="AL61" s="61"/>
      <c r="AM61" s="60"/>
      <c r="AN61" s="98"/>
      <c r="AO61" s="59"/>
      <c r="AP61" s="59"/>
      <c r="AQ61" s="59"/>
      <c r="AR61" s="59"/>
      <c r="AS61" s="59"/>
    </row>
    <row r="62" customFormat="false" ht="12.75" hidden="false" customHeight="true" outlineLevel="0" collapsed="false">
      <c r="A62" s="295" t="s">
        <v>236</v>
      </c>
      <c r="B62" s="294" t="n">
        <f aca="false">SUM(C62:AG62)</f>
        <v>0</v>
      </c>
      <c r="C62" s="226"/>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E62" s="226"/>
      <c r="AF62" s="226"/>
      <c r="AG62" s="226"/>
      <c r="AH62" s="59"/>
      <c r="AJ62" s="59"/>
      <c r="AK62" s="59"/>
      <c r="AL62" s="61"/>
      <c r="AM62" s="60"/>
      <c r="AN62" s="98"/>
      <c r="AO62" s="98"/>
      <c r="AP62" s="59"/>
      <c r="AQ62" s="59"/>
      <c r="AR62" s="59"/>
      <c r="AS62" s="59"/>
    </row>
    <row r="63" customFormat="false" ht="12.75" hidden="false" customHeight="true" outlineLevel="0" collapsed="false">
      <c r="A63" s="295" t="s">
        <v>189</v>
      </c>
      <c r="B63" s="294" t="n">
        <f aca="false">SUM(C63:AG63)</f>
        <v>0</v>
      </c>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59"/>
      <c r="AI63" s="199"/>
      <c r="AJ63" s="59"/>
      <c r="AK63" s="59"/>
      <c r="AL63" s="61"/>
      <c r="AM63" s="60"/>
      <c r="AN63" s="98"/>
      <c r="AO63" s="59"/>
      <c r="AP63" s="59"/>
      <c r="AQ63" s="59"/>
      <c r="AR63" s="59"/>
      <c r="AS63" s="59"/>
    </row>
    <row r="64" customFormat="false" ht="12.75" hidden="false" customHeight="true" outlineLevel="0" collapsed="false">
      <c r="A64" s="295" t="s">
        <v>237</v>
      </c>
      <c r="B64" s="294" t="n">
        <f aca="false">SUM(C64:AG64)</f>
        <v>0</v>
      </c>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59"/>
      <c r="AI64" s="199"/>
      <c r="AJ64" s="59"/>
      <c r="AK64" s="59"/>
      <c r="AL64" s="60"/>
      <c r="AM64" s="60"/>
      <c r="AN64" s="59"/>
      <c r="AO64" s="59"/>
      <c r="AP64" s="59"/>
      <c r="AQ64" s="59"/>
      <c r="AR64" s="59"/>
      <c r="AS64" s="59"/>
    </row>
    <row r="65" customFormat="false" ht="12.75" hidden="false" customHeight="true" outlineLevel="0" collapsed="false">
      <c r="A65" s="231" t="s">
        <v>238</v>
      </c>
      <c r="B65" s="294" t="n">
        <f aca="false">SUM(C65:AG65)</f>
        <v>0</v>
      </c>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59"/>
      <c r="AJ65" s="59"/>
      <c r="AK65" s="59"/>
      <c r="AL65" s="61"/>
      <c r="AM65" s="60"/>
      <c r="AN65" s="59"/>
      <c r="AO65" s="59"/>
      <c r="AP65" s="59"/>
      <c r="AQ65" s="59"/>
      <c r="AR65" s="59"/>
      <c r="AS65" s="59"/>
    </row>
    <row r="66" customFormat="false" ht="12.75" hidden="false" customHeight="true" outlineLevel="0" collapsed="false">
      <c r="A66" s="231" t="s">
        <v>239</v>
      </c>
      <c r="B66" s="294" t="n">
        <f aca="false">SUM(C66:AG66)</f>
        <v>0</v>
      </c>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59"/>
      <c r="AI66" s="199"/>
      <c r="AJ66" s="59"/>
      <c r="AK66" s="59"/>
      <c r="AL66" s="61"/>
      <c r="AM66" s="60"/>
      <c r="AN66" s="59"/>
      <c r="AO66" s="59"/>
      <c r="AP66" s="59"/>
      <c r="AQ66" s="59"/>
      <c r="AR66" s="59"/>
      <c r="AS66" s="59"/>
    </row>
    <row r="67" customFormat="false" ht="12.75" hidden="false" customHeight="true" outlineLevel="0" collapsed="false">
      <c r="A67" s="231" t="s">
        <v>240</v>
      </c>
      <c r="B67" s="294" t="n">
        <f aca="false">SUM(C67:AG67)</f>
        <v>0</v>
      </c>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59"/>
      <c r="AI67" s="199"/>
      <c r="AJ67" s="59"/>
      <c r="AK67" s="59"/>
      <c r="AL67" s="61"/>
      <c r="AM67" s="60"/>
      <c r="AN67" s="59"/>
      <c r="AO67" s="59"/>
      <c r="AP67" s="59"/>
      <c r="AQ67" s="59"/>
      <c r="AR67" s="59"/>
      <c r="AS67" s="59"/>
    </row>
    <row r="68" customFormat="false" ht="12.75" hidden="false" customHeight="true" outlineLevel="0" collapsed="false">
      <c r="A68" s="231" t="s">
        <v>241</v>
      </c>
      <c r="B68" s="294" t="n">
        <f aca="false">SUM(C68:AG68)</f>
        <v>0</v>
      </c>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59"/>
      <c r="AJ68" s="59"/>
      <c r="AK68" s="59"/>
      <c r="AL68" s="61"/>
      <c r="AM68" s="60"/>
      <c r="AN68" s="59"/>
      <c r="AO68" s="59"/>
      <c r="AP68" s="59"/>
      <c r="AQ68" s="59"/>
      <c r="AR68" s="59"/>
      <c r="AS68" s="59"/>
    </row>
    <row r="69" customFormat="false" ht="12.75" hidden="false" customHeight="true" outlineLevel="0" collapsed="false">
      <c r="A69" s="295" t="s">
        <v>242</v>
      </c>
      <c r="B69" s="294" t="n">
        <f aca="false">SUM(C69:AG69)</f>
        <v>0</v>
      </c>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59"/>
      <c r="AI69" s="199"/>
      <c r="AJ69" s="59"/>
      <c r="AK69" s="59"/>
      <c r="AL69" s="61"/>
      <c r="AM69" s="60"/>
      <c r="AN69" s="59"/>
      <c r="AO69" s="59"/>
      <c r="AP69" s="59"/>
      <c r="AQ69" s="59"/>
      <c r="AR69" s="59"/>
      <c r="AS69" s="59"/>
    </row>
    <row r="70" customFormat="false" ht="12.75" hidden="false" customHeight="true" outlineLevel="0" collapsed="false">
      <c r="A70" s="231" t="s">
        <v>243</v>
      </c>
      <c r="B70" s="294" t="n">
        <f aca="false">SUM(C70:AG70)</f>
        <v>0</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59"/>
      <c r="AJ70" s="59"/>
      <c r="AK70" s="59"/>
      <c r="AL70" s="61"/>
      <c r="AM70" s="60"/>
      <c r="AN70" s="59"/>
      <c r="AO70" s="59"/>
      <c r="AP70" s="59"/>
      <c r="AQ70" s="59"/>
      <c r="AR70" s="59"/>
      <c r="AS70" s="59"/>
    </row>
    <row r="71" customFormat="false" ht="12.75" hidden="fals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300"/>
      <c r="AH71" s="59"/>
      <c r="AJ71" s="59"/>
      <c r="AK71" s="59"/>
      <c r="AL71" s="61"/>
      <c r="AM71" s="60"/>
    </row>
    <row r="72" customFormat="false" ht="12.75" hidden="false" customHeight="true" outlineLevel="0" collapsed="false">
      <c r="A72" s="231"/>
      <c r="B72" s="294"/>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301"/>
      <c r="AH72" s="59"/>
      <c r="AJ72" s="59"/>
      <c r="AK72" s="59"/>
      <c r="AL72" s="61"/>
      <c r="AM72" s="60"/>
    </row>
    <row r="73" customFormat="false" ht="12.75" hidden="false" customHeight="true" outlineLevel="0" collapsed="false">
      <c r="A73" s="231"/>
      <c r="B73" s="294"/>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301"/>
      <c r="AH73" s="59"/>
      <c r="AJ73" s="59"/>
      <c r="AK73" s="59"/>
      <c r="AL73" s="61"/>
      <c r="AM73" s="60"/>
    </row>
    <row r="74" customFormat="false" ht="12.75" hidden="false" customHeight="true" outlineLevel="0" collapsed="false">
      <c r="A74" s="231"/>
      <c r="B74" s="294"/>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301"/>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SUM(B47:B75)-B61-B68-B69</f>
        <v>0</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C78" s="193" t="n">
        <f aca="false">(+B58+B59)*-1</f>
        <v>-0</v>
      </c>
      <c r="AH78" s="153"/>
      <c r="AJ78" s="153"/>
      <c r="AK78" s="226"/>
      <c r="AL78" s="61"/>
      <c r="AM78" s="60"/>
    </row>
    <row r="79" customFormat="false" ht="12.75" hidden="false" customHeight="true" outlineLevel="0" collapsed="false">
      <c r="A79" s="153"/>
      <c r="B79" s="307"/>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c r="C81" s="275"/>
      <c r="D81" s="275"/>
      <c r="E81" s="275"/>
      <c r="F81" s="275"/>
      <c r="G81" s="275"/>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59"/>
      <c r="AI81" s="76"/>
      <c r="AJ81" s="85"/>
      <c r="AK81" s="59"/>
      <c r="AL81" s="77"/>
      <c r="AN81" s="59"/>
      <c r="AO81" s="59"/>
      <c r="AP81" s="59"/>
      <c r="AQ81" s="59"/>
      <c r="AR81" s="59"/>
      <c r="AS81" s="59"/>
    </row>
    <row r="82" customFormat="false" ht="12.75" hidden="false" customHeight="true" outlineLevel="0" collapsed="false">
      <c r="A82" s="308" t="s">
        <v>247</v>
      </c>
      <c r="B82" s="274" t="s">
        <v>210</v>
      </c>
      <c r="C82" s="275" t="n">
        <f aca="false">SUM(C86:C101)</f>
        <v>0</v>
      </c>
      <c r="D82" s="275" t="n">
        <f aca="false">SUM(D86:D101)</f>
        <v>0</v>
      </c>
      <c r="E82" s="275" t="n">
        <f aca="false">SUM(E86:E101)</f>
        <v>0</v>
      </c>
      <c r="F82" s="275" t="n">
        <f aca="false">SUM(F86:F101)</f>
        <v>0</v>
      </c>
      <c r="G82" s="275" t="n">
        <f aca="false">SUM(G86:G101)</f>
        <v>0</v>
      </c>
      <c r="H82" s="275" t="n">
        <f aca="false">SUM(H86:H101)</f>
        <v>0</v>
      </c>
      <c r="I82" s="275" t="n">
        <f aca="false">SUM(I86:I101)</f>
        <v>0</v>
      </c>
      <c r="J82" s="275" t="n">
        <f aca="false">SUM(J86:J101)</f>
        <v>0</v>
      </c>
      <c r="K82" s="275" t="n">
        <f aca="false">SUM(K86:K101)</f>
        <v>0</v>
      </c>
      <c r="L82" s="275" t="n">
        <f aca="false">SUM(L86:L101)</f>
        <v>0</v>
      </c>
      <c r="M82" s="275" t="n">
        <f aca="false">SUM(M86:M101)</f>
        <v>0</v>
      </c>
      <c r="N82" s="275" t="n">
        <f aca="false">SUM(N86:N101)</f>
        <v>0</v>
      </c>
      <c r="O82" s="275" t="n">
        <f aca="false">SUM(O86:O101)</f>
        <v>0</v>
      </c>
      <c r="P82" s="275" t="n">
        <f aca="false">SUM(P86:P101)</f>
        <v>0</v>
      </c>
      <c r="Q82" s="275" t="n">
        <f aca="false">SUM(Q86:Q101)</f>
        <v>0</v>
      </c>
      <c r="R82" s="275" t="n">
        <f aca="false">SUM(R86:R101)</f>
        <v>0</v>
      </c>
      <c r="S82" s="275" t="n">
        <f aca="false">SUM(S86:S101)</f>
        <v>0</v>
      </c>
      <c r="T82" s="275" t="n">
        <f aca="false">SUM(T86:T101)</f>
        <v>0</v>
      </c>
      <c r="U82" s="275" t="n">
        <f aca="false">SUM(U86:U101)</f>
        <v>0</v>
      </c>
      <c r="V82" s="275" t="n">
        <f aca="false">SUM(V86:V101)</f>
        <v>0</v>
      </c>
      <c r="W82" s="275" t="n">
        <f aca="false">SUM(W86:W101)</f>
        <v>0</v>
      </c>
      <c r="X82" s="275" t="n">
        <f aca="false">SUM(X86:X101)</f>
        <v>0</v>
      </c>
      <c r="Y82" s="275" t="n">
        <f aca="false">SUM(Y86:Y101)</f>
        <v>0</v>
      </c>
      <c r="Z82" s="275" t="n">
        <f aca="false">SUM(Z86:Z101)</f>
        <v>0</v>
      </c>
      <c r="AA82" s="275" t="n">
        <f aca="false">SUM(AA86:AA101)</f>
        <v>0</v>
      </c>
      <c r="AB82" s="275" t="n">
        <f aca="false">SUM(AB86:AB101)</f>
        <v>0</v>
      </c>
      <c r="AC82" s="275" t="n">
        <f aca="false">SUM(AC86:AC101)</f>
        <v>0</v>
      </c>
      <c r="AD82" s="275" t="n">
        <f aca="false">SUM(AD86:AD101)</f>
        <v>0</v>
      </c>
      <c r="AE82" s="275" t="n">
        <f aca="false">SUM(AE86:AE101)</f>
        <v>0</v>
      </c>
      <c r="AF82" s="275" t="n">
        <f aca="false">SUM(AF86:AF101)</f>
        <v>0</v>
      </c>
      <c r="AG82" s="275" t="n">
        <f aca="false">SUM(AG86:AG101)</f>
        <v>0</v>
      </c>
      <c r="AH82" s="59"/>
      <c r="AI82" s="76"/>
      <c r="AJ82" s="85"/>
      <c r="AK82" s="59"/>
      <c r="AL82" s="77"/>
      <c r="AN82" s="59"/>
      <c r="AO82" s="59"/>
      <c r="AP82" s="59"/>
      <c r="AQ82" s="59"/>
      <c r="AR82" s="59"/>
      <c r="AS82" s="59"/>
    </row>
    <row r="83" customFormat="false" ht="12.75" hidden="false" customHeight="true" outlineLevel="0" collapsed="false">
      <c r="A83" s="278" t="s">
        <v>248</v>
      </c>
      <c r="B83" s="279" t="n">
        <f aca="false">B44</f>
        <v>36831</v>
      </c>
      <c r="C83" s="280" t="n">
        <f aca="false">C44</f>
        <v>36831</v>
      </c>
      <c r="D83" s="280" t="n">
        <f aca="false">D44</f>
        <v>36832</v>
      </c>
      <c r="E83" s="280" t="n">
        <f aca="false">E44</f>
        <v>36833</v>
      </c>
      <c r="F83" s="280" t="n">
        <f aca="false">F44</f>
        <v>36834</v>
      </c>
      <c r="G83" s="280" t="n">
        <f aca="false">G44</f>
        <v>36835</v>
      </c>
      <c r="H83" s="280" t="n">
        <f aca="false">H44</f>
        <v>36836</v>
      </c>
      <c r="I83" s="280" t="n">
        <f aca="false">I44</f>
        <v>36837</v>
      </c>
      <c r="J83" s="280" t="n">
        <f aca="false">J44</f>
        <v>36838</v>
      </c>
      <c r="K83" s="280" t="n">
        <f aca="false">K44</f>
        <v>36839</v>
      </c>
      <c r="L83" s="280" t="n">
        <f aca="false">L44</f>
        <v>36840</v>
      </c>
      <c r="M83" s="280" t="n">
        <f aca="false">M44</f>
        <v>36841</v>
      </c>
      <c r="N83" s="280" t="n">
        <f aca="false">N44</f>
        <v>36842</v>
      </c>
      <c r="O83" s="280" t="n">
        <f aca="false">O44</f>
        <v>36843</v>
      </c>
      <c r="P83" s="280" t="n">
        <f aca="false">P44</f>
        <v>36844</v>
      </c>
      <c r="Q83" s="280" t="n">
        <f aca="false">Q44</f>
        <v>36845</v>
      </c>
      <c r="R83" s="280" t="n">
        <f aca="false">R44</f>
        <v>36846</v>
      </c>
      <c r="S83" s="280" t="n">
        <f aca="false">S44</f>
        <v>36847</v>
      </c>
      <c r="T83" s="280" t="n">
        <f aca="false">T44</f>
        <v>36848</v>
      </c>
      <c r="U83" s="280" t="n">
        <f aca="false">U44</f>
        <v>36849</v>
      </c>
      <c r="V83" s="280" t="n">
        <f aca="false">V44</f>
        <v>36850</v>
      </c>
      <c r="W83" s="280" t="n">
        <f aca="false">W44</f>
        <v>36851</v>
      </c>
      <c r="X83" s="280" t="n">
        <f aca="false">X44</f>
        <v>36852</v>
      </c>
      <c r="Y83" s="280" t="n">
        <f aca="false">Y44</f>
        <v>36853</v>
      </c>
      <c r="Z83" s="280" t="n">
        <f aca="false">Z44</f>
        <v>36854</v>
      </c>
      <c r="AA83" s="280" t="n">
        <f aca="false">AA44</f>
        <v>36855</v>
      </c>
      <c r="AB83" s="280" t="n">
        <f aca="false">AB44</f>
        <v>36856</v>
      </c>
      <c r="AC83" s="280" t="n">
        <f aca="false">AC44</f>
        <v>36857</v>
      </c>
      <c r="AD83" s="280" t="n">
        <f aca="false">AD44</f>
        <v>36858</v>
      </c>
      <c r="AE83" s="280" t="n">
        <f aca="false">AE44</f>
        <v>36859</v>
      </c>
      <c r="AF83" s="280" t="n">
        <f aca="false">AF44</f>
        <v>36860</v>
      </c>
      <c r="AG83" s="280" t="n">
        <f aca="false">AG44</f>
        <v>36861</v>
      </c>
      <c r="AH83" s="281"/>
      <c r="AI83" s="76"/>
      <c r="AJ83" s="309"/>
      <c r="AK83" s="281"/>
      <c r="AL83" s="284"/>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c r="DM83" s="281"/>
      <c r="DN83" s="281"/>
      <c r="DO83" s="281"/>
      <c r="DP83" s="281"/>
      <c r="DQ83" s="281"/>
      <c r="DR83" s="281"/>
      <c r="DS83" s="281"/>
      <c r="DT83" s="281"/>
      <c r="DU83" s="281"/>
      <c r="DV83" s="281"/>
      <c r="DW83" s="281"/>
      <c r="DX83" s="281"/>
      <c r="DY83" s="281"/>
      <c r="DZ83" s="281"/>
      <c r="EA83" s="281"/>
      <c r="EB83" s="281"/>
      <c r="EC83" s="281"/>
      <c r="ED83" s="281"/>
      <c r="EE83" s="281"/>
      <c r="EF83" s="281"/>
      <c r="EG83" s="281"/>
      <c r="EH83" s="281"/>
      <c r="EI83" s="281"/>
      <c r="EJ83" s="281"/>
      <c r="EK83" s="281"/>
      <c r="EL83" s="281"/>
      <c r="EM83" s="281"/>
      <c r="EN83" s="281"/>
      <c r="EO83" s="281"/>
      <c r="EP83" s="281"/>
      <c r="EQ83" s="281"/>
      <c r="ER83" s="281"/>
      <c r="ES83" s="281"/>
      <c r="ET83" s="281"/>
      <c r="EU83" s="281"/>
      <c r="EV83" s="281"/>
      <c r="EW83" s="281"/>
      <c r="EX83" s="281"/>
      <c r="EY83" s="281"/>
      <c r="EZ83" s="281"/>
      <c r="FA83" s="281"/>
      <c r="FB83" s="281"/>
      <c r="FC83" s="281"/>
      <c r="FD83" s="281"/>
      <c r="FE83" s="281"/>
      <c r="FF83" s="281"/>
      <c r="FG83" s="281"/>
      <c r="FH83" s="281"/>
      <c r="FI83" s="281"/>
      <c r="FJ83" s="281"/>
      <c r="FK83" s="281"/>
      <c r="FL83" s="281"/>
      <c r="FM83" s="281"/>
      <c r="FN83" s="281"/>
      <c r="FO83" s="281"/>
      <c r="FP83" s="281"/>
      <c r="FQ83" s="281"/>
      <c r="FR83" s="281"/>
      <c r="FS83" s="281"/>
      <c r="FT83" s="281"/>
      <c r="FU83" s="281"/>
      <c r="FV83" s="281"/>
      <c r="FW83" s="281"/>
      <c r="FX83" s="281"/>
      <c r="FY83" s="281"/>
      <c r="FZ83" s="281"/>
      <c r="GA83" s="281"/>
      <c r="GB83" s="281"/>
      <c r="GC83" s="281"/>
      <c r="GD83" s="281"/>
      <c r="GE83" s="281"/>
      <c r="GF83" s="281"/>
      <c r="GG83" s="281"/>
      <c r="GH83" s="281"/>
      <c r="GI83" s="281"/>
      <c r="GJ83" s="281"/>
      <c r="GK83" s="281"/>
      <c r="GL83" s="281"/>
      <c r="GM83" s="281"/>
      <c r="GN83" s="281"/>
      <c r="GO83" s="281"/>
      <c r="GP83" s="281"/>
      <c r="GQ83" s="281"/>
      <c r="GR83" s="281"/>
      <c r="GS83" s="281"/>
      <c r="GT83" s="281"/>
      <c r="GU83" s="281"/>
      <c r="GV83" s="281"/>
      <c r="GW83" s="281"/>
      <c r="GX83" s="281"/>
      <c r="GY83" s="281"/>
      <c r="GZ83" s="281"/>
      <c r="HA83" s="281"/>
      <c r="HB83" s="281"/>
      <c r="HC83" s="281"/>
      <c r="HD83" s="281"/>
      <c r="HE83" s="281"/>
      <c r="HF83" s="281"/>
      <c r="HG83" s="281"/>
      <c r="HH83" s="281"/>
      <c r="HI83" s="281"/>
      <c r="HJ83" s="281"/>
      <c r="HK83" s="281"/>
      <c r="HL83" s="281"/>
      <c r="HM83" s="281"/>
      <c r="HN83" s="281"/>
      <c r="HO83" s="281"/>
      <c r="HP83" s="281"/>
      <c r="HQ83" s="281"/>
      <c r="HR83" s="281"/>
      <c r="HS83" s="281"/>
      <c r="HT83" s="281"/>
      <c r="HU83" s="281"/>
      <c r="HV83" s="281"/>
      <c r="HW83" s="281"/>
      <c r="HX83" s="281"/>
      <c r="HY83" s="281"/>
      <c r="HZ83" s="281"/>
      <c r="IA83" s="281"/>
      <c r="IB83" s="281"/>
      <c r="IC83" s="281"/>
      <c r="ID83" s="281"/>
      <c r="IE83" s="281"/>
      <c r="IF83" s="281"/>
      <c r="IG83" s="281"/>
      <c r="IH83" s="281"/>
      <c r="II83" s="281"/>
      <c r="IJ83" s="281"/>
      <c r="IK83" s="281"/>
      <c r="IL83" s="281"/>
      <c r="IM83" s="281"/>
      <c r="IN83" s="281"/>
      <c r="IO83" s="281"/>
      <c r="IP83" s="281"/>
      <c r="IQ83" s="281"/>
      <c r="IR83" s="281"/>
      <c r="IS83" s="281"/>
      <c r="IT83" s="281"/>
      <c r="IU83" s="281"/>
      <c r="IV83" s="281"/>
      <c r="IW83" s="281"/>
    </row>
    <row r="84" customFormat="false" ht="12.75" hidden="false" customHeight="true" outlineLevel="0" collapsed="false">
      <c r="A84" s="285"/>
      <c r="B84" s="285"/>
      <c r="C84" s="286" t="str">
        <f aca="false">C45</f>
        <v>W</v>
      </c>
      <c r="D84" s="286" t="str">
        <f aca="false">D45</f>
        <v>R</v>
      </c>
      <c r="E84" s="286" t="str">
        <f aca="false">E45</f>
        <v>F</v>
      </c>
      <c r="F84" s="286" t="str">
        <f aca="false">F45</f>
        <v>S</v>
      </c>
      <c r="G84" s="286" t="str">
        <f aca="false">G45</f>
        <v>S</v>
      </c>
      <c r="H84" s="286" t="str">
        <f aca="false">H45</f>
        <v>M</v>
      </c>
      <c r="I84" s="286" t="str">
        <f aca="false">I45</f>
        <v>T</v>
      </c>
      <c r="J84" s="286" t="str">
        <f aca="false">J45</f>
        <v>W</v>
      </c>
      <c r="K84" s="286" t="str">
        <f aca="false">K45</f>
        <v>R</v>
      </c>
      <c r="L84" s="286" t="str">
        <f aca="false">L45</f>
        <v>F</v>
      </c>
      <c r="M84" s="286" t="str">
        <f aca="false">M45</f>
        <v>S</v>
      </c>
      <c r="N84" s="286" t="str">
        <f aca="false">N45</f>
        <v>S</v>
      </c>
      <c r="O84" s="286" t="str">
        <f aca="false">O45</f>
        <v>M</v>
      </c>
      <c r="P84" s="286" t="str">
        <f aca="false">P45</f>
        <v>T</v>
      </c>
      <c r="Q84" s="286" t="str">
        <f aca="false">Q45</f>
        <v>W</v>
      </c>
      <c r="R84" s="286" t="str">
        <f aca="false">R45</f>
        <v>R</v>
      </c>
      <c r="S84" s="286" t="str">
        <f aca="false">S45</f>
        <v>F</v>
      </c>
      <c r="T84" s="286" t="str">
        <f aca="false">T45</f>
        <v>S</v>
      </c>
      <c r="U84" s="286" t="str">
        <f aca="false">U45</f>
        <v>S</v>
      </c>
      <c r="V84" s="286" t="str">
        <f aca="false">V45</f>
        <v>M</v>
      </c>
      <c r="W84" s="286" t="str">
        <f aca="false">W45</f>
        <v>T</v>
      </c>
      <c r="X84" s="286" t="str">
        <f aca="false">X45</f>
        <v>W</v>
      </c>
      <c r="Y84" s="286" t="str">
        <f aca="false">Y45</f>
        <v>R</v>
      </c>
      <c r="Z84" s="286" t="str">
        <f aca="false">Z45</f>
        <v>F</v>
      </c>
      <c r="AA84" s="286" t="str">
        <f aca="false">AA45</f>
        <v>S</v>
      </c>
      <c r="AB84" s="286" t="str">
        <f aca="false">AB45</f>
        <v>S</v>
      </c>
      <c r="AC84" s="286" t="str">
        <f aca="false">AC45</f>
        <v>M</v>
      </c>
      <c r="AD84" s="286" t="str">
        <f aca="false">AD45</f>
        <v>T</v>
      </c>
      <c r="AE84" s="286" t="str">
        <f aca="false">AE45</f>
        <v>W</v>
      </c>
      <c r="AF84" s="286" t="str">
        <f aca="false">AF45</f>
        <v>R</v>
      </c>
      <c r="AG84" s="286" t="str">
        <f aca="false">AG45</f>
        <v>F</v>
      </c>
      <c r="AH84" s="59"/>
      <c r="AI84" s="76"/>
      <c r="AJ84" s="85"/>
      <c r="AK84" s="59"/>
      <c r="AL84" s="153"/>
      <c r="AN84" s="59"/>
      <c r="AO84" s="59"/>
      <c r="AP84" s="59"/>
      <c r="AQ84" s="59"/>
      <c r="AR84" s="59"/>
      <c r="AS84" s="59"/>
    </row>
    <row r="85" customFormat="false" ht="12.75" hidden="false" customHeight="true" outlineLevel="0" collapsed="false">
      <c r="A85" s="289"/>
      <c r="B85" s="290" t="s">
        <v>216</v>
      </c>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0"/>
      <c r="AF85" s="310"/>
      <c r="AG85" s="311"/>
      <c r="AH85" s="153"/>
      <c r="AI85" s="199"/>
      <c r="AJ85" s="312"/>
      <c r="AK85" s="226"/>
      <c r="AL85" s="61"/>
      <c r="AM85" s="60"/>
    </row>
    <row r="86" customFormat="false" ht="12.75" hidden="false" customHeight="true" outlineLevel="0" collapsed="false">
      <c r="A86" s="231" t="s">
        <v>249</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250</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251</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252</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253</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254</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255</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256</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257</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258</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259</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260</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t="s">
        <v>261</v>
      </c>
      <c r="B98" s="294" t="n">
        <f aca="false">SUM(C98:AG98)</f>
        <v>0</v>
      </c>
      <c r="C98" s="226" t="n">
        <v>0</v>
      </c>
      <c r="D98" s="226" t="n">
        <v>0</v>
      </c>
      <c r="E98" s="226" t="n">
        <v>0</v>
      </c>
      <c r="F98" s="226" t="n">
        <v>0</v>
      </c>
      <c r="G98" s="226" t="n">
        <v>0</v>
      </c>
      <c r="H98" s="226" t="n">
        <v>0</v>
      </c>
      <c r="I98" s="226" t="n">
        <v>0</v>
      </c>
      <c r="J98" s="226" t="n">
        <v>0</v>
      </c>
      <c r="K98" s="226" t="n">
        <v>0</v>
      </c>
      <c r="L98" s="226" t="n">
        <v>0</v>
      </c>
      <c r="M98" s="226" t="n">
        <v>0</v>
      </c>
      <c r="N98" s="226" t="n">
        <v>0</v>
      </c>
      <c r="O98" s="226" t="n">
        <v>0</v>
      </c>
      <c r="P98" s="226" t="n">
        <v>0</v>
      </c>
      <c r="Q98" s="226" t="n">
        <v>0</v>
      </c>
      <c r="R98" s="226" t="n">
        <v>0</v>
      </c>
      <c r="S98" s="226" t="n">
        <v>0</v>
      </c>
      <c r="T98" s="226" t="n">
        <v>0</v>
      </c>
      <c r="U98" s="226" t="n">
        <v>0</v>
      </c>
      <c r="V98" s="226" t="n">
        <v>0</v>
      </c>
      <c r="W98" s="226" t="n">
        <v>0</v>
      </c>
      <c r="X98" s="226" t="n">
        <v>0</v>
      </c>
      <c r="Y98" s="226" t="n">
        <v>0</v>
      </c>
      <c r="Z98" s="226" t="n">
        <v>0</v>
      </c>
      <c r="AA98" s="226" t="n">
        <v>0</v>
      </c>
      <c r="AB98" s="226" t="n">
        <v>0</v>
      </c>
      <c r="AC98" s="226" t="n">
        <v>0</v>
      </c>
      <c r="AD98" s="226" t="n">
        <v>0</v>
      </c>
      <c r="AE98" s="226" t="n">
        <v>0</v>
      </c>
      <c r="AF98" s="226" t="n">
        <v>0</v>
      </c>
      <c r="AG98" s="300" t="n">
        <v>0</v>
      </c>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SUM(B88:B101)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3"/>
      <c r="B126" s="153"/>
      <c r="C126" s="153"/>
      <c r="D126" s="324"/>
      <c r="E126" s="325"/>
      <c r="G126" s="403"/>
      <c r="H126" s="327"/>
      <c r="I126" s="153"/>
      <c r="J126" s="59"/>
      <c r="K126" s="328"/>
      <c r="L126" s="325"/>
      <c r="M126" s="59"/>
      <c r="N126" s="59"/>
      <c r="O126" s="59"/>
      <c r="P126" s="59"/>
    </row>
    <row r="127" customFormat="false" ht="12.75" hidden="false" customHeight="true" outlineLevel="0" collapsed="false">
      <c r="A127" s="329" t="s">
        <v>273</v>
      </c>
      <c r="B127" s="153" t="s">
        <v>274</v>
      </c>
      <c r="C127" s="153"/>
      <c r="D127" s="324"/>
      <c r="E127" s="325" t="n">
        <v>31287</v>
      </c>
      <c r="G127" s="326"/>
      <c r="H127" s="62"/>
      <c r="I127" s="332"/>
      <c r="J127" s="59"/>
      <c r="K127" s="328"/>
      <c r="L127" s="325"/>
      <c r="M127" s="59"/>
      <c r="N127" s="59"/>
      <c r="O127" s="59"/>
      <c r="P127" s="59"/>
    </row>
    <row r="128" customFormat="false" ht="12.75" hidden="false" customHeight="true" outlineLevel="0" collapsed="false">
      <c r="A128" s="329" t="s">
        <v>275</v>
      </c>
      <c r="B128" s="153" t="s">
        <v>276</v>
      </c>
      <c r="C128" s="332"/>
      <c r="D128" s="346"/>
      <c r="E128" s="325" t="n">
        <v>289689</v>
      </c>
      <c r="G128" s="326"/>
      <c r="H128" s="153"/>
      <c r="I128" s="59"/>
      <c r="J128" s="59"/>
      <c r="K128" s="328"/>
      <c r="L128" s="325"/>
      <c r="M128" s="59"/>
      <c r="N128" s="59"/>
      <c r="O128" s="59"/>
      <c r="P128" s="59"/>
    </row>
    <row r="129" customFormat="false" ht="12.75" hidden="false" customHeight="true" outlineLevel="0" collapsed="false">
      <c r="A129" s="329" t="n">
        <v>36161</v>
      </c>
      <c r="B129" s="153" t="s">
        <v>279</v>
      </c>
      <c r="C129" s="153"/>
      <c r="D129" s="324"/>
      <c r="E129" s="325" t="n">
        <f aca="false">205+2129</f>
        <v>2334</v>
      </c>
      <c r="G129" s="326"/>
      <c r="H129" s="153"/>
      <c r="I129" s="59"/>
      <c r="J129" s="59"/>
      <c r="K129" s="324"/>
      <c r="L129" s="330"/>
      <c r="M129" s="59"/>
      <c r="N129" s="59"/>
      <c r="O129" s="59"/>
      <c r="P129" s="59"/>
    </row>
    <row r="130" customFormat="false" ht="12.75" hidden="false" customHeight="true" outlineLevel="0" collapsed="false">
      <c r="A130" s="329" t="n">
        <v>36192</v>
      </c>
      <c r="B130" s="153" t="s">
        <v>280</v>
      </c>
      <c r="C130" s="153"/>
      <c r="D130" s="324"/>
      <c r="E130" s="325" t="n">
        <f aca="false">-544+15588</f>
        <v>15044</v>
      </c>
      <c r="G130" s="326"/>
      <c r="H130" s="153"/>
      <c r="I130" s="59"/>
      <c r="J130" s="59"/>
      <c r="K130" s="324"/>
      <c r="L130" s="325"/>
      <c r="M130" s="59"/>
      <c r="N130" s="59"/>
      <c r="O130" s="59"/>
      <c r="P130" s="59"/>
    </row>
    <row r="131" customFormat="false" ht="12.75" hidden="false" customHeight="true" outlineLevel="0" collapsed="false">
      <c r="A131" s="329" t="n">
        <v>36220</v>
      </c>
      <c r="B131" s="153" t="s">
        <v>283</v>
      </c>
      <c r="C131" s="153"/>
      <c r="D131" s="324"/>
      <c r="E131" s="325" t="n">
        <f aca="false">2600-1430</f>
        <v>1170</v>
      </c>
      <c r="G131" s="326"/>
      <c r="H131" s="153"/>
      <c r="I131" s="59"/>
      <c r="J131" s="59"/>
      <c r="K131" s="324"/>
      <c r="L131" s="325"/>
      <c r="M131" s="59"/>
      <c r="N131" s="59"/>
      <c r="O131" s="59"/>
      <c r="P131" s="59"/>
    </row>
    <row r="132" customFormat="false" ht="12.75" hidden="false" customHeight="true" outlineLevel="0" collapsed="false">
      <c r="A132" s="329" t="n">
        <v>36251</v>
      </c>
      <c r="B132" s="153" t="s">
        <v>284</v>
      </c>
      <c r="C132" s="333"/>
      <c r="D132" s="324"/>
      <c r="E132" s="325"/>
      <c r="G132" s="326"/>
      <c r="H132" s="59"/>
      <c r="I132" s="59"/>
      <c r="J132" s="59"/>
      <c r="K132" s="328"/>
      <c r="L132" s="330"/>
      <c r="M132" s="59"/>
      <c r="N132" s="59"/>
      <c r="O132" s="59"/>
      <c r="P132" s="59"/>
    </row>
    <row r="133" customFormat="false" ht="12.75" hidden="false" customHeight="true" outlineLevel="0" collapsed="false">
      <c r="A133" s="329" t="n">
        <v>36281</v>
      </c>
      <c r="B133" s="153" t="s">
        <v>285</v>
      </c>
      <c r="C133" s="153"/>
      <c r="D133" s="301"/>
      <c r="E133" s="325"/>
      <c r="G133" s="326"/>
      <c r="H133" s="153"/>
      <c r="I133" s="59"/>
      <c r="J133" s="59"/>
      <c r="K133" s="324"/>
      <c r="L133" s="330"/>
      <c r="M133" s="59"/>
      <c r="N133" s="59"/>
      <c r="O133" s="59"/>
      <c r="P133" s="59"/>
    </row>
    <row r="134" customFormat="false" ht="12.75" hidden="false" customHeight="true" outlineLevel="0" collapsed="false">
      <c r="A134" s="329" t="n">
        <v>36312</v>
      </c>
      <c r="B134" s="153" t="s">
        <v>286</v>
      </c>
      <c r="C134" s="153"/>
      <c r="D134" s="301"/>
      <c r="E134" s="325"/>
      <c r="G134" s="326"/>
      <c r="H134" s="153"/>
      <c r="I134" s="59"/>
      <c r="J134" s="59"/>
      <c r="K134" s="324"/>
      <c r="L134" s="325"/>
      <c r="M134" s="98"/>
      <c r="N134" s="60"/>
      <c r="O134" s="59"/>
      <c r="P134" s="59"/>
    </row>
    <row r="135" customFormat="false" ht="12.75" hidden="false" customHeight="true" outlineLevel="0" collapsed="false">
      <c r="A135" s="329" t="n">
        <v>36342</v>
      </c>
      <c r="B135" s="153" t="s">
        <v>287</v>
      </c>
      <c r="C135" s="153"/>
      <c r="D135" s="301"/>
      <c r="E135" s="325"/>
      <c r="G135" s="326"/>
      <c r="H135" s="153"/>
      <c r="I135" s="59"/>
      <c r="J135" s="59"/>
      <c r="K135" s="324"/>
      <c r="L135" s="325"/>
      <c r="M135" s="98"/>
      <c r="N135" s="59"/>
      <c r="O135" s="59"/>
      <c r="P135" s="59"/>
    </row>
    <row r="136" customFormat="false" ht="12.75" hidden="false" customHeight="true" outlineLevel="0" collapsed="false">
      <c r="A136" s="329" t="n">
        <v>36373</v>
      </c>
      <c r="B136" s="153" t="s">
        <v>288</v>
      </c>
      <c r="C136" s="153"/>
      <c r="D136" s="301"/>
      <c r="E136" s="325"/>
      <c r="G136" s="326"/>
      <c r="H136" s="153"/>
      <c r="I136" s="59"/>
      <c r="J136" s="59"/>
      <c r="K136" s="324"/>
      <c r="L136" s="325"/>
      <c r="M136" s="59"/>
      <c r="N136" s="98"/>
      <c r="O136" s="59"/>
      <c r="P136" s="59"/>
    </row>
    <row r="137" customFormat="false" ht="12.75" hidden="false" customHeight="true" outlineLevel="0" collapsed="false">
      <c r="A137" s="329" t="n">
        <v>36404</v>
      </c>
      <c r="B137" s="153" t="s">
        <v>289</v>
      </c>
      <c r="C137" s="153"/>
      <c r="D137" s="301"/>
      <c r="E137" s="325"/>
      <c r="G137" s="326"/>
      <c r="H137" s="153"/>
      <c r="I137" s="59"/>
      <c r="J137" s="59"/>
      <c r="K137" s="324"/>
      <c r="L137" s="325"/>
      <c r="M137" s="59"/>
      <c r="N137" s="98"/>
      <c r="O137" s="59"/>
      <c r="P137" s="59"/>
    </row>
    <row r="138" customFormat="false" ht="12.75" hidden="false" customHeight="true" outlineLevel="0" collapsed="false">
      <c r="A138" s="329" t="n">
        <v>36434</v>
      </c>
      <c r="B138" s="153" t="s">
        <v>290</v>
      </c>
      <c r="C138" s="153"/>
      <c r="D138" s="301"/>
      <c r="E138" s="325"/>
      <c r="G138" s="326"/>
      <c r="H138" s="153"/>
      <c r="I138" s="59"/>
      <c r="J138" s="59"/>
      <c r="K138" s="324"/>
      <c r="L138" s="325"/>
      <c r="M138" s="59"/>
      <c r="N138" s="59"/>
      <c r="O138" s="59"/>
      <c r="P138" s="59"/>
    </row>
    <row r="139" customFormat="false" ht="12.75" hidden="false" customHeight="true" outlineLevel="0" collapsed="false">
      <c r="A139" s="329" t="n">
        <v>36465</v>
      </c>
      <c r="B139" s="153" t="s">
        <v>291</v>
      </c>
      <c r="C139" s="153"/>
      <c r="D139" s="301"/>
      <c r="E139" s="325"/>
      <c r="G139" s="326"/>
      <c r="H139" s="153"/>
      <c r="I139" s="59"/>
      <c r="J139" s="59"/>
      <c r="K139" s="324"/>
      <c r="L139" s="325"/>
      <c r="M139" s="59"/>
      <c r="N139" s="59"/>
      <c r="O139" s="59"/>
      <c r="P139" s="59"/>
    </row>
    <row r="140" customFormat="false" ht="12.75" hidden="false" customHeight="true" outlineLevel="0" collapsed="false">
      <c r="A140" s="329" t="n">
        <v>36495</v>
      </c>
      <c r="B140" s="153" t="s">
        <v>292</v>
      </c>
      <c r="C140" s="153"/>
      <c r="D140" s="301"/>
      <c r="E140" s="325"/>
      <c r="G140" s="326"/>
      <c r="H140" s="153"/>
      <c r="I140" s="59"/>
      <c r="J140" s="59"/>
      <c r="K140" s="324"/>
      <c r="L140" s="325"/>
      <c r="M140" s="59"/>
      <c r="N140" s="59"/>
      <c r="O140" s="59"/>
      <c r="P140" s="59"/>
    </row>
    <row r="141" customFormat="false" ht="12.75" hidden="false" customHeight="true" outlineLevel="0" collapsed="false">
      <c r="A141" s="329" t="n">
        <v>36526</v>
      </c>
      <c r="B141" s="153" t="s">
        <v>293</v>
      </c>
      <c r="C141" s="153"/>
      <c r="D141" s="301"/>
      <c r="E141" s="325"/>
      <c r="G141" s="326"/>
      <c r="H141" s="153"/>
      <c r="I141" s="59"/>
      <c r="J141" s="59"/>
      <c r="K141" s="324"/>
      <c r="L141" s="325"/>
      <c r="M141" s="59"/>
      <c r="N141" s="59"/>
      <c r="O141" s="59"/>
      <c r="P141" s="59"/>
    </row>
    <row r="142" customFormat="false" ht="12.75" hidden="false" customHeight="true" outlineLevel="0" collapsed="false">
      <c r="A142" s="329" t="n">
        <v>36557</v>
      </c>
      <c r="B142" s="153" t="s">
        <v>294</v>
      </c>
      <c r="C142" s="153"/>
      <c r="D142" s="324"/>
      <c r="E142" s="325"/>
      <c r="G142" s="326"/>
      <c r="H142" s="153"/>
      <c r="I142" s="59"/>
      <c r="J142" s="59"/>
      <c r="K142" s="324"/>
      <c r="L142" s="325"/>
      <c r="M142" s="59"/>
      <c r="N142" s="59"/>
      <c r="O142" s="59"/>
      <c r="P142" s="59"/>
    </row>
    <row r="143" customFormat="false" ht="12.75" hidden="false" customHeight="true" outlineLevel="0" collapsed="false">
      <c r="A143" s="329" t="n">
        <v>36586</v>
      </c>
      <c r="B143" s="153" t="s">
        <v>295</v>
      </c>
      <c r="C143" s="153"/>
      <c r="D143" s="324"/>
      <c r="E143" s="325"/>
      <c r="G143" s="326"/>
      <c r="H143" s="153"/>
      <c r="I143" s="59"/>
      <c r="J143" s="59"/>
      <c r="K143" s="324"/>
      <c r="L143" s="325"/>
      <c r="M143" s="59"/>
      <c r="N143" s="59"/>
      <c r="O143" s="59"/>
      <c r="P143" s="59"/>
    </row>
    <row r="144" customFormat="false" ht="12.75" hidden="false" customHeight="true" outlineLevel="0" collapsed="false">
      <c r="A144" s="0"/>
      <c r="B144" s="0"/>
      <c r="C144" s="332"/>
      <c r="D144" s="324"/>
      <c r="E144" s="325"/>
      <c r="G144" s="326"/>
      <c r="H144" s="153"/>
      <c r="I144" s="59"/>
      <c r="J144" s="59"/>
      <c r="K144" s="324"/>
      <c r="L144" s="325"/>
      <c r="M144" s="59"/>
      <c r="N144" s="59"/>
      <c r="O144" s="59"/>
      <c r="P144" s="59"/>
    </row>
    <row r="145" customFormat="false" ht="12.75" hidden="false" customHeight="true" outlineLevel="0" collapsed="false">
      <c r="A145" s="0"/>
      <c r="B145" s="0"/>
      <c r="C145" s="332"/>
      <c r="D145" s="324"/>
      <c r="E145" s="325"/>
      <c r="G145" s="326"/>
      <c r="H145" s="153"/>
      <c r="I145" s="59"/>
      <c r="J145" s="59"/>
      <c r="K145" s="324"/>
      <c r="L145" s="325"/>
      <c r="M145" s="59"/>
      <c r="N145" s="59"/>
      <c r="O145" s="59"/>
      <c r="P145" s="59"/>
    </row>
    <row r="146" customFormat="false" ht="12.75" hidden="false" customHeight="true" outlineLevel="0" collapsed="false">
      <c r="A146" s="0"/>
      <c r="B146" s="0"/>
      <c r="C146" s="332"/>
      <c r="D146" s="324"/>
      <c r="E146" s="325"/>
      <c r="G146" s="326"/>
      <c r="H146" s="153"/>
      <c r="I146" s="59"/>
      <c r="J146" s="59"/>
      <c r="K146" s="324"/>
      <c r="L146" s="325"/>
      <c r="M146" s="59"/>
      <c r="N146" s="59"/>
      <c r="O146" s="59"/>
      <c r="P146" s="59"/>
    </row>
    <row r="147" customFormat="false" ht="12.75" hidden="false" customHeight="true" outlineLevel="0" collapsed="false">
      <c r="A147" s="0"/>
      <c r="B147" s="0"/>
      <c r="C147" s="153"/>
      <c r="D147" s="324"/>
      <c r="E147" s="325"/>
      <c r="G147" s="326"/>
      <c r="H147" s="153"/>
      <c r="I147" s="59"/>
      <c r="J147" s="59"/>
      <c r="K147" s="324"/>
      <c r="L147" s="325"/>
      <c r="M147" s="59"/>
      <c r="N147" s="59"/>
      <c r="O147" s="59"/>
      <c r="P147" s="59"/>
    </row>
    <row r="148" customFormat="false" ht="12.75" hidden="false" customHeight="true" outlineLevel="0" collapsed="false">
      <c r="A148" s="0"/>
      <c r="B148" s="0"/>
      <c r="C148" s="153"/>
      <c r="D148" s="324"/>
      <c r="E148" s="325"/>
      <c r="G148" s="326"/>
      <c r="H148" s="153"/>
      <c r="I148" s="59"/>
      <c r="J148" s="59"/>
      <c r="K148" s="324"/>
      <c r="L148" s="325"/>
      <c r="M148" s="59"/>
      <c r="N148" s="59"/>
      <c r="O148" s="59"/>
      <c r="P148" s="59"/>
    </row>
    <row r="149" customFormat="false" ht="12.75" hidden="false" customHeight="true" outlineLevel="0" collapsed="false">
      <c r="A149" s="0"/>
      <c r="B149" s="0"/>
      <c r="C149" s="153"/>
      <c r="D149" s="324"/>
      <c r="E149" s="325"/>
      <c r="G149" s="326"/>
      <c r="H149" s="153"/>
      <c r="I149" s="59"/>
      <c r="J149" s="59"/>
      <c r="K149" s="324"/>
      <c r="L149" s="325"/>
      <c r="M149" s="59"/>
      <c r="N149" s="59"/>
      <c r="O149" s="59"/>
      <c r="P149" s="59"/>
    </row>
    <row r="150" customFormat="false" ht="12.75" hidden="false" customHeight="true" outlineLevel="0" collapsed="false">
      <c r="A150" s="0"/>
      <c r="B150" s="0"/>
      <c r="C150" s="333"/>
      <c r="D150" s="324"/>
      <c r="E150" s="325"/>
      <c r="G150" s="326"/>
      <c r="H150" s="153"/>
      <c r="I150" s="59"/>
      <c r="J150" s="59"/>
      <c r="K150" s="324"/>
      <c r="L150" s="325"/>
      <c r="M150" s="59"/>
      <c r="N150" s="59"/>
      <c r="O150" s="59"/>
      <c r="P150" s="59"/>
    </row>
    <row r="151" customFormat="false" ht="12.75" hidden="false" customHeight="true" outlineLevel="0" collapsed="false">
      <c r="A151" s="329"/>
      <c r="B151" s="153"/>
      <c r="C151" s="153"/>
      <c r="D151" s="324"/>
      <c r="E151" s="325"/>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25"/>
      <c r="M157" s="59"/>
      <c r="N157" s="59"/>
      <c r="O157" s="59"/>
      <c r="P157" s="59"/>
    </row>
    <row r="158" customFormat="false" ht="12.75" hidden="false" customHeight="true" outlineLevel="0" collapsed="false">
      <c r="A158" s="329"/>
      <c r="B158" s="153"/>
      <c r="C158" s="153"/>
      <c r="D158" s="324"/>
      <c r="E158" s="334"/>
      <c r="G158" s="326"/>
      <c r="H158" s="153"/>
      <c r="I158" s="59"/>
      <c r="J158" s="59"/>
      <c r="K158" s="324"/>
      <c r="L158" s="334"/>
      <c r="M158" s="59"/>
      <c r="N158" s="59"/>
      <c r="O158" s="59"/>
      <c r="P158" s="59"/>
    </row>
    <row r="159" customFormat="false" ht="12.75" hidden="false" customHeight="true" outlineLevel="0" collapsed="false">
      <c r="A159" s="335"/>
      <c r="B159" s="153"/>
      <c r="C159" s="153"/>
      <c r="D159" s="336" t="s">
        <v>306</v>
      </c>
      <c r="E159" s="338" t="n">
        <f aca="false">SUM(E126:E158)</f>
        <v>339524</v>
      </c>
      <c r="G159" s="335"/>
      <c r="H159" s="153"/>
      <c r="I159" s="59"/>
      <c r="J159" s="59"/>
      <c r="K159" s="336" t="s">
        <v>305</v>
      </c>
      <c r="L159" s="338" t="n">
        <f aca="false">SUM(L126:L158)</f>
        <v>0</v>
      </c>
      <c r="M159" s="59"/>
      <c r="N159" s="59"/>
      <c r="O159" s="59"/>
      <c r="P159" s="59"/>
    </row>
    <row r="160" customFormat="false" ht="12.75" hidden="false" customHeight="true" outlineLevel="0" collapsed="false">
      <c r="A160" s="339"/>
      <c r="B160" s="340"/>
      <c r="C160" s="340"/>
      <c r="D160" s="340"/>
      <c r="E160" s="341"/>
      <c r="G160" s="339"/>
      <c r="H160" s="340"/>
      <c r="I160" s="340"/>
      <c r="J160" s="340"/>
      <c r="K160" s="340"/>
      <c r="L160" s="341"/>
      <c r="M160" s="59"/>
      <c r="N160" s="59"/>
      <c r="O160" s="59"/>
      <c r="P160" s="59"/>
    </row>
    <row r="161" customFormat="false" ht="12.75" hidden="false" customHeight="true" outlineLevel="0" collapsed="false">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c r="B165" s="153"/>
      <c r="C165" s="153"/>
      <c r="D165" s="324"/>
      <c r="E165" s="325"/>
      <c r="AJ165" s="59"/>
      <c r="AK165" s="59"/>
      <c r="AL165" s="59"/>
      <c r="AM165" s="59"/>
    </row>
    <row r="166" customFormat="false" ht="12.75" hidden="false" customHeight="true" outlineLevel="0" collapsed="false">
      <c r="A166" s="342"/>
      <c r="B166" s="153"/>
      <c r="C166" s="153"/>
      <c r="D166" s="324"/>
      <c r="E166" s="325"/>
      <c r="AJ166" s="59"/>
      <c r="AK166" s="59"/>
      <c r="AL166" s="59"/>
      <c r="AM166" s="59"/>
    </row>
    <row r="167" customFormat="false" ht="12.75" hidden="false" customHeight="true" outlineLevel="0" collapsed="false">
      <c r="A167" s="342"/>
      <c r="B167" s="153"/>
      <c r="C167" s="153"/>
      <c r="D167" s="324"/>
      <c r="E167" s="325"/>
      <c r="AJ167" s="59"/>
      <c r="AK167" s="59"/>
      <c r="AL167" s="59"/>
      <c r="AM167" s="59"/>
    </row>
    <row r="168" customFormat="false" ht="12.75" hidden="false" customHeight="true" outlineLevel="0" collapsed="false">
      <c r="A168" s="342"/>
      <c r="B168" s="153"/>
      <c r="C168" s="153"/>
      <c r="D168" s="324"/>
      <c r="E168" s="330"/>
      <c r="AJ168" s="59"/>
      <c r="AK168" s="59"/>
      <c r="AL168" s="59"/>
      <c r="AM168" s="59"/>
    </row>
    <row r="169" customFormat="false" ht="12.75" hidden="false" customHeight="true" outlineLevel="0" collapsed="false">
      <c r="A169" s="342"/>
      <c r="B169" s="153"/>
      <c r="C169" s="153"/>
      <c r="D169" s="324"/>
      <c r="E169" s="325"/>
      <c r="AJ169" s="59"/>
      <c r="AK169" s="59"/>
      <c r="AL169" s="59"/>
      <c r="AM169" s="59"/>
    </row>
    <row r="170" customFormat="false" ht="12.75" hidden="false" customHeight="true" outlineLevel="0" collapsed="false">
      <c r="A170" s="342"/>
      <c r="B170" s="153"/>
      <c r="C170" s="153"/>
      <c r="D170" s="324"/>
      <c r="E170" s="325"/>
      <c r="AJ170" s="59"/>
      <c r="AK170" s="59"/>
      <c r="AL170" s="59"/>
      <c r="AM170" s="59"/>
    </row>
    <row r="171" customFormat="false" ht="12.75" hidden="false" customHeight="true" outlineLevel="0" collapsed="false">
      <c r="A171" s="342"/>
      <c r="B171" s="153"/>
      <c r="C171" s="332"/>
      <c r="D171" s="346"/>
      <c r="E171" s="330"/>
      <c r="AJ171" s="59"/>
      <c r="AK171" s="59"/>
      <c r="AL171" s="59"/>
      <c r="AM171" s="59"/>
    </row>
    <row r="172" customFormat="false" ht="12.75" hidden="false" customHeight="true" outlineLevel="0" collapsed="false">
      <c r="A172" s="342"/>
      <c r="B172" s="327"/>
      <c r="C172" s="332"/>
      <c r="D172" s="346"/>
      <c r="E172" s="330"/>
      <c r="AJ172" s="59"/>
      <c r="AK172" s="59"/>
      <c r="AL172" s="59"/>
      <c r="AM172" s="59"/>
    </row>
    <row r="173" customFormat="false" ht="12.75" hidden="false" customHeight="true" outlineLevel="0" collapsed="false">
      <c r="A173" s="342"/>
      <c r="B173" s="327"/>
      <c r="C173" s="153"/>
      <c r="D173" s="324"/>
      <c r="E173" s="325"/>
      <c r="AJ173" s="59"/>
      <c r="AK173" s="59"/>
      <c r="AL173" s="59"/>
      <c r="AM173" s="59"/>
    </row>
    <row r="174" customFormat="false" ht="12.75" hidden="false" customHeight="true" outlineLevel="0" collapsed="false">
      <c r="A174" s="342"/>
      <c r="B174" s="153"/>
      <c r="C174" s="153"/>
      <c r="D174" s="324"/>
      <c r="E174" s="32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25"/>
      <c r="AJ176" s="59"/>
      <c r="AK176" s="59"/>
      <c r="AL176" s="59"/>
      <c r="AM176" s="59"/>
    </row>
    <row r="177" customFormat="false" ht="12.75" hidden="false" customHeight="true" outlineLevel="0" collapsed="false">
      <c r="A177" s="342"/>
      <c r="B177" s="153"/>
      <c r="C177" s="153"/>
      <c r="D177" s="324"/>
      <c r="E177" s="325"/>
      <c r="AJ177" s="59"/>
      <c r="AK177" s="59"/>
      <c r="AL177" s="59"/>
      <c r="AM177" s="59"/>
    </row>
    <row r="178" customFormat="false" ht="12.75" hidden="false" customHeight="true" outlineLevel="0" collapsed="false">
      <c r="A178" s="342"/>
      <c r="B178" s="62"/>
      <c r="C178" s="332"/>
      <c r="D178" s="346"/>
      <c r="E178" s="330"/>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0</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AJ188" s="59"/>
      <c r="AK188" s="59"/>
      <c r="AL188" s="59"/>
      <c r="AM188" s="59"/>
    </row>
    <row r="189" customFormat="false" ht="12.75" hidden="false" customHeight="true" outlineLevel="0" collapsed="false">
      <c r="A189" s="352" t="s">
        <v>331</v>
      </c>
      <c r="B189" s="350"/>
      <c r="C189" s="350"/>
      <c r="D189" s="350"/>
      <c r="E189" s="350"/>
      <c r="F189" s="350"/>
      <c r="G189" s="350"/>
      <c r="H189" s="350"/>
      <c r="I189" s="350"/>
      <c r="J189" s="350"/>
      <c r="K189" s="350"/>
      <c r="L189" s="350"/>
      <c r="M189" s="351"/>
      <c r="O189" s="59"/>
      <c r="P189" s="59"/>
      <c r="Q189" s="59"/>
      <c r="R189" s="59"/>
    </row>
    <row r="190" customFormat="false" ht="12.75" hidden="false" customHeight="true" outlineLevel="0" collapsed="false">
      <c r="A190" s="355" t="s">
        <v>332</v>
      </c>
      <c r="B190" s="356" t="s">
        <v>268</v>
      </c>
      <c r="C190" s="357" t="s">
        <v>333</v>
      </c>
      <c r="D190" s="358" t="s">
        <v>334</v>
      </c>
      <c r="E190" s="404" t="s">
        <v>269</v>
      </c>
      <c r="F190" s="404"/>
      <c r="G190" s="404"/>
      <c r="H190" s="404"/>
      <c r="I190" s="404"/>
      <c r="J190" s="404"/>
      <c r="K190" s="404"/>
      <c r="L190" s="404"/>
      <c r="M190" s="354" t="s">
        <v>270</v>
      </c>
      <c r="O190" s="59"/>
      <c r="P190" s="59"/>
      <c r="Q190" s="59"/>
      <c r="R190" s="59"/>
    </row>
    <row r="191" customFormat="false" ht="12.75" hidden="false" customHeight="true" outlineLevel="0" collapsed="false">
      <c r="A191" s="360"/>
      <c r="B191" s="361"/>
      <c r="C191" s="362"/>
      <c r="D191" s="324"/>
      <c r="E191" s="153"/>
      <c r="F191" s="153"/>
      <c r="G191" s="153"/>
      <c r="H191" s="153"/>
      <c r="I191" s="153"/>
      <c r="J191" s="153"/>
      <c r="K191" s="153"/>
      <c r="L191" s="1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c r="O195" s="59"/>
      <c r="P195" s="59"/>
      <c r="Q195" s="59"/>
      <c r="R195" s="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153"/>
      <c r="M213" s="359"/>
    </row>
    <row r="214" customFormat="false" ht="12.75" hidden="false" customHeight="true" outlineLevel="0" collapsed="false">
      <c r="A214" s="363"/>
      <c r="B214" s="361"/>
      <c r="C214" s="367"/>
      <c r="D214" s="324"/>
      <c r="E214" s="153"/>
      <c r="F214" s="153"/>
      <c r="G214" s="153"/>
      <c r="H214" s="153"/>
      <c r="I214" s="153"/>
      <c r="J214" s="153"/>
      <c r="K214" s="153"/>
      <c r="L214" s="336" t="s">
        <v>335</v>
      </c>
      <c r="M214" s="366" t="n">
        <f aca="false">SUM(M191:M213)</f>
        <v>0</v>
      </c>
    </row>
    <row r="215" customFormat="false" ht="12.75" hidden="false" customHeight="true" outlineLevel="0" collapsed="false">
      <c r="A215" s="368"/>
      <c r="B215" s="369"/>
      <c r="C215" s="340"/>
      <c r="D215" s="340"/>
      <c r="E215" s="340"/>
      <c r="F215" s="340"/>
      <c r="G215" s="340"/>
      <c r="H215" s="340"/>
      <c r="I215" s="340"/>
      <c r="J215" s="340"/>
      <c r="K215" s="340"/>
      <c r="L215" s="340"/>
      <c r="M215" s="341"/>
    </row>
    <row r="216" customFormat="false" ht="12.75" hidden="false" customHeight="true" outlineLevel="0" collapsed="false"/>
    <row r="217" customFormat="false" ht="12.75" hidden="false" customHeight="true" outlineLevel="0" collapsed="false"/>
    <row r="218" customFormat="false" ht="12.75" hidden="false" customHeight="true" outlineLevel="0" collapsed="false">
      <c r="A218" s="371" t="s">
        <v>336</v>
      </c>
      <c r="B218" s="372"/>
      <c r="C218" s="372"/>
      <c r="D218" s="372"/>
      <c r="E218" s="372"/>
      <c r="F218" s="373"/>
      <c r="G218" s="370"/>
      <c r="H218" s="370"/>
      <c r="I218" s="370"/>
      <c r="J218" s="370"/>
      <c r="K218" s="370"/>
      <c r="L218" s="370"/>
      <c r="M218" s="370"/>
      <c r="N218" s="370"/>
    </row>
    <row r="219" customFormat="false" ht="12.75" hidden="false" customHeight="true" outlineLevel="0" collapsed="false">
      <c r="A219" s="374" t="s">
        <v>332</v>
      </c>
      <c r="B219" s="375" t="s">
        <v>268</v>
      </c>
      <c r="C219" s="376" t="s">
        <v>333</v>
      </c>
      <c r="D219" s="377" t="s">
        <v>334</v>
      </c>
      <c r="E219" s="377"/>
      <c r="F219" s="378" t="s">
        <v>270</v>
      </c>
      <c r="G219" s="370"/>
      <c r="H219" s="370"/>
      <c r="I219" s="370"/>
      <c r="J219" s="370"/>
      <c r="K219" s="370"/>
      <c r="L219" s="370"/>
      <c r="M219" s="370"/>
      <c r="N219" s="370"/>
    </row>
    <row r="220" customFormat="false" ht="12.75" hidden="false" customHeight="true" outlineLevel="0" collapsed="false">
      <c r="A220" s="380"/>
      <c r="B220" s="361"/>
      <c r="C220" s="381"/>
      <c r="D220" s="153"/>
      <c r="E220" s="382"/>
      <c r="F220" s="383"/>
      <c r="G220" s="379"/>
      <c r="H220" s="379"/>
      <c r="I220" s="379"/>
      <c r="J220" s="379"/>
      <c r="K220" s="379"/>
      <c r="L220" s="379"/>
      <c r="M220" s="379"/>
      <c r="N220" s="379"/>
    </row>
    <row r="221" customFormat="false" ht="12.75" hidden="false" customHeight="true" outlineLevel="0" collapsed="false">
      <c r="A221" s="380"/>
      <c r="B221" s="361"/>
      <c r="C221" s="362"/>
      <c r="D221" s="324"/>
      <c r="E221" s="153"/>
      <c r="F221" s="359"/>
      <c r="G221" s="379"/>
      <c r="H221" s="379"/>
      <c r="I221" s="379"/>
      <c r="J221" s="379"/>
      <c r="K221" s="379"/>
      <c r="L221" s="379"/>
      <c r="M221" s="379"/>
      <c r="N221" s="379"/>
    </row>
    <row r="222" customFormat="false" ht="12.75" hidden="false" customHeight="true" outlineLevel="0" collapsed="false">
      <c r="A222" s="380"/>
      <c r="B222" s="361"/>
      <c r="C222" s="362"/>
      <c r="D222" s="324"/>
      <c r="E222" s="153"/>
      <c r="F222" s="359"/>
      <c r="G222" s="370"/>
      <c r="H222" s="370"/>
      <c r="I222" s="370"/>
      <c r="J222" s="370"/>
      <c r="K222" s="370"/>
      <c r="L222" s="370"/>
      <c r="M222" s="370"/>
      <c r="N222" s="370"/>
    </row>
    <row r="223" customFormat="false" ht="12.75" hidden="false" customHeight="true" outlineLevel="0" collapsed="false">
      <c r="A223" s="380"/>
      <c r="B223" s="361"/>
      <c r="C223" s="362"/>
      <c r="D223" s="324"/>
      <c r="E223" s="153"/>
      <c r="F223" s="359"/>
      <c r="G223" s="370"/>
      <c r="H223" s="370"/>
      <c r="I223" s="370"/>
      <c r="J223" s="370"/>
      <c r="K223" s="370"/>
      <c r="L223" s="370"/>
      <c r="M223" s="370"/>
      <c r="N223" s="370"/>
    </row>
    <row r="224" customFormat="false" ht="12.75" hidden="false" customHeight="true" outlineLevel="0" collapsed="false">
      <c r="A224" s="380"/>
      <c r="B224" s="361"/>
      <c r="C224" s="362"/>
      <c r="D224" s="324"/>
      <c r="E224" s="153"/>
      <c r="F224" s="359"/>
      <c r="G224" s="370"/>
      <c r="H224" s="370"/>
      <c r="I224" s="370"/>
      <c r="J224" s="370"/>
      <c r="K224" s="370"/>
      <c r="L224" s="370"/>
      <c r="M224" s="370"/>
      <c r="N224" s="370"/>
    </row>
    <row r="225" customFormat="false" ht="12.75" hidden="false" customHeight="true" outlineLevel="0" collapsed="false">
      <c r="A225" s="380"/>
      <c r="B225" s="361"/>
      <c r="C225" s="362"/>
      <c r="D225" s="324"/>
      <c r="E225" s="153"/>
      <c r="F225" s="359"/>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4"/>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6" t="n">
        <f aca="false">SUM(F219:F237)</f>
        <v>0</v>
      </c>
      <c r="G238" s="370"/>
      <c r="H238" s="370"/>
      <c r="I238" s="370"/>
      <c r="J238" s="370"/>
      <c r="K238" s="370"/>
      <c r="L238" s="370"/>
      <c r="M238" s="370"/>
      <c r="N238" s="370"/>
    </row>
    <row r="239" customFormat="false" ht="12.75" hidden="false" customHeight="true" outlineLevel="0" collapsed="false">
      <c r="A239" s="388"/>
      <c r="B239" s="389"/>
      <c r="C239" s="390"/>
      <c r="D239" s="390"/>
      <c r="E239" s="391"/>
      <c r="F239" s="387"/>
      <c r="G239" s="370"/>
      <c r="H239" s="370"/>
      <c r="I239" s="370"/>
      <c r="J239" s="370"/>
      <c r="K239" s="370"/>
      <c r="L239" s="370"/>
      <c r="M239" s="370"/>
      <c r="N239" s="370"/>
    </row>
    <row r="240" customFormat="false" ht="12.75" hidden="false" customHeight="true" outlineLevel="0" collapsed="false"/>
  </sheetData>
  <mergeCells count="10">
    <mergeCell ref="S6:T6"/>
    <mergeCell ref="K28:L28"/>
    <mergeCell ref="A41:B41"/>
    <mergeCell ref="AI42:AJ42"/>
    <mergeCell ref="A121:B121"/>
    <mergeCell ref="B125:D125"/>
    <mergeCell ref="G125:K125"/>
    <mergeCell ref="B164:D164"/>
    <mergeCell ref="E190:L190"/>
    <mergeCell ref="D219:E219"/>
  </mergeCells>
  <printOptions headings="false" gridLines="false" gridLinesSet="true" horizontalCentered="true" verticalCentered="false"/>
  <pageMargins left="0.25" right="0.25" top="0.25" bottom="0.25"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Roman,Italic"&amp;F/&amp;A&amp;R&amp;"Times New Roman,Italic"&amp;D &amp;T</oddFooter>
  </headerFooter>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52"/>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pane xSplit="1" ySplit="6" topLeftCell="K68" activePane="bottomRight" state="frozen"/>
      <selection pane="topLeft" activeCell="A1" activeCellId="0" sqref="A1"/>
      <selection pane="topRight" activeCell="K1" activeCellId="0" sqref="K1"/>
      <selection pane="bottomLeft" activeCell="A68" activeCellId="0" sqref="A68"/>
      <selection pane="bottomRight" activeCell="AE56" activeCellId="0" sqref="AE56"/>
    </sheetView>
  </sheetViews>
  <sheetFormatPr defaultColWidth="9.13671875" defaultRowHeight="12.75" customHeight="true" zeroHeight="false" outlineLevelRow="0" outlineLevelCol="0"/>
  <cols>
    <col collapsed="false" customWidth="true" hidden="false" outlineLevel="0" max="1" min="1" style="59" width="42.28"/>
    <col collapsed="false" customWidth="true" hidden="false" outlineLevel="0" max="2" min="2" style="60" width="11.42"/>
    <col collapsed="false" customWidth="true" hidden="false" outlineLevel="0" max="3" min="3" style="61" width="18.14"/>
    <col collapsed="false" customWidth="true" hidden="false" outlineLevel="0" max="4" min="4" style="60" width="6.13"/>
    <col collapsed="false" customWidth="true" hidden="false" outlineLevel="0" max="5" min="5" style="59" width="14.28"/>
    <col collapsed="false" customWidth="true" hidden="false" outlineLevel="0" max="6" min="6" style="60" width="6.13"/>
    <col collapsed="false" customWidth="true" hidden="false" outlineLevel="0" max="7" min="7" style="59" width="17.56"/>
    <col collapsed="false" customWidth="true" hidden="false" outlineLevel="0" max="8" min="8" style="59" width="6.13"/>
    <col collapsed="false" customWidth="true" hidden="false" outlineLevel="0" max="9" min="9" style="59" width="14.7"/>
    <col collapsed="false" customWidth="true" hidden="false" outlineLevel="0" max="10" min="10" style="60" width="6.13"/>
    <col collapsed="false" customWidth="true" hidden="false" outlineLevel="0" max="11" min="11" style="59" width="15.13"/>
    <col collapsed="false" customWidth="true" hidden="false" outlineLevel="0" max="12" min="12" style="60" width="6.13"/>
    <col collapsed="false" customWidth="true" hidden="false" outlineLevel="0" max="13" min="13" style="59" width="17.56"/>
    <col collapsed="false" customWidth="true" hidden="false" outlineLevel="0" max="14" min="14" style="62" width="9.7"/>
    <col collapsed="false" customWidth="true" hidden="false" outlineLevel="0" max="15" min="15" style="61" width="17.28"/>
    <col collapsed="false" customWidth="true" hidden="false" outlineLevel="0" max="16" min="16" style="62" width="9.99"/>
    <col collapsed="false" customWidth="true" hidden="false" outlineLevel="0" max="17" min="17" style="61" width="17.28"/>
    <col collapsed="false" customWidth="true" hidden="false" outlineLevel="0" max="18" min="18" style="62" width="7.14"/>
    <col collapsed="false" customWidth="true" hidden="false" outlineLevel="0" max="19" min="19" style="61" width="17.28"/>
    <col collapsed="false" customWidth="true" hidden="false" outlineLevel="0" max="20" min="20" style="62" width="7.85"/>
    <col collapsed="false" customWidth="true" hidden="false" outlineLevel="0" max="21" min="21" style="61" width="17.28"/>
    <col collapsed="false" customWidth="true" hidden="false" outlineLevel="0" max="22" min="22" style="60" width="6.13"/>
    <col collapsed="false" customWidth="true" hidden="false" outlineLevel="0" max="23" min="23" style="59" width="15.13"/>
    <col collapsed="false" customWidth="true" hidden="false" outlineLevel="0" max="24" min="24" style="59" width="7.42"/>
    <col collapsed="false" customWidth="true" hidden="false" outlineLevel="0" max="25" min="25" style="59" width="17.56"/>
    <col collapsed="false" customWidth="true" hidden="false" outlineLevel="0" max="26" min="26" style="60" width="7.99"/>
    <col collapsed="false" customWidth="true" hidden="false" outlineLevel="0" max="27" min="27" style="59" width="16.13"/>
    <col collapsed="false" customWidth="true" hidden="false" outlineLevel="0" max="28" min="28" style="60" width="8.7"/>
    <col collapsed="false" customWidth="true" hidden="false" outlineLevel="0" max="29" min="29" style="59" width="17.14"/>
    <col collapsed="false" customWidth="true" hidden="false" outlineLevel="0" max="30" min="30" style="60" width="12.99"/>
    <col collapsed="false" customWidth="true" hidden="false" outlineLevel="0" max="31" min="31" style="59" width="15.7"/>
    <col collapsed="false" customWidth="true" hidden="false" outlineLevel="0" max="32" min="32" style="60" width="3.56"/>
    <col collapsed="false" customWidth="true" hidden="false" outlineLevel="0" max="33" min="33" style="62" width="8.41"/>
    <col collapsed="false" customWidth="true" hidden="true" outlineLevel="0" max="35" min="34" style="60" width="9.06"/>
    <col collapsed="false" customWidth="true" hidden="true" outlineLevel="0" max="36" min="36" style="0" width="9.06"/>
    <col collapsed="false" customWidth="true" hidden="true" outlineLevel="0" max="37" min="37" style="60" width="9.06"/>
    <col collapsed="false" customWidth="true" hidden="true" outlineLevel="0" max="38" min="38" style="59" width="13.41"/>
    <col collapsed="false" customWidth="true" hidden="true" outlineLevel="0" max="39" min="39" style="59" width="1.41"/>
    <col collapsed="false" customWidth="true" hidden="true" outlineLevel="0" max="40" min="40" style="59" width="1.7"/>
    <col collapsed="false" customWidth="true" hidden="true" outlineLevel="0" max="41" min="41" style="0" width="18.41"/>
    <col collapsed="false" customWidth="true" hidden="true" outlineLevel="0" max="42" min="42" style="59" width="12.99"/>
    <col collapsed="false" customWidth="false" hidden="false" outlineLevel="0" max="44" min="43" style="59" width="9.14"/>
    <col collapsed="false" customWidth="true" hidden="false" outlineLevel="0" max="45" min="45" style="59" width="8.99"/>
    <col collapsed="false" customWidth="false" hidden="true" outlineLevel="0" max="46" min="46" style="59" width="9.14"/>
    <col collapsed="false" customWidth="false" hidden="false" outlineLevel="0" max="257" min="47" style="59" width="9.14"/>
  </cols>
  <sheetData>
    <row r="1" customFormat="false" ht="12.75" hidden="false" customHeight="false" outlineLevel="0" collapsed="false">
      <c r="A1" s="63" t="s">
        <v>27</v>
      </c>
      <c r="B1" s="0"/>
      <c r="D1" s="0"/>
      <c r="AQ1" s="64"/>
    </row>
    <row r="2" customFormat="false" ht="13.5" hidden="false" customHeight="false" outlineLevel="0" collapsed="false">
      <c r="A2" s="63" t="s">
        <v>28</v>
      </c>
      <c r="B2" s="0"/>
      <c r="C2" s="65"/>
      <c r="D2" s="0"/>
      <c r="E2" s="66"/>
      <c r="G2" s="66"/>
      <c r="H2" s="66"/>
      <c r="I2" s="66"/>
      <c r="K2" s="66"/>
      <c r="M2" s="66"/>
      <c r="N2" s="66"/>
      <c r="O2" s="65" t="s">
        <v>29</v>
      </c>
      <c r="P2" s="66"/>
      <c r="Q2" s="65" t="s">
        <v>29</v>
      </c>
      <c r="R2" s="66"/>
      <c r="S2" s="65" t="s">
        <v>29</v>
      </c>
      <c r="T2" s="66"/>
      <c r="U2" s="65" t="s">
        <v>29</v>
      </c>
      <c r="W2" s="66"/>
      <c r="X2" s="66"/>
      <c r="Y2" s="66"/>
      <c r="AA2" s="66"/>
      <c r="AC2" s="66"/>
      <c r="AE2" s="66"/>
      <c r="AG2" s="66"/>
      <c r="AI2" s="67"/>
      <c r="AK2" s="68" t="s">
        <v>30</v>
      </c>
      <c r="AL2" s="69"/>
      <c r="AQ2" s="70"/>
    </row>
    <row r="3" customFormat="false" ht="12.75" hidden="false" customHeight="false" outlineLevel="0" collapsed="false">
      <c r="A3" s="63" t="s">
        <v>31</v>
      </c>
      <c r="B3" s="0"/>
      <c r="C3" s="71"/>
      <c r="D3" s="0"/>
      <c r="E3" s="0"/>
      <c r="G3" s="0"/>
      <c r="H3" s="0"/>
      <c r="M3" s="0"/>
      <c r="O3" s="71"/>
      <c r="Q3" s="71"/>
      <c r="S3" s="71"/>
      <c r="U3" s="71"/>
      <c r="X3" s="0"/>
      <c r="Y3" s="0"/>
      <c r="AC3" s="0"/>
      <c r="AN3" s="0"/>
    </row>
    <row r="4" customFormat="false" ht="13.5" hidden="false" customHeight="false" outlineLevel="0" collapsed="false">
      <c r="A4" s="72" t="n">
        <f aca="false">PriceAlberta!B5</f>
        <v>36847</v>
      </c>
      <c r="C4" s="73"/>
      <c r="E4" s="74"/>
      <c r="G4" s="74"/>
      <c r="H4" s="75"/>
      <c r="I4" s="74"/>
      <c r="K4" s="74"/>
      <c r="M4" s="74"/>
      <c r="N4" s="75"/>
      <c r="O4" s="73"/>
      <c r="P4" s="75"/>
      <c r="Q4" s="73"/>
      <c r="R4" s="75"/>
      <c r="S4" s="73"/>
      <c r="T4" s="75"/>
      <c r="U4" s="73"/>
      <c r="W4" s="74"/>
      <c r="X4" s="75"/>
      <c r="Y4" s="74"/>
      <c r="AA4" s="74"/>
      <c r="AC4" s="74"/>
      <c r="AE4" s="74"/>
      <c r="AG4" s="75"/>
      <c r="AL4" s="74"/>
      <c r="AN4" s="0"/>
    </row>
    <row r="5" customFormat="false" ht="12.75" hidden="false" customHeight="false" outlineLevel="0" collapsed="false">
      <c r="C5" s="76" t="s">
        <v>32</v>
      </c>
      <c r="E5" s="77" t="str">
        <f aca="false">AlbertaIndex!$B3</f>
        <v>Alberta and BC Index</v>
      </c>
      <c r="G5" s="78" t="s">
        <v>33</v>
      </c>
      <c r="H5" s="77"/>
      <c r="I5" s="77" t="str">
        <f aca="false">PriceEOL!$B3</f>
        <v>Canadian Gas (C4) -EOL</v>
      </c>
      <c r="K5" s="77" t="str">
        <f aca="false">EOLIndex!$B3</f>
        <v>EOL Index</v>
      </c>
      <c r="M5" s="78" t="s">
        <v>34</v>
      </c>
      <c r="N5" s="77"/>
      <c r="O5" s="76" t="s">
        <v>35</v>
      </c>
      <c r="P5" s="77"/>
      <c r="Q5" s="76" t="s">
        <v>36</v>
      </c>
      <c r="R5" s="77"/>
      <c r="S5" s="79" t="s">
        <v>37</v>
      </c>
      <c r="T5" s="77"/>
      <c r="U5" s="76" t="s">
        <v>38</v>
      </c>
      <c r="W5" s="77" t="str">
        <f aca="false">OptionsIndex!$B3</f>
        <v>Options Index</v>
      </c>
      <c r="X5" s="78"/>
      <c r="Y5" s="78" t="str">
        <f aca="false">Straddle!$B3</f>
        <v>Exotics Book</v>
      </c>
      <c r="AA5" s="77" t="s">
        <v>39</v>
      </c>
      <c r="AC5" s="78" t="s">
        <v>40</v>
      </c>
      <c r="AE5" s="77" t="str">
        <f aca="false">'US $'!$B3</f>
        <v>Canadian Gas</v>
      </c>
      <c r="AG5" s="77"/>
      <c r="AL5" s="77" t="s">
        <v>40</v>
      </c>
      <c r="AN5" s="0"/>
    </row>
    <row r="6" customFormat="false" ht="12.75" hidden="false" customHeight="false" outlineLevel="0" collapsed="false">
      <c r="A6" s="0"/>
      <c r="C6" s="80" t="str">
        <f aca="false">PriceAlberta!$C3</f>
        <v>Canadian $</v>
      </c>
      <c r="E6" s="81" t="str">
        <f aca="false">AlbertaIndex!$C3</f>
        <v>Canadian $</v>
      </c>
      <c r="G6" s="82" t="s">
        <v>41</v>
      </c>
      <c r="H6" s="83"/>
      <c r="I6" s="81" t="str">
        <f aca="false">PriceEOL!$C3</f>
        <v>Canadian $</v>
      </c>
      <c r="K6" s="81" t="str">
        <f aca="false">EOLIndex!$C3</f>
        <v>Canadian $</v>
      </c>
      <c r="M6" s="82"/>
      <c r="N6" s="77"/>
      <c r="O6" s="80" t="s">
        <v>42</v>
      </c>
      <c r="P6" s="77"/>
      <c r="Q6" s="80" t="s">
        <v>42</v>
      </c>
      <c r="R6" s="77"/>
      <c r="S6" s="80"/>
      <c r="T6" s="77"/>
      <c r="U6" s="80" t="str">
        <f aca="false">PriceAlberta!$C3</f>
        <v>Canadian $</v>
      </c>
      <c r="W6" s="81" t="str">
        <f aca="false">OptionsIndex!$C3</f>
        <v>Canadian $</v>
      </c>
      <c r="X6" s="83"/>
      <c r="Y6" s="81" t="str">
        <f aca="false">Straddle!$C3</f>
        <v>Canadian $</v>
      </c>
      <c r="AA6" s="81"/>
      <c r="AC6" s="82" t="s">
        <v>43</v>
      </c>
      <c r="AE6" s="84" t="str">
        <f aca="false">'US $'!$C3</f>
        <v>US$ Conversion</v>
      </c>
      <c r="AG6" s="77"/>
      <c r="AL6" s="81" t="str">
        <f aca="false">'US $'!B3</f>
        <v>Canadian Gas</v>
      </c>
      <c r="AN6" s="0"/>
      <c r="AP6" s="0"/>
    </row>
    <row r="7" customFormat="false" ht="12.75" hidden="false" customHeight="false" outlineLevel="0" collapsed="false">
      <c r="A7" s="0"/>
      <c r="C7" s="85"/>
      <c r="E7" s="86"/>
      <c r="G7" s="86"/>
      <c r="H7" s="86"/>
      <c r="I7" s="86"/>
      <c r="K7" s="86"/>
      <c r="M7" s="86"/>
      <c r="N7" s="86"/>
      <c r="O7" s="85"/>
      <c r="P7" s="86"/>
      <c r="Q7" s="85"/>
      <c r="R7" s="86"/>
      <c r="S7" s="85"/>
      <c r="T7" s="86"/>
      <c r="U7" s="85"/>
      <c r="W7" s="86"/>
      <c r="X7" s="86"/>
      <c r="Y7" s="86"/>
      <c r="AA7" s="86"/>
      <c r="AC7" s="86"/>
      <c r="AE7" s="86"/>
      <c r="AG7" s="86"/>
      <c r="AL7" s="86"/>
      <c r="AN7" s="0"/>
      <c r="AP7" s="0"/>
    </row>
    <row r="8" customFormat="false" ht="12.75" hidden="false" customHeight="false" outlineLevel="0" collapsed="false">
      <c r="A8" s="0"/>
      <c r="B8" s="59" t="s">
        <v>44</v>
      </c>
      <c r="C8" s="87" t="n">
        <f aca="false">PriceAlberta!B6</f>
        <v>949832</v>
      </c>
      <c r="D8" s="59"/>
      <c r="E8" s="88" t="n">
        <f aca="false">AlbertaIndex!B6</f>
        <v>949833</v>
      </c>
      <c r="G8" s="88"/>
      <c r="H8" s="88"/>
      <c r="I8" s="88" t="n">
        <f aca="false">PriceEOL!$B6</f>
        <v>949837</v>
      </c>
      <c r="K8" s="88" t="n">
        <f aca="false">EOLIndex!$B6</f>
        <v>949838</v>
      </c>
      <c r="M8" s="88"/>
      <c r="N8" s="88"/>
      <c r="O8" s="87" t="n">
        <f aca="false">[1]PriceBC!B6</f>
        <v>906323</v>
      </c>
      <c r="P8" s="60"/>
      <c r="Q8" s="87" t="n">
        <f aca="false">[1]BCIndex!B6</f>
        <v>906539</v>
      </c>
      <c r="R8" s="60"/>
      <c r="S8" s="88"/>
      <c r="T8" s="88"/>
      <c r="U8" s="87" t="n">
        <f aca="false">Options!B6</f>
        <v>949836</v>
      </c>
      <c r="W8" s="88" t="n">
        <f aca="false">OptionsIndex!$B6</f>
        <v>949856</v>
      </c>
      <c r="X8" s="88"/>
      <c r="Y8" s="88" t="n">
        <f aca="false">Straddle!$B6</f>
        <v>949834</v>
      </c>
      <c r="AA8" s="88"/>
      <c r="AC8" s="89"/>
      <c r="AE8" s="88"/>
      <c r="AG8" s="88"/>
      <c r="AL8" s="88"/>
      <c r="AN8" s="0"/>
      <c r="AP8" s="0"/>
    </row>
    <row r="9" customFormat="false" ht="12.75" hidden="false" customHeight="false" outlineLevel="0" collapsed="false">
      <c r="A9" s="0"/>
      <c r="C9" s="85"/>
      <c r="E9" s="86"/>
      <c r="G9" s="86"/>
      <c r="H9" s="86"/>
      <c r="I9" s="86"/>
      <c r="K9" s="86"/>
      <c r="M9" s="86"/>
      <c r="N9" s="86"/>
      <c r="O9" s="85"/>
      <c r="P9" s="86"/>
      <c r="Q9" s="85"/>
      <c r="R9" s="86"/>
      <c r="S9" s="85"/>
      <c r="T9" s="86"/>
      <c r="U9" s="85"/>
      <c r="W9" s="86"/>
      <c r="X9" s="86"/>
      <c r="Y9" s="86"/>
      <c r="AA9" s="86"/>
      <c r="AC9" s="86"/>
      <c r="AE9" s="86"/>
      <c r="AG9" s="86"/>
      <c r="AL9" s="86"/>
    </row>
    <row r="10" customFormat="false" ht="12.75" hidden="true" customHeight="false" outlineLevel="0" collapsed="false">
      <c r="A10" s="90" t="s">
        <v>45</v>
      </c>
      <c r="AN10" s="0"/>
    </row>
    <row r="11" customFormat="false" ht="12" hidden="true" customHeight="true" outlineLevel="0" collapsed="false">
      <c r="A11" s="90"/>
      <c r="AN11" s="0"/>
      <c r="AP11" s="0"/>
    </row>
    <row r="12" customFormat="false" ht="13.5" hidden="true" customHeight="false" outlineLevel="0" collapsed="false">
      <c r="A12" s="91" t="n">
        <f aca="false">A4</f>
        <v>36847</v>
      </c>
      <c r="AN12" s="0"/>
    </row>
    <row r="13" customFormat="false" ht="12.75" hidden="true" customHeight="false" outlineLevel="0" collapsed="false">
      <c r="A13" s="92" t="s">
        <v>46</v>
      </c>
      <c r="C13" s="93" t="n">
        <f aca="false">PriceAlberta!$R15</f>
        <v>0</v>
      </c>
      <c r="E13" s="93" t="n">
        <f aca="false">AlbertaIndex!$R15</f>
        <v>0</v>
      </c>
      <c r="G13" s="93" t="n">
        <f aca="false">IF(G18=0,0,G14/G18)</f>
        <v>0</v>
      </c>
      <c r="H13" s="94"/>
      <c r="I13" s="93" t="n">
        <f aca="false">PriceEOL!$R15</f>
        <v>0</v>
      </c>
      <c r="K13" s="93" t="n">
        <f aca="false">EOLIndex!$R15</f>
        <v>0</v>
      </c>
      <c r="M13" s="93" t="n">
        <f aca="false">IF(M18=0,0,M14/M18)</f>
        <v>0</v>
      </c>
      <c r="N13" s="94"/>
      <c r="O13" s="93" t="n">
        <f aca="false">'Price - East '!$R15</f>
        <v>0</v>
      </c>
      <c r="P13" s="94"/>
      <c r="Q13" s="93" t="n">
        <f aca="false">'Price - East '!$R15</f>
        <v>0</v>
      </c>
      <c r="R13" s="94"/>
      <c r="S13" s="93" t="n">
        <f aca="false">'Price - East '!$R15</f>
        <v>0</v>
      </c>
      <c r="T13" s="94"/>
      <c r="U13" s="93" t="n">
        <f aca="false">'Price - East '!$R15</f>
        <v>0</v>
      </c>
      <c r="W13" s="93" t="n">
        <f aca="false">OptionsIndex!$R15</f>
        <v>0</v>
      </c>
      <c r="X13" s="94"/>
      <c r="Y13" s="93" t="n">
        <f aca="false">Straddle!$R15</f>
        <v>0</v>
      </c>
      <c r="AA13" s="93" t="e">
        <f aca="false">IF(AA18=0,0,AA14/AA18)</f>
        <v>#REF!</v>
      </c>
      <c r="AC13" s="93" t="e">
        <f aca="false">IF(AC18=0,0,AC14/AC18)</f>
        <v>#REF!</v>
      </c>
      <c r="AD13" s="0"/>
      <c r="AE13" s="93" t="n">
        <f aca="false">'US $'!$R15</f>
        <v>0</v>
      </c>
      <c r="AG13" s="94"/>
      <c r="AL13" s="93" t="e">
        <f aca="false">IF(AL18=0,0,AL14/AL18)</f>
        <v>#REF!</v>
      </c>
      <c r="AN13" s="95"/>
    </row>
    <row r="14" customFormat="false" ht="12.75" hidden="true" customHeight="false" outlineLevel="0" collapsed="false">
      <c r="A14" s="92" t="s">
        <v>47</v>
      </c>
      <c r="C14" s="96" t="n">
        <f aca="false">PriceAlberta!L16/100</f>
        <v>0</v>
      </c>
      <c r="E14" s="96" t="n">
        <f aca="false">AlbertaIndex!L16/100</f>
        <v>0</v>
      </c>
      <c r="G14" s="96" t="n">
        <f aca="false">+E14+C14</f>
        <v>0</v>
      </c>
      <c r="H14" s="97"/>
      <c r="I14" s="96" t="n">
        <f aca="false">+PriceEOL!$R16</f>
        <v>0</v>
      </c>
      <c r="K14" s="96" t="n">
        <f aca="false">+EOLIndex!$R16</f>
        <v>0</v>
      </c>
      <c r="M14" s="96" t="n">
        <f aca="false">+K14+I14</f>
        <v>0</v>
      </c>
      <c r="N14" s="97"/>
      <c r="O14" s="96" t="n">
        <f aca="false">'Price - East '!H16/100</f>
        <v>0</v>
      </c>
      <c r="P14" s="97"/>
      <c r="Q14" s="96" t="n">
        <f aca="false">'Price - East '!J16/100</f>
        <v>0</v>
      </c>
      <c r="R14" s="97"/>
      <c r="S14" s="96" t="n">
        <f aca="false">'Price - East '!L16/100</f>
        <v>0</v>
      </c>
      <c r="T14" s="97"/>
      <c r="U14" s="96" t="n">
        <f aca="false">'Price - East '!N16/100</f>
        <v>0</v>
      </c>
      <c r="W14" s="96" t="n">
        <f aca="false">+OptionsIndex!$R16</f>
        <v>0</v>
      </c>
      <c r="X14" s="97"/>
      <c r="Y14" s="96" t="n">
        <f aca="false">+Straddle!$R16</f>
        <v>0</v>
      </c>
      <c r="AA14" s="96" t="e">
        <f aca="false">+Y14+#REF!</f>
        <v>#REF!</v>
      </c>
      <c r="AC14" s="96" t="e">
        <f aca="false">+G14+M14+#REF!</f>
        <v>#REF!</v>
      </c>
      <c r="AD14" s="0"/>
      <c r="AE14" s="96" t="n">
        <f aca="false">+'US $'!$R16</f>
        <v>0</v>
      </c>
      <c r="AG14" s="97"/>
      <c r="AL14" s="96" t="e">
        <f aca="false">#REF!+E14+AE14+AG14+I14+K14+W14+Y14</f>
        <v>#REF!</v>
      </c>
      <c r="AN14" s="95"/>
    </row>
    <row r="15" customFormat="false" ht="12.75" hidden="true" customHeight="false" outlineLevel="0" collapsed="false">
      <c r="A15" s="92" t="s">
        <v>48</v>
      </c>
      <c r="C15" s="96" t="n">
        <f aca="false">PriceAlberta!M16/100</f>
        <v>0</v>
      </c>
      <c r="E15" s="96" t="n">
        <f aca="false">AlbertaIndex!M16/100</f>
        <v>0</v>
      </c>
      <c r="G15" s="96" t="n">
        <f aca="false">+E15+C15</f>
        <v>0</v>
      </c>
      <c r="H15" s="97"/>
      <c r="I15" s="96"/>
      <c r="K15" s="96"/>
      <c r="M15" s="96" t="n">
        <f aca="false">+K15+I15</f>
        <v>0</v>
      </c>
      <c r="N15" s="97"/>
      <c r="O15" s="96" t="n">
        <f aca="false">'Price - East '!I16/100</f>
        <v>0</v>
      </c>
      <c r="P15" s="97"/>
      <c r="Q15" s="96" t="e">
        <f aca="false">'Price - East '!K16/100</f>
        <v>#VALUE!</v>
      </c>
      <c r="R15" s="97"/>
      <c r="S15" s="96" t="n">
        <f aca="false">'Price - East '!M16/100</f>
        <v>0</v>
      </c>
      <c r="T15" s="97"/>
      <c r="U15" s="96" t="n">
        <f aca="false">'Price - East '!O16/100</f>
        <v>0</v>
      </c>
      <c r="W15" s="96"/>
      <c r="X15" s="97"/>
      <c r="Y15" s="96"/>
      <c r="AA15" s="96" t="e">
        <f aca="false">+Y15+#REF!</f>
        <v>#REF!</v>
      </c>
      <c r="AC15" s="96" t="e">
        <f aca="false">+G15+M15+#REF!</f>
        <v>#REF!</v>
      </c>
      <c r="AE15" s="96"/>
      <c r="AG15" s="97"/>
      <c r="AL15" s="96"/>
      <c r="AN15" s="95"/>
    </row>
    <row r="16" customFormat="false" ht="12.75" hidden="true" customHeight="false" outlineLevel="0" collapsed="false">
      <c r="A16" s="92" t="s">
        <v>49</v>
      </c>
      <c r="C16" s="96" t="n">
        <f aca="false">PriceAlberta!N16/1000</f>
        <v>0</v>
      </c>
      <c r="E16" s="96" t="n">
        <f aca="false">AlbertaIndex!N16/1000</f>
        <v>0</v>
      </c>
      <c r="G16" s="96" t="n">
        <f aca="false">+E16+C16</f>
        <v>0</v>
      </c>
      <c r="H16" s="97"/>
      <c r="I16" s="96"/>
      <c r="K16" s="96"/>
      <c r="M16" s="96" t="n">
        <f aca="false">+K16+I16</f>
        <v>0</v>
      </c>
      <c r="N16" s="97"/>
      <c r="O16" s="96" t="n">
        <f aca="false">'Price - East '!J16/1000</f>
        <v>0</v>
      </c>
      <c r="P16" s="97"/>
      <c r="Q16" s="96" t="n">
        <f aca="false">'Price - East '!L16/1000</f>
        <v>0</v>
      </c>
      <c r="R16" s="97"/>
      <c r="S16" s="96" t="n">
        <f aca="false">'Price - East '!N16/1000</f>
        <v>0</v>
      </c>
      <c r="T16" s="97"/>
      <c r="U16" s="96" t="n">
        <f aca="false">'Price - East '!P16/1000</f>
        <v>0</v>
      </c>
      <c r="W16" s="96"/>
      <c r="X16" s="97"/>
      <c r="Y16" s="96"/>
      <c r="AA16" s="96" t="e">
        <f aca="false">+Y16+#REF!</f>
        <v>#REF!</v>
      </c>
      <c r="AC16" s="96" t="e">
        <f aca="false">+G16+M16+#REF!</f>
        <v>#REF!</v>
      </c>
      <c r="AE16" s="96"/>
      <c r="AG16" s="97"/>
      <c r="AL16" s="96"/>
      <c r="AN16" s="95"/>
    </row>
    <row r="17" customFormat="false" ht="12.75" hidden="true" customHeight="false" outlineLevel="0" collapsed="false">
      <c r="A17" s="92" t="s">
        <v>50</v>
      </c>
      <c r="C17" s="96" t="n">
        <f aca="false">PriceAlberta!O16/100</f>
        <v>0</v>
      </c>
      <c r="E17" s="96" t="n">
        <f aca="false">AlbertaIndex!O16/100</f>
        <v>0</v>
      </c>
      <c r="G17" s="96" t="n">
        <f aca="false">+E17+C17</f>
        <v>0</v>
      </c>
      <c r="H17" s="97"/>
      <c r="I17" s="96"/>
      <c r="K17" s="96"/>
      <c r="M17" s="96" t="n">
        <f aca="false">+K17+I17</f>
        <v>0</v>
      </c>
      <c r="N17" s="97"/>
      <c r="O17" s="96" t="e">
        <f aca="false">'Price - East '!K16/100</f>
        <v>#VALUE!</v>
      </c>
      <c r="P17" s="97"/>
      <c r="Q17" s="96" t="n">
        <f aca="false">'Price - East '!M16/100</f>
        <v>0</v>
      </c>
      <c r="R17" s="97"/>
      <c r="S17" s="96" t="n">
        <f aca="false">'Price - East '!O16/100</f>
        <v>0</v>
      </c>
      <c r="T17" s="97"/>
      <c r="U17" s="96" t="n">
        <f aca="false">'Price - East '!Q16/100</f>
        <v>0</v>
      </c>
      <c r="W17" s="96"/>
      <c r="X17" s="97"/>
      <c r="Y17" s="96"/>
      <c r="AA17" s="96" t="e">
        <f aca="false">+Y17+#REF!</f>
        <v>#REF!</v>
      </c>
      <c r="AC17" s="96" t="e">
        <f aca="false">+G17+M17+#REF!</f>
        <v>#REF!</v>
      </c>
      <c r="AE17" s="96"/>
      <c r="AG17" s="97"/>
      <c r="AL17" s="96"/>
      <c r="AN17" s="95"/>
      <c r="AQ17" s="98"/>
    </row>
    <row r="18" customFormat="false" ht="12.75" hidden="true" customHeight="false" outlineLevel="0" collapsed="false">
      <c r="A18" s="99" t="s">
        <v>51</v>
      </c>
      <c r="B18" s="100"/>
      <c r="C18" s="101" t="n">
        <f aca="false">PriceAlberta!$R17</f>
        <v>0</v>
      </c>
      <c r="D18" s="100"/>
      <c r="E18" s="102" t="n">
        <f aca="false">AlbertaIndex!$R17</f>
        <v>0</v>
      </c>
      <c r="F18" s="100"/>
      <c r="G18" s="96" t="n">
        <f aca="false">+E18+C18</f>
        <v>0</v>
      </c>
      <c r="H18" s="103"/>
      <c r="I18" s="102" t="n">
        <f aca="false">PriceEOL!$R17</f>
        <v>0</v>
      </c>
      <c r="J18" s="100"/>
      <c r="K18" s="102" t="n">
        <f aca="false">EOLIndex!$R17</f>
        <v>0</v>
      </c>
      <c r="L18" s="100"/>
      <c r="M18" s="96" t="n">
        <f aca="false">+K18+I18</f>
        <v>0</v>
      </c>
      <c r="N18" s="103"/>
      <c r="O18" s="101" t="n">
        <f aca="false">'Price - East '!$R17</f>
        <v>0</v>
      </c>
      <c r="P18" s="103"/>
      <c r="Q18" s="101" t="n">
        <f aca="false">'Price - East '!$R17</f>
        <v>0</v>
      </c>
      <c r="R18" s="103"/>
      <c r="S18" s="101" t="n">
        <f aca="false">'Price - East '!$R17</f>
        <v>0</v>
      </c>
      <c r="T18" s="103"/>
      <c r="U18" s="101" t="n">
        <f aca="false">'Price - East '!$R17</f>
        <v>0</v>
      </c>
      <c r="V18" s="100"/>
      <c r="W18" s="102" t="n">
        <f aca="false">OptionsIndex!$R17</f>
        <v>0</v>
      </c>
      <c r="X18" s="97"/>
      <c r="Y18" s="96" t="n">
        <f aca="false">Straddle!$R17</f>
        <v>0</v>
      </c>
      <c r="Z18" s="100"/>
      <c r="AA18" s="102" t="e">
        <f aca="false">+Y18+#REF!</f>
        <v>#REF!</v>
      </c>
      <c r="AB18" s="100"/>
      <c r="AC18" s="96" t="e">
        <f aca="false">+G18+M18+#REF!</f>
        <v>#REF!</v>
      </c>
      <c r="AD18" s="100"/>
      <c r="AE18" s="102" t="n">
        <f aca="false">'US $'!$R17</f>
        <v>0</v>
      </c>
      <c r="AF18" s="100"/>
      <c r="AG18" s="103"/>
      <c r="AH18" s="100"/>
      <c r="AI18" s="100"/>
      <c r="AK18" s="100"/>
      <c r="AL18" s="104" t="e">
        <f aca="false">#REF!+E18+AE18+AG18+I18+K18+W18+Y18</f>
        <v>#REF!</v>
      </c>
      <c r="AN18" s="95"/>
      <c r="AQ18" s="98"/>
    </row>
    <row r="19" customFormat="false" ht="12.75" hidden="true" customHeight="true" outlineLevel="0" collapsed="false">
      <c r="A19" s="95"/>
      <c r="C19" s="105"/>
      <c r="E19" s="106"/>
      <c r="G19" s="106"/>
      <c r="H19" s="106"/>
      <c r="I19" s="106"/>
      <c r="K19" s="106"/>
      <c r="M19" s="106"/>
      <c r="N19" s="107"/>
      <c r="O19" s="105"/>
      <c r="P19" s="107"/>
      <c r="Q19" s="105"/>
      <c r="R19" s="107"/>
      <c r="S19" s="105"/>
      <c r="T19" s="107"/>
      <c r="U19" s="105"/>
      <c r="W19" s="106"/>
      <c r="X19" s="106"/>
      <c r="Y19" s="106"/>
      <c r="AA19" s="106"/>
      <c r="AC19" s="106"/>
      <c r="AE19" s="106"/>
      <c r="AG19" s="107"/>
      <c r="AL19" s="106"/>
    </row>
    <row r="20" customFormat="false" ht="12.75" hidden="true" customHeight="false" outlineLevel="0" collapsed="false">
      <c r="A20" s="95" t="s">
        <v>52</v>
      </c>
      <c r="C20" s="96" t="n">
        <f aca="false">PriceAlberta!$S14+PriceAlberta!$Y16</f>
        <v>0</v>
      </c>
      <c r="E20" s="108" t="n">
        <f aca="false">AlbertaIndex!$S14+AlbertaIndex!$Y16</f>
        <v>0</v>
      </c>
      <c r="G20" s="108" t="n">
        <f aca="false">+E20+C20</f>
        <v>0</v>
      </c>
      <c r="H20" s="107"/>
      <c r="I20" s="108" t="n">
        <f aca="false">PriceEOL!$S14+PriceEOL!$Y16</f>
        <v>0</v>
      </c>
      <c r="K20" s="108" t="n">
        <f aca="false">EOLIndex!$S14+EOLIndex!$Y16</f>
        <v>0</v>
      </c>
      <c r="M20" s="108" t="n">
        <f aca="false">+K20+I20</f>
        <v>0</v>
      </c>
      <c r="N20" s="107"/>
      <c r="O20" s="96" t="n">
        <f aca="false">'Price - East '!$S14+'Price - East '!$Y16</f>
        <v>0</v>
      </c>
      <c r="P20" s="107"/>
      <c r="Q20" s="96" t="n">
        <f aca="false">'Price - East '!$S14+'Price - East '!$Y16</f>
        <v>0</v>
      </c>
      <c r="R20" s="107"/>
      <c r="S20" s="96" t="n">
        <f aca="false">'Price - East '!$S14+'Price - East '!$Y16</f>
        <v>0</v>
      </c>
      <c r="T20" s="107"/>
      <c r="U20" s="96" t="n">
        <f aca="false">'Price - East '!$S14+'Price - East '!$Y16</f>
        <v>0</v>
      </c>
      <c r="W20" s="108" t="n">
        <f aca="false">OptionsIndex!$S14+OptionsIndex!$Y16</f>
        <v>0</v>
      </c>
      <c r="X20" s="107"/>
      <c r="Y20" s="108" t="n">
        <f aca="false">Straddle!$S14+Straddle!$Y16</f>
        <v>0</v>
      </c>
      <c r="AA20" s="108" t="e">
        <f aca="false">+Y20+#REF!</f>
        <v>#REF!</v>
      </c>
      <c r="AC20" s="96" t="e">
        <f aca="false">+G20+M20+#REF!</f>
        <v>#REF!</v>
      </c>
      <c r="AE20" s="108" t="n">
        <f aca="false">'US $'!$S14+'US $'!$Y16</f>
        <v>0</v>
      </c>
      <c r="AG20" s="107"/>
      <c r="AL20" s="96" t="e">
        <f aca="false">#REF!+E20+AE20+AG20+I20+K20+W20+Y20</f>
        <v>#REF!</v>
      </c>
      <c r="AQ20" s="98"/>
    </row>
    <row r="21" customFormat="false" ht="12.75" hidden="true" customHeight="false" outlineLevel="0" collapsed="false">
      <c r="A21" s="95" t="s">
        <v>53</v>
      </c>
      <c r="C21" s="96" t="n">
        <f aca="false">PriceAlberta!$T14+PriceAlberta!$Y17</f>
        <v>0</v>
      </c>
      <c r="E21" s="108" t="n">
        <f aca="false">AlbertaIndex!$T14+AlbertaIndex!$Y17</f>
        <v>0</v>
      </c>
      <c r="G21" s="108" t="n">
        <f aca="false">+E21+C21</f>
        <v>0</v>
      </c>
      <c r="H21" s="107"/>
      <c r="I21" s="108" t="n">
        <f aca="false">PriceEOL!$T14+PriceEOL!$Y17</f>
        <v>0</v>
      </c>
      <c r="K21" s="108" t="n">
        <f aca="false">EOLIndex!$T14+EOLIndex!$Y17</f>
        <v>0</v>
      </c>
      <c r="M21" s="108" t="n">
        <f aca="false">+K21+I21</f>
        <v>0</v>
      </c>
      <c r="N21" s="107"/>
      <c r="O21" s="96" t="n">
        <f aca="false">'Price - East '!$T14+'Price - East '!$Y17</f>
        <v>0</v>
      </c>
      <c r="P21" s="107"/>
      <c r="Q21" s="96" t="n">
        <f aca="false">'Price - East '!$T14+'Price - East '!$Y17</f>
        <v>0</v>
      </c>
      <c r="R21" s="107"/>
      <c r="S21" s="96" t="n">
        <f aca="false">'Price - East '!$T14+'Price - East '!$Y17</f>
        <v>0</v>
      </c>
      <c r="T21" s="107"/>
      <c r="U21" s="96" t="n">
        <f aca="false">'Price - East '!$T14+'Price - East '!$Y17</f>
        <v>0</v>
      </c>
      <c r="W21" s="108" t="n">
        <f aca="false">OptionsIndex!$T14+OptionsIndex!$Y17</f>
        <v>0</v>
      </c>
      <c r="X21" s="107"/>
      <c r="Y21" s="108" t="n">
        <f aca="false">Straddle!$T14+Straddle!$Y17</f>
        <v>0</v>
      </c>
      <c r="AA21" s="108" t="e">
        <f aca="false">+Y21+#REF!</f>
        <v>#REF!</v>
      </c>
      <c r="AC21" s="96" t="e">
        <f aca="false">+G21+M21+#REF!</f>
        <v>#REF!</v>
      </c>
      <c r="AE21" s="108" t="n">
        <f aca="false">'US $'!$T14+'US $'!$Y17</f>
        <v>0</v>
      </c>
      <c r="AG21" s="107"/>
      <c r="AL21" s="96" t="e">
        <f aca="false">#REF!+E21+AE21+AG21+I21+K21+W21+Y21</f>
        <v>#REF!</v>
      </c>
    </row>
    <row r="22" customFormat="false" ht="12.75" hidden="true" customHeight="false" outlineLevel="0" collapsed="false">
      <c r="A22" s="95" t="s">
        <v>54</v>
      </c>
      <c r="C22" s="96" t="n">
        <f aca="false">SUM(C20:C21)</f>
        <v>0</v>
      </c>
      <c r="E22" s="108" t="n">
        <f aca="false">SUM(E20:E21)</f>
        <v>0</v>
      </c>
      <c r="G22" s="108" t="n">
        <f aca="false">+E22+C22</f>
        <v>0</v>
      </c>
      <c r="H22" s="107"/>
      <c r="I22" s="108" t="n">
        <f aca="false">SUM(I20:I21)</f>
        <v>0</v>
      </c>
      <c r="K22" s="108" t="n">
        <f aca="false">SUM(K20:K21)</f>
        <v>0</v>
      </c>
      <c r="M22" s="108" t="n">
        <f aca="false">+K22+I22</f>
        <v>0</v>
      </c>
      <c r="N22" s="107"/>
      <c r="O22" s="96" t="n">
        <f aca="false">SUM(O20:O21)</f>
        <v>0</v>
      </c>
      <c r="P22" s="107"/>
      <c r="Q22" s="96" t="n">
        <f aca="false">SUM(Q20:Q21)</f>
        <v>0</v>
      </c>
      <c r="R22" s="107"/>
      <c r="S22" s="96" t="n">
        <f aca="false">SUM(S20:S21)</f>
        <v>0</v>
      </c>
      <c r="T22" s="107"/>
      <c r="U22" s="96" t="n">
        <f aca="false">SUM(U20:U21)</f>
        <v>0</v>
      </c>
      <c r="W22" s="108" t="n">
        <f aca="false">SUM(W20:W21)</f>
        <v>0</v>
      </c>
      <c r="X22" s="107"/>
      <c r="Y22" s="108" t="n">
        <f aca="false">SUM(Y20:Y21)</f>
        <v>0</v>
      </c>
      <c r="AA22" s="108" t="e">
        <f aca="false">+Y22+#REF!</f>
        <v>#REF!</v>
      </c>
      <c r="AC22" s="96" t="e">
        <f aca="false">+G22+M22+#REF!</f>
        <v>#REF!</v>
      </c>
      <c r="AE22" s="108" t="n">
        <f aca="false">SUM(AE20:AE21)</f>
        <v>0</v>
      </c>
      <c r="AG22" s="107"/>
      <c r="AL22" s="96" t="e">
        <f aca="false">#REF!+E22+AE22+AG22+I22+K22+W22+Y22</f>
        <v>#REF!</v>
      </c>
      <c r="AQ22" s="98"/>
    </row>
    <row r="23" customFormat="false" ht="6.75" hidden="true" customHeight="true" outlineLevel="0" collapsed="false">
      <c r="C23" s="105"/>
      <c r="E23" s="106"/>
      <c r="G23" s="106"/>
      <c r="H23" s="106"/>
      <c r="I23" s="106"/>
      <c r="K23" s="106"/>
      <c r="M23" s="106"/>
      <c r="N23" s="107"/>
      <c r="O23" s="105"/>
      <c r="P23" s="107"/>
      <c r="Q23" s="105"/>
      <c r="R23" s="107"/>
      <c r="S23" s="105"/>
      <c r="T23" s="107"/>
      <c r="U23" s="105"/>
      <c r="W23" s="106"/>
      <c r="X23" s="106"/>
      <c r="Y23" s="106"/>
      <c r="AA23" s="106"/>
      <c r="AC23" s="106"/>
      <c r="AE23" s="106"/>
      <c r="AG23" s="107"/>
      <c r="AL23" s="106"/>
    </row>
    <row r="24" customFormat="false" ht="13.5" hidden="true" customHeight="false" outlineLevel="0" collapsed="false">
      <c r="A24" s="91"/>
    </row>
    <row r="25" customFormat="false" ht="12.75" hidden="true" customHeight="false" outlineLevel="0" collapsed="false">
      <c r="A25" s="95" t="s">
        <v>52</v>
      </c>
      <c r="C25" s="96" t="n">
        <f aca="false">PriceAlberta!$S24+PriceAlberta!$Y16</f>
        <v>0</v>
      </c>
      <c r="E25" s="108" t="n">
        <f aca="false">AlbertaIndex!$S24+AlbertaIndex!$Y16</f>
        <v>0</v>
      </c>
      <c r="G25" s="108" t="n">
        <f aca="false">+E25+C25</f>
        <v>0</v>
      </c>
      <c r="H25" s="107"/>
      <c r="I25" s="108" t="n">
        <f aca="false">PriceEOL!$S24+PriceEOL!$Y16</f>
        <v>0</v>
      </c>
      <c r="K25" s="108" t="n">
        <f aca="false">EOLIndex!$S24+EOLIndex!$Y16</f>
        <v>0</v>
      </c>
      <c r="M25" s="108" t="n">
        <f aca="false">+K25+I25</f>
        <v>0</v>
      </c>
      <c r="N25" s="107"/>
      <c r="O25" s="96" t="n">
        <f aca="false">'Price - East '!$S24+'Price - East '!$Y16</f>
        <v>0</v>
      </c>
      <c r="P25" s="107"/>
      <c r="Q25" s="96" t="n">
        <f aca="false">'Price - East '!$S24+'Price - East '!$Y16</f>
        <v>0</v>
      </c>
      <c r="R25" s="107"/>
      <c r="S25" s="96" t="n">
        <f aca="false">'Price - East '!$S24+'Price - East '!$Y16</f>
        <v>0</v>
      </c>
      <c r="T25" s="107"/>
      <c r="U25" s="96" t="n">
        <f aca="false">'Price - East '!$S24+'Price - East '!$Y16</f>
        <v>0</v>
      </c>
      <c r="W25" s="108" t="n">
        <f aca="false">OptionsIndex!$S24+OptionsIndex!$Y16</f>
        <v>0</v>
      </c>
      <c r="X25" s="107"/>
      <c r="Y25" s="108" t="n">
        <f aca="false">Straddle!$S24+Straddle!$Y16</f>
        <v>0</v>
      </c>
      <c r="AA25" s="108" t="e">
        <f aca="false">+Y25+#REF!</f>
        <v>#REF!</v>
      </c>
      <c r="AC25" s="96" t="e">
        <f aca="false">+G25+M25+#REF!</f>
        <v>#REF!</v>
      </c>
      <c r="AD25" s="60" t="s">
        <v>55</v>
      </c>
      <c r="AE25" s="108" t="n">
        <f aca="false">'US $'!$S24+'US $'!$Y16</f>
        <v>0</v>
      </c>
      <c r="AG25" s="107"/>
      <c r="AL25" s="96" t="e">
        <f aca="false">#REF!+E25+AE25+AG25+I25+K25+W25+Y25</f>
        <v>#REF!</v>
      </c>
    </row>
    <row r="26" customFormat="false" ht="12.75" hidden="true" customHeight="false" outlineLevel="0" collapsed="false">
      <c r="A26" s="95" t="s">
        <v>53</v>
      </c>
      <c r="C26" s="96" t="n">
        <f aca="false">PriceAlberta!$T24+PriceAlberta!$Y17</f>
        <v>0</v>
      </c>
      <c r="E26" s="108" t="n">
        <f aca="false">AlbertaIndex!$T24+AlbertaIndex!$Y17</f>
        <v>0</v>
      </c>
      <c r="G26" s="108" t="n">
        <f aca="false">+E26+C26</f>
        <v>0</v>
      </c>
      <c r="H26" s="107"/>
      <c r="I26" s="108" t="n">
        <f aca="false">PriceEOL!$T24+PriceEOL!$Y17</f>
        <v>0</v>
      </c>
      <c r="K26" s="108" t="n">
        <f aca="false">EOLIndex!$T24+EOLIndex!$Y17</f>
        <v>0</v>
      </c>
      <c r="M26" s="108" t="n">
        <f aca="false">+K26+I26</f>
        <v>0</v>
      </c>
      <c r="N26" s="107"/>
      <c r="O26" s="96" t="n">
        <f aca="false">'Price - East '!$T24+'Price - East '!$Y17</f>
        <v>0</v>
      </c>
      <c r="P26" s="107"/>
      <c r="Q26" s="96" t="n">
        <f aca="false">'Price - East '!$T24+'Price - East '!$Y17</f>
        <v>0</v>
      </c>
      <c r="R26" s="107"/>
      <c r="S26" s="96" t="n">
        <f aca="false">'Price - East '!$T24+'Price - East '!$Y17</f>
        <v>0</v>
      </c>
      <c r="T26" s="107"/>
      <c r="U26" s="96" t="n">
        <f aca="false">'Price - East '!$T24+'Price - East '!$Y17</f>
        <v>0</v>
      </c>
      <c r="W26" s="108" t="n">
        <f aca="false">OptionsIndex!$T24+OptionsIndex!$Y17</f>
        <v>0</v>
      </c>
      <c r="X26" s="107"/>
      <c r="Y26" s="108" t="n">
        <f aca="false">Straddle!$T24+Straddle!$Y17</f>
        <v>0</v>
      </c>
      <c r="AA26" s="108" t="e">
        <f aca="false">+Y26+#REF!</f>
        <v>#REF!</v>
      </c>
      <c r="AC26" s="96" t="e">
        <f aca="false">+G26+M26+#REF!</f>
        <v>#REF!</v>
      </c>
      <c r="AE26" s="108" t="n">
        <f aca="false">'US $'!$T24+'US $'!$Y17</f>
        <v>0</v>
      </c>
      <c r="AG26" s="107"/>
      <c r="AL26" s="96" t="e">
        <f aca="false">#REF!+E26+AE26+AG26+I26+K26+W26+Y26</f>
        <v>#REF!</v>
      </c>
    </row>
    <row r="27" customFormat="false" ht="12.75" hidden="true" customHeight="false" outlineLevel="0" collapsed="false">
      <c r="A27" s="95" t="s">
        <v>54</v>
      </c>
      <c r="C27" s="96" t="n">
        <f aca="false">SUM(C25:C26)</f>
        <v>0</v>
      </c>
      <c r="E27" s="108" t="n">
        <f aca="false">SUM(E25:E26)</f>
        <v>0</v>
      </c>
      <c r="G27" s="108" t="n">
        <f aca="false">+E27+C27</f>
        <v>0</v>
      </c>
      <c r="H27" s="107"/>
      <c r="I27" s="108" t="n">
        <f aca="false">SUM(I25:I26)</f>
        <v>0</v>
      </c>
      <c r="K27" s="108" t="n">
        <f aca="false">SUM(K25:K26)</f>
        <v>0</v>
      </c>
      <c r="M27" s="108" t="n">
        <f aca="false">+K27+I27</f>
        <v>0</v>
      </c>
      <c r="N27" s="107"/>
      <c r="O27" s="96" t="n">
        <f aca="false">SUM(O25:O26)</f>
        <v>0</v>
      </c>
      <c r="P27" s="107"/>
      <c r="Q27" s="96" t="n">
        <f aca="false">SUM(Q25:Q26)</f>
        <v>0</v>
      </c>
      <c r="R27" s="107"/>
      <c r="S27" s="96" t="n">
        <f aca="false">SUM(S25:S26)</f>
        <v>0</v>
      </c>
      <c r="T27" s="107"/>
      <c r="U27" s="96" t="n">
        <f aca="false">SUM(U25:U26)</f>
        <v>0</v>
      </c>
      <c r="W27" s="108" t="n">
        <f aca="false">SUM(W25:W26)</f>
        <v>0</v>
      </c>
      <c r="X27" s="107"/>
      <c r="Y27" s="108" t="n">
        <f aca="false">SUM(Y25:Y26)</f>
        <v>0</v>
      </c>
      <c r="AA27" s="108" t="e">
        <f aca="false">+Y27+#REF!</f>
        <v>#REF!</v>
      </c>
      <c r="AC27" s="96" t="e">
        <f aca="false">+G27+M27+#REF!</f>
        <v>#REF!</v>
      </c>
      <c r="AE27" s="108" t="n">
        <f aca="false">SUM(AE25:AE26)</f>
        <v>0</v>
      </c>
      <c r="AG27" s="107"/>
      <c r="AL27" s="96" t="e">
        <f aca="false">#REF!+E27+AE27+AG27+I27+K27+W27+Y27</f>
        <v>#REF!</v>
      </c>
    </row>
    <row r="28" customFormat="false" ht="7.5" hidden="true" customHeight="true" outlineLevel="0" collapsed="false"/>
    <row r="29" customFormat="false" ht="12.75" hidden="true" customHeight="false" outlineLevel="0" collapsed="false">
      <c r="A29" s="109"/>
      <c r="C29" s="96" t="n">
        <f aca="false">-C27+C22</f>
        <v>0</v>
      </c>
      <c r="E29" s="108" t="n">
        <f aca="false">-E27+E22</f>
        <v>0</v>
      </c>
      <c r="G29" s="108" t="n">
        <f aca="false">E29+A29</f>
        <v>0</v>
      </c>
      <c r="H29" s="107"/>
      <c r="I29" s="108" t="n">
        <f aca="false">-I27+I22</f>
        <v>0</v>
      </c>
      <c r="K29" s="108" t="n">
        <f aca="false">-K27+K22</f>
        <v>0</v>
      </c>
      <c r="M29" s="108" t="n">
        <f aca="false">K29+G29</f>
        <v>0</v>
      </c>
      <c r="N29" s="107"/>
      <c r="O29" s="96" t="n">
        <f aca="false">-O27+O22</f>
        <v>0</v>
      </c>
      <c r="P29" s="107"/>
      <c r="Q29" s="96" t="n">
        <f aca="false">-Q27+Q22</f>
        <v>0</v>
      </c>
      <c r="R29" s="107"/>
      <c r="S29" s="96" t="n">
        <f aca="false">-S27+S22</f>
        <v>0</v>
      </c>
      <c r="T29" s="107"/>
      <c r="U29" s="96" t="n">
        <f aca="false">-U27+U22</f>
        <v>0</v>
      </c>
      <c r="W29" s="108" t="n">
        <f aca="false">-W27+W22</f>
        <v>0</v>
      </c>
      <c r="X29" s="107"/>
      <c r="Y29" s="108" t="n">
        <f aca="false">-Y27+Y22</f>
        <v>0</v>
      </c>
      <c r="AA29" s="108" t="e">
        <f aca="false">Y29+#REF!</f>
        <v>#REF!</v>
      </c>
      <c r="AC29" s="96" t="e">
        <f aca="false">+G29+M29+#REF!</f>
        <v>#REF!</v>
      </c>
      <c r="AE29" s="108" t="n">
        <f aca="false">-AE27+AE22</f>
        <v>0</v>
      </c>
      <c r="AG29" s="107"/>
      <c r="AL29" s="96" t="e">
        <f aca="false">#REF!+E29+AE29+AG29+I29+K29+W29+Y29</f>
        <v>#REF!</v>
      </c>
    </row>
    <row r="30" customFormat="false" ht="7.5" hidden="true" customHeight="true" outlineLevel="0" collapsed="false"/>
    <row r="31" customFormat="false" ht="12.75" hidden="true" customHeight="false" outlineLevel="0" collapsed="false">
      <c r="A31" s="110" t="s">
        <v>56</v>
      </c>
    </row>
    <row r="33" customFormat="false" ht="13.5" hidden="false" customHeight="false" outlineLevel="0" collapsed="false">
      <c r="A33" s="111" t="s">
        <v>57</v>
      </c>
      <c r="C33" s="105"/>
      <c r="E33" s="106"/>
      <c r="G33" s="106"/>
      <c r="H33" s="106"/>
      <c r="I33" s="106"/>
      <c r="K33" s="106"/>
      <c r="M33" s="106"/>
      <c r="N33" s="107"/>
      <c r="O33" s="105"/>
      <c r="P33" s="107"/>
      <c r="Q33" s="105"/>
      <c r="R33" s="107"/>
      <c r="S33" s="105"/>
      <c r="T33" s="107"/>
      <c r="U33" s="105"/>
      <c r="W33" s="106"/>
      <c r="X33" s="106"/>
      <c r="Y33" s="106"/>
      <c r="AA33" s="106"/>
      <c r="AC33" s="106"/>
      <c r="AE33" s="106"/>
      <c r="AG33" s="107"/>
      <c r="AL33" s="106"/>
    </row>
    <row r="34" customFormat="false" ht="12.75" hidden="false" customHeight="false" outlineLevel="0" collapsed="false">
      <c r="A34" s="95" t="s">
        <v>58</v>
      </c>
      <c r="C34" s="112" t="n">
        <f aca="false">PriceAlberta!$M30/1</f>
        <v>189743238.366</v>
      </c>
      <c r="E34" s="113" t="n">
        <f aca="false">AlbertaIndex!$M30/1</f>
        <v>23424055</v>
      </c>
      <c r="G34" s="113" t="n">
        <f aca="false">(+E34+C34)</f>
        <v>213167293.366</v>
      </c>
      <c r="H34" s="114"/>
      <c r="I34" s="113" t="n">
        <f aca="false">PriceEOL!$M30/1</f>
        <v>582322</v>
      </c>
      <c r="K34" s="113" t="n">
        <f aca="false">EOLIndex!$M30/1</f>
        <v>1426641</v>
      </c>
      <c r="M34" s="113" t="n">
        <f aca="false">(+K34+I34)</f>
        <v>2008963</v>
      </c>
      <c r="N34" s="115"/>
      <c r="O34" s="112" t="n">
        <f aca="false">PriceBC!$M30/1</f>
        <v>-2182705</v>
      </c>
      <c r="P34" s="115"/>
      <c r="Q34" s="112" t="n">
        <f aca="false">BCIndex!$M30/1</f>
        <v>2373199</v>
      </c>
      <c r="R34" s="115"/>
      <c r="S34" s="112" t="n">
        <f aca="false">(+Q34+O34)</f>
        <v>190494</v>
      </c>
      <c r="T34" s="115"/>
      <c r="U34" s="112" t="n">
        <f aca="false">Options!$M30/1+OptionsProp!M30</f>
        <v>54722785</v>
      </c>
      <c r="W34" s="113" t="n">
        <f aca="false">OptionsIndex!$M30/1</f>
        <v>-3331545</v>
      </c>
      <c r="X34" s="114"/>
      <c r="Y34" s="113" t="n">
        <f aca="false">Straddle!$M30/1</f>
        <v>1863146</v>
      </c>
      <c r="AA34" s="113" t="n">
        <f aca="false">(+U34+W34+Y34)</f>
        <v>53254386</v>
      </c>
      <c r="AC34" s="113" t="n">
        <f aca="false">M34+G34+AA34+S34</f>
        <v>268621136.366</v>
      </c>
      <c r="AE34" s="116" t="n">
        <f aca="false">'US $'!$M30/1</f>
        <v>172103528.881684</v>
      </c>
      <c r="AG34" s="117"/>
      <c r="AL34" s="116" t="e">
        <f aca="false">#REF!+E34+AE34+AG34+I34+K34+W34+Y34</f>
        <v>#REF!</v>
      </c>
      <c r="AM34" s="118"/>
    </row>
    <row r="35" customFormat="false" ht="12.75" hidden="false" customHeight="false" outlineLevel="0" collapsed="false">
      <c r="A35" s="95" t="s">
        <v>59</v>
      </c>
      <c r="C35" s="112" t="n">
        <f aca="false">PriceAlberta!$M31/1</f>
        <v>0.673913167789578</v>
      </c>
      <c r="E35" s="113" t="n">
        <f aca="false">AlbertaIndex!$M31/1</f>
        <v>0</v>
      </c>
      <c r="G35" s="113" t="n">
        <f aca="false">(+E35+C35)</f>
        <v>0.673913167789578</v>
      </c>
      <c r="H35" s="114"/>
      <c r="I35" s="113" t="n">
        <f aca="false">PriceEOL!$M31/1</f>
        <v>0</v>
      </c>
      <c r="K35" s="113" t="n">
        <f aca="false">EOLIndex!$M31/1</f>
        <v>0</v>
      </c>
      <c r="M35" s="113" t="n">
        <f aca="false">(+K35+I35)</f>
        <v>0</v>
      </c>
      <c r="N35" s="115"/>
      <c r="O35" s="112" t="n">
        <f aca="false">PriceBC!$M31/1</f>
        <v>0</v>
      </c>
      <c r="P35" s="115"/>
      <c r="Q35" s="112" t="n">
        <f aca="false">BCIndex!$M31/1</f>
        <v>0</v>
      </c>
      <c r="R35" s="115"/>
      <c r="S35" s="112" t="n">
        <f aca="false">(+Q35+O35)</f>
        <v>0</v>
      </c>
      <c r="T35" s="115"/>
      <c r="U35" s="112" t="n">
        <f aca="false">Options!$M31/1+OptionsProp!$M31/1</f>
        <v>0</v>
      </c>
      <c r="W35" s="113" t="n">
        <f aca="false">OptionsIndex!$M31/1</f>
        <v>0</v>
      </c>
      <c r="X35" s="114"/>
      <c r="Y35" s="113" t="n">
        <f aca="false">Straddle!$M31/1</f>
        <v>0</v>
      </c>
      <c r="AA35" s="113" t="n">
        <f aca="false">(+U35+W35+Y35)</f>
        <v>0</v>
      </c>
      <c r="AC35" s="113" t="n">
        <f aca="false">M35+G35+AA35+S35</f>
        <v>0.673913167789578</v>
      </c>
      <c r="AE35" s="116" t="n">
        <f aca="false">'US $'!$M31/1</f>
        <v>-593557.865862259</v>
      </c>
      <c r="AG35" s="115"/>
      <c r="AL35" s="116" t="e">
        <f aca="false">#REF!+E35+AE35+AG35+I35+K35+W35+Y35</f>
        <v>#REF!</v>
      </c>
      <c r="AM35" s="118"/>
    </row>
    <row r="36" customFormat="false" ht="12.75" hidden="false" customHeight="false" outlineLevel="0" collapsed="false">
      <c r="A36" s="95" t="s">
        <v>60</v>
      </c>
      <c r="C36" s="112" t="n">
        <f aca="false">PriceAlberta!$M32/1</f>
        <v>66473906.395</v>
      </c>
      <c r="E36" s="113" t="n">
        <f aca="false">AlbertaIndex!$M32/1</f>
        <v>12227277</v>
      </c>
      <c r="G36" s="113" t="n">
        <f aca="false">(+E36+C36)</f>
        <v>78701183.395</v>
      </c>
      <c r="H36" s="114"/>
      <c r="I36" s="113" t="n">
        <f aca="false">PriceEOL!$M32/1</f>
        <v>2431713</v>
      </c>
      <c r="K36" s="113" t="n">
        <f aca="false">EOLIndex!$M32/1</f>
        <v>568776</v>
      </c>
      <c r="M36" s="113" t="n">
        <f aca="false">(+K36+I36)</f>
        <v>3000489</v>
      </c>
      <c r="N36" s="115"/>
      <c r="O36" s="112" t="n">
        <f aca="false">PriceBC!$M32/1</f>
        <v>0</v>
      </c>
      <c r="P36" s="115"/>
      <c r="Q36" s="112" t="n">
        <f aca="false">BCIndex!$M32/1</f>
        <v>0</v>
      </c>
      <c r="R36" s="115"/>
      <c r="S36" s="112" t="n">
        <f aca="false">(+Q36+O36)</f>
        <v>0</v>
      </c>
      <c r="T36" s="115"/>
      <c r="U36" s="112" t="n">
        <f aca="false">Options!$M32/1+OptionsProp!$M32/1</f>
        <v>-61866677.54</v>
      </c>
      <c r="W36" s="113" t="n">
        <f aca="false">OptionsIndex!$M32/1</f>
        <v>868008</v>
      </c>
      <c r="X36" s="114"/>
      <c r="Y36" s="113" t="n">
        <f aca="false">Straddle!$M32/1</f>
        <v>183786</v>
      </c>
      <c r="AA36" s="113" t="n">
        <f aca="false">(+U36+W36+Y36)</f>
        <v>-60814883.54</v>
      </c>
      <c r="AC36" s="113" t="n">
        <f aca="false">M36+G36+AA36+S36</f>
        <v>20886788.855</v>
      </c>
      <c r="AE36" s="116" t="n">
        <f aca="false">'US $'!$M32/1</f>
        <v>12126114.6234521</v>
      </c>
      <c r="AG36" s="115"/>
      <c r="AL36" s="116" t="e">
        <f aca="false">#REF!+E36+AE36+AG36+I36+K36+W36+Y36</f>
        <v>#REF!</v>
      </c>
      <c r="AM36" s="118"/>
    </row>
    <row r="37" customFormat="false" ht="12.75" hidden="false" customHeight="false" outlineLevel="0" collapsed="false">
      <c r="A37" s="63" t="s">
        <v>61</v>
      </c>
      <c r="C37" s="113" t="n">
        <f aca="false">SUM(C34:C36)</f>
        <v>256217145.434913</v>
      </c>
      <c r="E37" s="113" t="n">
        <f aca="false">SUM(E34:E36)</f>
        <v>35651332</v>
      </c>
      <c r="G37" s="113" t="n">
        <f aca="false">SUM(G34:G36)</f>
        <v>291868477.434913</v>
      </c>
      <c r="H37" s="114"/>
      <c r="I37" s="113" t="n">
        <f aca="false">SUM(I34:I36)</f>
        <v>3014035</v>
      </c>
      <c r="K37" s="113" t="n">
        <f aca="false">SUM(K34:K36)</f>
        <v>1995417</v>
      </c>
      <c r="M37" s="113" t="n">
        <f aca="false">SUM(M34:M36)</f>
        <v>5009452</v>
      </c>
      <c r="N37" s="115"/>
      <c r="O37" s="112" t="n">
        <f aca="false">SUM(O34:O36)</f>
        <v>-2182705</v>
      </c>
      <c r="P37" s="115"/>
      <c r="Q37" s="112" t="n">
        <f aca="false">SUM(Q34:Q36)</f>
        <v>2373199</v>
      </c>
      <c r="R37" s="115"/>
      <c r="S37" s="112" t="n">
        <f aca="false">SUM(S34:S36)</f>
        <v>190494</v>
      </c>
      <c r="T37" s="115"/>
      <c r="U37" s="112" t="n">
        <f aca="false">SUM(U34:U36)</f>
        <v>-7143892.53999999</v>
      </c>
      <c r="W37" s="113" t="n">
        <f aca="false">SUM(W34:W36)</f>
        <v>-2463537</v>
      </c>
      <c r="X37" s="114"/>
      <c r="Y37" s="113" t="n">
        <f aca="false">SUM(Y34:Y36)</f>
        <v>2046932</v>
      </c>
      <c r="AA37" s="113" t="n">
        <f aca="false">(+U37+W37+Y37)</f>
        <v>-7560497.53999999</v>
      </c>
      <c r="AC37" s="113" t="n">
        <f aca="false">M37+G37+AA37+S37</f>
        <v>289507925.894913</v>
      </c>
      <c r="AE37" s="116" t="n">
        <f aca="false">SUM(AE34:AE36)</f>
        <v>183636085.639273</v>
      </c>
      <c r="AG37" s="115"/>
      <c r="AL37" s="116" t="e">
        <f aca="false">SUM(AL34:AL36)</f>
        <v>#REF!</v>
      </c>
      <c r="AM37" s="118"/>
    </row>
    <row r="38" customFormat="false" ht="9.75" hidden="false" customHeight="true" outlineLevel="0" collapsed="false">
      <c r="C38" s="119"/>
      <c r="E38" s="120"/>
      <c r="G38" s="120"/>
      <c r="H38" s="120"/>
      <c r="I38" s="120"/>
      <c r="K38" s="120"/>
      <c r="M38" s="120"/>
      <c r="N38" s="115"/>
      <c r="O38" s="119"/>
      <c r="P38" s="115"/>
      <c r="Q38" s="119"/>
      <c r="R38" s="115"/>
      <c r="S38" s="119"/>
      <c r="T38" s="115"/>
      <c r="U38" s="119"/>
      <c r="W38" s="120"/>
      <c r="X38" s="120"/>
      <c r="Y38" s="120"/>
      <c r="AA38" s="120"/>
      <c r="AC38" s="120"/>
      <c r="AE38" s="120"/>
      <c r="AG38" s="115"/>
      <c r="AL38" s="120"/>
      <c r="AM38" s="118"/>
    </row>
    <row r="39" customFormat="false" ht="13.5" hidden="false" customHeight="false" outlineLevel="0" collapsed="false">
      <c r="A39" s="121" t="n">
        <f aca="false">A4</f>
        <v>36847</v>
      </c>
      <c r="AM39" s="118"/>
    </row>
    <row r="40" customFormat="false" ht="12.75" hidden="false" customHeight="false" outlineLevel="0" collapsed="false">
      <c r="A40" s="95" t="s">
        <v>62</v>
      </c>
      <c r="B40" s="122" t="n">
        <f aca="false">(AC40-('Orig Sched'!Q181*1000))</f>
        <v>0.760453000082634</v>
      </c>
      <c r="C40" s="112" t="n">
        <f aca="false">+PriceAlberta!$B60/1</f>
        <v>602987</v>
      </c>
      <c r="D40" s="123"/>
      <c r="E40" s="113" t="n">
        <f aca="false">+AlbertaIndex!$B60/1</f>
        <v>0</v>
      </c>
      <c r="F40" s="124"/>
      <c r="G40" s="112" t="n">
        <f aca="false">(+E40+C40)</f>
        <v>602987</v>
      </c>
      <c r="H40" s="114"/>
      <c r="I40" s="116" t="n">
        <f aca="false">+PriceEOL!$B60/1</f>
        <v>0</v>
      </c>
      <c r="J40" s="124"/>
      <c r="K40" s="116" t="n">
        <f aca="false">+EOLIndex!$B60/1</f>
        <v>0</v>
      </c>
      <c r="L40" s="124"/>
      <c r="M40" s="112" t="n">
        <f aca="false">(+K40+I40)</f>
        <v>0</v>
      </c>
      <c r="N40" s="115"/>
      <c r="O40" s="112" t="n">
        <f aca="false">+PriceBC!$B60/1</f>
        <v>0</v>
      </c>
      <c r="P40" s="115"/>
      <c r="Q40" s="112" t="n">
        <f aca="false">+BCIndex!$B60/1</f>
        <v>0</v>
      </c>
      <c r="R40" s="115"/>
      <c r="S40" s="112" t="n">
        <f aca="false">(+Q40+O40)</f>
        <v>0</v>
      </c>
      <c r="T40" s="115"/>
      <c r="U40" s="112" t="n">
        <f aca="false">+Options!$B60/1+OptionsProp!$B60/1</f>
        <v>54909</v>
      </c>
      <c r="V40" s="124"/>
      <c r="W40" s="116" t="n">
        <f aca="false">+OptionsIndex!$B60/1</f>
        <v>0</v>
      </c>
      <c r="X40" s="114"/>
      <c r="Y40" s="113" t="n">
        <f aca="false">+Straddle!$B60/1</f>
        <v>0</v>
      </c>
      <c r="Z40" s="124"/>
      <c r="AA40" s="113" t="n">
        <f aca="false">(+U40+W40+Y40)</f>
        <v>54909</v>
      </c>
      <c r="AB40" s="124"/>
      <c r="AC40" s="112" t="n">
        <f aca="false">M40+G40+AA40+S40</f>
        <v>657896</v>
      </c>
      <c r="AD40" s="124"/>
      <c r="AE40" s="116" t="n">
        <f aca="false">+'US $'!$B60/1</f>
        <v>427074.69069803</v>
      </c>
      <c r="AF40" s="124"/>
      <c r="AG40" s="115"/>
      <c r="AH40" s="124"/>
      <c r="AI40" s="124"/>
      <c r="AK40" s="124" t="e">
        <f aca="false">(AL40-'Orig Sched'!O185)*0</f>
        <v>#REF!</v>
      </c>
      <c r="AL40" s="116" t="e">
        <f aca="false">#REF!+E40+AE40+AG40+I40+K40+W40+Y40</f>
        <v>#REF!</v>
      </c>
      <c r="AM40" s="118"/>
      <c r="AO40" s="124" t="s">
        <v>63</v>
      </c>
    </row>
    <row r="41" customFormat="false" ht="12.75" hidden="false" customHeight="false" outlineLevel="0" collapsed="false">
      <c r="A41" s="95" t="s">
        <v>64</v>
      </c>
      <c r="I41" s="120"/>
      <c r="K41" s="120"/>
      <c r="N41" s="115"/>
      <c r="P41" s="115"/>
      <c r="R41" s="115"/>
      <c r="T41" s="115"/>
      <c r="W41" s="120"/>
      <c r="AA41" s="120"/>
      <c r="AE41" s="120"/>
      <c r="AG41" s="115"/>
      <c r="AL41" s="120"/>
      <c r="AM41" s="118"/>
      <c r="AO41" s="60" t="s">
        <v>65</v>
      </c>
      <c r="AP41" s="125" t="n">
        <f aca="false">+'Orig Sched'!Q16</f>
        <v>0</v>
      </c>
    </row>
    <row r="42" customFormat="false" ht="12.75" hidden="false" customHeight="false" outlineLevel="0" collapsed="false">
      <c r="A42" s="92" t="s">
        <v>66</v>
      </c>
      <c r="C42" s="126" t="n">
        <f aca="false">PriceAlberta!B53</f>
        <v>814175</v>
      </c>
      <c r="E42" s="126" t="n">
        <f aca="false">AlbertaIndex!B53</f>
        <v>-26234</v>
      </c>
      <c r="G42" s="126" t="n">
        <f aca="false">(+E42+C42)</f>
        <v>787941</v>
      </c>
      <c r="H42" s="126"/>
      <c r="I42" s="126" t="n">
        <f aca="false">+PriceEOL!B53</f>
        <v>1550840</v>
      </c>
      <c r="K42" s="126" t="n">
        <f aca="false">+EOLIndex!B53</f>
        <v>8211</v>
      </c>
      <c r="M42" s="126" t="n">
        <f aca="false">(+K42+I42)</f>
        <v>1559051</v>
      </c>
      <c r="N42" s="127"/>
      <c r="O42" s="126" t="n">
        <f aca="false">PriceBC!B53</f>
        <v>223885</v>
      </c>
      <c r="P42" s="127"/>
      <c r="Q42" s="126" t="n">
        <f aca="false">BCIndex!B53</f>
        <v>138</v>
      </c>
      <c r="R42" s="127"/>
      <c r="S42" s="126" t="n">
        <f aca="false">(+Q42+O42)</f>
        <v>224023</v>
      </c>
      <c r="T42" s="127"/>
      <c r="U42" s="126" t="n">
        <f aca="false">Options!B53+OptionsProp!B53</f>
        <v>3047670</v>
      </c>
      <c r="W42" s="126" t="n">
        <f aca="false">+OptionsIndex!B53</f>
        <v>48302</v>
      </c>
      <c r="X42" s="126"/>
      <c r="Y42" s="126" t="n">
        <f aca="false">+Straddle!B53</f>
        <v>155022</v>
      </c>
      <c r="AA42" s="126" t="n">
        <f aca="false">(+U42+W42+Y42)</f>
        <v>3250994</v>
      </c>
      <c r="AC42" s="126" t="n">
        <f aca="false">M42+G42+AA42+S42</f>
        <v>5822009</v>
      </c>
      <c r="AE42" s="119" t="n">
        <f aca="false">'US $'!B53</f>
        <v>3779370.4368413</v>
      </c>
      <c r="AG42" s="127"/>
      <c r="AJ42" s="61"/>
      <c r="AL42" s="119"/>
      <c r="AM42" s="118"/>
      <c r="AN42" s="61"/>
      <c r="AO42" s="60"/>
      <c r="AP42" s="128" t="n">
        <f aca="false">+'Orig Sched'!Q12*1000</f>
        <v>10294.59</v>
      </c>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61"/>
      <c r="DP42" s="61"/>
      <c r="DQ42" s="61"/>
      <c r="DR42" s="61"/>
      <c r="DS42" s="61"/>
      <c r="DT42" s="61"/>
      <c r="DU42" s="61"/>
      <c r="DV42" s="61"/>
      <c r="DW42" s="61"/>
      <c r="DX42" s="61"/>
      <c r="DY42" s="61"/>
      <c r="DZ42" s="61"/>
      <c r="EA42" s="61"/>
      <c r="EB42" s="61"/>
      <c r="EC42" s="61"/>
      <c r="ED42" s="61"/>
      <c r="EE42" s="61"/>
      <c r="EF42" s="61"/>
      <c r="EG42" s="61"/>
      <c r="EH42" s="61"/>
      <c r="EI42" s="61"/>
      <c r="EJ42" s="61"/>
      <c r="EK42" s="61"/>
      <c r="EL42" s="61"/>
      <c r="EM42" s="61"/>
      <c r="EN42" s="61"/>
      <c r="EO42" s="61"/>
      <c r="EP42" s="61"/>
      <c r="EQ42" s="61"/>
      <c r="ER42" s="61"/>
      <c r="ES42" s="61"/>
      <c r="ET42" s="61"/>
      <c r="EU42" s="61"/>
      <c r="EV42" s="61"/>
      <c r="EW42" s="61"/>
      <c r="EX42" s="61"/>
      <c r="EY42" s="61"/>
      <c r="EZ42" s="61"/>
      <c r="FA42" s="61"/>
      <c r="FB42" s="61"/>
      <c r="FC42" s="61"/>
      <c r="FD42" s="61"/>
      <c r="FE42" s="61"/>
      <c r="FF42" s="61"/>
      <c r="FG42" s="61"/>
      <c r="FH42" s="61"/>
      <c r="FI42" s="61"/>
      <c r="FJ42" s="61"/>
      <c r="FK42" s="61"/>
      <c r="FL42" s="61"/>
      <c r="FM42" s="61"/>
      <c r="FN42" s="61"/>
      <c r="FO42" s="61"/>
      <c r="FP42" s="61"/>
      <c r="FQ42" s="61"/>
      <c r="FR42" s="61"/>
      <c r="FS42" s="61"/>
      <c r="FT42" s="61"/>
      <c r="FU42" s="61"/>
      <c r="FV42" s="61"/>
      <c r="FW42" s="61"/>
      <c r="FX42" s="61"/>
      <c r="FY42" s="61"/>
      <c r="FZ42" s="61"/>
      <c r="GA42" s="61"/>
      <c r="GB42" s="61"/>
      <c r="GC42" s="61"/>
      <c r="GD42" s="61"/>
      <c r="GE42" s="61"/>
      <c r="GF42" s="61"/>
      <c r="GG42" s="61"/>
      <c r="GH42" s="61"/>
      <c r="GI42" s="61"/>
      <c r="GJ42" s="61"/>
      <c r="GK42" s="61"/>
      <c r="GL42" s="61"/>
      <c r="GM42" s="61"/>
      <c r="GN42" s="61"/>
      <c r="GO42" s="61"/>
      <c r="GP42" s="61"/>
      <c r="GQ42" s="61"/>
      <c r="GR42" s="61"/>
      <c r="GS42" s="61"/>
      <c r="GT42" s="61"/>
      <c r="GU42" s="61"/>
      <c r="GV42" s="61"/>
      <c r="GW42" s="61"/>
      <c r="GX42" s="61"/>
      <c r="GY42" s="61"/>
      <c r="GZ42" s="61"/>
      <c r="HA42" s="61"/>
      <c r="HB42" s="61"/>
      <c r="HC42" s="61"/>
      <c r="HD42" s="61"/>
      <c r="HE42" s="61"/>
      <c r="HF42" s="61"/>
      <c r="HG42" s="61"/>
      <c r="HH42" s="61"/>
      <c r="HI42" s="61"/>
      <c r="HJ42" s="61"/>
      <c r="HK42" s="61"/>
      <c r="HL42" s="61"/>
      <c r="HM42" s="61"/>
      <c r="HN42" s="61"/>
      <c r="HO42" s="61"/>
      <c r="HP42" s="61"/>
      <c r="HQ42" s="61"/>
      <c r="HR42" s="61"/>
      <c r="HS42" s="61"/>
      <c r="HT42" s="61"/>
      <c r="HU42" s="61"/>
      <c r="HV42" s="61"/>
      <c r="HW42" s="61"/>
      <c r="HX42" s="61"/>
      <c r="HY42" s="61"/>
      <c r="HZ42" s="61"/>
      <c r="IA42" s="61"/>
      <c r="IB42" s="61"/>
      <c r="IC42" s="61"/>
      <c r="ID42" s="61"/>
      <c r="IE42" s="61"/>
      <c r="IF42" s="61"/>
      <c r="IG42" s="61"/>
      <c r="IH42" s="61"/>
      <c r="II42" s="61"/>
      <c r="IJ42" s="61"/>
      <c r="IK42" s="61"/>
      <c r="IL42" s="61"/>
      <c r="IM42" s="61"/>
      <c r="IN42" s="61"/>
      <c r="IO42" s="61"/>
      <c r="IP42" s="61"/>
      <c r="IQ42" s="61"/>
      <c r="IR42" s="61"/>
      <c r="IS42" s="61"/>
      <c r="IT42" s="61"/>
      <c r="IU42" s="61"/>
      <c r="IV42" s="61"/>
      <c r="IW42" s="61"/>
    </row>
    <row r="43" customFormat="false" ht="12.75" hidden="false" customHeight="false" outlineLevel="0" collapsed="false">
      <c r="A43" s="95" t="s">
        <v>67</v>
      </c>
      <c r="C43" s="126" t="n">
        <f aca="false">PriceAlberta!$B47</f>
        <v>3006870</v>
      </c>
      <c r="E43" s="114" t="n">
        <f aca="false">AlbertaIndex!$B47</f>
        <v>0</v>
      </c>
      <c r="G43" s="114" t="n">
        <f aca="false">(+E43+C43)</f>
        <v>3006870</v>
      </c>
      <c r="H43" s="114"/>
      <c r="I43" s="114" t="n">
        <f aca="false">+PriceEOL!B47</f>
        <v>-1608325</v>
      </c>
      <c r="K43" s="114" t="n">
        <f aca="false">EOLIndex!$B47</f>
        <v>0</v>
      </c>
      <c r="M43" s="114" t="n">
        <f aca="false">(+K43+I43)</f>
        <v>-1608325</v>
      </c>
      <c r="N43" s="115"/>
      <c r="O43" s="126" t="n">
        <f aca="false">PriceBC!$B47</f>
        <v>-3144036</v>
      </c>
      <c r="P43" s="115"/>
      <c r="Q43" s="126" t="n">
        <f aca="false">BCIndex!$B47</f>
        <v>0</v>
      </c>
      <c r="R43" s="115"/>
      <c r="S43" s="126" t="n">
        <f aca="false">(+Q43+O43)</f>
        <v>-3144036</v>
      </c>
      <c r="T43" s="115"/>
      <c r="U43" s="126" t="n">
        <f aca="false">Options!$B47+OptionsProp!$B47</f>
        <v>8841033</v>
      </c>
      <c r="W43" s="114" t="n">
        <f aca="false">OptionsIndex!$B47</f>
        <v>0</v>
      </c>
      <c r="X43" s="114"/>
      <c r="Y43" s="114" t="n">
        <f aca="false">(Straddle!$B47)</f>
        <v>-1848924</v>
      </c>
      <c r="AA43" s="126" t="n">
        <f aca="false">(+U43+W43+Y43)</f>
        <v>6992109</v>
      </c>
      <c r="AC43" s="114" t="n">
        <f aca="false">M43+G43+AA43+S43</f>
        <v>5246618</v>
      </c>
      <c r="AE43" s="115" t="n">
        <f aca="false">'US $'!$B47</f>
        <v>3405854.0552925</v>
      </c>
      <c r="AG43" s="115"/>
      <c r="AL43" s="115" t="e">
        <f aca="false">#REF!+E43+AE43+AG43+I43+K43+W43+Y43</f>
        <v>#REF!</v>
      </c>
      <c r="AM43" s="118"/>
      <c r="AO43" s="125"/>
      <c r="AP43" s="125" t="n">
        <f aca="false">SUM(AP41:AP42)</f>
        <v>10294.59</v>
      </c>
    </row>
    <row r="44" customFormat="false" ht="12.75" hidden="false" customHeight="false" outlineLevel="0" collapsed="false">
      <c r="A44" s="95" t="s">
        <v>68</v>
      </c>
      <c r="C44" s="126" t="n">
        <f aca="false">PriceAlberta!$B48</f>
        <v>-11829833</v>
      </c>
      <c r="E44" s="114" t="n">
        <f aca="false">AlbertaIndex!$B48</f>
        <v>0</v>
      </c>
      <c r="G44" s="114" t="n">
        <f aca="false">(+E44+C44)</f>
        <v>-11829833</v>
      </c>
      <c r="H44" s="114"/>
      <c r="I44" s="114" t="n">
        <f aca="false">+PriceEOL!B48</f>
        <v>-249238</v>
      </c>
      <c r="K44" s="114" t="n">
        <f aca="false">(EOLIndex!$B48)/1</f>
        <v>0</v>
      </c>
      <c r="M44" s="114" t="n">
        <f aca="false">(+K44+I44)</f>
        <v>-249238</v>
      </c>
      <c r="N44" s="115"/>
      <c r="O44" s="126" t="n">
        <f aca="false">PriceBC!$B48</f>
        <v>-4703036</v>
      </c>
      <c r="P44" s="115"/>
      <c r="Q44" s="126" t="n">
        <f aca="false">BCIndex!$B48</f>
        <v>0</v>
      </c>
      <c r="R44" s="115"/>
      <c r="S44" s="126" t="n">
        <f aca="false">(+Q44+O44)</f>
        <v>-4703036</v>
      </c>
      <c r="T44" s="115"/>
      <c r="U44" s="126" t="n">
        <f aca="false">Options!$B48+OptionsProp!$B48</f>
        <v>2128328</v>
      </c>
      <c r="W44" s="114" t="n">
        <f aca="false">OptionsIndex!$B48</f>
        <v>0</v>
      </c>
      <c r="X44" s="114"/>
      <c r="Y44" s="114" t="n">
        <f aca="false">(Straddle!$B48)</f>
        <v>1927657</v>
      </c>
      <c r="AA44" s="126" t="n">
        <f aca="false">(+U44+W44+Y44)</f>
        <v>4055985</v>
      </c>
      <c r="AC44" s="114" t="n">
        <f aca="false">M44+G44+AA44+S44</f>
        <v>-12726122</v>
      </c>
      <c r="AE44" s="115" t="n">
        <f aca="false">'US $'!$B48</f>
        <v>-8261191.15625477</v>
      </c>
      <c r="AG44" s="115"/>
      <c r="AL44" s="115" t="e">
        <f aca="false">#REF!+E44+AE44+AG44+I44+K44+W44+Y44</f>
        <v>#REF!</v>
      </c>
      <c r="AM44" s="118"/>
    </row>
    <row r="45" customFormat="false" ht="12.75" hidden="false" customHeight="false" outlineLevel="0" collapsed="false">
      <c r="A45" s="95" t="s">
        <v>69</v>
      </c>
      <c r="C45" s="126" t="n">
        <f aca="false">PriceAlberta!$B49</f>
        <v>0</v>
      </c>
      <c r="E45" s="114" t="n">
        <f aca="false">AlbertaIndex!$B49</f>
        <v>-5367</v>
      </c>
      <c r="G45" s="114" t="n">
        <f aca="false">(+E45+C45)</f>
        <v>-5367</v>
      </c>
      <c r="H45" s="114"/>
      <c r="I45" s="114" t="n">
        <f aca="false">+PriceEOL!B49</f>
        <v>0</v>
      </c>
      <c r="K45" s="114" t="n">
        <f aca="false">EOLIndex!$B49/1</f>
        <v>-42580</v>
      </c>
      <c r="M45" s="114" t="n">
        <f aca="false">(+K45+I45)</f>
        <v>-42580</v>
      </c>
      <c r="N45" s="115"/>
      <c r="O45" s="126" t="n">
        <f aca="false">PriceBC!$B49</f>
        <v>0</v>
      </c>
      <c r="P45" s="115"/>
      <c r="Q45" s="126" t="n">
        <f aca="false">BCIndex!$B49</f>
        <v>0</v>
      </c>
      <c r="R45" s="115"/>
      <c r="S45" s="126" t="n">
        <f aca="false">(+Q45+O45)</f>
        <v>0</v>
      </c>
      <c r="T45" s="115"/>
      <c r="U45" s="126" t="n">
        <f aca="false">Options!$B49+OptionsProp!$B49</f>
        <v>0</v>
      </c>
      <c r="W45" s="114" t="n">
        <f aca="false">OptionsIndex!$B49/1</f>
        <v>-802</v>
      </c>
      <c r="X45" s="114"/>
      <c r="Y45" s="114" t="n">
        <f aca="false">Straddle!$B49/1</f>
        <v>0</v>
      </c>
      <c r="AA45" s="126" t="n">
        <f aca="false">(+U45+W45+Y45)</f>
        <v>-802</v>
      </c>
      <c r="AC45" s="114" t="n">
        <f aca="false">M45+G45+AA45+S45</f>
        <v>-48749</v>
      </c>
      <c r="AE45" s="115" t="n">
        <f aca="false">'US $'!$B49</f>
        <v>-31645.5246677868</v>
      </c>
      <c r="AG45" s="115"/>
      <c r="AL45" s="115" t="e">
        <f aca="false">#REF!+E45+AE45+AG45+I45+K45+W45+Y45</f>
        <v>#REF!</v>
      </c>
      <c r="AM45" s="118"/>
    </row>
    <row r="46" customFormat="false" ht="12.75" hidden="false" customHeight="false" outlineLevel="0" collapsed="false">
      <c r="A46" s="95" t="s">
        <v>70</v>
      </c>
      <c r="C46" s="126" t="n">
        <f aca="false">PriceAlberta!$B51+PriceAlberta!$B54</f>
        <v>-822689</v>
      </c>
      <c r="E46" s="114" t="n">
        <f aca="false">AlbertaIndex!$B51+AlbertaIndex!$B54</f>
        <v>681116</v>
      </c>
      <c r="G46" s="114" t="n">
        <f aca="false">(+E46+C46)</f>
        <v>-141573</v>
      </c>
      <c r="H46" s="114"/>
      <c r="I46" s="114" t="n">
        <f aca="false">+PriceEOL!B51+PriceEOL!B54</f>
        <v>-205060</v>
      </c>
      <c r="K46" s="114" t="n">
        <f aca="false">EOLIndex!$B51+EOLIndex!$B54</f>
        <v>0</v>
      </c>
      <c r="M46" s="114" t="n">
        <f aca="false">(+K46+I46)</f>
        <v>-205060</v>
      </c>
      <c r="N46" s="115"/>
      <c r="O46" s="126" t="n">
        <f aca="false">PriceBC!$B51+PriceBC!$B54</f>
        <v>-66338</v>
      </c>
      <c r="P46" s="115"/>
      <c r="Q46" s="126" t="n">
        <f aca="false">BCIndex!$B51+BCIndex!$B54</f>
        <v>58118</v>
      </c>
      <c r="R46" s="115"/>
      <c r="S46" s="126" t="n">
        <f aca="false">(+Q46+O46)</f>
        <v>-8220</v>
      </c>
      <c r="T46" s="115"/>
      <c r="U46" s="126" t="n">
        <f aca="false">Options!$B51+Options!$B54+OptionsProp!$B51+OptionsProp!$B54</f>
        <v>-9566430</v>
      </c>
      <c r="W46" s="114" t="n">
        <f aca="false">OptionsIndex!$B51+OptionsIndex!$B54</f>
        <v>-12493</v>
      </c>
      <c r="X46" s="114"/>
      <c r="Y46" s="114" t="n">
        <f aca="false">+Straddle!B51+Straddle!B54</f>
        <v>97120</v>
      </c>
      <c r="AA46" s="126" t="n">
        <f aca="false">(+U46+W46+Y46)</f>
        <v>-9481803</v>
      </c>
      <c r="AC46" s="114" t="n">
        <f aca="false">M46+G46+AA46+S46</f>
        <v>-9836656</v>
      </c>
      <c r="AE46" s="115" t="n">
        <f aca="false">'US $'!$B51+'US $'!$B54</f>
        <v>-6385487.70429204</v>
      </c>
      <c r="AG46" s="115"/>
      <c r="AL46" s="115"/>
      <c r="AM46" s="118"/>
    </row>
    <row r="47" customFormat="false" ht="12.75" hidden="false" customHeight="false" outlineLevel="0" collapsed="false">
      <c r="A47" s="95" t="s">
        <v>71</v>
      </c>
      <c r="C47" s="126" t="n">
        <f aca="false">+PriceAlberta!$B55/1</f>
        <v>-5822</v>
      </c>
      <c r="E47" s="114" t="n">
        <f aca="false">+AlbertaIndex!$B55/1</f>
        <v>0</v>
      </c>
      <c r="G47" s="114" t="n">
        <f aca="false">(+E47+C47)</f>
        <v>-5822</v>
      </c>
      <c r="H47" s="114"/>
      <c r="I47" s="114" t="n">
        <f aca="false">+PriceEOL!$B55/1</f>
        <v>0</v>
      </c>
      <c r="K47" s="114" t="n">
        <f aca="false">+EOLIndex!$B55/1</f>
        <v>0</v>
      </c>
      <c r="M47" s="114" t="n">
        <f aca="false">(+K47+I47)</f>
        <v>0</v>
      </c>
      <c r="N47" s="115"/>
      <c r="O47" s="126" t="n">
        <f aca="false">+PriceBC!$B55/1</f>
        <v>19119</v>
      </c>
      <c r="P47" s="115"/>
      <c r="Q47" s="126" t="n">
        <f aca="false">+BCIndex!$B55/1</f>
        <v>0</v>
      </c>
      <c r="R47" s="115"/>
      <c r="S47" s="126" t="n">
        <f aca="false">(+Q47+O47)</f>
        <v>19119</v>
      </c>
      <c r="T47" s="115"/>
      <c r="U47" s="126" t="n">
        <f aca="false">+Options!$B55/1+OptionsProp!$B55/1</f>
        <v>1650174</v>
      </c>
      <c r="W47" s="114" t="n">
        <f aca="false">+OptionsIndex!$B55/1</f>
        <v>0</v>
      </c>
      <c r="X47" s="114"/>
      <c r="Y47" s="114" t="n">
        <f aca="false">+Straddle!$B55/1</f>
        <v>0</v>
      </c>
      <c r="AA47" s="126" t="n">
        <f aca="false">(+U47+W47+Y47)</f>
        <v>1650174</v>
      </c>
      <c r="AC47" s="114" t="n">
        <f aca="false">M47+G47+AA47+S47</f>
        <v>1663471</v>
      </c>
      <c r="AE47" s="115" t="n">
        <f aca="false">+'US $'!$B55/1</f>
        <v>1079845.9981671</v>
      </c>
      <c r="AG47" s="115"/>
      <c r="AL47" s="115" t="e">
        <f aca="false">#REF!+E47+AE47+AG47+I47+K47+W47+Y47</f>
        <v>#REF!</v>
      </c>
      <c r="AM47" s="118"/>
    </row>
    <row r="48" customFormat="false" ht="12.75" hidden="false" customHeight="false" outlineLevel="0" collapsed="false">
      <c r="A48" s="95" t="s">
        <v>72</v>
      </c>
      <c r="C48" s="126" t="n">
        <f aca="false">+PriceAlberta!$B56/1</f>
        <v>-42160</v>
      </c>
      <c r="E48" s="114" t="n">
        <f aca="false">+AlbertaIndex!$B56/1</f>
        <v>0</v>
      </c>
      <c r="G48" s="114" t="n">
        <f aca="false">(+E48+C48)</f>
        <v>-42160</v>
      </c>
      <c r="H48" s="114"/>
      <c r="I48" s="114" t="n">
        <f aca="false">+PriceEOL!$B56/1</f>
        <v>0</v>
      </c>
      <c r="K48" s="114" t="n">
        <f aca="false">+EOLIndex!$B56/1</f>
        <v>0</v>
      </c>
      <c r="M48" s="114" t="n">
        <f aca="false">(+K48+I48)</f>
        <v>0</v>
      </c>
      <c r="N48" s="115"/>
      <c r="O48" s="126" t="n">
        <f aca="false">+PriceBC!$B56/1</f>
        <v>0</v>
      </c>
      <c r="P48" s="115"/>
      <c r="Q48" s="126" t="n">
        <f aca="false">+BCIndex!$B56/1</f>
        <v>0</v>
      </c>
      <c r="R48" s="115"/>
      <c r="S48" s="126" t="n">
        <f aca="false">(+Q48+O48)</f>
        <v>0</v>
      </c>
      <c r="T48" s="115"/>
      <c r="U48" s="126" t="n">
        <f aca="false">+Options!$B56/1+OptionsProp!$B56/1</f>
        <v>-939697</v>
      </c>
      <c r="W48" s="114" t="n">
        <f aca="false">+OptionsIndex!$B56/1</f>
        <v>0</v>
      </c>
      <c r="X48" s="114"/>
      <c r="Y48" s="114" t="n">
        <f aca="false">+Straddle!$B56/1</f>
        <v>0</v>
      </c>
      <c r="AA48" s="126" t="n">
        <f aca="false">(+U48+W48+Y48)</f>
        <v>-939697</v>
      </c>
      <c r="AC48" s="114" t="n">
        <f aca="false">M48+G48+AA48+S48</f>
        <v>-981857</v>
      </c>
      <c r="AE48" s="115" t="n">
        <f aca="false">+'US $'!$B56/1</f>
        <v>-637374.713609287</v>
      </c>
      <c r="AG48" s="115"/>
      <c r="AL48" s="115" t="e">
        <f aca="false">#REF!+E48+AE48+AG48+I48+K48+W48+Y48</f>
        <v>#REF!</v>
      </c>
      <c r="AM48" s="118"/>
    </row>
    <row r="49" customFormat="false" ht="12.75" hidden="false" customHeight="false" outlineLevel="0" collapsed="false">
      <c r="A49" s="95" t="s">
        <v>73</v>
      </c>
      <c r="C49" s="126" t="n">
        <f aca="false">+PriceAlberta!$B57/1</f>
        <v>22364</v>
      </c>
      <c r="E49" s="114" t="n">
        <f aca="false">+AlbertaIndex!$B57/1</f>
        <v>0</v>
      </c>
      <c r="G49" s="114" t="n">
        <f aca="false">(+E49+C49)</f>
        <v>22364</v>
      </c>
      <c r="H49" s="114"/>
      <c r="I49" s="114" t="n">
        <f aca="false">+PriceEOL!$B57/1</f>
        <v>0</v>
      </c>
      <c r="K49" s="114" t="n">
        <f aca="false">+EOLIndex!$B57/1</f>
        <v>0</v>
      </c>
      <c r="M49" s="114" t="n">
        <f aca="false">(+K49+I49)</f>
        <v>0</v>
      </c>
      <c r="N49" s="115"/>
      <c r="O49" s="126" t="n">
        <f aca="false">+PriceBC!$B57/1</f>
        <v>0</v>
      </c>
      <c r="P49" s="115"/>
      <c r="Q49" s="126" t="n">
        <f aca="false">+BCIndex!$B57/1</f>
        <v>0</v>
      </c>
      <c r="R49" s="115"/>
      <c r="S49" s="126" t="n">
        <f aca="false">(+Q49+O49)</f>
        <v>0</v>
      </c>
      <c r="T49" s="115"/>
      <c r="U49" s="126" t="n">
        <f aca="false">+Options!$B57/1+OptionsProp!$B57/1</f>
        <v>1079050</v>
      </c>
      <c r="W49" s="114" t="n">
        <f aca="false">+OptionsIndex!$B57/1</f>
        <v>0</v>
      </c>
      <c r="X49" s="114"/>
      <c r="Y49" s="114" t="n">
        <f aca="false">+Straddle!$B57/1</f>
        <v>0</v>
      </c>
      <c r="AA49" s="126" t="n">
        <f aca="false">(+U49+W49+Y49)</f>
        <v>1079050</v>
      </c>
      <c r="AC49" s="114" t="n">
        <f aca="false">M49+G49+AA49+S49</f>
        <v>1101414</v>
      </c>
      <c r="AE49" s="115" t="n">
        <f aca="false">+'US $'!$B57/1</f>
        <v>714985.413166336</v>
      </c>
      <c r="AG49" s="115"/>
      <c r="AL49" s="115" t="e">
        <f aca="false">#REF!+E49+AE49+AG49+I49+K49+W49+Y49</f>
        <v>#REF!</v>
      </c>
      <c r="AM49" s="118"/>
    </row>
    <row r="50" customFormat="false" ht="12.75" hidden="false" customHeight="false" outlineLevel="0" collapsed="false">
      <c r="A50" s="95" t="s">
        <v>74</v>
      </c>
      <c r="C50" s="126" t="n">
        <v>0</v>
      </c>
      <c r="E50" s="114" t="n">
        <v>0</v>
      </c>
      <c r="G50" s="114" t="n">
        <f aca="false">(+E50+C50)</f>
        <v>0</v>
      </c>
      <c r="H50" s="114"/>
      <c r="I50" s="114" t="n">
        <v>0</v>
      </c>
      <c r="K50" s="114" t="n">
        <v>0</v>
      </c>
      <c r="M50" s="114" t="n">
        <f aca="false">(+K50+I50)</f>
        <v>0</v>
      </c>
      <c r="N50" s="115"/>
      <c r="O50" s="126" t="n">
        <v>0</v>
      </c>
      <c r="P50" s="115"/>
      <c r="Q50" s="126" t="n">
        <v>0</v>
      </c>
      <c r="R50" s="115"/>
      <c r="S50" s="126" t="n">
        <f aca="false">(+Q50+O50)</f>
        <v>0</v>
      </c>
      <c r="T50" s="115"/>
      <c r="U50" s="126" t="n">
        <v>0</v>
      </c>
      <c r="W50" s="114" t="n">
        <v>0</v>
      </c>
      <c r="X50" s="114"/>
      <c r="Y50" s="114" t="n">
        <v>0</v>
      </c>
      <c r="AA50" s="126" t="n">
        <f aca="false">(+U50+W50+Y50)</f>
        <v>0</v>
      </c>
      <c r="AC50" s="114" t="n">
        <f aca="false">M50+G50+AA50+S50</f>
        <v>0</v>
      </c>
      <c r="AE50" s="115" t="n">
        <v>0</v>
      </c>
      <c r="AG50" s="115"/>
      <c r="AL50" s="115" t="e">
        <f aca="false">#REF!+E50+AE50+AG50+I50+K50+W50+Y50</f>
        <v>#REF!</v>
      </c>
      <c r="AM50" s="118"/>
    </row>
    <row r="51" customFormat="false" ht="12.75" hidden="false" customHeight="false" outlineLevel="0" collapsed="false">
      <c r="A51" s="95" t="s">
        <v>75</v>
      </c>
      <c r="B51" s="129"/>
      <c r="C51" s="126" t="n">
        <f aca="false">PriceAlberta!$B67/1</f>
        <v>-65000</v>
      </c>
      <c r="D51" s="129"/>
      <c r="E51" s="114" t="n">
        <f aca="false">AlbertaIndex!$B67/1</f>
        <v>0</v>
      </c>
      <c r="G51" s="114" t="n">
        <f aca="false">(+E51+C51)</f>
        <v>-65000</v>
      </c>
      <c r="H51" s="114"/>
      <c r="I51" s="114" t="n">
        <f aca="false">PriceEOL!$B67/1</f>
        <v>0</v>
      </c>
      <c r="K51" s="114" t="n">
        <f aca="false">EOLIndex!$B67/1</f>
        <v>0</v>
      </c>
      <c r="M51" s="114" t="n">
        <f aca="false">(+K51+I51)</f>
        <v>0</v>
      </c>
      <c r="N51" s="115"/>
      <c r="O51" s="126" t="n">
        <f aca="false">PriceBC!$B67/1</f>
        <v>0</v>
      </c>
      <c r="P51" s="115"/>
      <c r="Q51" s="126" t="n">
        <f aca="false">BCIndex!$B67/1</f>
        <v>0</v>
      </c>
      <c r="R51" s="115"/>
      <c r="S51" s="126" t="n">
        <f aca="false">(+Q51+O51)</f>
        <v>0</v>
      </c>
      <c r="T51" s="115"/>
      <c r="U51" s="126" t="n">
        <f aca="false">Options!$B67/1+OptionsProp!$B67/1</f>
        <v>0</v>
      </c>
      <c r="W51" s="114" t="n">
        <f aca="false">OptionsIndex!$B67/1</f>
        <v>0</v>
      </c>
      <c r="X51" s="114"/>
      <c r="Y51" s="114" t="n">
        <f aca="false">Straddle!$B67/1</f>
        <v>0</v>
      </c>
      <c r="AA51" s="126" t="n">
        <f aca="false">(+U51+W51+Y51)</f>
        <v>0</v>
      </c>
      <c r="AC51" s="114" t="n">
        <f aca="false">M51+G51+AA51+S51</f>
        <v>-65000</v>
      </c>
      <c r="AE51" s="115" t="n">
        <f aca="false">'US $'!$B67/1</f>
        <v>-42194.8984267604</v>
      </c>
      <c r="AG51" s="115"/>
      <c r="AL51" s="115" t="e">
        <f aca="false">#REF!+E51+AE51+AG51+I51+K51+W51+Y51</f>
        <v>#REF!</v>
      </c>
      <c r="AM51" s="118"/>
    </row>
    <row r="52" customFormat="false" ht="12.75" hidden="false" customHeight="false" outlineLevel="0" collapsed="false">
      <c r="A52" s="99" t="s">
        <v>76</v>
      </c>
      <c r="B52" s="100"/>
      <c r="C52" s="112" t="n">
        <f aca="false">SUM(C42:C51)</f>
        <v>-8922095</v>
      </c>
      <c r="D52" s="100"/>
      <c r="E52" s="113" t="n">
        <f aca="false">SUM(E42:E51)</f>
        <v>649515</v>
      </c>
      <c r="F52" s="100"/>
      <c r="G52" s="113" t="n">
        <f aca="false">SUM(G42:G51)</f>
        <v>-8272580</v>
      </c>
      <c r="H52" s="114"/>
      <c r="I52" s="113" t="n">
        <f aca="false">SUM(I42:I51)</f>
        <v>-511783</v>
      </c>
      <c r="J52" s="100"/>
      <c r="K52" s="113" t="n">
        <f aca="false">SUM(K42:K51)</f>
        <v>-34369</v>
      </c>
      <c r="L52" s="100"/>
      <c r="M52" s="113" t="n">
        <f aca="false">SUM(M42:M51)</f>
        <v>-546152</v>
      </c>
      <c r="N52" s="130"/>
      <c r="O52" s="112" t="n">
        <f aca="false">SUM(O42:O51)</f>
        <v>-7670406</v>
      </c>
      <c r="P52" s="130"/>
      <c r="Q52" s="112" t="n">
        <f aca="false">SUM(Q42:Q51)</f>
        <v>58256</v>
      </c>
      <c r="R52" s="130"/>
      <c r="S52" s="112" t="n">
        <f aca="false">SUM(S42:S51)</f>
        <v>-7612150</v>
      </c>
      <c r="T52" s="130"/>
      <c r="U52" s="112" t="n">
        <f aca="false">SUM(U42:U51)</f>
        <v>6240128</v>
      </c>
      <c r="V52" s="100"/>
      <c r="W52" s="113" t="n">
        <f aca="false">SUM(W42:W51)</f>
        <v>35007</v>
      </c>
      <c r="X52" s="114"/>
      <c r="Y52" s="113" t="n">
        <f aca="false">SUM(Y42:Y51)</f>
        <v>330875</v>
      </c>
      <c r="Z52" s="100"/>
      <c r="AA52" s="113" t="n">
        <f aca="false">SUM(AA42:AA51)</f>
        <v>6606010</v>
      </c>
      <c r="AB52" s="100"/>
      <c r="AC52" s="113" t="n">
        <f aca="false">SUM(AC42:AC51)</f>
        <v>-9824872</v>
      </c>
      <c r="AD52" s="100"/>
      <c r="AE52" s="131" t="n">
        <f aca="false">SUM(AE42:AE51)</f>
        <v>-6377838.09378341</v>
      </c>
      <c r="AF52" s="100"/>
      <c r="AG52" s="130"/>
      <c r="AH52" s="100"/>
      <c r="AI52" s="100"/>
      <c r="AK52" s="100"/>
      <c r="AL52" s="132" t="e">
        <f aca="false">SUM(AL43:AL51)</f>
        <v>#REF!</v>
      </c>
      <c r="AM52" s="118"/>
    </row>
    <row r="53" customFormat="false" ht="12.75" hidden="false" customHeight="false" outlineLevel="0" collapsed="false">
      <c r="A53" s="95" t="s">
        <v>77</v>
      </c>
      <c r="C53" s="112" t="n">
        <f aca="false">+PriceAlberta!$B63/1</f>
        <v>0</v>
      </c>
      <c r="E53" s="113" t="n">
        <f aca="false">+AlbertaIndex!$B63/1</f>
        <v>0</v>
      </c>
      <c r="G53" s="113" t="n">
        <f aca="false">(+E53+C53)</f>
        <v>0</v>
      </c>
      <c r="H53" s="114"/>
      <c r="I53" s="113" t="n">
        <f aca="false">+PriceEOL!$B63/1</f>
        <v>0</v>
      </c>
      <c r="K53" s="113" t="n">
        <f aca="false">+EOLIndex!$B63/1</f>
        <v>0</v>
      </c>
      <c r="M53" s="113" t="n">
        <f aca="false">(+K53+I53)</f>
        <v>0</v>
      </c>
      <c r="N53" s="115"/>
      <c r="O53" s="112" t="n">
        <f aca="false">+PriceBC!$B63/1</f>
        <v>0</v>
      </c>
      <c r="P53" s="115"/>
      <c r="Q53" s="112" t="n">
        <f aca="false">+BCIndex!$B63/1</f>
        <v>0</v>
      </c>
      <c r="R53" s="115"/>
      <c r="S53" s="112" t="n">
        <f aca="false">(+Q53+O53)</f>
        <v>0</v>
      </c>
      <c r="T53" s="115"/>
      <c r="U53" s="112" t="n">
        <f aca="false">+Options!$B63/1+OptionsProp!$B63/1</f>
        <v>0</v>
      </c>
      <c r="W53" s="113" t="n">
        <f aca="false">+OptionsIndex!$B63/1</f>
        <v>0</v>
      </c>
      <c r="X53" s="114"/>
      <c r="Y53" s="113" t="n">
        <f aca="false">+Straddle!$B63/1</f>
        <v>0</v>
      </c>
      <c r="AA53" s="113" t="n">
        <f aca="false">(+U53+W53+Y53)</f>
        <v>0</v>
      </c>
      <c r="AC53" s="113" t="n">
        <f aca="false">M53+G53+AA53+S53</f>
        <v>0</v>
      </c>
      <c r="AE53" s="116" t="n">
        <f aca="false">+'US $'!$B63/1</f>
        <v>0</v>
      </c>
      <c r="AG53" s="115"/>
      <c r="AL53" s="116" t="e">
        <f aca="false">#REF!+E53+AE53+AG53+I53+K53+W53+Y53</f>
        <v>#REF!</v>
      </c>
      <c r="AM53" s="118"/>
      <c r="AO53" s="133" t="e">
        <f aca="false">+AC53/AE53</f>
        <v>#DIV/0!</v>
      </c>
    </row>
    <row r="54" customFormat="false" ht="12.75" hidden="false" customHeight="false" outlineLevel="0" collapsed="false">
      <c r="A54" s="95" t="s">
        <v>78</v>
      </c>
      <c r="C54" s="112" t="n">
        <f aca="false">(+PriceAlberta!$B62+PriceAlberta!$B70+PriceAlberta!$B66)/1</f>
        <v>30433</v>
      </c>
      <c r="E54" s="113" t="n">
        <f aca="false">(+AlbertaIndex!$B62+AlbertaIndex!$B70+AlbertaIndex!$B66)/1</f>
        <v>194</v>
      </c>
      <c r="G54" s="113" t="n">
        <f aca="false">(+E54+C54)</f>
        <v>30627</v>
      </c>
      <c r="H54" s="114"/>
      <c r="I54" s="113" t="n">
        <f aca="false">(+PriceEOL!$B62+PriceEOL!$B70+PriceEOL!$B66)/1</f>
        <v>-4647</v>
      </c>
      <c r="K54" s="113" t="n">
        <f aca="false">(+EOLIndex!$B62+EOLIndex!$B70+EOLIndex!$B66)/1</f>
        <v>-13</v>
      </c>
      <c r="M54" s="113" t="n">
        <f aca="false">(+K54+I54)</f>
        <v>-4660</v>
      </c>
      <c r="N54" s="115"/>
      <c r="O54" s="112" t="n">
        <f aca="false">PriceBC!$B62+PriceBC!$B70+PriceBC!$B66/1</f>
        <v>112688</v>
      </c>
      <c r="P54" s="115"/>
      <c r="Q54" s="112" t="n">
        <f aca="false">BCIndex!$B62+BCIndex!$B70+BCIndex!$B66/1</f>
        <v>7</v>
      </c>
      <c r="R54" s="115"/>
      <c r="S54" s="112" t="n">
        <f aca="false">(+Q54+O54)</f>
        <v>112695</v>
      </c>
      <c r="T54" s="115"/>
      <c r="U54" s="112" t="n">
        <f aca="false">(+Options!$B62+Options!$B70+Options!$B66)/1+(+OptionsProp!$B62+OptionsProp!$B70+OptionsProp!$B66)/1</f>
        <v>-555582</v>
      </c>
      <c r="W54" s="113" t="n">
        <f aca="false">(+OptionsIndex!$B62+OptionsIndex!$B70+OptionsIndex!$B66)/1</f>
        <v>-3</v>
      </c>
      <c r="X54" s="114"/>
      <c r="Y54" s="113" t="n">
        <f aca="false">(+Straddle!$B62+Straddle!$B70+Straddle!$B66)/1</f>
        <v>-2111</v>
      </c>
      <c r="AA54" s="113" t="n">
        <f aca="false">(+U54+W54+Y54)</f>
        <v>-557696</v>
      </c>
      <c r="AC54" s="113" t="n">
        <f aca="false">M54+G54+AA54+S54</f>
        <v>-419034</v>
      </c>
      <c r="AE54" s="116" t="n">
        <f aca="false">(+'US $'!$B62+'US $'!$B70+'US $'!$B66)/1</f>
        <v>-272016.877959371</v>
      </c>
      <c r="AG54" s="115"/>
      <c r="AL54" s="116" t="e">
        <f aca="false">#REF!+E54+AE54+AG54+I54+K54+W54+Y54</f>
        <v>#REF!</v>
      </c>
      <c r="AM54" s="118"/>
    </row>
    <row r="55" customFormat="false" ht="12.75" hidden="false" customHeight="false" outlineLevel="0" collapsed="false">
      <c r="A55" s="99" t="s">
        <v>79</v>
      </c>
      <c r="B55" s="100"/>
      <c r="C55" s="112" t="n">
        <f aca="false">C40+C52+C53+C54</f>
        <v>-8288675</v>
      </c>
      <c r="D55" s="100"/>
      <c r="E55" s="113" t="n">
        <f aca="false">E40+E52+E53+E54</f>
        <v>649709</v>
      </c>
      <c r="F55" s="100"/>
      <c r="G55" s="113" t="n">
        <f aca="false">G40+G52+G53+G54</f>
        <v>-7638966</v>
      </c>
      <c r="H55" s="114"/>
      <c r="I55" s="113" t="n">
        <f aca="false">I40+I52+I53+I54</f>
        <v>-516430</v>
      </c>
      <c r="J55" s="100"/>
      <c r="K55" s="113" t="n">
        <f aca="false">K40+K52+K53+K54</f>
        <v>-34382</v>
      </c>
      <c r="L55" s="100"/>
      <c r="M55" s="113" t="n">
        <f aca="false">M40+M52+M53+M54</f>
        <v>-550812</v>
      </c>
      <c r="N55" s="130"/>
      <c r="O55" s="112" t="n">
        <f aca="false">O40+O52+O53+O54</f>
        <v>-7557718</v>
      </c>
      <c r="P55" s="130"/>
      <c r="Q55" s="112" t="n">
        <f aca="false">Q40+Q52+Q53+Q54</f>
        <v>58263</v>
      </c>
      <c r="R55" s="130"/>
      <c r="S55" s="112" t="n">
        <f aca="false">S40+S52+S53+S54</f>
        <v>-7499455</v>
      </c>
      <c r="T55" s="130"/>
      <c r="U55" s="112" t="n">
        <f aca="false">U40+U52+U53+U54</f>
        <v>5739455</v>
      </c>
      <c r="V55" s="100"/>
      <c r="W55" s="113" t="n">
        <f aca="false">W40+W52+W53+W54</f>
        <v>35004</v>
      </c>
      <c r="X55" s="114"/>
      <c r="Y55" s="113" t="n">
        <f aca="false">Y40+Y52+Y53+Y54</f>
        <v>328764</v>
      </c>
      <c r="Z55" s="100"/>
      <c r="AA55" s="113" t="n">
        <f aca="false">AA40+AA52+AA53+AA54</f>
        <v>6103223</v>
      </c>
      <c r="AB55" s="100"/>
      <c r="AC55" s="113" t="n">
        <f aca="false">M55+G55+AA55+S55</f>
        <v>-9586010</v>
      </c>
      <c r="AD55" s="100"/>
      <c r="AE55" s="131" t="n">
        <f aca="false">AE40+AE52+AE53+AE54</f>
        <v>-6222780.28104475</v>
      </c>
      <c r="AF55" s="134"/>
      <c r="AG55" s="130"/>
      <c r="AH55" s="100"/>
      <c r="AI55" s="100"/>
      <c r="AK55" s="100"/>
      <c r="AL55" s="132" t="e">
        <f aca="false">AL40+AL52+AL53+AL54</f>
        <v>#REF!</v>
      </c>
      <c r="AM55" s="118"/>
    </row>
    <row r="56" customFormat="false" ht="12.75" hidden="false" customHeight="false" outlineLevel="0" collapsed="false">
      <c r="A56" s="99" t="s">
        <v>80</v>
      </c>
      <c r="B56" s="100"/>
      <c r="C56" s="127"/>
      <c r="D56" s="100"/>
      <c r="E56" s="115"/>
      <c r="F56" s="100"/>
      <c r="G56" s="135" t="n">
        <f aca="false">+G55-G40</f>
        <v>-8241953</v>
      </c>
      <c r="H56" s="115"/>
      <c r="I56" s="130"/>
      <c r="J56" s="100"/>
      <c r="K56" s="130"/>
      <c r="L56" s="100"/>
      <c r="M56" s="135" t="n">
        <f aca="false">+M55-M40</f>
        <v>-550812</v>
      </c>
      <c r="N56" s="130"/>
      <c r="O56" s="127"/>
      <c r="P56" s="130"/>
      <c r="Q56" s="127"/>
      <c r="R56" s="130"/>
      <c r="S56" s="127" t="n">
        <f aca="false">+S55-S40</f>
        <v>-7499455</v>
      </c>
      <c r="T56" s="130"/>
      <c r="U56" s="127"/>
      <c r="V56" s="100"/>
      <c r="W56" s="130"/>
      <c r="X56" s="0"/>
      <c r="Y56" s="135" t="n">
        <f aca="false">+Y55-Y40</f>
        <v>328764</v>
      </c>
      <c r="Z56" s="100"/>
      <c r="AA56" s="135" t="n">
        <f aca="false">+AA55-AA40</f>
        <v>6048314</v>
      </c>
      <c r="AB56" s="100"/>
      <c r="AC56" s="135" t="n">
        <f aca="false">AC55-AC40</f>
        <v>-10243906</v>
      </c>
      <c r="AD56" s="100"/>
      <c r="AE56" s="136" t="n">
        <f aca="false">+AE55-AE40</f>
        <v>-6649854.97174278</v>
      </c>
      <c r="AF56" s="100"/>
      <c r="AG56" s="130"/>
      <c r="AH56" s="100"/>
      <c r="AI56" s="100"/>
      <c r="AK56" s="100"/>
      <c r="AL56" s="137"/>
      <c r="AM56" s="118"/>
    </row>
    <row r="57" customFormat="false" ht="12.75" hidden="false" customHeight="false" outlineLevel="0" collapsed="false">
      <c r="A57" s="99" t="s">
        <v>81</v>
      </c>
      <c r="B57" s="100"/>
      <c r="C57" s="127"/>
      <c r="D57" s="100"/>
      <c r="E57" s="115"/>
      <c r="F57" s="100"/>
      <c r="G57" s="0"/>
      <c r="H57" s="115"/>
      <c r="I57" s="130"/>
      <c r="J57" s="100"/>
      <c r="K57" s="130"/>
      <c r="L57" s="100"/>
      <c r="M57" s="0"/>
      <c r="N57" s="130"/>
      <c r="O57" s="127"/>
      <c r="P57" s="130"/>
      <c r="Q57" s="127"/>
      <c r="R57" s="130"/>
      <c r="S57" s="127"/>
      <c r="T57" s="130"/>
      <c r="U57" s="127"/>
      <c r="V57" s="100"/>
      <c r="W57" s="130"/>
      <c r="X57" s="0"/>
      <c r="Y57" s="0"/>
      <c r="Z57" s="100"/>
      <c r="AA57" s="130"/>
      <c r="AB57" s="100"/>
      <c r="AC57" s="0"/>
      <c r="AD57" s="100"/>
      <c r="AE57" s="138" t="n">
        <f aca="false">(PriceBC!M30/SpotRates!D36)-(PriceBC!M30/SpotRates!J2)+(BCIndex!M30/SpotRates!D36)-(BCIndex!M30/SpotRates!J2)+(PriceAlberta!M30/SpotRates!D36)-(PriceAlberta!M30/SpotRates!J2)+(AlbertaIndex!M30/SpotRates!D36-AlbertaIndex!M30/SpotRates!J2)+(PriceEOL!M30/SpotRates!D36)-(PriceEOL!M30/SpotRates!J2)+(Options!M30/SpotRates!D36)-(Options!M30/SpotRates!J2)+(EOLIndex!M30/SpotRates!D36)-(EOLIndex!M30/SpotRates!J2)+(OptionsIndex!M30/SpotRates!D36)-(OptionsIndex!M30/SpotRates!J2)+(AC55/SpotRates!D36-Report!AC55/SpotRates!F36)+2419953-501619+121689+190368+529282+1087897+635274-36626-918354-209738-407157+594109+1149980+41444</f>
        <v>-3897475.15464394</v>
      </c>
      <c r="AF57" s="100"/>
      <c r="AG57" s="130"/>
      <c r="AH57" s="100"/>
      <c r="AI57" s="100"/>
      <c r="AK57" s="100"/>
      <c r="AL57" s="137"/>
      <c r="AM57" s="118"/>
    </row>
    <row r="58" customFormat="false" ht="12.75" hidden="false" customHeight="false" outlineLevel="0" collapsed="false">
      <c r="A58" s="99" t="s">
        <v>82</v>
      </c>
      <c r="B58" s="100"/>
      <c r="C58" s="127"/>
      <c r="D58" s="100"/>
      <c r="E58" s="115"/>
      <c r="F58" s="100"/>
      <c r="G58" s="0"/>
      <c r="H58" s="115"/>
      <c r="I58" s="130"/>
      <c r="J58" s="100"/>
      <c r="K58" s="130"/>
      <c r="L58" s="100"/>
      <c r="M58" s="0"/>
      <c r="N58" s="130"/>
      <c r="O58" s="127"/>
      <c r="P58" s="130"/>
      <c r="Q58" s="127"/>
      <c r="R58" s="130"/>
      <c r="S58" s="127"/>
      <c r="T58" s="130"/>
      <c r="U58" s="127"/>
      <c r="V58" s="100"/>
      <c r="W58" s="130"/>
      <c r="X58" s="0"/>
      <c r="Y58" s="0"/>
      <c r="Z58" s="100"/>
      <c r="AA58" s="130"/>
      <c r="AB58" s="100"/>
      <c r="AC58" s="0"/>
      <c r="AD58" s="100"/>
      <c r="AE58" s="131" t="n">
        <f aca="false">AE55+AE57</f>
        <v>-10120255.4356887</v>
      </c>
      <c r="AF58" s="100"/>
      <c r="AG58" s="130"/>
      <c r="AH58" s="100"/>
      <c r="AI58" s="100"/>
      <c r="AK58" s="100"/>
      <c r="AL58" s="137"/>
      <c r="AM58" s="118"/>
    </row>
    <row r="59" customFormat="false" ht="9" hidden="false" customHeight="true" outlineLevel="0" collapsed="false">
      <c r="C59" s="139"/>
      <c r="E59" s="140"/>
      <c r="G59" s="0"/>
      <c r="H59" s="140"/>
      <c r="I59" s="120"/>
      <c r="K59" s="120"/>
      <c r="M59" s="0"/>
      <c r="N59" s="115"/>
      <c r="O59" s="139"/>
      <c r="P59" s="115"/>
      <c r="Q59" s="139"/>
      <c r="R59" s="115"/>
      <c r="S59" s="139"/>
      <c r="T59" s="115"/>
      <c r="U59" s="139"/>
      <c r="W59" s="120"/>
      <c r="X59" s="0"/>
      <c r="Y59" s="0"/>
      <c r="AA59" s="120"/>
      <c r="AC59" s="0"/>
      <c r="AE59" s="120"/>
      <c r="AG59" s="115"/>
      <c r="AL59" s="120"/>
      <c r="AM59" s="118"/>
      <c r="AN59" s="0"/>
      <c r="AP59" s="62"/>
      <c r="AQ59" s="62"/>
    </row>
    <row r="60" customFormat="false" ht="13.5" hidden="false" customHeight="false" outlineLevel="0" collapsed="false">
      <c r="A60" s="111" t="n">
        <f aca="false">A4</f>
        <v>36847</v>
      </c>
      <c r="C60" s="139"/>
      <c r="E60" s="140"/>
      <c r="G60" s="140"/>
      <c r="H60" s="140"/>
      <c r="M60" s="140"/>
      <c r="O60" s="139"/>
      <c r="Q60" s="139"/>
      <c r="S60" s="139"/>
      <c r="U60" s="139"/>
      <c r="X60" s="140"/>
      <c r="Y60" s="140"/>
      <c r="AC60" s="140"/>
      <c r="AM60" s="118"/>
    </row>
    <row r="61" customFormat="false" ht="12.75" hidden="false" customHeight="false" outlineLevel="0" collapsed="false">
      <c r="A61" s="95" t="s">
        <v>83</v>
      </c>
      <c r="C61" s="112" t="n">
        <f aca="false">+(PriceAlberta!$E19/1)</f>
        <v>182804071.606</v>
      </c>
      <c r="E61" s="113" t="n">
        <f aca="false">+(AlbertaIndex!$E19/1)</f>
        <v>24189362</v>
      </c>
      <c r="G61" s="113" t="n">
        <f aca="false">(+E61+C61)</f>
        <v>206993433.606</v>
      </c>
      <c r="H61" s="114"/>
      <c r="I61" s="113" t="n">
        <f aca="false">+(PriceEOL!$E19/1)</f>
        <v>339547</v>
      </c>
      <c r="K61" s="113" t="n">
        <f aca="false">+(EOLIndex!$E19/1)</f>
        <v>1395374</v>
      </c>
      <c r="M61" s="113" t="n">
        <f aca="false">(+K61+I61)</f>
        <v>1734921</v>
      </c>
      <c r="N61" s="115"/>
      <c r="O61" s="112" t="n">
        <f aca="false">+PriceBC!$E19/1</f>
        <v>-9748560</v>
      </c>
      <c r="P61" s="115"/>
      <c r="Q61" s="112" t="n">
        <f aca="false">+BCIndex!$E19/1</f>
        <v>2436701</v>
      </c>
      <c r="R61" s="115"/>
      <c r="S61" s="112" t="n">
        <f aca="false">(+Q61+O61)</f>
        <v>-7311859</v>
      </c>
      <c r="T61" s="115"/>
      <c r="U61" s="112" t="n">
        <f aca="false">+(Options!$E19/1)+(OptionsProp!$E19/1)</f>
        <v>60845293</v>
      </c>
      <c r="W61" s="113" t="n">
        <f aca="false">+(OptionsIndex!$E19/1)</f>
        <v>-3304147</v>
      </c>
      <c r="X61" s="114"/>
      <c r="Y61" s="113" t="n">
        <f aca="false">+(Straddle!$E19/1)</f>
        <v>2191903</v>
      </c>
      <c r="AA61" s="113" t="n">
        <f aca="false">(+U61+W61+Y61)</f>
        <v>59733049</v>
      </c>
      <c r="AC61" s="113" t="n">
        <f aca="false">M61+G61+AA61+S61</f>
        <v>261149544.606</v>
      </c>
      <c r="AE61" s="141" t="n">
        <f aca="false">+('US $'!$E19/1)</f>
        <v>163215456.532233</v>
      </c>
      <c r="AG61" s="115"/>
      <c r="AL61" s="116" t="e">
        <f aca="false">#REF!+E61+AE61+AG61+I61+K61+W61+Y61</f>
        <v>#REF!</v>
      </c>
      <c r="AM61" s="118"/>
    </row>
    <row r="62" customFormat="false" ht="12.75" hidden="false" customHeight="false" outlineLevel="0" collapsed="false">
      <c r="A62" s="95" t="s">
        <v>84</v>
      </c>
      <c r="C62" s="112" t="n">
        <f aca="false">(PriceAlberta!$B58+PriceAlberta!$B64)/1</f>
        <v>876492</v>
      </c>
      <c r="E62" s="113" t="n">
        <f aca="false">(AlbertaIndex!$B58+AlbertaIndex!$B64)/1</f>
        <v>35911</v>
      </c>
      <c r="G62" s="113" t="n">
        <f aca="false">(+E62+C62)</f>
        <v>912403</v>
      </c>
      <c r="H62" s="114"/>
      <c r="I62" s="113" t="n">
        <f aca="false">(PriceEOL!$B58+PriceEOL!B64)/1</f>
        <v>1867</v>
      </c>
      <c r="K62" s="113" t="n">
        <f aca="false">(EOLIndex!$B58)/1+EOLIndex!B64</f>
        <v>-85</v>
      </c>
      <c r="M62" s="113" t="n">
        <f aca="false">(+K62+I62)</f>
        <v>1782</v>
      </c>
      <c r="N62" s="115"/>
      <c r="O62" s="112" t="n">
        <f aca="false">(PriceBC!$B58+PriceBC!$B64)/1</f>
        <v>350</v>
      </c>
      <c r="P62" s="115"/>
      <c r="Q62" s="112" t="n">
        <f aca="false">BCIndex!$B58+BCIndex!$B64/1</f>
        <v>-60</v>
      </c>
      <c r="R62" s="115"/>
      <c r="S62" s="112" t="n">
        <f aca="false">(+Q62+O62)</f>
        <v>290</v>
      </c>
      <c r="T62" s="115"/>
      <c r="U62" s="112" t="n">
        <f aca="false">(Options!$B58+Options!$B64)/1+(OptionsProp!$B58+OptionsProp!$B64)/1</f>
        <v>-15397</v>
      </c>
      <c r="W62" s="113" t="n">
        <f aca="false">(OptionsIndex!$B58)/1+OptionsIndex!B64</f>
        <v>154</v>
      </c>
      <c r="X62" s="114"/>
      <c r="Y62" s="113" t="n">
        <f aca="false">(Straddle!$B58)/1+Straddle!B64</f>
        <v>169</v>
      </c>
      <c r="AA62" s="113" t="n">
        <f aca="false">(+U62+W62+Y62)</f>
        <v>-15074</v>
      </c>
      <c r="AC62" s="113" t="n">
        <f aca="false">M62+G62+AA62+S62</f>
        <v>899401</v>
      </c>
      <c r="AE62" s="141" t="n">
        <f aca="false">('US $'!$B58+'US $'!$B64)/1</f>
        <v>583848.212921949</v>
      </c>
      <c r="AG62" s="115"/>
      <c r="AL62" s="116" t="e">
        <f aca="false">#REF!+E62+AE62+AG62+I62+K62+W62+Y62</f>
        <v>#REF!</v>
      </c>
      <c r="AM62" s="118"/>
    </row>
    <row r="63" customFormat="false" ht="12.75" hidden="false" customHeight="false" outlineLevel="0" collapsed="false">
      <c r="A63" s="95" t="s">
        <v>85</v>
      </c>
      <c r="C63" s="112" t="n">
        <f aca="false">(PriceAlberta!$B59+PriceAlberta!$B65)/1</f>
        <v>678515</v>
      </c>
      <c r="E63" s="113" t="n">
        <f aca="false">(AlbertaIndex!$B59+AlbertaIndex!$B65)/1</f>
        <v>79687</v>
      </c>
      <c r="G63" s="113" t="n">
        <f aca="false">(+E63+C63)</f>
        <v>758202</v>
      </c>
      <c r="H63" s="114"/>
      <c r="I63" s="113" t="n">
        <f aca="false">(PriceEOL!$B59+PriceEOL!B65)/1</f>
        <v>-11352</v>
      </c>
      <c r="K63" s="113" t="n">
        <f aca="false">(EOLIndex!$B59)/1+EOLIndex!B65</f>
        <v>3200</v>
      </c>
      <c r="M63" s="113" t="n">
        <f aca="false">(+K63+I63)</f>
        <v>-8152</v>
      </c>
      <c r="N63" s="115"/>
      <c r="O63" s="112" t="n">
        <f aca="false">PriceBC!$B59+PriceBC!$B65/1</f>
        <v>-8487</v>
      </c>
      <c r="P63" s="115"/>
      <c r="Q63" s="112" t="n">
        <f aca="false">BCIndex!$B59+BCIndex!$B65/1</f>
        <v>5299</v>
      </c>
      <c r="R63" s="115"/>
      <c r="S63" s="112" t="n">
        <f aca="false">(+Q63+O63)</f>
        <v>-3188</v>
      </c>
      <c r="T63" s="115"/>
      <c r="U63" s="112" t="n">
        <f aca="false">(Options!$B59+Options!$B65)/1+(OptionsProp!$B59+OptionsProp!$B65)/1</f>
        <v>177456</v>
      </c>
      <c r="W63" s="113" t="n">
        <f aca="false">(OptionsIndex!$B59)/1+OptionsIndex!B65</f>
        <v>-7760</v>
      </c>
      <c r="X63" s="114"/>
      <c r="Y63" s="113" t="n">
        <f aca="false">(Straddle!$B59)/1+Straddle!B65</f>
        <v>-176</v>
      </c>
      <c r="AA63" s="113" t="n">
        <f aca="false">(+U63+W63+Y63)</f>
        <v>169520</v>
      </c>
      <c r="AC63" s="113" t="n">
        <f aca="false">M63+G63+AA63+S63</f>
        <v>916382</v>
      </c>
      <c r="AE63" s="141" t="n">
        <f aca="false">('US $'!$B59+'US $'!$B65)/1</f>
        <v>594871.467847869</v>
      </c>
      <c r="AG63" s="115"/>
      <c r="AL63" s="116" t="e">
        <f aca="false">#REF!+E63+AE63+AG63+I63+K63+W63+Y63</f>
        <v>#REF!</v>
      </c>
      <c r="AM63" s="118"/>
    </row>
    <row r="64" customFormat="false" ht="9.75" hidden="false" customHeight="true" outlineLevel="0" collapsed="false">
      <c r="A64" s="95"/>
      <c r="C64" s="139"/>
      <c r="E64" s="140"/>
      <c r="G64" s="140"/>
      <c r="H64" s="140"/>
      <c r="I64" s="140"/>
      <c r="K64" s="140"/>
      <c r="M64" s="140"/>
      <c r="N64" s="115"/>
      <c r="O64" s="139"/>
      <c r="P64" s="115"/>
      <c r="Q64" s="139"/>
      <c r="R64" s="115"/>
      <c r="S64" s="139"/>
      <c r="T64" s="115"/>
      <c r="U64" s="139"/>
      <c r="W64" s="140"/>
      <c r="X64" s="140"/>
      <c r="Y64" s="140"/>
      <c r="AA64" s="140"/>
      <c r="AC64" s="140"/>
      <c r="AE64" s="127"/>
      <c r="AG64" s="115"/>
      <c r="AL64" s="115"/>
      <c r="AM64" s="118"/>
    </row>
    <row r="65" customFormat="false" ht="12.75" hidden="false" customHeight="false" outlineLevel="0" collapsed="false">
      <c r="A65" s="95" t="s">
        <v>86</v>
      </c>
      <c r="C65" s="112" t="n">
        <f aca="false">C61-SUM(C62:C63)</f>
        <v>181249064.606</v>
      </c>
      <c r="E65" s="113" t="n">
        <f aca="false">E61-SUM(E62:E63)</f>
        <v>24073764</v>
      </c>
      <c r="G65" s="113" t="n">
        <f aca="false">(+E65+C65)</f>
        <v>205322828.606</v>
      </c>
      <c r="H65" s="114"/>
      <c r="I65" s="113" t="n">
        <f aca="false">I61-SUM(I62:I63)</f>
        <v>349032</v>
      </c>
      <c r="K65" s="113" t="n">
        <f aca="false">K61-SUM(K62:K63)</f>
        <v>1392259</v>
      </c>
      <c r="M65" s="113" t="n">
        <f aca="false">(+K65+I65)</f>
        <v>1741291</v>
      </c>
      <c r="N65" s="115"/>
      <c r="O65" s="112" t="n">
        <f aca="false">O61-SUM(O62:O63)</f>
        <v>-9740423</v>
      </c>
      <c r="P65" s="115"/>
      <c r="Q65" s="112" t="n">
        <f aca="false">Q61-SUM(Q62:Q63)</f>
        <v>2431462</v>
      </c>
      <c r="R65" s="115"/>
      <c r="S65" s="112" t="n">
        <f aca="false">(+Q65+O65)</f>
        <v>-7308961</v>
      </c>
      <c r="T65" s="115"/>
      <c r="U65" s="112" t="n">
        <f aca="false">U61-SUM(U62:U63)</f>
        <v>60683234</v>
      </c>
      <c r="W65" s="113" t="n">
        <f aca="false">W61-SUM(W62:W63)</f>
        <v>-3296541</v>
      </c>
      <c r="X65" s="114"/>
      <c r="Y65" s="113" t="n">
        <f aca="false">Y61-SUM(Y62:Y63)</f>
        <v>2191910</v>
      </c>
      <c r="AA65" s="113" t="n">
        <f aca="false">(+U65+W65+Y65)</f>
        <v>59578603</v>
      </c>
      <c r="AC65" s="113" t="n">
        <f aca="false">M65+G65+AA65+S65</f>
        <v>259333761.606</v>
      </c>
      <c r="AE65" s="141" t="n">
        <f aca="false">AE61-SUM(AE62:AE63)</f>
        <v>162036736.851463</v>
      </c>
      <c r="AG65" s="115"/>
      <c r="AL65" s="116" t="e">
        <f aca="false">#REF!+E65+AE65+AG65+I65+K65+W65+Y65</f>
        <v>#REF!</v>
      </c>
      <c r="AM65" s="118"/>
    </row>
    <row r="66" customFormat="false" ht="12.75" hidden="false" customHeight="false" outlineLevel="0" collapsed="false">
      <c r="A66" s="95" t="s">
        <v>87</v>
      </c>
      <c r="B66" s="129" t="n">
        <f aca="false">C35+C53-C66</f>
        <v>0</v>
      </c>
      <c r="C66" s="112" t="n">
        <f aca="false">+PriceAlberta!$E26/1</f>
        <v>0.673913167789578</v>
      </c>
      <c r="D66" s="129"/>
      <c r="E66" s="113" t="n">
        <f aca="false">+AlbertaIndex!$E26/1</f>
        <v>0</v>
      </c>
      <c r="F66" s="129" t="n">
        <f aca="false">G35+G53-G66</f>
        <v>0</v>
      </c>
      <c r="G66" s="113" t="n">
        <f aca="false">(+E66+C66)</f>
        <v>0.673913167789578</v>
      </c>
      <c r="H66" s="129" t="n">
        <f aca="false">I35+I53-I66</f>
        <v>0</v>
      </c>
      <c r="I66" s="113" t="n">
        <f aca="false">+PriceEOL!$E26/1</f>
        <v>0</v>
      </c>
      <c r="J66" s="129" t="n">
        <f aca="false">K35+K53-K66</f>
        <v>0</v>
      </c>
      <c r="K66" s="113" t="n">
        <f aca="false">+EOLIndex!$E26/1</f>
        <v>0</v>
      </c>
      <c r="L66" s="129" t="n">
        <f aca="false">M35+M53-M66</f>
        <v>0</v>
      </c>
      <c r="M66" s="113" t="n">
        <f aca="false">(+K66+I66)</f>
        <v>0</v>
      </c>
      <c r="N66" s="60" t="n">
        <f aca="false">O35+O53-O66</f>
        <v>0</v>
      </c>
      <c r="O66" s="112" t="n">
        <f aca="false">+[1]PriceBC!$E26/1</f>
        <v>0</v>
      </c>
      <c r="P66" s="60"/>
      <c r="Q66" s="112" t="n">
        <f aca="false">+BCIndex!$E26/1</f>
        <v>0</v>
      </c>
      <c r="R66" s="129" t="n">
        <f aca="false">S35+S53-S66</f>
        <v>0</v>
      </c>
      <c r="S66" s="112" t="n">
        <f aca="false">(+Q66+O66)</f>
        <v>0</v>
      </c>
      <c r="T66" s="129" t="n">
        <f aca="false">U35+U53-U66</f>
        <v>0</v>
      </c>
      <c r="U66" s="112" t="n">
        <f aca="false">+Options!$E26/1+OptionsProp!$E26/1</f>
        <v>0</v>
      </c>
      <c r="V66" s="129" t="n">
        <f aca="false">W35+W53-W66</f>
        <v>0</v>
      </c>
      <c r="W66" s="113" t="n">
        <f aca="false">+OptionsIndex!$E26/1</f>
        <v>0</v>
      </c>
      <c r="X66" s="129" t="n">
        <f aca="false">Y35+Y53-Y66</f>
        <v>0</v>
      </c>
      <c r="Y66" s="113" t="n">
        <f aca="false">+Straddle!$E26/1</f>
        <v>0</v>
      </c>
      <c r="Z66" s="129" t="n">
        <f aca="false">AA35+AA53-AA66</f>
        <v>0</v>
      </c>
      <c r="AA66" s="113" t="n">
        <f aca="false">(+U66+W66+Y66)</f>
        <v>0</v>
      </c>
      <c r="AB66" s="60" t="n">
        <f aca="false">AA35+AA53-AA66</f>
        <v>0</v>
      </c>
      <c r="AC66" s="113" t="n">
        <f aca="false">M66+G66+AA66+S66</f>
        <v>0.673913167789578</v>
      </c>
      <c r="AD66" s="60" t="n">
        <f aca="false">AE35+AE53-AE66</f>
        <v>0</v>
      </c>
      <c r="AE66" s="141" t="n">
        <f aca="false">+'US $'!$E26/1</f>
        <v>-593557.865862259</v>
      </c>
      <c r="AF66" s="60" t="n">
        <f aca="false">AG35+AG53-AG66</f>
        <v>0</v>
      </c>
      <c r="AG66" s="115"/>
      <c r="AI66" s="60" t="n">
        <f aca="false">Y35+Y53-Y66</f>
        <v>0</v>
      </c>
      <c r="AK66" s="60" t="e">
        <f aca="false">AL35+AL53-AL66</f>
        <v>#REF!</v>
      </c>
      <c r="AL66" s="116" t="e">
        <f aca="false">#REF!+E66+AE66+AG66+I66+K66+W66+Y66</f>
        <v>#REF!</v>
      </c>
      <c r="AM66" s="118"/>
      <c r="AO66" s="142" t="n">
        <f aca="false">+AC66/AE66</f>
        <v>-1.13537905324629E-006</v>
      </c>
    </row>
    <row r="67" customFormat="false" ht="12.75" hidden="false" customHeight="false" outlineLevel="0" collapsed="false">
      <c r="A67" s="95" t="s">
        <v>88</v>
      </c>
      <c r="C67" s="112" t="n">
        <f aca="false">+PriceAlberta!$E36/1</f>
        <v>66679405.395</v>
      </c>
      <c r="E67" s="113" t="n">
        <f aca="false">+AlbertaIndex!$E36/1</f>
        <v>12227277</v>
      </c>
      <c r="G67" s="113" t="n">
        <f aca="false">(+E67+C67)</f>
        <v>78906682.395</v>
      </c>
      <c r="H67" s="60"/>
      <c r="I67" s="113" t="n">
        <f aca="false">+PriceEOL!$E36/1</f>
        <v>2148573</v>
      </c>
      <c r="K67" s="113" t="n">
        <f aca="false">+EOLIndex!$E36/1</f>
        <v>568776</v>
      </c>
      <c r="M67" s="113" t="n">
        <f aca="false">(+K67+I67)</f>
        <v>2717349</v>
      </c>
      <c r="N67" s="60"/>
      <c r="O67" s="112" t="n">
        <f aca="false">+PriceBC!$E36/1</f>
        <v>0</v>
      </c>
      <c r="P67" s="60"/>
      <c r="Q67" s="112" t="n">
        <f aca="false">+BCIndex!$E36/1</f>
        <v>0</v>
      </c>
      <c r="R67" s="60"/>
      <c r="S67" s="112" t="n">
        <f aca="false">(+Q67+O67)</f>
        <v>0</v>
      </c>
      <c r="T67" s="60"/>
      <c r="U67" s="112" t="n">
        <f aca="false">+Options!$E36/1+OptionsProp!$E36/1</f>
        <v>-62087671.54</v>
      </c>
      <c r="W67" s="113" t="n">
        <f aca="false">+OptionsIndex!$E36/1</f>
        <v>868008</v>
      </c>
      <c r="X67" s="60"/>
      <c r="Y67" s="113" t="n">
        <f aca="false">+Straddle!$E36/1</f>
        <v>183786</v>
      </c>
      <c r="AA67" s="112" t="n">
        <f aca="false">(+U67+W67+Y67)</f>
        <v>-61035877.54</v>
      </c>
      <c r="AC67" s="112" t="n">
        <f aca="false">M67+G67+AA67+S67</f>
        <v>20588153.855</v>
      </c>
      <c r="AE67" s="141" t="n">
        <f aca="false">+'US $'!$E36/1</f>
        <v>12072651.0905363</v>
      </c>
      <c r="AG67" s="115"/>
      <c r="AL67" s="116" t="e">
        <f aca="false">#REF!+E67+AE67+AG67+I67+K67+W67+Y67</f>
        <v>#REF!</v>
      </c>
      <c r="AM67" s="118"/>
      <c r="AT67" s="59" t="n">
        <f aca="false">60000-41867.65</f>
        <v>18132.35</v>
      </c>
    </row>
    <row r="68" customFormat="false" ht="12.75" hidden="false" customHeight="false" outlineLevel="0" collapsed="false">
      <c r="A68" s="63" t="s">
        <v>61</v>
      </c>
      <c r="B68" s="60" t="n">
        <f aca="false">C68-SUM(C65:C67)+(PriceAlberta!B67/1)*0</f>
        <v>-0.240000009536743</v>
      </c>
      <c r="C68" s="112" t="n">
        <f aca="false">C37+C55</f>
        <v>247928470.434913</v>
      </c>
      <c r="D68" s="60" t="n">
        <f aca="false">E68-SUM(E65:E67)+(AlbertaIndex!B67/1)*0</f>
        <v>0</v>
      </c>
      <c r="E68" s="113" t="n">
        <f aca="false">E37+E55</f>
        <v>36301041</v>
      </c>
      <c r="F68" s="0"/>
      <c r="G68" s="113" t="n">
        <f aca="false">(+E68+C68)</f>
        <v>284229511.434913</v>
      </c>
      <c r="H68" s="60" t="n">
        <f aca="false">I68-SUM(I65:I67)+(PriceAlberta!H67/1)*0</f>
        <v>0</v>
      </c>
      <c r="I68" s="113" t="n">
        <f aca="false">I37+I55</f>
        <v>2497605</v>
      </c>
      <c r="J68" s="60" t="n">
        <f aca="false">K68-SUM(K65:K67)+(PriceAlberta!L67/1000)*0</f>
        <v>0</v>
      </c>
      <c r="K68" s="113" t="n">
        <f aca="false">K37+K55</f>
        <v>1961035</v>
      </c>
      <c r="L68" s="0"/>
      <c r="M68" s="113" t="n">
        <f aca="false">(+K68+I68)</f>
        <v>4458640</v>
      </c>
      <c r="N68" s="60" t="n">
        <f aca="false">O68-SUM(O65:O67)+(PriceBC!F67/1000)*0</f>
        <v>0</v>
      </c>
      <c r="O68" s="112" t="n">
        <f aca="false">O37+O55</f>
        <v>-9740423</v>
      </c>
      <c r="P68" s="60" t="n">
        <f aca="false">Q68-SUM(Q65:Q67)+(BCIndex!L67/1000)*0</f>
        <v>0</v>
      </c>
      <c r="Q68" s="112" t="n">
        <f aca="false">Q37+Q55</f>
        <v>2431462</v>
      </c>
      <c r="R68" s="60" t="n">
        <f aca="false">U68-SUM(U65:U67)+([1]PriceAlberta!L67/1000)*0</f>
        <v>0</v>
      </c>
      <c r="S68" s="112" t="n">
        <f aca="false">(+Q68+O68)</f>
        <v>-7308961</v>
      </c>
      <c r="T68" s="60" t="n">
        <f aca="false">U68-SUM(U65:U67)+(PriceAlberta!L67/1000)*0</f>
        <v>0</v>
      </c>
      <c r="U68" s="112" t="n">
        <f aca="false">U37+U55</f>
        <v>-1404437.53999999</v>
      </c>
      <c r="V68" s="60" t="n">
        <f aca="false">W68-SUM(W65:W67)+(PriceAlberta!N67/1000)*0</f>
        <v>0</v>
      </c>
      <c r="W68" s="113" t="n">
        <f aca="false">W37+W55</f>
        <v>-2428533</v>
      </c>
      <c r="X68" s="60" t="n">
        <f aca="false">Y68-SUM(Y65:Y67)+(PriceAlberta!T67/1)*0</f>
        <v>0</v>
      </c>
      <c r="Y68" s="113" t="n">
        <f aca="false">Y37+Y55</f>
        <v>2375696</v>
      </c>
      <c r="Z68" s="0"/>
      <c r="AA68" s="113" t="n">
        <f aca="false">(+U68+W68+Y68)</f>
        <v>-1457274.53999999</v>
      </c>
      <c r="AB68" s="60" t="n">
        <f aca="false">AC68-SUM(AC65:AC67)+(PriceAlberta!D67/1000)*0</f>
        <v>-0.240000009536743</v>
      </c>
      <c r="AC68" s="113" t="n">
        <f aca="false">M68+G68+AA68+S68</f>
        <v>279921915.894913</v>
      </c>
      <c r="AD68" s="60" t="n">
        <f aca="false">AE68-SUM(AE65:AE67)+(PriceAlberta!F67/1000)*0</f>
        <v>0.127447903156281</v>
      </c>
      <c r="AE68" s="141" t="n">
        <f aca="false">AE37+AE55+AE57</f>
        <v>173515830.203585</v>
      </c>
      <c r="AF68" s="60" t="n">
        <f aca="false">AG68-SUM(AG65:AG67)+(PriceAlberta!H67/1)*0</f>
        <v>0</v>
      </c>
      <c r="AG68" s="115"/>
      <c r="AI68" s="60" t="n">
        <f aca="false">Y68-SUM(Y65:Y67)+(PriceAlberta!P67/1000)*0</f>
        <v>0</v>
      </c>
      <c r="AK68" s="60" t="e">
        <f aca="false">AL68-SUM(AL65:AL67)+(PriceAlberta!R67/1000)*0</f>
        <v>#REF!</v>
      </c>
      <c r="AL68" s="116" t="e">
        <f aca="false">#REF!+E68+AE68+AG68+I68+K68+W68+Y68</f>
        <v>#REF!</v>
      </c>
      <c r="AM68" s="118"/>
    </row>
    <row r="69" customFormat="false" ht="9" hidden="false" customHeight="true" outlineLevel="0" collapsed="false">
      <c r="C69" s="139"/>
      <c r="E69" s="140"/>
      <c r="G69" s="140"/>
      <c r="H69" s="60"/>
      <c r="I69" s="140"/>
      <c r="K69" s="140"/>
      <c r="M69" s="140"/>
      <c r="N69" s="60"/>
      <c r="O69" s="139"/>
      <c r="P69" s="60"/>
      <c r="Q69" s="139"/>
      <c r="R69" s="60"/>
      <c r="S69" s="139"/>
      <c r="T69" s="60"/>
      <c r="U69" s="139"/>
      <c r="W69" s="140"/>
      <c r="X69" s="60"/>
      <c r="Y69" s="140"/>
      <c r="AA69" s="140"/>
      <c r="AC69" s="140"/>
      <c r="AE69" s="61"/>
      <c r="AM69" s="118"/>
    </row>
    <row r="70" customFormat="false" ht="13.5" hidden="false" customHeight="false" outlineLevel="0" collapsed="false">
      <c r="A70" s="143" t="s">
        <v>89</v>
      </c>
      <c r="C70" s="139"/>
      <c r="E70" s="140"/>
      <c r="G70" s="140"/>
      <c r="H70" s="60"/>
      <c r="I70" s="140"/>
      <c r="K70" s="140"/>
      <c r="M70" s="140"/>
      <c r="N70" s="60"/>
      <c r="O70" s="139"/>
      <c r="P70" s="60"/>
      <c r="Q70" s="139"/>
      <c r="R70" s="60"/>
      <c r="S70" s="139"/>
      <c r="T70" s="60"/>
      <c r="U70" s="139"/>
      <c r="W70" s="140"/>
      <c r="X70" s="60"/>
      <c r="Y70" s="140"/>
      <c r="AA70" s="140"/>
      <c r="AC70" s="140"/>
      <c r="AE70" s="61"/>
      <c r="AM70" s="118"/>
      <c r="AR70" s="144"/>
    </row>
    <row r="71" customFormat="false" ht="12.75" hidden="false" customHeight="false" outlineLevel="0" collapsed="false">
      <c r="A71" s="63" t="s">
        <v>61</v>
      </c>
      <c r="C71" s="112" t="n">
        <f aca="false">168514520+8661616+43676513+1288188-314638</f>
        <v>221826199</v>
      </c>
      <c r="E71" s="113" t="n">
        <f aca="false">41118431+73148</f>
        <v>41191579</v>
      </c>
      <c r="G71" s="113" t="n">
        <f aca="false">(+E71+C71)</f>
        <v>263017778</v>
      </c>
      <c r="H71" s="60"/>
      <c r="I71" s="113" t="n">
        <v>0</v>
      </c>
      <c r="K71" s="113" t="n">
        <v>0</v>
      </c>
      <c r="M71" s="113" t="n">
        <f aca="false">(+K71+I71)</f>
        <v>0</v>
      </c>
      <c r="N71" s="60"/>
      <c r="O71" s="112" t="n">
        <v>0</v>
      </c>
      <c r="P71" s="60"/>
      <c r="Q71" s="112" t="n">
        <v>0</v>
      </c>
      <c r="R71" s="60"/>
      <c r="S71" s="112" t="n">
        <f aca="false">(+Q71+O71)</f>
        <v>0</v>
      </c>
      <c r="T71" s="60"/>
      <c r="U71" s="112" t="n">
        <v>-258361</v>
      </c>
      <c r="W71" s="113" t="n">
        <v>283109</v>
      </c>
      <c r="X71" s="60"/>
      <c r="Y71" s="113" t="n">
        <v>0</v>
      </c>
      <c r="AA71" s="113" t="n">
        <f aca="false">(+U71+W71+Y71)</f>
        <v>24748</v>
      </c>
      <c r="AC71" s="113" t="n">
        <f aca="false">M71+G71+AA71+S71</f>
        <v>263042526</v>
      </c>
      <c r="AE71" s="116" t="n">
        <v>168872937</v>
      </c>
      <c r="AG71" s="115"/>
      <c r="AL71" s="116" t="e">
        <f aca="false">#REF!+E71+AE71+AG71+I71+K71+W71+Y71</f>
        <v>#REF!</v>
      </c>
      <c r="AM71" s="118"/>
    </row>
    <row r="72" customFormat="false" ht="12" hidden="false" customHeight="true" outlineLevel="0" collapsed="false">
      <c r="B72" s="129" t="n">
        <f aca="false">SUM(C74:C76)-C68+C71</f>
        <v>0.240000009536743</v>
      </c>
      <c r="C72" s="139"/>
      <c r="D72" s="60" t="n">
        <f aca="false">SUM(E74:E76)-E68+E71</f>
        <v>0</v>
      </c>
      <c r="E72" s="140"/>
      <c r="F72" s="0"/>
      <c r="G72" s="140"/>
      <c r="H72" s="129" t="n">
        <f aca="false">SUM(I74:I76)-I68+I71</f>
        <v>0</v>
      </c>
      <c r="I72" s="140"/>
      <c r="J72" s="60" t="n">
        <f aca="false">SUM(K74:K76)-K68+K71</f>
        <v>0</v>
      </c>
      <c r="K72" s="140"/>
      <c r="L72" s="0"/>
      <c r="M72" s="140"/>
      <c r="N72" s="60" t="n">
        <f aca="false">SUM(O74:O76)-O68+O71</f>
        <v>0</v>
      </c>
      <c r="O72" s="139"/>
      <c r="P72" s="60" t="n">
        <f aca="false">SUM(Q74:Q76)-Q68+Q71</f>
        <v>0</v>
      </c>
      <c r="Q72" s="139"/>
      <c r="R72" s="60" t="n">
        <f aca="false">SUM(U74:U76)-U68+U71</f>
        <v>0</v>
      </c>
      <c r="S72" s="139"/>
      <c r="T72" s="60" t="n">
        <f aca="false">SUM(U74:U76)-U68+U71</f>
        <v>0</v>
      </c>
      <c r="U72" s="139"/>
      <c r="V72" s="60" t="n">
        <f aca="false">SUM(W74:W76)-W68+W71</f>
        <v>0</v>
      </c>
      <c r="W72" s="140"/>
      <c r="X72" s="129" t="n">
        <f aca="false">SUM(Y74:Y76)-Y68+Y71</f>
        <v>0</v>
      </c>
      <c r="Y72" s="140"/>
      <c r="Z72" s="0"/>
      <c r="AA72" s="140"/>
      <c r="AB72" s="60" t="n">
        <f aca="false">SUM(AC74:AC76)-AC68+AC71</f>
        <v>0.240000009536743</v>
      </c>
      <c r="AC72" s="140"/>
      <c r="AD72" s="60" t="n">
        <f aca="false">SUM(AE74:AE76)-AE68+AE71</f>
        <v>-1.12744790315628</v>
      </c>
      <c r="AE72" s="145"/>
      <c r="AF72" s="60" t="n">
        <f aca="false">SUM(AG74:AG76)-AG68+AG71</f>
        <v>0</v>
      </c>
      <c r="AG72" s="146"/>
      <c r="AI72" s="60" t="n">
        <f aca="false">SUM(Y74:Y76)-Y68+Y71</f>
        <v>0</v>
      </c>
      <c r="AK72" s="60" t="e">
        <f aca="false">SUM(AL74:AL76)-AL68+AL71</f>
        <v>#REF!</v>
      </c>
      <c r="AL72" s="145"/>
      <c r="AM72" s="118"/>
    </row>
    <row r="73" customFormat="false" ht="13.5" hidden="false" customHeight="false" outlineLevel="0" collapsed="false">
      <c r="A73" s="147" t="n">
        <f aca="false">A4</f>
        <v>36847</v>
      </c>
      <c r="C73" s="139"/>
      <c r="E73" s="140"/>
      <c r="G73" s="140"/>
      <c r="H73" s="140"/>
      <c r="I73" s="140"/>
      <c r="K73" s="140"/>
      <c r="M73" s="140"/>
      <c r="O73" s="139"/>
      <c r="Q73" s="139"/>
      <c r="S73" s="139"/>
      <c r="U73" s="139"/>
      <c r="W73" s="140"/>
      <c r="X73" s="140"/>
      <c r="Y73" s="140"/>
      <c r="AA73" s="140"/>
      <c r="AC73" s="140"/>
      <c r="AM73" s="118"/>
    </row>
    <row r="74" customFormat="false" ht="12.75" hidden="false" customHeight="false" outlineLevel="0" collapsed="false">
      <c r="A74" s="95" t="s">
        <v>58</v>
      </c>
      <c r="C74" s="112" t="n">
        <f aca="false">C65-216885420+6242588-8855818</f>
        <v>-38249585.394</v>
      </c>
      <c r="E74" s="113" t="n">
        <f aca="false">E65-32238676-67774</f>
        <v>-8232686</v>
      </c>
      <c r="G74" s="113" t="n">
        <f aca="false">(+E74+C74)</f>
        <v>-46482271.394</v>
      </c>
      <c r="H74" s="114"/>
      <c r="I74" s="113" t="n">
        <f aca="false">I65</f>
        <v>349032</v>
      </c>
      <c r="K74" s="113" t="n">
        <f aca="false">K65</f>
        <v>1392259</v>
      </c>
      <c r="M74" s="113" t="n">
        <f aca="false">(+K74+I74)</f>
        <v>1741291</v>
      </c>
      <c r="N74" s="115"/>
      <c r="O74" s="112" t="n">
        <f aca="false">O65-0</f>
        <v>-9740423</v>
      </c>
      <c r="P74" s="115"/>
      <c r="Q74" s="112" t="n">
        <f aca="false">Q65-0</f>
        <v>2431462</v>
      </c>
      <c r="R74" s="115"/>
      <c r="S74" s="112" t="n">
        <f aca="false">(+Q74+O74)</f>
        <v>-7308961</v>
      </c>
      <c r="T74" s="115"/>
      <c r="U74" s="112" t="n">
        <f aca="false">U65-15432666</f>
        <v>45250568</v>
      </c>
      <c r="W74" s="113" t="n">
        <f aca="false">W65-292010</f>
        <v>-3588551</v>
      </c>
      <c r="X74" s="114"/>
      <c r="Y74" s="113" t="n">
        <f aca="false">Y65</f>
        <v>2191910</v>
      </c>
      <c r="AA74" s="113" t="n">
        <f aca="false">(+U74+W74+Y74)</f>
        <v>43853927</v>
      </c>
      <c r="AC74" s="113" t="n">
        <f aca="false">M74+G74+AA74+S74</f>
        <v>-8196014.39399999</v>
      </c>
      <c r="AE74" s="116" t="n">
        <f aca="false">AE65-174723140</f>
        <v>-12686403.1485373</v>
      </c>
      <c r="AG74" s="115"/>
      <c r="AL74" s="116" t="e">
        <f aca="false">#REF!+E74+AE74+AG74+I74+K74+W74+Y74</f>
        <v>#REF!</v>
      </c>
      <c r="AM74" s="118"/>
    </row>
    <row r="75" customFormat="false" ht="12.75" hidden="false" customHeight="false" outlineLevel="0" collapsed="false">
      <c r="A75" s="95" t="s">
        <v>90</v>
      </c>
      <c r="C75" s="112" t="n">
        <f aca="false">+C66--9399999</f>
        <v>9399999.67391317</v>
      </c>
      <c r="E75" s="113" t="n">
        <f aca="false">+E66</f>
        <v>0</v>
      </c>
      <c r="G75" s="113" t="n">
        <f aca="false">(+E75+C75)</f>
        <v>9399999.67391317</v>
      </c>
      <c r="H75" s="114"/>
      <c r="I75" s="113" t="n">
        <f aca="false">I66+0</f>
        <v>0</v>
      </c>
      <c r="K75" s="113" t="n">
        <f aca="false">K66+0</f>
        <v>0</v>
      </c>
      <c r="M75" s="113" t="n">
        <f aca="false">(+K75+I75)</f>
        <v>0</v>
      </c>
      <c r="N75" s="115"/>
      <c r="O75" s="112" t="n">
        <f aca="false">+O66</f>
        <v>0</v>
      </c>
      <c r="P75" s="115"/>
      <c r="Q75" s="112" t="n">
        <f aca="false">+Q66</f>
        <v>0</v>
      </c>
      <c r="R75" s="115"/>
      <c r="S75" s="112" t="n">
        <f aca="false">(+Q75+O75)</f>
        <v>0</v>
      </c>
      <c r="T75" s="115"/>
      <c r="U75" s="112" t="n">
        <f aca="false">+U66</f>
        <v>0</v>
      </c>
      <c r="W75" s="113" t="n">
        <f aca="false">W66+0</f>
        <v>0</v>
      </c>
      <c r="X75" s="114"/>
      <c r="Y75" s="113" t="n">
        <f aca="false">Y66+0</f>
        <v>0</v>
      </c>
      <c r="AA75" s="113" t="n">
        <f aca="false">(+U75+W75+Y75)</f>
        <v>0</v>
      </c>
      <c r="AC75" s="113" t="n">
        <f aca="false">M75+G75+AA75+S75</f>
        <v>9399999.67391317</v>
      </c>
      <c r="AE75" s="116" t="n">
        <f aca="false">AE66--7066522</f>
        <v>6472964.13413774</v>
      </c>
      <c r="AG75" s="115"/>
      <c r="AL75" s="116" t="e">
        <f aca="false">#REF!+E75+AE75+AG75+I75+K75+W75+Y75</f>
        <v>#REF!</v>
      </c>
      <c r="AM75" s="118"/>
    </row>
    <row r="76" customFormat="false" ht="12.75" hidden="false" customHeight="false" outlineLevel="0" collapsed="false">
      <c r="A76" s="95" t="s">
        <v>88</v>
      </c>
      <c r="C76" s="112" t="n">
        <f aca="false">C67-13367228-7530776+9170456</f>
        <v>54951857.395</v>
      </c>
      <c r="E76" s="113" t="n">
        <f aca="false">E67-8879755-5374</f>
        <v>3342148</v>
      </c>
      <c r="G76" s="113" t="n">
        <f aca="false">(+E76+C76)</f>
        <v>58294005.395</v>
      </c>
      <c r="H76" s="114"/>
      <c r="I76" s="113" t="n">
        <f aca="false">I67</f>
        <v>2148573</v>
      </c>
      <c r="K76" s="113" t="n">
        <f aca="false">K67</f>
        <v>568776</v>
      </c>
      <c r="M76" s="113" t="n">
        <f aca="false">(+K76+I76)</f>
        <v>2717349</v>
      </c>
      <c r="N76" s="115"/>
      <c r="O76" s="112" t="n">
        <f aca="false">O67-0</f>
        <v>0</v>
      </c>
      <c r="P76" s="115"/>
      <c r="Q76" s="112" t="n">
        <f aca="false">Q67-0</f>
        <v>0</v>
      </c>
      <c r="R76" s="115"/>
      <c r="S76" s="112" t="n">
        <f aca="false">(+Q76+O76)</f>
        <v>0</v>
      </c>
      <c r="T76" s="115"/>
      <c r="U76" s="112" t="n">
        <f aca="false">U67--15691027</f>
        <v>-46396644.54</v>
      </c>
      <c r="W76" s="113" t="n">
        <f aca="false">W67--8901</f>
        <v>876909</v>
      </c>
      <c r="X76" s="114"/>
      <c r="Y76" s="113" t="n">
        <f aca="false">Y67</f>
        <v>183786</v>
      </c>
      <c r="AA76" s="113" t="n">
        <f aca="false">(+U76+W76+Y76)</f>
        <v>-45335949.54</v>
      </c>
      <c r="AC76" s="112" t="n">
        <f aca="false">M76+G76+AA76+S76</f>
        <v>15675404.855</v>
      </c>
      <c r="AE76" s="116" t="n">
        <f aca="false">AE67-1216320</f>
        <v>10856331.0905363</v>
      </c>
      <c r="AG76" s="115"/>
      <c r="AL76" s="116" t="e">
        <f aca="false">#REF!+E76+AE76+AG76+I76+K76+W76+Y76</f>
        <v>#REF!</v>
      </c>
      <c r="AM76" s="118"/>
    </row>
    <row r="77" customFormat="false" ht="12.75" hidden="false" customHeight="false" outlineLevel="0" collapsed="false">
      <c r="A77" s="99" t="s">
        <v>91</v>
      </c>
      <c r="B77" s="100"/>
      <c r="C77" s="112" t="n">
        <f aca="false">SUM(C74:C76)</f>
        <v>26102271.6749132</v>
      </c>
      <c r="D77" s="100"/>
      <c r="E77" s="113" t="n">
        <f aca="false">SUM(E74:E76)</f>
        <v>-4890538</v>
      </c>
      <c r="F77" s="100"/>
      <c r="G77" s="113" t="n">
        <f aca="false">(+E77+C77)</f>
        <v>21211733.6749132</v>
      </c>
      <c r="H77" s="114"/>
      <c r="I77" s="113" t="n">
        <f aca="false">SUM(I74:I76)</f>
        <v>2497605</v>
      </c>
      <c r="J77" s="100"/>
      <c r="K77" s="113" t="n">
        <f aca="false">SUM(K74:K76)</f>
        <v>1961035</v>
      </c>
      <c r="L77" s="100"/>
      <c r="M77" s="113" t="n">
        <f aca="false">(+K77+I77)</f>
        <v>4458640</v>
      </c>
      <c r="N77" s="130"/>
      <c r="O77" s="112" t="n">
        <f aca="false">SUM(O74:O76)</f>
        <v>-9740423</v>
      </c>
      <c r="P77" s="130"/>
      <c r="Q77" s="112" t="n">
        <f aca="false">SUM(Q74:Q76)</f>
        <v>2431462</v>
      </c>
      <c r="R77" s="130"/>
      <c r="S77" s="112" t="n">
        <f aca="false">(+Q77+O77)</f>
        <v>-7308961</v>
      </c>
      <c r="T77" s="130"/>
      <c r="U77" s="112" t="n">
        <f aca="false">SUM(U74:U76)</f>
        <v>-1146076.53999999</v>
      </c>
      <c r="V77" s="100"/>
      <c r="W77" s="113" t="n">
        <f aca="false">SUM(W74:W76)</f>
        <v>-2711642</v>
      </c>
      <c r="X77" s="114"/>
      <c r="Y77" s="113" t="n">
        <f aca="false">SUM(Y74:Y76)</f>
        <v>2375696</v>
      </c>
      <c r="Z77" s="100"/>
      <c r="AA77" s="113" t="n">
        <f aca="false">(+U77+W77+Y77)</f>
        <v>-1482022.53999999</v>
      </c>
      <c r="AB77" s="100"/>
      <c r="AC77" s="113" t="n">
        <f aca="false">M77+G77+AA77+S77</f>
        <v>16879390.1349132</v>
      </c>
      <c r="AD77" s="100"/>
      <c r="AE77" s="116" t="n">
        <f aca="false">SUM(AE74:AE76)</f>
        <v>4642892.07613676</v>
      </c>
      <c r="AF77" s="100"/>
      <c r="AG77" s="130"/>
      <c r="AH77" s="100"/>
      <c r="AI77" s="100"/>
      <c r="AK77" s="100"/>
      <c r="AL77" s="132" t="e">
        <f aca="false">#REF!+E77+AE77+AG77+I77+K77+W77+Y77</f>
        <v>#REF!</v>
      </c>
      <c r="AM77" s="118"/>
      <c r="AN77" s="62"/>
      <c r="AP77" s="62"/>
      <c r="AQ77" s="62"/>
    </row>
    <row r="78" customFormat="false" ht="12.75" hidden="true" customHeight="false" outlineLevel="0" collapsed="false">
      <c r="A78" s="99" t="s">
        <v>92</v>
      </c>
      <c r="B78" s="100"/>
      <c r="C78" s="127"/>
      <c r="D78" s="100"/>
      <c r="E78" s="115"/>
      <c r="F78" s="100"/>
      <c r="G78" s="116" t="n">
        <f aca="false">(G77/SpotRates!J1)*0</f>
        <v>0</v>
      </c>
      <c r="H78" s="115"/>
      <c r="I78" s="148"/>
      <c r="J78" s="100"/>
      <c r="K78" s="130"/>
      <c r="L78" s="100"/>
      <c r="M78" s="116" t="n">
        <f aca="false">(M77/SpotRates!J1)*0</f>
        <v>0</v>
      </c>
      <c r="N78" s="130"/>
      <c r="O78" s="127"/>
      <c r="P78" s="130"/>
      <c r="Q78" s="127"/>
      <c r="R78" s="130"/>
      <c r="S78" s="127" t="e">
        <f aca="false">IF(S77=0,0,(S77/[1]SpotRates!P1)*0)</f>
        <v>#DIV/0!</v>
      </c>
      <c r="T78" s="130"/>
      <c r="U78" s="127"/>
      <c r="V78" s="100"/>
      <c r="W78" s="130"/>
      <c r="X78" s="115"/>
      <c r="Y78" s="116"/>
      <c r="Z78" s="100"/>
      <c r="AA78" s="130" t="e">
        <f aca="false">(AA77/SpotRates!P1)*0</f>
        <v>#DIV/0!</v>
      </c>
      <c r="AB78" s="100"/>
      <c r="AC78" s="116" t="n">
        <f aca="false">(AC77/[1]SpotRates!J1)*0</f>
        <v>0</v>
      </c>
      <c r="AD78" s="100"/>
      <c r="AE78" s="130"/>
      <c r="AF78" s="100"/>
      <c r="AG78" s="130"/>
      <c r="AH78" s="100"/>
      <c r="AI78" s="100"/>
      <c r="AK78" s="100"/>
      <c r="AL78" s="137"/>
      <c r="AM78" s="118"/>
      <c r="AN78" s="62"/>
      <c r="AP78" s="62"/>
      <c r="AQ78" s="62"/>
    </row>
    <row r="79" customFormat="false" ht="12.75" hidden="true" customHeight="false" outlineLevel="0" collapsed="false">
      <c r="A79" s="99" t="s">
        <v>81</v>
      </c>
      <c r="B79" s="100"/>
      <c r="C79" s="127"/>
      <c r="D79" s="100"/>
      <c r="E79" s="115"/>
      <c r="F79" s="100"/>
      <c r="G79" s="116" t="n">
        <f aca="false">(G80-G78)*0</f>
        <v>0</v>
      </c>
      <c r="H79" s="115"/>
      <c r="I79" s="148"/>
      <c r="J79" s="100"/>
      <c r="K79" s="130"/>
      <c r="L79" s="100"/>
      <c r="M79" s="116" t="n">
        <f aca="false">(M80-M78)*0</f>
        <v>0</v>
      </c>
      <c r="N79" s="130"/>
      <c r="O79" s="127"/>
      <c r="P79" s="130"/>
      <c r="Q79" s="127"/>
      <c r="R79" s="130"/>
      <c r="S79" s="127" t="e">
        <f aca="false">(S80-S78)*0</f>
        <v>#DIV/0!</v>
      </c>
      <c r="T79" s="130"/>
      <c r="U79" s="127"/>
      <c r="V79" s="100"/>
      <c r="W79" s="130"/>
      <c r="X79" s="115"/>
      <c r="Y79" s="116"/>
      <c r="Z79" s="100"/>
      <c r="AA79" s="130" t="e">
        <f aca="false">(AA80-AA78)*0</f>
        <v>#DIV/0!</v>
      </c>
      <c r="AB79" s="100"/>
      <c r="AC79" s="116" t="n">
        <f aca="false">(AC80-AC78)*0</f>
        <v>0</v>
      </c>
      <c r="AD79" s="100"/>
      <c r="AE79" s="130"/>
      <c r="AF79" s="100"/>
      <c r="AG79" s="130"/>
      <c r="AH79" s="100"/>
      <c r="AI79" s="100"/>
      <c r="AK79" s="100"/>
      <c r="AL79" s="137"/>
      <c r="AM79" s="118"/>
      <c r="AN79" s="62"/>
      <c r="AP79" s="62"/>
      <c r="AQ79" s="62"/>
    </row>
    <row r="80" customFormat="false" ht="12.75" hidden="false" customHeight="false" outlineLevel="0" collapsed="false">
      <c r="A80" s="99" t="s">
        <v>93</v>
      </c>
      <c r="B80" s="100"/>
      <c r="C80" s="127"/>
      <c r="D80" s="100"/>
      <c r="E80" s="115"/>
      <c r="F80" s="100"/>
      <c r="G80" s="116" t="n">
        <f aca="false">G77/SpotRates!D36</f>
        <v>13610352.0532006</v>
      </c>
      <c r="H80" s="115"/>
      <c r="I80" s="148"/>
      <c r="J80" s="100"/>
      <c r="K80" s="130"/>
      <c r="L80" s="100"/>
      <c r="M80" s="116" t="n">
        <f aca="false">M77/SpotRates!D36</f>
        <v>2860853.38466474</v>
      </c>
      <c r="N80" s="130"/>
      <c r="O80" s="127"/>
      <c r="P80" s="130"/>
      <c r="Q80" s="127"/>
      <c r="R80" s="130"/>
      <c r="S80" s="127" t="e">
        <f aca="false">S77/[1]SpotRates!J36</f>
        <v>#DIV/0!</v>
      </c>
      <c r="T80" s="130"/>
      <c r="U80" s="127"/>
      <c r="V80" s="100"/>
      <c r="W80" s="130"/>
      <c r="X80" s="115"/>
      <c r="Y80" s="116" t="n">
        <f aca="false">Y77/SpotRates!D36</f>
        <v>1524347.77029195</v>
      </c>
      <c r="Z80" s="100"/>
      <c r="AA80" s="136" t="n">
        <f aca="false">AA77/SpotRates!D36</f>
        <v>-950928.803336536</v>
      </c>
      <c r="AB80" s="100"/>
      <c r="AC80" s="116" t="n">
        <f aca="false">AC77/SpotRates!D36</f>
        <v>10830535.8581413</v>
      </c>
      <c r="AD80" s="100"/>
      <c r="AE80" s="130"/>
      <c r="AF80" s="100"/>
      <c r="AG80" s="130"/>
      <c r="AH80" s="100"/>
      <c r="AI80" s="100"/>
      <c r="AK80" s="100"/>
      <c r="AL80" s="137"/>
      <c r="AM80" s="118"/>
      <c r="AN80" s="62"/>
      <c r="AP80" s="62"/>
      <c r="AQ80" s="62"/>
    </row>
    <row r="81" customFormat="false" ht="12.75" hidden="false" customHeight="true" outlineLevel="0" collapsed="false">
      <c r="A81" s="92"/>
      <c r="C81" s="139"/>
      <c r="E81" s="140"/>
      <c r="G81" s="140"/>
      <c r="H81" s="140"/>
      <c r="M81" s="140"/>
      <c r="O81" s="139"/>
      <c r="Q81" s="139"/>
      <c r="S81" s="139"/>
      <c r="U81" s="139"/>
      <c r="X81" s="140"/>
      <c r="Y81" s="140"/>
      <c r="AC81" s="140"/>
      <c r="AM81" s="118"/>
      <c r="AN81" s="62"/>
      <c r="AP81" s="62"/>
      <c r="AQ81" s="149"/>
    </row>
    <row r="82" customFormat="false" ht="13.5" hidden="false" customHeight="false" outlineLevel="0" collapsed="false">
      <c r="A82" s="150" t="s">
        <v>94</v>
      </c>
      <c r="C82" s="139"/>
      <c r="E82" s="140"/>
      <c r="G82" s="140"/>
      <c r="H82" s="140"/>
      <c r="M82" s="140"/>
      <c r="O82" s="139"/>
      <c r="Q82" s="139"/>
      <c r="S82" s="139"/>
      <c r="U82" s="139"/>
      <c r="X82" s="140"/>
      <c r="Y82" s="140"/>
      <c r="AC82" s="140"/>
      <c r="AM82" s="118"/>
      <c r="AN82" s="62"/>
      <c r="AP82" s="62"/>
      <c r="AQ82" s="62"/>
    </row>
    <row r="83" customFormat="false" ht="12.75" hidden="false" customHeight="false" outlineLevel="0" collapsed="false">
      <c r="A83" s="95" t="s">
        <v>95</v>
      </c>
      <c r="C83" s="112" t="n">
        <f aca="false">C40-C105</f>
        <v>5742</v>
      </c>
      <c r="E83" s="113" t="n">
        <f aca="false">E40-E105</f>
        <v>0</v>
      </c>
      <c r="G83" s="113" t="n">
        <f aca="false">(+E83+C83)</f>
        <v>5742</v>
      </c>
      <c r="H83" s="114"/>
      <c r="I83" s="151" t="n">
        <f aca="false">I40-I105</f>
        <v>0</v>
      </c>
      <c r="K83" s="151" t="n">
        <f aca="false">K40-K105</f>
        <v>0</v>
      </c>
      <c r="M83" s="113" t="n">
        <f aca="false">(+K83+I83)</f>
        <v>0</v>
      </c>
      <c r="N83" s="152"/>
      <c r="O83" s="112" t="n">
        <f aca="false">O40-O105</f>
        <v>0</v>
      </c>
      <c r="P83" s="152"/>
      <c r="Q83" s="112" t="n">
        <f aca="false">Q40-Q105</f>
        <v>0</v>
      </c>
      <c r="R83" s="152"/>
      <c r="S83" s="112" t="n">
        <f aca="false">(+Q83+O83)</f>
        <v>0</v>
      </c>
      <c r="T83" s="152"/>
      <c r="U83" s="112" t="n">
        <f aca="false">U40-U105</f>
        <v>0</v>
      </c>
      <c r="W83" s="151" t="n">
        <f aca="false">W40-W105</f>
        <v>0</v>
      </c>
      <c r="X83" s="114"/>
      <c r="Y83" s="113" t="n">
        <f aca="false">Y40-Y105</f>
        <v>0</v>
      </c>
      <c r="AA83" s="113" t="n">
        <f aca="false">(+U83+W83+Y83)</f>
        <v>0</v>
      </c>
      <c r="AC83" s="113" t="n">
        <f aca="false">M83+G83+AA83+S83</f>
        <v>5742</v>
      </c>
      <c r="AE83" s="116" t="n">
        <f aca="false">AE40-AE105</f>
        <v>3417.53160019976</v>
      </c>
      <c r="AG83" s="152"/>
      <c r="AL83" s="116" t="e">
        <f aca="false">#REF!+E83+AE83+AG83+I83+K83+W83+Y83</f>
        <v>#REF!</v>
      </c>
      <c r="AM83" s="118"/>
      <c r="AN83" s="62"/>
      <c r="AP83" s="62"/>
      <c r="AQ83" s="153"/>
    </row>
    <row r="84" customFormat="false" ht="12.75" hidden="false" customHeight="false" outlineLevel="0" collapsed="false">
      <c r="A84" s="95" t="s">
        <v>64</v>
      </c>
      <c r="C84" s="139"/>
      <c r="E84" s="140"/>
      <c r="G84" s="140"/>
      <c r="H84" s="140"/>
      <c r="M84" s="140"/>
      <c r="O84" s="139"/>
      <c r="Q84" s="139"/>
      <c r="S84" s="139"/>
      <c r="U84" s="139"/>
      <c r="X84" s="140"/>
      <c r="Y84" s="140"/>
      <c r="AC84" s="140"/>
      <c r="AL84" s="120"/>
      <c r="AM84" s="118"/>
      <c r="AN84" s="62"/>
      <c r="AP84" s="62"/>
      <c r="AQ84" s="154"/>
    </row>
    <row r="85" customFormat="false" ht="12.75" hidden="false" customHeight="false" outlineLevel="0" collapsed="false">
      <c r="A85" s="92" t="s">
        <v>66</v>
      </c>
      <c r="C85" s="126" t="n">
        <f aca="false">C42-C107</f>
        <v>919229</v>
      </c>
      <c r="E85" s="126" t="n">
        <f aca="false">E42-E107</f>
        <v>-990</v>
      </c>
      <c r="G85" s="126" t="n">
        <f aca="false">(+E85+C85)</f>
        <v>918239</v>
      </c>
      <c r="H85" s="126"/>
      <c r="I85" s="126" t="n">
        <f aca="false">I42-I107</f>
        <v>1289192</v>
      </c>
      <c r="K85" s="126" t="n">
        <f aca="false">K42-K107</f>
        <v>0</v>
      </c>
      <c r="M85" s="126" t="n">
        <f aca="false">(+K85+I85)</f>
        <v>1289192</v>
      </c>
      <c r="N85" s="155"/>
      <c r="O85" s="126" t="n">
        <f aca="false">O42-O107</f>
        <v>9072</v>
      </c>
      <c r="P85" s="155"/>
      <c r="Q85" s="126" t="n">
        <f aca="false">Q42-Q107</f>
        <v>0</v>
      </c>
      <c r="R85" s="155"/>
      <c r="S85" s="126" t="n">
        <f aca="false">(+Q85+O85)</f>
        <v>9072</v>
      </c>
      <c r="T85" s="155"/>
      <c r="U85" s="126" t="n">
        <f aca="false">U42-U107</f>
        <v>1301368</v>
      </c>
      <c r="W85" s="126" t="n">
        <f aca="false">W42-W107</f>
        <v>47534</v>
      </c>
      <c r="X85" s="126"/>
      <c r="Y85" s="126" t="n">
        <f aca="false">Y42-Y107</f>
        <v>-79595</v>
      </c>
      <c r="AA85" s="126" t="n">
        <f aca="false">(+U85+W85+Y85)</f>
        <v>1269307</v>
      </c>
      <c r="AC85" s="126" t="n">
        <f aca="false">M85+G85+AA85+S85</f>
        <v>3485810</v>
      </c>
      <c r="AE85" s="156" t="n">
        <f aca="false">AE42-AE107</f>
        <v>2261711.36946275</v>
      </c>
      <c r="AG85" s="155"/>
      <c r="AJ85" s="61"/>
      <c r="AL85" s="119"/>
      <c r="AM85" s="118"/>
      <c r="AN85" s="155"/>
      <c r="AO85" s="71"/>
      <c r="AP85" s="155"/>
      <c r="AQ85" s="154"/>
      <c r="AR85" s="61"/>
      <c r="AS85" s="61"/>
      <c r="AT85" s="61"/>
      <c r="AU85" s="61"/>
      <c r="AV85" s="61"/>
      <c r="AW85" s="61"/>
      <c r="AX85" s="61"/>
      <c r="AY85" s="61"/>
      <c r="AZ85" s="61"/>
      <c r="BA85" s="61"/>
      <c r="BB85" s="61"/>
      <c r="BC85" s="61"/>
      <c r="BD85" s="61"/>
      <c r="BE85" s="61"/>
      <c r="BF85" s="61"/>
      <c r="BG85" s="61"/>
      <c r="BH85" s="61"/>
      <c r="BI85" s="61"/>
      <c r="BJ85" s="61"/>
      <c r="BK85" s="61"/>
      <c r="BL85" s="61"/>
      <c r="BM85" s="61"/>
      <c r="BN85" s="61"/>
      <c r="BO85" s="61"/>
      <c r="BP85" s="61"/>
      <c r="BQ85" s="61"/>
      <c r="BR85" s="61"/>
      <c r="BS85" s="61"/>
      <c r="BT85" s="61"/>
      <c r="BU85" s="61"/>
      <c r="BV85" s="61"/>
      <c r="BW85" s="61"/>
      <c r="BX85" s="61"/>
      <c r="BY85" s="61"/>
      <c r="BZ85" s="61"/>
      <c r="CA85" s="61"/>
      <c r="CB85" s="61"/>
      <c r="CC85" s="61"/>
      <c r="CD85" s="61"/>
      <c r="CE85" s="61"/>
      <c r="CF85" s="61"/>
      <c r="CG85" s="61"/>
      <c r="CH85" s="61"/>
      <c r="CI85" s="61"/>
      <c r="CJ85" s="61"/>
      <c r="CK85" s="61"/>
      <c r="CL85" s="61"/>
      <c r="CM85" s="61"/>
      <c r="CN85" s="61"/>
      <c r="CO85" s="61"/>
      <c r="CP85" s="61"/>
      <c r="CQ85" s="61"/>
      <c r="CR85" s="61"/>
      <c r="CS85" s="61"/>
      <c r="CT85" s="61"/>
      <c r="CU85" s="61"/>
      <c r="CV85" s="61"/>
      <c r="CW85" s="61"/>
      <c r="CX85" s="61"/>
      <c r="CY85" s="61"/>
      <c r="CZ85" s="61"/>
      <c r="DA85" s="61"/>
      <c r="DB85" s="61"/>
      <c r="DC85" s="61"/>
      <c r="DD85" s="61"/>
      <c r="DE85" s="61"/>
      <c r="DF85" s="61"/>
      <c r="DG85" s="61"/>
      <c r="DH85" s="61"/>
      <c r="DI85" s="61"/>
      <c r="DJ85" s="61"/>
      <c r="DK85" s="61"/>
      <c r="DL85" s="61"/>
      <c r="DM85" s="61"/>
      <c r="DN85" s="61"/>
      <c r="DO85" s="61"/>
      <c r="DP85" s="61"/>
      <c r="DQ85" s="61"/>
      <c r="DR85" s="61"/>
      <c r="DS85" s="61"/>
      <c r="DT85" s="61"/>
      <c r="DU85" s="61"/>
      <c r="DV85" s="61"/>
      <c r="DW85" s="61"/>
      <c r="DX85" s="61"/>
      <c r="DY85" s="61"/>
      <c r="DZ85" s="61"/>
      <c r="EA85" s="61"/>
      <c r="EB85" s="61"/>
      <c r="EC85" s="61"/>
      <c r="ED85" s="61"/>
      <c r="EE85" s="61"/>
      <c r="EF85" s="61"/>
      <c r="EG85" s="61"/>
      <c r="EH85" s="61"/>
      <c r="EI85" s="61"/>
      <c r="EJ85" s="61"/>
      <c r="EK85" s="61"/>
      <c r="EL85" s="61"/>
      <c r="EM85" s="61"/>
      <c r="EN85" s="61"/>
      <c r="EO85" s="61"/>
      <c r="EP85" s="61"/>
      <c r="EQ85" s="61"/>
      <c r="ER85" s="61"/>
      <c r="ES85" s="61"/>
      <c r="ET85" s="61"/>
      <c r="EU85" s="61"/>
      <c r="EV85" s="61"/>
      <c r="EW85" s="61"/>
      <c r="EX85" s="61"/>
      <c r="EY85" s="61"/>
      <c r="EZ85" s="61"/>
      <c r="FA85" s="61"/>
      <c r="FB85" s="61"/>
      <c r="FC85" s="61"/>
      <c r="FD85" s="61"/>
      <c r="FE85" s="61"/>
      <c r="FF85" s="61"/>
      <c r="FG85" s="61"/>
      <c r="FH85" s="61"/>
      <c r="FI85" s="61"/>
      <c r="FJ85" s="61"/>
      <c r="FK85" s="61"/>
      <c r="FL85" s="61"/>
      <c r="FM85" s="61"/>
      <c r="FN85" s="61"/>
      <c r="FO85" s="61"/>
      <c r="FP85" s="61"/>
      <c r="FQ85" s="61"/>
      <c r="FR85" s="61"/>
      <c r="FS85" s="61"/>
      <c r="FT85" s="61"/>
      <c r="FU85" s="61"/>
      <c r="FV85" s="61"/>
      <c r="FW85" s="61"/>
      <c r="FX85" s="61"/>
      <c r="FY85" s="61"/>
      <c r="FZ85" s="61"/>
      <c r="GA85" s="61"/>
      <c r="GB85" s="61"/>
      <c r="GC85" s="61"/>
      <c r="GD85" s="61"/>
      <c r="GE85" s="61"/>
      <c r="GF85" s="61"/>
      <c r="GG85" s="61"/>
      <c r="GH85" s="61"/>
      <c r="GI85" s="61"/>
      <c r="GJ85" s="61"/>
      <c r="GK85" s="61"/>
      <c r="GL85" s="61"/>
      <c r="GM85" s="61"/>
      <c r="GN85" s="61"/>
      <c r="GO85" s="61"/>
      <c r="GP85" s="61"/>
      <c r="GQ85" s="61"/>
      <c r="GR85" s="61"/>
      <c r="GS85" s="61"/>
      <c r="GT85" s="61"/>
      <c r="GU85" s="61"/>
      <c r="GV85" s="61"/>
      <c r="GW85" s="61"/>
      <c r="GX85" s="61"/>
      <c r="GY85" s="61"/>
      <c r="GZ85" s="61"/>
      <c r="HA85" s="61"/>
      <c r="HB85" s="61"/>
      <c r="HC85" s="61"/>
      <c r="HD85" s="61"/>
      <c r="HE85" s="61"/>
      <c r="HF85" s="61"/>
      <c r="HG85" s="61"/>
      <c r="HH85" s="61"/>
      <c r="HI85" s="61"/>
      <c r="HJ85" s="61"/>
      <c r="HK85" s="61"/>
      <c r="HL85" s="61"/>
      <c r="HM85" s="61"/>
      <c r="HN85" s="61"/>
      <c r="HO85" s="61"/>
      <c r="HP85" s="61"/>
      <c r="HQ85" s="61"/>
      <c r="HR85" s="61"/>
      <c r="HS85" s="61"/>
      <c r="HT85" s="61"/>
      <c r="HU85" s="61"/>
      <c r="HV85" s="61"/>
      <c r="HW85" s="61"/>
      <c r="HX85" s="61"/>
      <c r="HY85" s="61"/>
      <c r="HZ85" s="61"/>
      <c r="IA85" s="61"/>
      <c r="IB85" s="61"/>
      <c r="IC85" s="61"/>
      <c r="ID85" s="61"/>
      <c r="IE85" s="61"/>
      <c r="IF85" s="61"/>
      <c r="IG85" s="61"/>
      <c r="IH85" s="61"/>
      <c r="II85" s="61"/>
      <c r="IJ85" s="61"/>
      <c r="IK85" s="61"/>
      <c r="IL85" s="61"/>
      <c r="IM85" s="61"/>
      <c r="IN85" s="61"/>
      <c r="IO85" s="61"/>
      <c r="IP85" s="61"/>
      <c r="IQ85" s="61"/>
      <c r="IR85" s="61"/>
      <c r="IS85" s="61"/>
      <c r="IT85" s="61"/>
      <c r="IU85" s="61"/>
      <c r="IV85" s="61"/>
      <c r="IW85" s="61"/>
    </row>
    <row r="86" customFormat="false" ht="12.75" hidden="false" customHeight="false" outlineLevel="0" collapsed="false">
      <c r="A86" s="95" t="s">
        <v>67</v>
      </c>
      <c r="C86" s="126" t="n">
        <f aca="false">C43-C108</f>
        <v>1032482</v>
      </c>
      <c r="E86" s="114" t="n">
        <f aca="false">E43-E108</f>
        <v>0</v>
      </c>
      <c r="G86" s="126" t="n">
        <f aca="false">(+E86+C86)</f>
        <v>1032482</v>
      </c>
      <c r="H86" s="114"/>
      <c r="I86" s="114" t="n">
        <f aca="false">I43-I108</f>
        <v>57714</v>
      </c>
      <c r="K86" s="114" t="n">
        <f aca="false">K43-K108</f>
        <v>0</v>
      </c>
      <c r="M86" s="126" t="n">
        <f aca="false">(+K86+I86)</f>
        <v>57714</v>
      </c>
      <c r="N86" s="157"/>
      <c r="O86" s="126" t="n">
        <f aca="false">O43-O108</f>
        <v>-870511</v>
      </c>
      <c r="P86" s="157"/>
      <c r="Q86" s="126" t="n">
        <f aca="false">Q43-Q108</f>
        <v>0</v>
      </c>
      <c r="R86" s="157"/>
      <c r="S86" s="126" t="n">
        <f aca="false">(+Q86+O86)</f>
        <v>-870511</v>
      </c>
      <c r="T86" s="157"/>
      <c r="U86" s="126" t="n">
        <f aca="false">U43-U108</f>
        <v>-1783956</v>
      </c>
      <c r="W86" s="126" t="n">
        <f aca="false">W43-W108</f>
        <v>0</v>
      </c>
      <c r="X86" s="126"/>
      <c r="Y86" s="126" t="n">
        <f aca="false">Y43-Y108</f>
        <v>110330</v>
      </c>
      <c r="AA86" s="126" t="n">
        <f aca="false">(+U86+W86+Y86)</f>
        <v>-1673626</v>
      </c>
      <c r="AC86" s="126" t="n">
        <f aca="false">M86+G86+AA86+S86</f>
        <v>-1453941</v>
      </c>
      <c r="AE86" s="157" t="n">
        <f aca="false">AE43-AE108</f>
        <v>-947013.197392288</v>
      </c>
      <c r="AG86" s="157"/>
      <c r="AL86" s="115" t="e">
        <f aca="false">#REF!+E86+AE86+AG86+I86+K86+W86+Y86</f>
        <v>#REF!</v>
      </c>
      <c r="AM86" s="118"/>
      <c r="AN86" s="62"/>
      <c r="AP86" s="62"/>
      <c r="AQ86" s="154"/>
    </row>
    <row r="87" customFormat="false" ht="12.75" hidden="false" customHeight="false" outlineLevel="0" collapsed="false">
      <c r="A87" s="95" t="s">
        <v>68</v>
      </c>
      <c r="C87" s="126" t="n">
        <f aca="false">C44-C109</f>
        <v>-3250089</v>
      </c>
      <c r="E87" s="114" t="n">
        <f aca="false">E44-E109</f>
        <v>0</v>
      </c>
      <c r="G87" s="126" t="n">
        <f aca="false">(+E87+C87)</f>
        <v>-3250089</v>
      </c>
      <c r="H87" s="114"/>
      <c r="I87" s="114" t="n">
        <f aca="false">I44-I109</f>
        <v>-191065</v>
      </c>
      <c r="K87" s="114" t="n">
        <f aca="false">K44-K109</f>
        <v>0</v>
      </c>
      <c r="M87" s="126" t="n">
        <f aca="false">(+K87+I87)</f>
        <v>-191065</v>
      </c>
      <c r="N87" s="157"/>
      <c r="O87" s="126" t="n">
        <f aca="false">O44-O109</f>
        <v>-1533264</v>
      </c>
      <c r="P87" s="157"/>
      <c r="Q87" s="126" t="n">
        <f aca="false">Q44-Q109</f>
        <v>0</v>
      </c>
      <c r="R87" s="157"/>
      <c r="S87" s="126" t="n">
        <f aca="false">(+Q87+O87)</f>
        <v>-1533264</v>
      </c>
      <c r="T87" s="157"/>
      <c r="U87" s="126" t="n">
        <f aca="false">U44-U109</f>
        <v>3313658</v>
      </c>
      <c r="W87" s="126" t="n">
        <f aca="false">W44-W109</f>
        <v>0</v>
      </c>
      <c r="X87" s="126"/>
      <c r="Y87" s="126" t="n">
        <f aca="false">Y44-Y109</f>
        <v>925</v>
      </c>
      <c r="AA87" s="126" t="n">
        <f aca="false">(+U87+W87+Y87)</f>
        <v>3314583</v>
      </c>
      <c r="AC87" s="126" t="n">
        <f aca="false">M87+G87+AA87+S87</f>
        <v>-1659835</v>
      </c>
      <c r="AE87" s="157" t="n">
        <f aca="false">AE44-AE109</f>
        <v>-1072227.02787214</v>
      </c>
      <c r="AG87" s="157"/>
      <c r="AL87" s="115" t="e">
        <f aca="false">#REF!+E87+AE87+AG87+I87+K87+W87+Y87</f>
        <v>#REF!</v>
      </c>
      <c r="AM87" s="118"/>
      <c r="AN87" s="62"/>
      <c r="AP87" s="62"/>
      <c r="AQ87" s="154"/>
    </row>
    <row r="88" customFormat="false" ht="12.75" hidden="false" customHeight="false" outlineLevel="0" collapsed="false">
      <c r="A88" s="95" t="s">
        <v>69</v>
      </c>
      <c r="C88" s="126" t="n">
        <f aca="false">C45-C110</f>
        <v>0</v>
      </c>
      <c r="E88" s="114" t="n">
        <f aca="false">E45-E110</f>
        <v>0</v>
      </c>
      <c r="G88" s="126" t="n">
        <f aca="false">(+E88+C88)</f>
        <v>0</v>
      </c>
      <c r="H88" s="114"/>
      <c r="I88" s="114" t="n">
        <f aca="false">I45-I110</f>
        <v>0</v>
      </c>
      <c r="K88" s="114" t="n">
        <f aca="false">K45-K110</f>
        <v>0</v>
      </c>
      <c r="M88" s="126" t="n">
        <f aca="false">(+K88+I88)</f>
        <v>0</v>
      </c>
      <c r="N88" s="157"/>
      <c r="O88" s="126" t="n">
        <f aca="false">O45-O110</f>
        <v>0</v>
      </c>
      <c r="P88" s="157"/>
      <c r="Q88" s="126" t="n">
        <f aca="false">Q45-Q110</f>
        <v>0</v>
      </c>
      <c r="R88" s="157"/>
      <c r="S88" s="126" t="n">
        <f aca="false">(+Q88+O88)</f>
        <v>0</v>
      </c>
      <c r="T88" s="157"/>
      <c r="U88" s="126" t="n">
        <f aca="false">U45-U110</f>
        <v>0</v>
      </c>
      <c r="W88" s="126" t="n">
        <f aca="false">W45-W110</f>
        <v>0</v>
      </c>
      <c r="X88" s="126"/>
      <c r="Y88" s="126" t="n">
        <f aca="false">Y45-Y110</f>
        <v>0</v>
      </c>
      <c r="AA88" s="126" t="n">
        <f aca="false">(+U88+W88+Y88)</f>
        <v>0</v>
      </c>
      <c r="AC88" s="126" t="n">
        <f aca="false">M88+G88+AA88+S88</f>
        <v>0</v>
      </c>
      <c r="AE88" s="157" t="n">
        <f aca="false">AE45-AE110</f>
        <v>23.1653177996232</v>
      </c>
      <c r="AG88" s="157"/>
      <c r="AL88" s="115" t="e">
        <f aca="false">#REF!+E88+AE88+AG88+I88+K88+W88+Y88</f>
        <v>#REF!</v>
      </c>
      <c r="AM88" s="118"/>
      <c r="AN88" s="62"/>
      <c r="AP88" s="62"/>
      <c r="AQ88" s="154"/>
    </row>
    <row r="89" customFormat="false" ht="12.75" hidden="false" customHeight="false" outlineLevel="0" collapsed="false">
      <c r="A89" s="95" t="s">
        <v>70</v>
      </c>
      <c r="C89" s="126" t="n">
        <f aca="false">C46-C111</f>
        <v>-59499</v>
      </c>
      <c r="E89" s="114" t="n">
        <f aca="false">E46-E111</f>
        <v>72561</v>
      </c>
      <c r="G89" s="126" t="n">
        <f aca="false">(+E89+C89)</f>
        <v>13062</v>
      </c>
      <c r="H89" s="114"/>
      <c r="I89" s="114" t="n">
        <f aca="false">I46-I111</f>
        <v>-21246</v>
      </c>
      <c r="K89" s="114" t="n">
        <f aca="false">K46-K111</f>
        <v>0</v>
      </c>
      <c r="M89" s="126" t="n">
        <f aca="false">(+K89+I89)</f>
        <v>-21246</v>
      </c>
      <c r="N89" s="157"/>
      <c r="O89" s="126" t="n">
        <f aca="false">O46-O111</f>
        <v>-14302</v>
      </c>
      <c r="P89" s="157"/>
      <c r="Q89" s="126" t="n">
        <f aca="false">Q46-Q111</f>
        <v>7143</v>
      </c>
      <c r="R89" s="157"/>
      <c r="S89" s="126" t="n">
        <f aca="false">(+Q89+O89)</f>
        <v>-7159</v>
      </c>
      <c r="T89" s="157"/>
      <c r="U89" s="126" t="n">
        <f aca="false">U46-U111</f>
        <v>-1430262</v>
      </c>
      <c r="W89" s="126" t="n">
        <f aca="false">W46-W111</f>
        <v>-1535</v>
      </c>
      <c r="X89" s="126"/>
      <c r="Y89" s="126" t="n">
        <f aca="false">Y46-Y111</f>
        <v>64984</v>
      </c>
      <c r="AA89" s="126" t="n">
        <f aca="false">(+U89+W89+Y89)</f>
        <v>-1366813</v>
      </c>
      <c r="AC89" s="126" t="n">
        <f aca="false">M89+G89+AA89+S89</f>
        <v>-1382156</v>
      </c>
      <c r="AE89" s="156" t="n">
        <f aca="false">AE46-AE111</f>
        <v>-893212.181037407</v>
      </c>
      <c r="AG89" s="157"/>
      <c r="AL89" s="115"/>
      <c r="AM89" s="118"/>
      <c r="AN89" s="62"/>
      <c r="AP89" s="62"/>
      <c r="AQ89" s="154"/>
    </row>
    <row r="90" customFormat="false" ht="12.75" hidden="false" customHeight="false" outlineLevel="0" collapsed="false">
      <c r="A90" s="95" t="s">
        <v>71</v>
      </c>
      <c r="C90" s="126" t="n">
        <f aca="false">C47-C112</f>
        <v>11864</v>
      </c>
      <c r="E90" s="114" t="n">
        <f aca="false">E47-E112</f>
        <v>0</v>
      </c>
      <c r="G90" s="126" t="n">
        <f aca="false">(+E90+C90)</f>
        <v>11864</v>
      </c>
      <c r="H90" s="114"/>
      <c r="I90" s="114" t="n">
        <f aca="false">I47-I112</f>
        <v>0</v>
      </c>
      <c r="K90" s="114" t="n">
        <f aca="false">K47-K112</f>
        <v>0</v>
      </c>
      <c r="M90" s="126" t="n">
        <f aca="false">(+K90+I90)</f>
        <v>0</v>
      </c>
      <c r="N90" s="157"/>
      <c r="O90" s="126" t="n">
        <f aca="false">O47-O112</f>
        <v>19119</v>
      </c>
      <c r="P90" s="157"/>
      <c r="Q90" s="126" t="n">
        <f aca="false">Q47-Q112</f>
        <v>0</v>
      </c>
      <c r="R90" s="157"/>
      <c r="S90" s="126" t="n">
        <f aca="false">(+Q90+O90)</f>
        <v>19119</v>
      </c>
      <c r="T90" s="157"/>
      <c r="U90" s="126" t="n">
        <f aca="false">U47-U112</f>
        <v>-178693</v>
      </c>
      <c r="W90" s="126" t="n">
        <f aca="false">W47-W112</f>
        <v>0</v>
      </c>
      <c r="X90" s="126"/>
      <c r="Y90" s="126" t="n">
        <f aca="false">Y47-Y112</f>
        <v>0</v>
      </c>
      <c r="AA90" s="126" t="n">
        <f aca="false">(+U90+W90+Y90)</f>
        <v>-178693</v>
      </c>
      <c r="AC90" s="126" t="n">
        <f aca="false">M90+G90+AA90+S90</f>
        <v>-147710</v>
      </c>
      <c r="AE90" s="157" t="n">
        <f aca="false">AE47-AE112</f>
        <v>-96746.9493145791</v>
      </c>
      <c r="AG90" s="157"/>
      <c r="AL90" s="115" t="e">
        <f aca="false">#REF!+E90+AE90+AG90+I90+K90+W90+Y90</f>
        <v>#REF!</v>
      </c>
      <c r="AM90" s="118"/>
      <c r="AN90" s="62"/>
      <c r="AP90" s="62"/>
      <c r="AQ90" s="154"/>
    </row>
    <row r="91" customFormat="false" ht="12.75" hidden="false" customHeight="false" outlineLevel="0" collapsed="false">
      <c r="A91" s="95" t="s">
        <v>72</v>
      </c>
      <c r="C91" s="126" t="n">
        <f aca="false">C48-C113</f>
        <v>-8678</v>
      </c>
      <c r="E91" s="114" t="n">
        <f aca="false">E48-E113</f>
        <v>0</v>
      </c>
      <c r="G91" s="126" t="n">
        <f aca="false">(+E91+C91)</f>
        <v>-8678</v>
      </c>
      <c r="H91" s="114"/>
      <c r="I91" s="114" t="n">
        <f aca="false">I48-I113</f>
        <v>0</v>
      </c>
      <c r="K91" s="114" t="n">
        <f aca="false">K48-K113</f>
        <v>0</v>
      </c>
      <c r="M91" s="126" t="n">
        <f aca="false">(+K91+I91)</f>
        <v>0</v>
      </c>
      <c r="N91" s="157"/>
      <c r="O91" s="126" t="n">
        <f aca="false">O48-O113</f>
        <v>0</v>
      </c>
      <c r="P91" s="157"/>
      <c r="Q91" s="126" t="n">
        <f aca="false">Q48-Q113</f>
        <v>0</v>
      </c>
      <c r="R91" s="157"/>
      <c r="S91" s="126" t="n">
        <f aca="false">(+Q91+O91)</f>
        <v>0</v>
      </c>
      <c r="T91" s="157"/>
      <c r="U91" s="126" t="n">
        <f aca="false">U48-U113</f>
        <v>569573</v>
      </c>
      <c r="W91" s="126" t="n">
        <f aca="false">W48-W113</f>
        <v>0</v>
      </c>
      <c r="X91" s="126"/>
      <c r="Y91" s="126" t="n">
        <f aca="false">Y48-Y113</f>
        <v>0</v>
      </c>
      <c r="AA91" s="126" t="n">
        <f aca="false">(+U91+W91+Y91)</f>
        <v>569573</v>
      </c>
      <c r="AC91" s="126" t="n">
        <f aca="false">M91+G91+AA91+S91</f>
        <v>560895</v>
      </c>
      <c r="AE91" s="157" t="n">
        <f aca="false">AE48-AE113</f>
        <v>364839.379246841</v>
      </c>
      <c r="AG91" s="157"/>
      <c r="AL91" s="115" t="e">
        <f aca="false">#REF!+E91+AE91+AG91+I91+K91+W91+Y91</f>
        <v>#REF!</v>
      </c>
      <c r="AM91" s="118"/>
      <c r="AN91" s="62"/>
      <c r="AP91" s="62"/>
      <c r="AQ91" s="154"/>
    </row>
    <row r="92" customFormat="false" ht="12.75" hidden="false" customHeight="false" outlineLevel="0" collapsed="false">
      <c r="A92" s="95" t="s">
        <v>73</v>
      </c>
      <c r="C92" s="126" t="n">
        <f aca="false">C49-C114</f>
        <v>973</v>
      </c>
      <c r="E92" s="114" t="n">
        <f aca="false">E49-E114</f>
        <v>0</v>
      </c>
      <c r="G92" s="126" t="n">
        <f aca="false">(+E92+C92)</f>
        <v>973</v>
      </c>
      <c r="H92" s="114"/>
      <c r="I92" s="114" t="n">
        <f aca="false">I49-I114</f>
        <v>0</v>
      </c>
      <c r="K92" s="114" t="n">
        <f aca="false">K49-K114</f>
        <v>0</v>
      </c>
      <c r="M92" s="126" t="n">
        <f aca="false">(+K92+I92)</f>
        <v>0</v>
      </c>
      <c r="N92" s="157"/>
      <c r="O92" s="126" t="n">
        <f aca="false">O49-O114</f>
        <v>0</v>
      </c>
      <c r="P92" s="157"/>
      <c r="Q92" s="126" t="n">
        <f aca="false">Q49-Q114</f>
        <v>0</v>
      </c>
      <c r="R92" s="157"/>
      <c r="S92" s="126" t="n">
        <f aca="false">(+Q92+O92)</f>
        <v>0</v>
      </c>
      <c r="T92" s="157"/>
      <c r="U92" s="126" t="n">
        <f aca="false">U49-U114</f>
        <v>68553</v>
      </c>
      <c r="W92" s="126" t="n">
        <f aca="false">W49-W114</f>
        <v>0</v>
      </c>
      <c r="X92" s="126"/>
      <c r="Y92" s="126" t="n">
        <f aca="false">Y49-Y114</f>
        <v>0</v>
      </c>
      <c r="AA92" s="126" t="n">
        <f aca="false">(+U92+W92+Y92)</f>
        <v>68553</v>
      </c>
      <c r="AC92" s="126" t="n">
        <f aca="false">M92+G92+AA92+S92</f>
        <v>69526</v>
      </c>
      <c r="AE92" s="157" t="n">
        <f aca="false">AE49-AE114</f>
        <v>44642.6128658829</v>
      </c>
      <c r="AG92" s="157"/>
      <c r="AL92" s="115" t="e">
        <f aca="false">#REF!+E92+AE92+AG92+I92+K92+W92+Y92</f>
        <v>#REF!</v>
      </c>
      <c r="AM92" s="118"/>
      <c r="AN92" s="62"/>
      <c r="AP92" s="62"/>
      <c r="AQ92" s="154"/>
    </row>
    <row r="93" customFormat="false" ht="12.75" hidden="false" customHeight="false" outlineLevel="0" collapsed="false">
      <c r="A93" s="95" t="s">
        <v>74</v>
      </c>
      <c r="C93" s="126" t="n">
        <f aca="false">C50-C115</f>
        <v>0</v>
      </c>
      <c r="E93" s="114" t="n">
        <f aca="false">E50-E115</f>
        <v>0</v>
      </c>
      <c r="G93" s="126" t="n">
        <f aca="false">(+E93+C93)</f>
        <v>0</v>
      </c>
      <c r="H93" s="114"/>
      <c r="I93" s="114" t="n">
        <f aca="false">I50-I115</f>
        <v>0</v>
      </c>
      <c r="K93" s="114" t="n">
        <f aca="false">K50-K115</f>
        <v>0</v>
      </c>
      <c r="M93" s="126" t="n">
        <f aca="false">(+K93+I93)</f>
        <v>0</v>
      </c>
      <c r="N93" s="157"/>
      <c r="O93" s="126" t="n">
        <f aca="false">O50-O115</f>
        <v>0</v>
      </c>
      <c r="P93" s="157"/>
      <c r="Q93" s="126" t="n">
        <f aca="false">Q50-Q115</f>
        <v>0</v>
      </c>
      <c r="R93" s="157"/>
      <c r="S93" s="126" t="n">
        <f aca="false">(+Q93+O93)</f>
        <v>0</v>
      </c>
      <c r="T93" s="157"/>
      <c r="U93" s="126" t="n">
        <f aca="false">U50-U115</f>
        <v>0</v>
      </c>
      <c r="W93" s="126" t="n">
        <f aca="false">W50-W115</f>
        <v>0</v>
      </c>
      <c r="X93" s="126"/>
      <c r="Y93" s="126" t="n">
        <f aca="false">Y50-Y115</f>
        <v>0</v>
      </c>
      <c r="AA93" s="126" t="n">
        <f aca="false">(+U93+W93+Y93)</f>
        <v>0</v>
      </c>
      <c r="AC93" s="126" t="n">
        <f aca="false">M93+G93+AA93+S93</f>
        <v>0</v>
      </c>
      <c r="AE93" s="157" t="n">
        <f aca="false">AE50-AE115</f>
        <v>0</v>
      </c>
      <c r="AG93" s="157"/>
      <c r="AL93" s="115" t="e">
        <f aca="false">#REF!+E93+AE93+AG93+I93+K93+W93+Y93</f>
        <v>#REF!</v>
      </c>
      <c r="AM93" s="118"/>
      <c r="AN93" s="62"/>
      <c r="AP93" s="62"/>
      <c r="AQ93" s="154"/>
    </row>
    <row r="94" customFormat="false" ht="12.75" hidden="false" customHeight="false" outlineLevel="0" collapsed="false">
      <c r="A94" s="95" t="s">
        <v>75</v>
      </c>
      <c r="C94" s="126" t="n">
        <f aca="false">C51-C116</f>
        <v>-5000</v>
      </c>
      <c r="E94" s="114" t="n">
        <f aca="false">E51-E116</f>
        <v>0</v>
      </c>
      <c r="G94" s="126" t="n">
        <f aca="false">(+E94+C94)</f>
        <v>-5000</v>
      </c>
      <c r="H94" s="114"/>
      <c r="I94" s="114" t="n">
        <f aca="false">I51-I116</f>
        <v>0</v>
      </c>
      <c r="K94" s="114" t="n">
        <f aca="false">K51-K116</f>
        <v>0</v>
      </c>
      <c r="M94" s="126" t="n">
        <f aca="false">(+K94+I94)</f>
        <v>0</v>
      </c>
      <c r="N94" s="157"/>
      <c r="O94" s="126" t="n">
        <f aca="false">O51-O116</f>
        <v>0</v>
      </c>
      <c r="P94" s="157"/>
      <c r="Q94" s="126" t="n">
        <f aca="false">Q51-Q116</f>
        <v>0</v>
      </c>
      <c r="R94" s="157"/>
      <c r="S94" s="126" t="n">
        <f aca="false">(+Q94+O94)</f>
        <v>0</v>
      </c>
      <c r="T94" s="157"/>
      <c r="U94" s="126" t="n">
        <f aca="false">U51-U116</f>
        <v>0</v>
      </c>
      <c r="W94" s="126" t="n">
        <f aca="false">W51-W116</f>
        <v>0</v>
      </c>
      <c r="X94" s="126"/>
      <c r="Y94" s="126" t="n">
        <f aca="false">Y51-Y116</f>
        <v>0</v>
      </c>
      <c r="AA94" s="126" t="n">
        <f aca="false">(+U94+W94+Y94)</f>
        <v>0</v>
      </c>
      <c r="AC94" s="126" t="n">
        <f aca="false">M94+G94+AA94+S94</f>
        <v>-5000</v>
      </c>
      <c r="AE94" s="157" t="n">
        <f aca="false">AE51-AE116</f>
        <v>-3217.24967221803</v>
      </c>
      <c r="AG94" s="157"/>
      <c r="AL94" s="115" t="e">
        <f aca="false">#REF!+E94+AE94+AG94+I94+K94+W94+Y94</f>
        <v>#REF!</v>
      </c>
      <c r="AM94" s="118"/>
      <c r="AN94" s="62"/>
      <c r="AP94" s="62"/>
      <c r="AQ94" s="154"/>
    </row>
    <row r="95" customFormat="false" ht="12.75" hidden="false" customHeight="false" outlineLevel="0" collapsed="false">
      <c r="A95" s="99" t="s">
        <v>76</v>
      </c>
      <c r="B95" s="100"/>
      <c r="C95" s="112" t="n">
        <f aca="false">SUM(C85:C94)</f>
        <v>-1358718</v>
      </c>
      <c r="D95" s="100"/>
      <c r="E95" s="113" t="n">
        <f aca="false">SUM(E85:E94)</f>
        <v>71571</v>
      </c>
      <c r="F95" s="100"/>
      <c r="G95" s="112" t="n">
        <f aca="false">SUM(G85:G94)</f>
        <v>-1287147</v>
      </c>
      <c r="H95" s="114"/>
      <c r="I95" s="158" t="n">
        <f aca="false">SUM(I85:I94)</f>
        <v>1134595</v>
      </c>
      <c r="J95" s="100"/>
      <c r="K95" s="158" t="n">
        <f aca="false">SUM(K85:K94)</f>
        <v>0</v>
      </c>
      <c r="L95" s="100"/>
      <c r="M95" s="113" t="n">
        <f aca="false">SUM(M85:M94)</f>
        <v>1134595</v>
      </c>
      <c r="N95" s="130"/>
      <c r="O95" s="112" t="n">
        <f aca="false">SUM(O85:O94)</f>
        <v>-2389886</v>
      </c>
      <c r="P95" s="130"/>
      <c r="Q95" s="112" t="n">
        <f aca="false">SUM(Q85:Q94)</f>
        <v>7143</v>
      </c>
      <c r="R95" s="130"/>
      <c r="S95" s="112" t="n">
        <f aca="false">SUM(S85:S94)</f>
        <v>-2382743</v>
      </c>
      <c r="T95" s="130"/>
      <c r="U95" s="112" t="n">
        <f aca="false">SUM(U85:U94)</f>
        <v>1860241</v>
      </c>
      <c r="V95" s="100"/>
      <c r="W95" s="112" t="n">
        <f aca="false">SUM(W85:W94)</f>
        <v>45999</v>
      </c>
      <c r="X95" s="114"/>
      <c r="Y95" s="113" t="n">
        <f aca="false">SUM(Y85:Y94)</f>
        <v>96644</v>
      </c>
      <c r="Z95" s="100"/>
      <c r="AA95" s="113" t="n">
        <f aca="false">SUM(AA85:AA94)</f>
        <v>2002884</v>
      </c>
      <c r="AB95" s="100"/>
      <c r="AC95" s="113" t="n">
        <f aca="false">SUM(AC85:AC94)</f>
        <v>-532411</v>
      </c>
      <c r="AD95" s="100"/>
      <c r="AE95" s="116" t="n">
        <f aca="false">SUM(AE85:AE94)</f>
        <v>-341200.07839536</v>
      </c>
      <c r="AF95" s="100"/>
      <c r="AG95" s="130"/>
      <c r="AH95" s="100"/>
      <c r="AI95" s="100"/>
      <c r="AK95" s="100"/>
      <c r="AL95" s="132" t="e">
        <f aca="false">SUM(AL86:AL94)</f>
        <v>#REF!</v>
      </c>
      <c r="AM95" s="118"/>
      <c r="AN95" s="62"/>
      <c r="AP95" s="62"/>
      <c r="AQ95" s="154"/>
    </row>
    <row r="96" customFormat="false" ht="12.75" hidden="false" customHeight="false" outlineLevel="0" collapsed="false">
      <c r="A96" s="99" t="s">
        <v>77</v>
      </c>
      <c r="B96" s="100"/>
      <c r="C96" s="112" t="n">
        <f aca="false">C53-C118</f>
        <v>0</v>
      </c>
      <c r="D96" s="100"/>
      <c r="E96" s="113" t="n">
        <f aca="false">E53-E118</f>
        <v>0</v>
      </c>
      <c r="F96" s="100"/>
      <c r="G96" s="113" t="n">
        <f aca="false">(+E96+C96)</f>
        <v>0</v>
      </c>
      <c r="H96" s="114"/>
      <c r="I96" s="112" t="n">
        <f aca="false">I53-I118</f>
        <v>0</v>
      </c>
      <c r="J96" s="100"/>
      <c r="K96" s="112" t="n">
        <f aca="false">K53-K118</f>
        <v>0</v>
      </c>
      <c r="L96" s="100"/>
      <c r="M96" s="113" t="n">
        <f aca="false">(+K96+I96)</f>
        <v>0</v>
      </c>
      <c r="N96" s="130"/>
      <c r="O96" s="112" t="n">
        <f aca="false">O53-O118</f>
        <v>0</v>
      </c>
      <c r="P96" s="130"/>
      <c r="Q96" s="112" t="n">
        <f aca="false">Q53-Q118</f>
        <v>0</v>
      </c>
      <c r="R96" s="130"/>
      <c r="S96" s="112" t="n">
        <f aca="false">(+Q96+O96)</f>
        <v>0</v>
      </c>
      <c r="T96" s="130"/>
      <c r="U96" s="112" t="n">
        <f aca="false">U53-U118</f>
        <v>0</v>
      </c>
      <c r="V96" s="100"/>
      <c r="W96" s="112" t="n">
        <f aca="false">W53-W118</f>
        <v>0</v>
      </c>
      <c r="X96" s="114"/>
      <c r="Y96" s="113" t="n">
        <f aca="false">Y53-Y118</f>
        <v>0</v>
      </c>
      <c r="Z96" s="100"/>
      <c r="AA96" s="113" t="n">
        <f aca="false">(+U96+W96+Y96)</f>
        <v>0</v>
      </c>
      <c r="AB96" s="100"/>
      <c r="AC96" s="113" t="n">
        <f aca="false">M96+G96+AA96+S96</f>
        <v>0</v>
      </c>
      <c r="AD96" s="100"/>
      <c r="AE96" s="116" t="n">
        <f aca="false">AE53-AE118</f>
        <v>0</v>
      </c>
      <c r="AF96" s="100"/>
      <c r="AG96" s="130"/>
      <c r="AH96" s="100"/>
      <c r="AI96" s="100"/>
      <c r="AK96" s="100"/>
      <c r="AL96" s="116" t="e">
        <f aca="false">#REF!+E96+AE96+AG96+I96+K96+W96+Y96</f>
        <v>#REF!</v>
      </c>
      <c r="AM96" s="118"/>
    </row>
    <row r="97" customFormat="false" ht="12.75" hidden="false" customHeight="false" outlineLevel="0" collapsed="false">
      <c r="A97" s="99" t="s">
        <v>78</v>
      </c>
      <c r="B97" s="100"/>
      <c r="C97" s="112" t="n">
        <f aca="false">C54-C119</f>
        <v>-19473</v>
      </c>
      <c r="D97" s="100"/>
      <c r="E97" s="113" t="n">
        <f aca="false">E54-E119</f>
        <v>1</v>
      </c>
      <c r="F97" s="100"/>
      <c r="G97" s="113" t="n">
        <f aca="false">(+E97+C97)</f>
        <v>-19472</v>
      </c>
      <c r="H97" s="114"/>
      <c r="I97" s="112" t="n">
        <f aca="false">I54-I119</f>
        <v>-362</v>
      </c>
      <c r="J97" s="100"/>
      <c r="K97" s="112" t="n">
        <f aca="false">K54-K119</f>
        <v>0</v>
      </c>
      <c r="L97" s="100"/>
      <c r="M97" s="113" t="n">
        <f aca="false">(+K97+I97)</f>
        <v>-362</v>
      </c>
      <c r="N97" s="130"/>
      <c r="O97" s="112" t="n">
        <f aca="false">O54-O119</f>
        <v>35468</v>
      </c>
      <c r="P97" s="130"/>
      <c r="Q97" s="112" t="n">
        <f aca="false">Q54-Q119</f>
        <v>1</v>
      </c>
      <c r="R97" s="130"/>
      <c r="S97" s="112" t="n">
        <f aca="false">(+Q97+O97)</f>
        <v>35469</v>
      </c>
      <c r="T97" s="130"/>
      <c r="U97" s="112" t="n">
        <f aca="false">U54-U119</f>
        <v>-158774</v>
      </c>
      <c r="V97" s="100"/>
      <c r="W97" s="112" t="n">
        <f aca="false">W54-W119</f>
        <v>-2</v>
      </c>
      <c r="X97" s="114"/>
      <c r="Y97" s="113" t="n">
        <f aca="false">Y54-Y119</f>
        <v>-685</v>
      </c>
      <c r="Z97" s="100"/>
      <c r="AA97" s="113" t="n">
        <f aca="false">(+U97+W97+Y97)</f>
        <v>-159461</v>
      </c>
      <c r="AB97" s="100"/>
      <c r="AC97" s="113" t="n">
        <f aca="false">M97+G97+AA97+S97</f>
        <v>-143826</v>
      </c>
      <c r="AD97" s="100"/>
      <c r="AE97" s="116" t="n">
        <f aca="false">AE54-AE119</f>
        <v>-93234.198652036</v>
      </c>
      <c r="AF97" s="100"/>
      <c r="AG97" s="130"/>
      <c r="AH97" s="100"/>
      <c r="AI97" s="100"/>
      <c r="AK97" s="100"/>
      <c r="AL97" s="116" t="e">
        <f aca="false">#REF!+E97+AE97+AG97+I97+K97+W97+Y97</f>
        <v>#REF!</v>
      </c>
      <c r="AM97" s="118"/>
    </row>
    <row r="98" customFormat="false" ht="12.75" hidden="false" customHeight="false" outlineLevel="0" collapsed="false">
      <c r="A98" s="99" t="s">
        <v>96</v>
      </c>
      <c r="B98" s="159" t="n">
        <f aca="false">SUM(C95:C97)+C83-C98</f>
        <v>0</v>
      </c>
      <c r="C98" s="112" t="n">
        <f aca="false">C68-C103</f>
        <v>-1372449</v>
      </c>
      <c r="D98" s="159"/>
      <c r="E98" s="113" t="n">
        <f aca="false">E68-E103</f>
        <v>71572</v>
      </c>
      <c r="F98" s="100"/>
      <c r="G98" s="113" t="n">
        <f aca="false">G83+G95+G96+G97</f>
        <v>-1300877</v>
      </c>
      <c r="H98" s="114"/>
      <c r="I98" s="112" t="n">
        <f aca="false">I68-I103</f>
        <v>1134233</v>
      </c>
      <c r="J98" s="100" t="n">
        <f aca="false">SUM(K95:K97)+K83-K98</f>
        <v>0</v>
      </c>
      <c r="K98" s="112" t="n">
        <f aca="false">K68-K103</f>
        <v>0</v>
      </c>
      <c r="L98" s="100"/>
      <c r="M98" s="113" t="n">
        <f aca="false">M83+M95+M96+M97</f>
        <v>1134233</v>
      </c>
      <c r="N98" s="130"/>
      <c r="O98" s="112" t="n">
        <f aca="false">O68-O103</f>
        <v>-2354418</v>
      </c>
      <c r="P98" s="130" t="n">
        <f aca="false">SUM(U95:U97)+U83-U98</f>
        <v>0</v>
      </c>
      <c r="Q98" s="112" t="n">
        <f aca="false">Q68-Q103</f>
        <v>7144</v>
      </c>
      <c r="R98" s="130" t="n">
        <f aca="false">SUM(U95:U97)+U83-U98</f>
        <v>0</v>
      </c>
      <c r="S98" s="112" t="n">
        <f aca="false">S83+S95+S96+S97</f>
        <v>-2347274</v>
      </c>
      <c r="T98" s="130"/>
      <c r="U98" s="112" t="n">
        <f aca="false">U68-U103</f>
        <v>1701467</v>
      </c>
      <c r="V98" s="100" t="n">
        <f aca="false">SUM(W95:W97)+W83-W98</f>
        <v>0</v>
      </c>
      <c r="W98" s="112" t="n">
        <f aca="false">W68-W103</f>
        <v>45997</v>
      </c>
      <c r="X98" s="159" t="n">
        <f aca="false">SUM(Y95:Y97)+Y83-Y98</f>
        <v>0</v>
      </c>
      <c r="Y98" s="113" t="n">
        <f aca="false">Y68-Y103</f>
        <v>95959</v>
      </c>
      <c r="Z98" s="100"/>
      <c r="AA98" s="113" t="n">
        <f aca="false">AA83+AA95+AA96+AA97</f>
        <v>1843423</v>
      </c>
      <c r="AB98" s="100" t="n">
        <f aca="false">SUM(AC95:AC97)+AC83-AC98</f>
        <v>0</v>
      </c>
      <c r="AC98" s="113" t="n">
        <f aca="false">M98+G98+AA98+S98</f>
        <v>-670495</v>
      </c>
      <c r="AD98" s="124" t="n">
        <f aca="false">(SUM(AE95:AE97)+AE83-AE98)</f>
        <v>3.0535738915205E-007</v>
      </c>
      <c r="AE98" s="116" t="n">
        <f aca="false">AE68-AE103-AE57</f>
        <v>-431016.745447502</v>
      </c>
      <c r="AF98" s="100" t="n">
        <f aca="false">SUM(AG95:AG97)+AG83-AG98</f>
        <v>0</v>
      </c>
      <c r="AG98" s="130"/>
      <c r="AH98" s="100" t="n">
        <f aca="false">SUM(I95:I97)+I83-I98</f>
        <v>0</v>
      </c>
      <c r="AI98" s="100" t="n">
        <f aca="false">SUM(Y95:Y97)+Y83-Y98</f>
        <v>0</v>
      </c>
      <c r="AK98" s="100" t="e">
        <f aca="false">SUM(AL95:AL97)+AL83-AL98</f>
        <v>#REF!</v>
      </c>
      <c r="AL98" s="132" t="e">
        <f aca="false">AL83+AL95+AL96+AL97</f>
        <v>#REF!</v>
      </c>
      <c r="AM98" s="118"/>
      <c r="AN98" s="144"/>
      <c r="AO98" s="100"/>
    </row>
    <row r="99" customFormat="false" ht="12.75" hidden="true" customHeight="false" outlineLevel="0" collapsed="false">
      <c r="A99" s="99" t="s">
        <v>97</v>
      </c>
      <c r="B99" s="100"/>
      <c r="C99" s="127"/>
      <c r="D99" s="100"/>
      <c r="E99" s="115"/>
      <c r="F99" s="100"/>
      <c r="G99" s="116" t="e">
        <f aca="false">G98/SpotRates!B36</f>
        <v>#DIV/0!</v>
      </c>
      <c r="H99" s="115"/>
      <c r="I99" s="148"/>
      <c r="J99" s="100"/>
      <c r="K99" s="130"/>
      <c r="L99" s="100"/>
      <c r="M99" s="116" t="e">
        <f aca="false">M98/SpotRates!H36</f>
        <v>#DIV/0!</v>
      </c>
      <c r="N99" s="130"/>
      <c r="O99" s="127"/>
      <c r="P99" s="130"/>
      <c r="Q99" s="127"/>
      <c r="R99" s="130"/>
      <c r="S99" s="127" t="e">
        <f aca="false">S98/[1]SpotRates!N36</f>
        <v>#DIV/0!</v>
      </c>
      <c r="T99" s="130"/>
      <c r="U99" s="127"/>
      <c r="V99" s="100"/>
      <c r="W99" s="130"/>
      <c r="X99" s="115"/>
      <c r="Y99" s="116"/>
      <c r="Z99" s="100"/>
      <c r="AA99" s="130" t="e">
        <f aca="false">AA98/SpotRates!T36</f>
        <v>#DIV/0!</v>
      </c>
      <c r="AB99" s="100"/>
      <c r="AC99" s="116" t="n">
        <f aca="false">AC98/[1]SpotRates!F36</f>
        <v>-446823.843421481</v>
      </c>
      <c r="AD99" s="100"/>
      <c r="AE99" s="130"/>
      <c r="AF99" s="100"/>
      <c r="AG99" s="130"/>
      <c r="AH99" s="100"/>
      <c r="AI99" s="100"/>
      <c r="AK99" s="100"/>
      <c r="AL99" s="137"/>
      <c r="AM99" s="118"/>
      <c r="AN99" s="144"/>
    </row>
    <row r="100" customFormat="false" ht="12.75" hidden="true" customHeight="false" outlineLevel="0" collapsed="false">
      <c r="A100" s="99" t="s">
        <v>81</v>
      </c>
      <c r="B100" s="100"/>
      <c r="C100" s="127"/>
      <c r="D100" s="100"/>
      <c r="E100" s="115"/>
      <c r="F100" s="100"/>
      <c r="G100" s="116" t="e">
        <f aca="false">G101-G99</f>
        <v>#DIV/0!</v>
      </c>
      <c r="H100" s="115"/>
      <c r="I100" s="130"/>
      <c r="J100" s="100"/>
      <c r="K100" s="130"/>
      <c r="L100" s="100"/>
      <c r="M100" s="116" t="e">
        <f aca="false">M101-M99</f>
        <v>#DIV/0!</v>
      </c>
      <c r="N100" s="130"/>
      <c r="O100" s="127"/>
      <c r="P100" s="130"/>
      <c r="Q100" s="127"/>
      <c r="R100" s="130"/>
      <c r="S100" s="127" t="e">
        <f aca="false">S101-S99</f>
        <v>#DIV/0!</v>
      </c>
      <c r="T100" s="130"/>
      <c r="U100" s="127"/>
      <c r="V100" s="100"/>
      <c r="W100" s="130"/>
      <c r="X100" s="115"/>
      <c r="Y100" s="116"/>
      <c r="Z100" s="100"/>
      <c r="AA100" s="130" t="e">
        <f aca="false">AA101-AA99</f>
        <v>#DIV/0!</v>
      </c>
      <c r="AB100" s="100"/>
      <c r="AC100" s="116" t="n">
        <f aca="false">AC101-AC99</f>
        <v>15807.0979739797</v>
      </c>
      <c r="AD100" s="100"/>
      <c r="AE100" s="130"/>
      <c r="AF100" s="100"/>
      <c r="AG100" s="130"/>
      <c r="AH100" s="100"/>
      <c r="AI100" s="100"/>
      <c r="AK100" s="100"/>
      <c r="AL100" s="137"/>
      <c r="AM100" s="118"/>
      <c r="AN100" s="144"/>
    </row>
    <row r="101" customFormat="false" ht="12.75" hidden="true" customHeight="false" outlineLevel="0" collapsed="false">
      <c r="A101" s="99" t="s">
        <v>98</v>
      </c>
      <c r="B101" s="100"/>
      <c r="C101" s="127"/>
      <c r="D101" s="100"/>
      <c r="E101" s="115"/>
      <c r="F101" s="100"/>
      <c r="G101" s="116" t="e">
        <f aca="false">#REF!</f>
        <v>#REF!</v>
      </c>
      <c r="H101" s="115"/>
      <c r="I101" s="130"/>
      <c r="J101" s="100"/>
      <c r="K101" s="130"/>
      <c r="L101" s="100"/>
      <c r="M101" s="116" t="e">
        <f aca="false">#REF!</f>
        <v>#REF!</v>
      </c>
      <c r="N101" s="130"/>
      <c r="O101" s="127"/>
      <c r="P101" s="130"/>
      <c r="Q101" s="127"/>
      <c r="R101" s="130"/>
      <c r="S101" s="127" t="e">
        <f aca="false">#REF!</f>
        <v>#REF!</v>
      </c>
      <c r="T101" s="130"/>
      <c r="U101" s="127"/>
      <c r="V101" s="100"/>
      <c r="W101" s="130"/>
      <c r="X101" s="115"/>
      <c r="Y101" s="116"/>
      <c r="Z101" s="100"/>
      <c r="AA101" s="130" t="e">
        <f aca="false">#REF!</f>
        <v>#REF!</v>
      </c>
      <c r="AB101" s="100"/>
      <c r="AC101" s="116" t="n">
        <f aca="false">AE98</f>
        <v>-431016.745447502</v>
      </c>
      <c r="AD101" s="100"/>
      <c r="AE101" s="130"/>
      <c r="AF101" s="100"/>
      <c r="AG101" s="130"/>
      <c r="AH101" s="100"/>
      <c r="AI101" s="100"/>
      <c r="AK101" s="100"/>
      <c r="AL101" s="137"/>
      <c r="AM101" s="118"/>
      <c r="AN101" s="144"/>
    </row>
    <row r="102" customFormat="false" ht="12.75" hidden="false" customHeight="false" outlineLevel="0" collapsed="false">
      <c r="A102" s="99" t="s">
        <v>99</v>
      </c>
      <c r="C102" s="139"/>
      <c r="E102" s="140"/>
      <c r="G102" s="140"/>
      <c r="H102" s="140"/>
      <c r="M102" s="135" t="n">
        <f aca="false">+M98+G98</f>
        <v>-166644</v>
      </c>
      <c r="O102" s="139"/>
      <c r="Q102" s="139"/>
      <c r="S102" s="135" t="n">
        <f aca="false">+S98+M98+G98</f>
        <v>-2513918</v>
      </c>
      <c r="U102" s="139"/>
      <c r="X102" s="140"/>
      <c r="Y102" s="140"/>
      <c r="AB102" s="60" t="s">
        <v>100</v>
      </c>
      <c r="AC102" s="140"/>
    </row>
    <row r="103" customFormat="false" ht="12.75" hidden="false" customHeight="false" outlineLevel="0" collapsed="false">
      <c r="A103" s="95" t="s">
        <v>101</v>
      </c>
      <c r="C103" s="160" t="n">
        <v>249300919.434913</v>
      </c>
      <c r="D103" s="60" t="n">
        <v>0</v>
      </c>
      <c r="E103" s="160" t="n">
        <v>36229469</v>
      </c>
      <c r="G103" s="160" t="n">
        <v>285530388.434913</v>
      </c>
      <c r="H103" s="161" t="n">
        <v>0</v>
      </c>
      <c r="I103" s="160" t="n">
        <v>1363372</v>
      </c>
      <c r="J103" s="60" t="n">
        <v>0</v>
      </c>
      <c r="K103" s="162" t="n">
        <v>1961035</v>
      </c>
      <c r="M103" s="160" t="n">
        <v>3324407</v>
      </c>
      <c r="N103" s="163" t="n">
        <v>0</v>
      </c>
      <c r="O103" s="160" t="n">
        <v>-7386005</v>
      </c>
      <c r="P103" s="163" t="n">
        <v>0</v>
      </c>
      <c r="Q103" s="160" t="n">
        <v>2424318</v>
      </c>
      <c r="R103" s="163" t="n">
        <v>0</v>
      </c>
      <c r="S103" s="160" t="n">
        <v>-4961687</v>
      </c>
      <c r="T103" s="163" t="n">
        <v>0</v>
      </c>
      <c r="U103" s="160" t="n">
        <v>-3105904.53999999</v>
      </c>
      <c r="V103" s="60" t="n">
        <v>0</v>
      </c>
      <c r="W103" s="162" t="n">
        <v>-2474530</v>
      </c>
      <c r="X103" s="160" t="n">
        <v>0</v>
      </c>
      <c r="Y103" s="160" t="n">
        <v>2279737</v>
      </c>
      <c r="AA103" s="162" t="n">
        <v>-3300697.53999999</v>
      </c>
      <c r="AB103" s="60" t="n">
        <v>-0.240000009536743</v>
      </c>
      <c r="AC103" s="160" t="n">
        <v>280592410.894913</v>
      </c>
      <c r="AD103" s="164" t="n">
        <v>-0.15880811214447</v>
      </c>
      <c r="AE103" s="165" t="n">
        <f aca="false">174383164.325367-AE122</f>
        <v>177844322.103676</v>
      </c>
      <c r="AF103" s="60" t="n">
        <v>0</v>
      </c>
      <c r="AG103" s="163"/>
      <c r="AI103" s="60" t="n">
        <v>0</v>
      </c>
      <c r="AK103" s="60" t="n">
        <v>0.0325787365436554</v>
      </c>
      <c r="AL103" s="162" t="n">
        <v>158315437.807048</v>
      </c>
      <c r="AM103" s="144"/>
      <c r="AP103" s="59" t="s">
        <v>102</v>
      </c>
    </row>
    <row r="104" customFormat="false" ht="12.75" hidden="false" customHeight="false" outlineLevel="0" collapsed="false">
      <c r="A104" s="95"/>
      <c r="C104" s="166"/>
      <c r="E104" s="167"/>
      <c r="G104" s="167"/>
      <c r="H104" s="166"/>
      <c r="I104" s="167"/>
      <c r="K104" s="168"/>
      <c r="M104" s="167"/>
      <c r="N104" s="169"/>
      <c r="O104" s="167"/>
      <c r="P104" s="169"/>
      <c r="Q104" s="167"/>
      <c r="R104" s="169"/>
      <c r="S104" s="167"/>
      <c r="T104" s="169"/>
      <c r="U104" s="167"/>
      <c r="W104" s="168"/>
      <c r="X104" s="167"/>
      <c r="Y104" s="167"/>
      <c r="AA104" s="168"/>
      <c r="AC104" s="167"/>
      <c r="AD104" s="164"/>
      <c r="AE104" s="170"/>
      <c r="AG104" s="169"/>
      <c r="AL104" s="168"/>
    </row>
    <row r="105" customFormat="false" ht="12.75" hidden="false" customHeight="false" outlineLevel="0" collapsed="false">
      <c r="A105" s="95" t="s">
        <v>103</v>
      </c>
      <c r="C105" s="171" t="n">
        <v>597245</v>
      </c>
      <c r="E105" s="172" t="n">
        <v>0</v>
      </c>
      <c r="G105" s="172" t="n">
        <v>597245</v>
      </c>
      <c r="H105" s="139"/>
      <c r="I105" s="172" t="n">
        <v>0</v>
      </c>
      <c r="K105" s="173" t="n">
        <v>0</v>
      </c>
      <c r="M105" s="172" t="n">
        <v>0</v>
      </c>
      <c r="N105" s="163"/>
      <c r="O105" s="172" t="n">
        <v>0</v>
      </c>
      <c r="P105" s="163"/>
      <c r="Q105" s="172" t="n">
        <v>0</v>
      </c>
      <c r="R105" s="163"/>
      <c r="S105" s="172" t="n">
        <v>0</v>
      </c>
      <c r="T105" s="163"/>
      <c r="U105" s="172" t="n">
        <v>54909</v>
      </c>
      <c r="W105" s="173" t="n">
        <v>0</v>
      </c>
      <c r="X105" s="174"/>
      <c r="Y105" s="172" t="n">
        <v>0</v>
      </c>
      <c r="AA105" s="173" t="n">
        <v>54909</v>
      </c>
      <c r="AC105" s="172" t="n">
        <v>652154</v>
      </c>
      <c r="AD105" s="164"/>
      <c r="AE105" s="165" t="n">
        <v>423657.15909783</v>
      </c>
      <c r="AG105" s="163"/>
      <c r="AK105" s="60" t="n">
        <v>0</v>
      </c>
      <c r="AL105" s="173" t="n">
        <v>7940848.84791112</v>
      </c>
    </row>
    <row r="106" customFormat="false" ht="12.75" hidden="false" customHeight="false" outlineLevel="0" collapsed="false">
      <c r="A106" s="95" t="s">
        <v>104</v>
      </c>
      <c r="C106" s="161"/>
      <c r="E106" s="160"/>
      <c r="G106" s="160"/>
      <c r="H106" s="161"/>
      <c r="I106" s="160"/>
      <c r="K106" s="162"/>
      <c r="M106" s="160"/>
      <c r="N106" s="163"/>
      <c r="O106" s="160"/>
      <c r="P106" s="163"/>
      <c r="Q106" s="160"/>
      <c r="R106" s="163"/>
      <c r="S106" s="160"/>
      <c r="T106" s="163"/>
      <c r="U106" s="160"/>
      <c r="W106" s="162"/>
      <c r="X106" s="160"/>
      <c r="Y106" s="160"/>
      <c r="AA106" s="162"/>
      <c r="AC106" s="160"/>
      <c r="AD106" s="164"/>
      <c r="AE106" s="175"/>
      <c r="AG106" s="163"/>
      <c r="AL106" s="162"/>
    </row>
    <row r="107" customFormat="false" ht="12.75" hidden="false" customHeight="false" outlineLevel="0" collapsed="false">
      <c r="A107" s="95" t="s">
        <v>105</v>
      </c>
      <c r="C107" s="139" t="n">
        <v>-105054</v>
      </c>
      <c r="E107" s="174" t="n">
        <v>-25244</v>
      </c>
      <c r="G107" s="174" t="n">
        <v>-130298</v>
      </c>
      <c r="H107" s="139"/>
      <c r="I107" s="174" t="n">
        <v>261648</v>
      </c>
      <c r="K107" s="162" t="n">
        <v>8211</v>
      </c>
      <c r="M107" s="174" t="n">
        <v>269859</v>
      </c>
      <c r="N107" s="163"/>
      <c r="O107" s="174" t="n">
        <v>214813</v>
      </c>
      <c r="P107" s="163"/>
      <c r="Q107" s="174" t="n">
        <v>138</v>
      </c>
      <c r="R107" s="163"/>
      <c r="S107" s="174" t="n">
        <v>214951</v>
      </c>
      <c r="T107" s="163"/>
      <c r="U107" s="174" t="n">
        <v>1746302</v>
      </c>
      <c r="V107" s="176"/>
      <c r="W107" s="162" t="n">
        <v>768</v>
      </c>
      <c r="X107" s="174"/>
      <c r="Y107" s="162" t="n">
        <v>234617</v>
      </c>
      <c r="AA107" s="162" t="n">
        <v>1981687</v>
      </c>
      <c r="AC107" s="162" t="n">
        <v>2336199</v>
      </c>
      <c r="AD107" s="164"/>
      <c r="AE107" s="177" t="n">
        <v>1517659.06737855</v>
      </c>
      <c r="AG107" s="163"/>
      <c r="AI107" s="176"/>
      <c r="AJ107" s="178"/>
      <c r="AK107" s="176"/>
      <c r="AL107" s="179"/>
      <c r="AM107" s="178"/>
      <c r="AN107" s="178"/>
      <c r="AO107" s="27"/>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c r="BT107" s="178"/>
      <c r="BU107" s="178"/>
      <c r="BV107" s="178"/>
      <c r="BW107" s="178"/>
      <c r="BX107" s="178"/>
      <c r="BY107" s="178"/>
      <c r="BZ107" s="178"/>
      <c r="CA107" s="178"/>
      <c r="CB107" s="178"/>
      <c r="CC107" s="178"/>
      <c r="CD107" s="178"/>
      <c r="CE107" s="178"/>
      <c r="CF107" s="178"/>
      <c r="CG107" s="178"/>
      <c r="CH107" s="178"/>
      <c r="CI107" s="178"/>
      <c r="CJ107" s="178"/>
      <c r="CK107" s="178"/>
      <c r="CL107" s="178"/>
      <c r="CM107" s="178"/>
      <c r="CN107" s="178"/>
      <c r="CO107" s="178"/>
      <c r="CP107" s="178"/>
      <c r="CQ107" s="178"/>
      <c r="CR107" s="178"/>
      <c r="CS107" s="178"/>
      <c r="CT107" s="178"/>
      <c r="CU107" s="178"/>
      <c r="CV107" s="178"/>
      <c r="CW107" s="178"/>
      <c r="CX107" s="178"/>
      <c r="CY107" s="178"/>
      <c r="CZ107" s="178"/>
      <c r="DA107" s="178"/>
      <c r="DB107" s="178"/>
      <c r="DC107" s="178"/>
      <c r="DD107" s="178"/>
      <c r="DE107" s="178"/>
      <c r="DF107" s="178"/>
      <c r="DG107" s="178"/>
      <c r="DH107" s="178"/>
      <c r="DI107" s="178"/>
      <c r="DJ107" s="178"/>
      <c r="DK107" s="178"/>
      <c r="DL107" s="178"/>
      <c r="DM107" s="178"/>
      <c r="DN107" s="178"/>
      <c r="DO107" s="178"/>
      <c r="DP107" s="178"/>
      <c r="DQ107" s="178"/>
      <c r="DR107" s="178"/>
      <c r="DS107" s="178"/>
      <c r="DT107" s="178"/>
      <c r="DU107" s="178"/>
      <c r="DV107" s="178"/>
      <c r="DW107" s="178"/>
      <c r="DX107" s="178"/>
      <c r="DY107" s="178"/>
      <c r="DZ107" s="178"/>
      <c r="EA107" s="178"/>
      <c r="EB107" s="178"/>
      <c r="EC107" s="178"/>
      <c r="ED107" s="178"/>
      <c r="EE107" s="178"/>
      <c r="EF107" s="178"/>
      <c r="EG107" s="178"/>
      <c r="EH107" s="178"/>
      <c r="EI107" s="178"/>
      <c r="EJ107" s="178"/>
      <c r="EK107" s="178"/>
      <c r="EL107" s="178"/>
      <c r="EM107" s="178"/>
      <c r="EN107" s="178"/>
      <c r="EO107" s="178"/>
      <c r="EP107" s="178"/>
      <c r="EQ107" s="178"/>
      <c r="ER107" s="178"/>
      <c r="ES107" s="178"/>
      <c r="ET107" s="178"/>
      <c r="EU107" s="178"/>
      <c r="EV107" s="178"/>
      <c r="EW107" s="178"/>
      <c r="EX107" s="178"/>
      <c r="EY107" s="178"/>
      <c r="EZ107" s="178"/>
      <c r="FA107" s="178"/>
      <c r="FB107" s="178"/>
      <c r="FC107" s="178"/>
      <c r="FD107" s="178"/>
      <c r="FE107" s="178"/>
      <c r="FF107" s="178"/>
      <c r="FG107" s="178"/>
      <c r="FH107" s="178"/>
      <c r="FI107" s="178"/>
      <c r="FJ107" s="178"/>
      <c r="FK107" s="178"/>
      <c r="FL107" s="178"/>
      <c r="FM107" s="178"/>
      <c r="FN107" s="178"/>
      <c r="FO107" s="178"/>
      <c r="FP107" s="178"/>
      <c r="FQ107" s="178"/>
      <c r="FR107" s="178"/>
      <c r="FS107" s="178"/>
      <c r="FT107" s="178"/>
      <c r="FU107" s="178"/>
      <c r="FV107" s="178"/>
      <c r="FW107" s="178"/>
      <c r="FX107" s="178"/>
      <c r="FY107" s="178"/>
      <c r="FZ107" s="178"/>
      <c r="GA107" s="178"/>
      <c r="GB107" s="178"/>
      <c r="GC107" s="178"/>
      <c r="GD107" s="178"/>
      <c r="GE107" s="178"/>
      <c r="GF107" s="178"/>
      <c r="GG107" s="178"/>
      <c r="GH107" s="178"/>
      <c r="GI107" s="178"/>
      <c r="GJ107" s="178"/>
      <c r="GK107" s="178"/>
      <c r="GL107" s="178"/>
      <c r="GM107" s="178"/>
      <c r="GN107" s="178"/>
      <c r="GO107" s="178"/>
      <c r="GP107" s="178"/>
      <c r="GQ107" s="178"/>
      <c r="GR107" s="178"/>
      <c r="GS107" s="178"/>
      <c r="GT107" s="178"/>
      <c r="GU107" s="178"/>
      <c r="GV107" s="178"/>
      <c r="GW107" s="178"/>
      <c r="GX107" s="178"/>
      <c r="GY107" s="178"/>
      <c r="GZ107" s="178"/>
      <c r="HA107" s="178"/>
      <c r="HB107" s="178"/>
      <c r="HC107" s="178"/>
      <c r="HD107" s="178"/>
      <c r="HE107" s="178"/>
      <c r="HF107" s="178"/>
      <c r="HG107" s="178"/>
      <c r="HH107" s="178"/>
      <c r="HI107" s="178"/>
      <c r="HJ107" s="178"/>
      <c r="HK107" s="178"/>
      <c r="HL107" s="178"/>
      <c r="HM107" s="178"/>
      <c r="HN107" s="178"/>
      <c r="HO107" s="178"/>
      <c r="HP107" s="178"/>
      <c r="HQ107" s="178"/>
      <c r="HR107" s="178"/>
      <c r="HS107" s="178"/>
      <c r="HT107" s="178"/>
      <c r="HU107" s="178"/>
      <c r="HV107" s="178"/>
      <c r="HW107" s="178"/>
      <c r="HX107" s="178"/>
      <c r="HY107" s="178"/>
      <c r="HZ107" s="178"/>
      <c r="IA107" s="178"/>
      <c r="IB107" s="178"/>
      <c r="IC107" s="178"/>
      <c r="ID107" s="178"/>
      <c r="IE107" s="178"/>
      <c r="IF107" s="178"/>
      <c r="IG107" s="178"/>
      <c r="IH107" s="178"/>
      <c r="II107" s="178"/>
      <c r="IJ107" s="178"/>
      <c r="IK107" s="178"/>
      <c r="IL107" s="178"/>
      <c r="IM107" s="178"/>
      <c r="IN107" s="178"/>
      <c r="IO107" s="178"/>
      <c r="IP107" s="178"/>
      <c r="IQ107" s="178"/>
      <c r="IR107" s="178"/>
      <c r="IS107" s="178"/>
      <c r="IT107" s="178"/>
      <c r="IU107" s="178"/>
      <c r="IV107" s="178"/>
      <c r="IW107" s="178"/>
    </row>
    <row r="108" customFormat="false" ht="12.75" hidden="false" customHeight="false" outlineLevel="0" collapsed="false">
      <c r="A108" s="95" t="s">
        <v>106</v>
      </c>
      <c r="C108" s="139" t="n">
        <v>1974388</v>
      </c>
      <c r="E108" s="174" t="n">
        <v>0</v>
      </c>
      <c r="G108" s="174" t="n">
        <v>1974388</v>
      </c>
      <c r="H108" s="139"/>
      <c r="I108" s="174" t="n">
        <v>-1666039</v>
      </c>
      <c r="K108" s="163" t="n">
        <v>0</v>
      </c>
      <c r="M108" s="174" t="n">
        <v>-1666039</v>
      </c>
      <c r="N108" s="163"/>
      <c r="O108" s="174" t="n">
        <v>-2273525</v>
      </c>
      <c r="P108" s="163"/>
      <c r="Q108" s="174" t="n">
        <v>0</v>
      </c>
      <c r="R108" s="163"/>
      <c r="S108" s="174" t="n">
        <v>-2273525</v>
      </c>
      <c r="T108" s="163"/>
      <c r="U108" s="174" t="n">
        <v>10624989</v>
      </c>
      <c r="W108" s="163" t="n">
        <v>0</v>
      </c>
      <c r="X108" s="174"/>
      <c r="Y108" s="162" t="n">
        <v>-1959254</v>
      </c>
      <c r="AA108" s="163" t="n">
        <v>8665735</v>
      </c>
      <c r="AC108" s="162" t="n">
        <v>6700559</v>
      </c>
      <c r="AD108" s="164"/>
      <c r="AE108" s="177" t="n">
        <v>4352867.25268479</v>
      </c>
      <c r="AG108" s="163"/>
      <c r="AL108" s="163" t="n">
        <v>2052745.86733201</v>
      </c>
    </row>
    <row r="109" customFormat="false" ht="12.75" hidden="false" customHeight="false" outlineLevel="0" collapsed="false">
      <c r="A109" s="95" t="s">
        <v>107</v>
      </c>
      <c r="C109" s="139" t="n">
        <v>-8579744</v>
      </c>
      <c r="E109" s="174" t="n">
        <v>0</v>
      </c>
      <c r="G109" s="174" t="n">
        <v>-8579744</v>
      </c>
      <c r="H109" s="139"/>
      <c r="I109" s="174" t="n">
        <v>-58173</v>
      </c>
      <c r="K109" s="163" t="n">
        <v>0</v>
      </c>
      <c r="M109" s="174" t="n">
        <v>-58173</v>
      </c>
      <c r="N109" s="163"/>
      <c r="O109" s="174" t="n">
        <v>-3169772</v>
      </c>
      <c r="P109" s="163"/>
      <c r="Q109" s="174" t="n">
        <v>0</v>
      </c>
      <c r="R109" s="163"/>
      <c r="S109" s="174" t="n">
        <v>-3169772</v>
      </c>
      <c r="T109" s="163"/>
      <c r="U109" s="174" t="n">
        <v>-1185330</v>
      </c>
      <c r="W109" s="163" t="n">
        <v>0</v>
      </c>
      <c r="X109" s="174"/>
      <c r="Y109" s="162" t="n">
        <v>1926732</v>
      </c>
      <c r="AA109" s="163" t="n">
        <v>741402</v>
      </c>
      <c r="AC109" s="162" t="n">
        <v>-11066287</v>
      </c>
      <c r="AD109" s="164"/>
      <c r="AE109" s="177" t="n">
        <v>-7188964.12838263</v>
      </c>
      <c r="AG109" s="163"/>
      <c r="AL109" s="163" t="n">
        <v>-540658.433695008</v>
      </c>
    </row>
    <row r="110" customFormat="false" ht="12.75" hidden="false" customHeight="false" outlineLevel="0" collapsed="false">
      <c r="A110" s="95" t="s">
        <v>108</v>
      </c>
      <c r="C110" s="139" t="n">
        <v>0</v>
      </c>
      <c r="E110" s="174" t="n">
        <v>-5367</v>
      </c>
      <c r="G110" s="174" t="n">
        <v>-5367</v>
      </c>
      <c r="H110" s="139"/>
      <c r="I110" s="174" t="n">
        <v>0</v>
      </c>
      <c r="K110" s="163" t="n">
        <v>-42580</v>
      </c>
      <c r="M110" s="174" t="n">
        <v>-42580</v>
      </c>
      <c r="N110" s="163"/>
      <c r="O110" s="174" t="n">
        <v>0</v>
      </c>
      <c r="P110" s="163"/>
      <c r="Q110" s="174" t="n">
        <v>0</v>
      </c>
      <c r="R110" s="163"/>
      <c r="S110" s="174" t="n">
        <v>0</v>
      </c>
      <c r="T110" s="163"/>
      <c r="U110" s="174" t="n">
        <v>0</v>
      </c>
      <c r="W110" s="163" t="n">
        <v>-802</v>
      </c>
      <c r="X110" s="174"/>
      <c r="Y110" s="162" t="n">
        <v>0</v>
      </c>
      <c r="AA110" s="163" t="n">
        <v>-802</v>
      </c>
      <c r="AC110" s="162" t="n">
        <v>-48749</v>
      </c>
      <c r="AD110" s="164"/>
      <c r="AE110" s="177" t="n">
        <v>-31668.6899855864</v>
      </c>
      <c r="AG110" s="163"/>
      <c r="AL110" s="163" t="n">
        <v>0</v>
      </c>
    </row>
    <row r="111" customFormat="false" ht="12.75" hidden="false" customHeight="false" outlineLevel="0" collapsed="false">
      <c r="A111" s="95" t="s">
        <v>109</v>
      </c>
      <c r="C111" s="139" t="n">
        <v>-763190</v>
      </c>
      <c r="E111" s="174" t="n">
        <v>608555</v>
      </c>
      <c r="G111" s="174" t="n">
        <v>-154635</v>
      </c>
      <c r="H111" s="139"/>
      <c r="I111" s="174" t="n">
        <v>-183814</v>
      </c>
      <c r="K111" s="163" t="n">
        <v>0</v>
      </c>
      <c r="M111" s="174" t="n">
        <v>-183814</v>
      </c>
      <c r="N111" s="163"/>
      <c r="O111" s="174" t="n">
        <v>-52036</v>
      </c>
      <c r="P111" s="163"/>
      <c r="Q111" s="174" t="n">
        <v>50975</v>
      </c>
      <c r="R111" s="163"/>
      <c r="S111" s="174" t="n">
        <v>-1061</v>
      </c>
      <c r="T111" s="163"/>
      <c r="U111" s="174" t="n">
        <v>-8136168</v>
      </c>
      <c r="W111" s="163" t="n">
        <v>-10958</v>
      </c>
      <c r="X111" s="174"/>
      <c r="Y111" s="162" t="n">
        <v>32136</v>
      </c>
      <c r="AA111" s="163" t="n">
        <v>-8114990</v>
      </c>
      <c r="AC111" s="162" t="n">
        <v>-8454500</v>
      </c>
      <c r="AD111" s="164"/>
      <c r="AE111" s="177" t="n">
        <v>-5492275.52325464</v>
      </c>
      <c r="AG111" s="163"/>
      <c r="AL111" s="163"/>
    </row>
    <row r="112" customFormat="false" ht="12.75" hidden="false" customHeight="false" outlineLevel="0" collapsed="false">
      <c r="A112" s="95" t="s">
        <v>110</v>
      </c>
      <c r="C112" s="139" t="n">
        <v>-17686</v>
      </c>
      <c r="E112" s="174" t="n">
        <v>0</v>
      </c>
      <c r="G112" s="174" t="n">
        <v>-17686</v>
      </c>
      <c r="H112" s="139"/>
      <c r="I112" s="174" t="n">
        <v>0</v>
      </c>
      <c r="K112" s="163" t="n">
        <v>0</v>
      </c>
      <c r="M112" s="174" t="n">
        <v>0</v>
      </c>
      <c r="N112" s="163"/>
      <c r="O112" s="174" t="n">
        <v>0</v>
      </c>
      <c r="P112" s="163"/>
      <c r="Q112" s="174" t="n">
        <v>0</v>
      </c>
      <c r="R112" s="163"/>
      <c r="S112" s="174" t="n">
        <v>0</v>
      </c>
      <c r="T112" s="163"/>
      <c r="U112" s="174" t="n">
        <v>1828867</v>
      </c>
      <c r="W112" s="163" t="n">
        <v>0</v>
      </c>
      <c r="X112" s="174"/>
      <c r="Y112" s="162" t="n">
        <v>0</v>
      </c>
      <c r="AA112" s="163" t="n">
        <v>1828867</v>
      </c>
      <c r="AC112" s="162" t="n">
        <v>1811181</v>
      </c>
      <c r="AD112" s="164"/>
      <c r="AE112" s="177" t="n">
        <v>1176592.94748168</v>
      </c>
      <c r="AG112" s="163"/>
      <c r="AL112" s="163" t="n">
        <v>53363.9221525976</v>
      </c>
    </row>
    <row r="113" customFormat="false" ht="12.75" hidden="false" customHeight="false" outlineLevel="0" collapsed="false">
      <c r="A113" s="95" t="s">
        <v>111</v>
      </c>
      <c r="C113" s="139" t="n">
        <v>-33482</v>
      </c>
      <c r="E113" s="174" t="n">
        <v>0</v>
      </c>
      <c r="G113" s="174" t="n">
        <v>-33482</v>
      </c>
      <c r="H113" s="139"/>
      <c r="I113" s="174" t="n">
        <v>0</v>
      </c>
      <c r="K113" s="163" t="n">
        <v>0</v>
      </c>
      <c r="M113" s="174" t="n">
        <v>0</v>
      </c>
      <c r="N113" s="163"/>
      <c r="O113" s="174" t="n">
        <v>0</v>
      </c>
      <c r="P113" s="163"/>
      <c r="Q113" s="174" t="n">
        <v>0</v>
      </c>
      <c r="R113" s="163"/>
      <c r="S113" s="174" t="n">
        <v>0</v>
      </c>
      <c r="T113" s="163"/>
      <c r="U113" s="174" t="n">
        <v>-1509270</v>
      </c>
      <c r="W113" s="163" t="n">
        <v>0</v>
      </c>
      <c r="X113" s="174"/>
      <c r="Y113" s="162" t="n">
        <v>0</v>
      </c>
      <c r="AA113" s="163" t="n">
        <v>-1509270</v>
      </c>
      <c r="AC113" s="162" t="n">
        <v>-1542752</v>
      </c>
      <c r="AD113" s="164"/>
      <c r="AE113" s="177" t="n">
        <v>-1002214.09285613</v>
      </c>
      <c r="AG113" s="163"/>
      <c r="AL113" s="163" t="n">
        <v>-10470.2674160253</v>
      </c>
    </row>
    <row r="114" customFormat="false" ht="12.75" hidden="false" customHeight="false" outlineLevel="0" collapsed="false">
      <c r="A114" s="95" t="s">
        <v>112</v>
      </c>
      <c r="C114" s="139" t="n">
        <v>21391</v>
      </c>
      <c r="E114" s="174" t="n">
        <v>0</v>
      </c>
      <c r="G114" s="174" t="n">
        <v>21391</v>
      </c>
      <c r="H114" s="139"/>
      <c r="I114" s="174" t="n">
        <v>0</v>
      </c>
      <c r="K114" s="163" t="n">
        <v>0</v>
      </c>
      <c r="M114" s="174" t="n">
        <v>0</v>
      </c>
      <c r="N114" s="163"/>
      <c r="O114" s="174" t="n">
        <v>0</v>
      </c>
      <c r="P114" s="163"/>
      <c r="Q114" s="174" t="n">
        <v>0</v>
      </c>
      <c r="R114" s="163"/>
      <c r="S114" s="174" t="n">
        <v>0</v>
      </c>
      <c r="T114" s="163"/>
      <c r="U114" s="174" t="n">
        <v>1010497</v>
      </c>
      <c r="W114" s="163" t="n">
        <v>0</v>
      </c>
      <c r="X114" s="174"/>
      <c r="Y114" s="162" t="n">
        <v>0</v>
      </c>
      <c r="AA114" s="163" t="n">
        <v>1010497</v>
      </c>
      <c r="AC114" s="162" t="n">
        <v>1031888</v>
      </c>
      <c r="AD114" s="164"/>
      <c r="AE114" s="177" t="n">
        <v>670342.800300453</v>
      </c>
      <c r="AG114" s="163"/>
      <c r="AL114" s="163" t="n">
        <v>-43546.3243666172</v>
      </c>
    </row>
    <row r="115" customFormat="false" ht="12.75" hidden="false" customHeight="false" outlineLevel="0" collapsed="false">
      <c r="A115" s="95" t="s">
        <v>113</v>
      </c>
      <c r="C115" s="139" t="n">
        <v>0</v>
      </c>
      <c r="E115" s="174" t="n">
        <v>0</v>
      </c>
      <c r="G115" s="174" t="n">
        <v>0</v>
      </c>
      <c r="H115" s="139"/>
      <c r="I115" s="174" t="n">
        <v>0</v>
      </c>
      <c r="K115" s="163" t="n">
        <v>0</v>
      </c>
      <c r="M115" s="174" t="n">
        <v>0</v>
      </c>
      <c r="N115" s="163"/>
      <c r="O115" s="174" t="n">
        <v>0</v>
      </c>
      <c r="P115" s="163"/>
      <c r="Q115" s="174" t="n">
        <v>0</v>
      </c>
      <c r="R115" s="163"/>
      <c r="S115" s="174" t="n">
        <v>0</v>
      </c>
      <c r="T115" s="163"/>
      <c r="U115" s="174" t="n">
        <v>0</v>
      </c>
      <c r="W115" s="163" t="n">
        <v>0</v>
      </c>
      <c r="X115" s="174"/>
      <c r="Y115" s="174" t="n">
        <v>0</v>
      </c>
      <c r="AA115" s="163" t="n">
        <v>0</v>
      </c>
      <c r="AC115" s="163" t="n">
        <v>0</v>
      </c>
      <c r="AD115" s="164"/>
      <c r="AE115" s="177" t="n">
        <v>0</v>
      </c>
      <c r="AG115" s="163"/>
      <c r="AL115" s="163" t="n">
        <v>0</v>
      </c>
    </row>
    <row r="116" customFormat="false" ht="12.75" hidden="false" customHeight="false" outlineLevel="0" collapsed="false">
      <c r="A116" s="95" t="s">
        <v>114</v>
      </c>
      <c r="C116" s="139" t="n">
        <v>-60000</v>
      </c>
      <c r="E116" s="174" t="n">
        <v>0</v>
      </c>
      <c r="G116" s="174" t="n">
        <v>-60000</v>
      </c>
      <c r="H116" s="139"/>
      <c r="I116" s="174" t="n">
        <v>0</v>
      </c>
      <c r="K116" s="180" t="n">
        <v>0</v>
      </c>
      <c r="M116" s="174" t="n">
        <v>0</v>
      </c>
      <c r="N116" s="181"/>
      <c r="O116" s="174" t="n">
        <v>0</v>
      </c>
      <c r="P116" s="181"/>
      <c r="Q116" s="174" t="n">
        <v>0</v>
      </c>
      <c r="R116" s="181"/>
      <c r="S116" s="174" t="n">
        <v>0</v>
      </c>
      <c r="T116" s="181"/>
      <c r="U116" s="174" t="n">
        <v>0</v>
      </c>
      <c r="W116" s="180" t="n">
        <v>0</v>
      </c>
      <c r="X116" s="174"/>
      <c r="Y116" s="174" t="n">
        <v>0</v>
      </c>
      <c r="AA116" s="180" t="n">
        <v>0</v>
      </c>
      <c r="AC116" s="174" t="n">
        <v>-60000</v>
      </c>
      <c r="AD116" s="164"/>
      <c r="AE116" s="177" t="n">
        <v>-38977.6487545423</v>
      </c>
      <c r="AG116" s="181"/>
      <c r="AL116" s="180" t="n">
        <v>0</v>
      </c>
    </row>
    <row r="117" customFormat="false" ht="12.75" hidden="false" customHeight="false" outlineLevel="0" collapsed="false">
      <c r="A117" s="95" t="s">
        <v>115</v>
      </c>
      <c r="C117" s="171" t="n">
        <v>-7563377</v>
      </c>
      <c r="E117" s="172" t="n">
        <v>577944</v>
      </c>
      <c r="G117" s="172" t="n">
        <v>-6985433</v>
      </c>
      <c r="H117" s="139"/>
      <c r="I117" s="172" t="n">
        <v>-1646378</v>
      </c>
      <c r="K117" s="173" t="n">
        <v>-34369</v>
      </c>
      <c r="M117" s="172" t="n">
        <v>-1680747</v>
      </c>
      <c r="N117" s="163"/>
      <c r="O117" s="172" t="n">
        <v>-5280520</v>
      </c>
      <c r="P117" s="163"/>
      <c r="Q117" s="172" t="n">
        <v>51113</v>
      </c>
      <c r="R117" s="163"/>
      <c r="S117" s="172" t="n">
        <v>-5229407</v>
      </c>
      <c r="T117" s="163"/>
      <c r="U117" s="172" t="n">
        <v>4379887</v>
      </c>
      <c r="W117" s="173" t="n">
        <v>-10992</v>
      </c>
      <c r="X117" s="174"/>
      <c r="Y117" s="180" t="n">
        <v>234231</v>
      </c>
      <c r="AA117" s="173" t="n">
        <v>4603126</v>
      </c>
      <c r="AC117" s="172" t="n">
        <v>-9292461</v>
      </c>
      <c r="AD117" s="164"/>
      <c r="AE117" s="182" t="n">
        <v>-6036638.01538805</v>
      </c>
      <c r="AG117" s="163"/>
      <c r="AL117" s="173" t="n">
        <v>1511434.76400696</v>
      </c>
    </row>
    <row r="118" customFormat="false" ht="12.75" hidden="false" customHeight="false" outlineLevel="0" collapsed="false">
      <c r="A118" s="95" t="s">
        <v>116</v>
      </c>
      <c r="C118" s="171" t="n">
        <v>0</v>
      </c>
      <c r="E118" s="172" t="n">
        <v>0</v>
      </c>
      <c r="G118" s="172" t="n">
        <v>0</v>
      </c>
      <c r="H118" s="139"/>
      <c r="I118" s="172" t="n">
        <v>0</v>
      </c>
      <c r="K118" s="173" t="n">
        <v>0</v>
      </c>
      <c r="M118" s="172" t="n">
        <v>0</v>
      </c>
      <c r="N118" s="163"/>
      <c r="O118" s="172" t="n">
        <v>0</v>
      </c>
      <c r="P118" s="163"/>
      <c r="Q118" s="172" t="n">
        <v>0</v>
      </c>
      <c r="R118" s="163"/>
      <c r="S118" s="172" t="n">
        <v>0</v>
      </c>
      <c r="T118" s="163"/>
      <c r="U118" s="172" t="n">
        <v>0</v>
      </c>
      <c r="W118" s="173" t="n">
        <v>0</v>
      </c>
      <c r="X118" s="174"/>
      <c r="Y118" s="173" t="n">
        <v>0</v>
      </c>
      <c r="AA118" s="173" t="n">
        <v>0</v>
      </c>
      <c r="AC118" s="172" t="n">
        <v>0</v>
      </c>
      <c r="AD118" s="164"/>
      <c r="AE118" s="165" t="n">
        <v>0</v>
      </c>
      <c r="AG118" s="163"/>
      <c r="AL118" s="173" t="n">
        <v>-1568824.33028974</v>
      </c>
    </row>
    <row r="119" customFormat="false" ht="12.75" hidden="false" customHeight="false" outlineLevel="0" collapsed="false">
      <c r="A119" s="95" t="s">
        <v>117</v>
      </c>
      <c r="C119" s="171" t="n">
        <v>49906</v>
      </c>
      <c r="E119" s="172" t="n">
        <v>193</v>
      </c>
      <c r="G119" s="172" t="n">
        <v>50099</v>
      </c>
      <c r="H119" s="139"/>
      <c r="I119" s="172" t="n">
        <v>-4285</v>
      </c>
      <c r="K119" s="59" t="n">
        <v>-13</v>
      </c>
      <c r="M119" s="172" t="n">
        <v>-4298</v>
      </c>
      <c r="O119" s="172" t="n">
        <v>77220</v>
      </c>
      <c r="Q119" s="172" t="n">
        <v>6</v>
      </c>
      <c r="S119" s="172" t="n">
        <v>77226</v>
      </c>
      <c r="U119" s="172" t="n">
        <v>-396808</v>
      </c>
      <c r="W119" s="59" t="n">
        <v>-1</v>
      </c>
      <c r="X119" s="174"/>
      <c r="Y119" s="173" t="n">
        <v>-1426</v>
      </c>
      <c r="AA119" s="59" t="n">
        <v>-398235</v>
      </c>
      <c r="AC119" s="172" t="n">
        <v>-275208</v>
      </c>
      <c r="AD119" s="164"/>
      <c r="AE119" s="165" t="n">
        <v>-178782.679307335</v>
      </c>
      <c r="AL119" s="59" t="n">
        <v>5362.56788379982</v>
      </c>
    </row>
    <row r="120" customFormat="false" ht="12.75" hidden="false" customHeight="false" outlineLevel="0" collapsed="false">
      <c r="A120" s="95"/>
      <c r="C120" s="61" t="n">
        <v>-6916226</v>
      </c>
      <c r="E120" s="59" t="n">
        <v>578137</v>
      </c>
      <c r="F120" s="0"/>
      <c r="G120" s="59" t="n">
        <v>-6338089</v>
      </c>
      <c r="H120" s="61"/>
      <c r="I120" s="183" t="n">
        <v>-1650663</v>
      </c>
      <c r="K120" s="137" t="n">
        <v>-34382</v>
      </c>
      <c r="L120" s="0"/>
      <c r="M120" s="59" t="n">
        <v>-1685045</v>
      </c>
      <c r="N120" s="137"/>
      <c r="O120" s="61" t="n">
        <v>-5203300</v>
      </c>
      <c r="P120" s="137"/>
      <c r="Q120" s="61" t="n">
        <v>51119</v>
      </c>
      <c r="R120" s="137"/>
      <c r="S120" s="61" t="n">
        <v>-5152181</v>
      </c>
      <c r="T120" s="137"/>
      <c r="U120" s="61" t="n">
        <v>4037988</v>
      </c>
      <c r="W120" s="137" t="n">
        <v>-10993</v>
      </c>
      <c r="Y120" s="59" t="n">
        <v>232805</v>
      </c>
      <c r="Z120" s="0"/>
      <c r="AA120" s="137" t="n">
        <v>4259800</v>
      </c>
      <c r="AC120" s="59" t="n">
        <v>-8915515</v>
      </c>
      <c r="AD120" s="164"/>
      <c r="AE120" s="165" t="n">
        <v>-5791763.53559756</v>
      </c>
      <c r="AG120" s="137"/>
      <c r="AL120" s="137" t="n">
        <v>7888821.84951214</v>
      </c>
    </row>
    <row r="121" customFormat="false" ht="12.75" hidden="false" customHeight="false" outlineLevel="0" collapsed="false">
      <c r="A121" s="184"/>
      <c r="G121" s="59" t="n">
        <v>-6935334</v>
      </c>
      <c r="M121" s="59" t="n">
        <v>-1685045</v>
      </c>
      <c r="S121" s="61" t="n">
        <v>-5152181</v>
      </c>
      <c r="Y121" s="59" t="n">
        <v>232805</v>
      </c>
      <c r="AA121" s="59" t="n">
        <v>4204891</v>
      </c>
      <c r="AC121" s="59" t="n">
        <v>-9567669</v>
      </c>
      <c r="AD121" s="164"/>
      <c r="AE121" s="185" t="n">
        <v>-6215420.69469539</v>
      </c>
    </row>
    <row r="122" customFormat="false" ht="12.75" hidden="false" customHeight="false" outlineLevel="0" collapsed="false">
      <c r="AD122" s="164"/>
      <c r="AE122" s="165" t="n">
        <v>-3461157.77830909</v>
      </c>
    </row>
    <row r="123" customFormat="false" ht="12.75" hidden="false" customHeight="false" outlineLevel="0" collapsed="false">
      <c r="AD123" s="164"/>
      <c r="AE123" s="165" t="n">
        <v>-9252921.31390665</v>
      </c>
    </row>
    <row r="124" customFormat="false" ht="12.75" hidden="false" customHeight="false" outlineLevel="0" collapsed="false">
      <c r="AE124" s="60"/>
    </row>
    <row r="135" customFormat="false" ht="12.75" hidden="false" customHeight="false" outlineLevel="0" collapsed="false">
      <c r="A135" s="186" t="s">
        <v>118</v>
      </c>
      <c r="B135" s="124" t="s">
        <v>119</v>
      </c>
      <c r="C135" s="171" t="n">
        <v>0</v>
      </c>
      <c r="D135" s="124"/>
      <c r="E135" s="172" t="n">
        <v>0</v>
      </c>
      <c r="G135" s="172" t="n">
        <v>0</v>
      </c>
      <c r="H135" s="139"/>
      <c r="I135" s="187" t="n">
        <v>0</v>
      </c>
      <c r="K135" s="173" t="n">
        <v>0</v>
      </c>
      <c r="M135" s="172" t="n">
        <v>0</v>
      </c>
      <c r="N135" s="163"/>
      <c r="O135" s="188" t="n">
        <v>0</v>
      </c>
      <c r="P135" s="163"/>
      <c r="Q135" s="188" t="n">
        <v>0</v>
      </c>
      <c r="R135" s="163"/>
      <c r="S135" s="188" t="n">
        <v>0</v>
      </c>
      <c r="T135" s="163"/>
      <c r="U135" s="189" t="n">
        <v>0</v>
      </c>
      <c r="W135" s="173" t="n">
        <v>0</v>
      </c>
      <c r="X135" s="174"/>
      <c r="Y135" s="172" t="n">
        <v>0</v>
      </c>
      <c r="AA135" s="173" t="n">
        <v>0</v>
      </c>
      <c r="AB135" s="60" t="n">
        <v>0</v>
      </c>
      <c r="AC135" s="172" t="n">
        <v>0</v>
      </c>
      <c r="AE135" s="173" t="n">
        <v>0</v>
      </c>
      <c r="AG135" s="163"/>
      <c r="AK135" s="60" t="n">
        <v>0</v>
      </c>
      <c r="AL135" s="173" t="n">
        <v>0</v>
      </c>
    </row>
    <row r="136" customFormat="false" ht="12.75" hidden="false" customHeight="false" outlineLevel="0" collapsed="false">
      <c r="C136" s="161"/>
      <c r="E136" s="160"/>
      <c r="G136" s="160"/>
      <c r="H136" s="161"/>
      <c r="I136" s="162"/>
      <c r="K136" s="162"/>
      <c r="M136" s="160"/>
      <c r="N136" s="163"/>
      <c r="O136" s="160"/>
      <c r="P136" s="163"/>
      <c r="Q136" s="160"/>
      <c r="R136" s="163"/>
      <c r="S136" s="160"/>
      <c r="T136" s="163"/>
      <c r="U136" s="161"/>
      <c r="W136" s="162"/>
      <c r="X136" s="160"/>
      <c r="Y136" s="160"/>
      <c r="AA136" s="162"/>
      <c r="AC136" s="160"/>
      <c r="AE136" s="162" t="n">
        <v>0</v>
      </c>
      <c r="AG136" s="163"/>
      <c r="AL136" s="162" t="n">
        <v>0</v>
      </c>
    </row>
    <row r="137" customFormat="false" ht="12.75" hidden="false" customHeight="false" outlineLevel="0" collapsed="false">
      <c r="C137" s="139" t="n">
        <v>0</v>
      </c>
      <c r="E137" s="174" t="n">
        <v>0</v>
      </c>
      <c r="G137" s="174" t="n">
        <v>0</v>
      </c>
      <c r="H137" s="139"/>
      <c r="I137" s="163" t="n">
        <v>0</v>
      </c>
      <c r="K137" s="163" t="n">
        <v>0</v>
      </c>
      <c r="M137" s="174" t="n">
        <v>0</v>
      </c>
      <c r="N137" s="163"/>
      <c r="O137" s="174" t="n">
        <v>0</v>
      </c>
      <c r="P137" s="163"/>
      <c r="Q137" s="174" t="n">
        <v>0</v>
      </c>
      <c r="R137" s="163"/>
      <c r="S137" s="174" t="n">
        <v>0</v>
      </c>
      <c r="T137" s="163"/>
      <c r="U137" s="139" t="n">
        <v>0</v>
      </c>
      <c r="W137" s="163" t="n">
        <v>0</v>
      </c>
      <c r="X137" s="174"/>
      <c r="Y137" s="174" t="n">
        <v>0</v>
      </c>
      <c r="AA137" s="163" t="n">
        <v>0</v>
      </c>
      <c r="AC137" s="174" t="n">
        <v>0</v>
      </c>
      <c r="AE137" s="162" t="n">
        <v>0</v>
      </c>
      <c r="AG137" s="163"/>
      <c r="AL137" s="163" t="n">
        <v>0</v>
      </c>
    </row>
    <row r="138" customFormat="false" ht="12.75" hidden="false" customHeight="false" outlineLevel="0" collapsed="false">
      <c r="C138" s="139" t="n">
        <v>0</v>
      </c>
      <c r="E138" s="174" t="n">
        <v>0</v>
      </c>
      <c r="G138" s="174" t="n">
        <v>0</v>
      </c>
      <c r="H138" s="139"/>
      <c r="I138" s="163" t="n">
        <v>0</v>
      </c>
      <c r="K138" s="163" t="n">
        <v>0</v>
      </c>
      <c r="M138" s="174" t="n">
        <v>0</v>
      </c>
      <c r="N138" s="163"/>
      <c r="O138" s="174" t="n">
        <v>0</v>
      </c>
      <c r="P138" s="163"/>
      <c r="Q138" s="174" t="n">
        <v>0</v>
      </c>
      <c r="R138" s="163"/>
      <c r="S138" s="174" t="n">
        <v>0</v>
      </c>
      <c r="T138" s="163"/>
      <c r="U138" s="139" t="n">
        <v>0</v>
      </c>
      <c r="W138" s="163" t="n">
        <v>0</v>
      </c>
      <c r="X138" s="174"/>
      <c r="Y138" s="174" t="n">
        <v>0</v>
      </c>
      <c r="AA138" s="163" t="n">
        <v>0</v>
      </c>
      <c r="AC138" s="174" t="n">
        <v>0</v>
      </c>
      <c r="AE138" s="163" t="n">
        <v>0</v>
      </c>
      <c r="AG138" s="163"/>
      <c r="AL138" s="163" t="n">
        <v>0</v>
      </c>
    </row>
    <row r="139" customFormat="false" ht="12.75" hidden="false" customHeight="false" outlineLevel="0" collapsed="false">
      <c r="C139" s="139" t="n">
        <v>0</v>
      </c>
      <c r="E139" s="174" t="n">
        <v>0</v>
      </c>
      <c r="G139" s="174" t="n">
        <v>0</v>
      </c>
      <c r="H139" s="139"/>
      <c r="I139" s="163" t="n">
        <v>0</v>
      </c>
      <c r="K139" s="163" t="n">
        <v>0</v>
      </c>
      <c r="M139" s="174" t="n">
        <v>0</v>
      </c>
      <c r="N139" s="163"/>
      <c r="O139" s="174" t="n">
        <v>0</v>
      </c>
      <c r="P139" s="163"/>
      <c r="Q139" s="174" t="n">
        <v>0</v>
      </c>
      <c r="R139" s="163"/>
      <c r="S139" s="174" t="n">
        <v>0</v>
      </c>
      <c r="T139" s="163"/>
      <c r="U139" s="139" t="n">
        <v>0</v>
      </c>
      <c r="W139" s="163" t="n">
        <v>0</v>
      </c>
      <c r="X139" s="174"/>
      <c r="Y139" s="174" t="n">
        <v>0</v>
      </c>
      <c r="AA139" s="163" t="n">
        <v>0</v>
      </c>
      <c r="AC139" s="174" t="n">
        <v>0</v>
      </c>
      <c r="AE139" s="163" t="n">
        <v>0</v>
      </c>
      <c r="AG139" s="163"/>
      <c r="AL139" s="163" t="n">
        <v>0</v>
      </c>
    </row>
    <row r="140" customFormat="false" ht="12.75" hidden="false" customHeight="false" outlineLevel="0" collapsed="false">
      <c r="C140" s="139" t="n">
        <v>0</v>
      </c>
      <c r="E140" s="174" t="n">
        <v>0</v>
      </c>
      <c r="G140" s="174" t="n">
        <v>0</v>
      </c>
      <c r="H140" s="139"/>
      <c r="I140" s="163" t="n">
        <v>0</v>
      </c>
      <c r="K140" s="163" t="n">
        <v>0</v>
      </c>
      <c r="M140" s="174" t="n">
        <v>0</v>
      </c>
      <c r="N140" s="163"/>
      <c r="O140" s="174" t="n">
        <v>0</v>
      </c>
      <c r="P140" s="163"/>
      <c r="Q140" s="174" t="n">
        <v>0</v>
      </c>
      <c r="R140" s="163"/>
      <c r="S140" s="174" t="n">
        <v>0</v>
      </c>
      <c r="T140" s="163"/>
      <c r="U140" s="139" t="n">
        <v>0</v>
      </c>
      <c r="W140" s="163" t="n">
        <v>0</v>
      </c>
      <c r="X140" s="174"/>
      <c r="Y140" s="174" t="n">
        <v>0</v>
      </c>
      <c r="AA140" s="163" t="n">
        <v>0</v>
      </c>
      <c r="AC140" s="174" t="n">
        <v>0</v>
      </c>
      <c r="AE140" s="163" t="n">
        <v>0</v>
      </c>
      <c r="AG140" s="163"/>
      <c r="AL140" s="163" t="n">
        <v>0</v>
      </c>
    </row>
    <row r="141" customFormat="false" ht="12.75" hidden="false" customHeight="false" outlineLevel="0" collapsed="false">
      <c r="C141" s="139" t="n">
        <v>0</v>
      </c>
      <c r="E141" s="174" t="n">
        <v>0</v>
      </c>
      <c r="G141" s="174" t="n">
        <v>0</v>
      </c>
      <c r="H141" s="139"/>
      <c r="I141" s="163" t="n">
        <v>0</v>
      </c>
      <c r="K141" s="163" t="n">
        <v>0</v>
      </c>
      <c r="M141" s="174" t="n">
        <v>0</v>
      </c>
      <c r="N141" s="163"/>
      <c r="O141" s="174" t="n">
        <v>0</v>
      </c>
      <c r="P141" s="163"/>
      <c r="Q141" s="174" t="n">
        <v>0</v>
      </c>
      <c r="R141" s="163"/>
      <c r="S141" s="174" t="n">
        <v>0</v>
      </c>
      <c r="T141" s="163"/>
      <c r="U141" s="139" t="n">
        <v>0</v>
      </c>
      <c r="W141" s="163" t="n">
        <v>0</v>
      </c>
      <c r="X141" s="174"/>
      <c r="Y141" s="174" t="n">
        <v>0</v>
      </c>
      <c r="AA141" s="163" t="n">
        <v>0</v>
      </c>
      <c r="AC141" s="174" t="n">
        <v>0</v>
      </c>
      <c r="AE141" s="163" t="n">
        <v>0</v>
      </c>
      <c r="AG141" s="163"/>
      <c r="AL141" s="163" t="n">
        <v>0</v>
      </c>
    </row>
    <row r="142" customFormat="false" ht="12.75" hidden="false" customHeight="false" outlineLevel="0" collapsed="false">
      <c r="C142" s="139" t="n">
        <v>0</v>
      </c>
      <c r="E142" s="174" t="n">
        <v>0</v>
      </c>
      <c r="G142" s="174" t="n">
        <v>0</v>
      </c>
      <c r="H142" s="139"/>
      <c r="I142" s="163" t="n">
        <v>0</v>
      </c>
      <c r="K142" s="163" t="n">
        <v>0</v>
      </c>
      <c r="M142" s="174" t="n">
        <v>0</v>
      </c>
      <c r="N142" s="163"/>
      <c r="O142" s="174" t="n">
        <v>0</v>
      </c>
      <c r="P142" s="163"/>
      <c r="Q142" s="174" t="n">
        <v>0</v>
      </c>
      <c r="R142" s="163"/>
      <c r="S142" s="174" t="n">
        <v>0</v>
      </c>
      <c r="T142" s="163"/>
      <c r="U142" s="139" t="n">
        <v>0</v>
      </c>
      <c r="W142" s="163" t="n">
        <v>0</v>
      </c>
      <c r="X142" s="174"/>
      <c r="Y142" s="174" t="n">
        <v>0</v>
      </c>
      <c r="AA142" s="163" t="n">
        <v>0</v>
      </c>
      <c r="AC142" s="174" t="n">
        <v>0</v>
      </c>
      <c r="AE142" s="163" t="n">
        <v>0</v>
      </c>
      <c r="AG142" s="163"/>
      <c r="AL142" s="163" t="n">
        <v>0</v>
      </c>
    </row>
    <row r="143" customFormat="false" ht="12.75" hidden="false" customHeight="false" outlineLevel="0" collapsed="false">
      <c r="C143" s="139"/>
      <c r="E143" s="174" t="n">
        <v>0</v>
      </c>
      <c r="G143" s="174" t="n">
        <v>0</v>
      </c>
      <c r="H143" s="139"/>
      <c r="I143" s="163" t="n">
        <v>0</v>
      </c>
      <c r="K143" s="163" t="n">
        <v>0</v>
      </c>
      <c r="M143" s="174" t="n">
        <v>0</v>
      </c>
      <c r="N143" s="163"/>
      <c r="O143" s="174" t="n">
        <v>0</v>
      </c>
      <c r="P143" s="163"/>
      <c r="Q143" s="174" t="n">
        <v>0</v>
      </c>
      <c r="R143" s="163"/>
      <c r="S143" s="174" t="n">
        <v>0</v>
      </c>
      <c r="T143" s="163"/>
      <c r="U143" s="139" t="n">
        <v>0</v>
      </c>
      <c r="W143" s="163" t="n">
        <v>0</v>
      </c>
      <c r="X143" s="174"/>
      <c r="Y143" s="174" t="n">
        <v>0</v>
      </c>
      <c r="AA143" s="163" t="n">
        <v>0</v>
      </c>
      <c r="AC143" s="174" t="n">
        <v>0</v>
      </c>
      <c r="AE143" s="163" t="n">
        <v>0</v>
      </c>
      <c r="AG143" s="163"/>
      <c r="AL143" s="163" t="n">
        <v>0</v>
      </c>
    </row>
    <row r="144" customFormat="false" ht="12.75" hidden="false" customHeight="false" outlineLevel="0" collapsed="false">
      <c r="C144" s="139" t="n">
        <v>0</v>
      </c>
      <c r="E144" s="174" t="n">
        <v>0</v>
      </c>
      <c r="G144" s="174" t="n">
        <v>0</v>
      </c>
      <c r="H144" s="139"/>
      <c r="I144" s="163" t="n">
        <v>0</v>
      </c>
      <c r="K144" s="163" t="n">
        <v>0</v>
      </c>
      <c r="M144" s="174" t="n">
        <v>0</v>
      </c>
      <c r="N144" s="163"/>
      <c r="O144" s="174" t="n">
        <v>0</v>
      </c>
      <c r="P144" s="163"/>
      <c r="Q144" s="174" t="n">
        <v>0</v>
      </c>
      <c r="R144" s="163"/>
      <c r="S144" s="174" t="n">
        <v>0</v>
      </c>
      <c r="T144" s="163"/>
      <c r="U144" s="139" t="n">
        <v>0</v>
      </c>
      <c r="W144" s="163" t="n">
        <v>0</v>
      </c>
      <c r="X144" s="174"/>
      <c r="Y144" s="174" t="n">
        <v>0</v>
      </c>
      <c r="AA144" s="163" t="n">
        <v>0</v>
      </c>
      <c r="AC144" s="174" t="n">
        <v>0</v>
      </c>
      <c r="AE144" s="163" t="n">
        <v>0</v>
      </c>
      <c r="AG144" s="163"/>
      <c r="AL144" s="163" t="n">
        <v>0</v>
      </c>
    </row>
    <row r="145" customFormat="false" ht="12.75" hidden="false" customHeight="false" outlineLevel="0" collapsed="false">
      <c r="C145" s="139" t="n">
        <v>0</v>
      </c>
      <c r="E145" s="174" t="n">
        <v>0</v>
      </c>
      <c r="G145" s="174" t="n">
        <v>0</v>
      </c>
      <c r="H145" s="139"/>
      <c r="I145" s="190" t="n">
        <v>0</v>
      </c>
      <c r="K145" s="180" t="n">
        <v>0</v>
      </c>
      <c r="M145" s="174" t="n">
        <v>0</v>
      </c>
      <c r="N145" s="181"/>
      <c r="O145" s="174" t="n">
        <v>0</v>
      </c>
      <c r="P145" s="181"/>
      <c r="Q145" s="174" t="n">
        <v>0</v>
      </c>
      <c r="R145" s="181"/>
      <c r="S145" s="174" t="n">
        <v>0</v>
      </c>
      <c r="T145" s="181"/>
      <c r="U145" s="139" t="n">
        <v>0</v>
      </c>
      <c r="W145" s="180" t="n">
        <v>0</v>
      </c>
      <c r="X145" s="174"/>
      <c r="Y145" s="174" t="n">
        <v>0</v>
      </c>
      <c r="AA145" s="180" t="n">
        <v>0</v>
      </c>
      <c r="AC145" s="174" t="n">
        <v>0</v>
      </c>
      <c r="AE145" s="163" t="n">
        <v>0</v>
      </c>
      <c r="AG145" s="181"/>
      <c r="AL145" s="180" t="n">
        <v>0</v>
      </c>
    </row>
    <row r="146" customFormat="false" ht="12.75" hidden="false" customHeight="false" outlineLevel="0" collapsed="false">
      <c r="C146" s="171" t="n">
        <v>0</v>
      </c>
      <c r="E146" s="172" t="n">
        <v>0</v>
      </c>
      <c r="G146" s="172" t="n">
        <v>0</v>
      </c>
      <c r="H146" s="139"/>
      <c r="I146" s="187" t="n">
        <v>0</v>
      </c>
      <c r="K146" s="173" t="n">
        <v>0</v>
      </c>
      <c r="M146" s="172" t="n">
        <v>0</v>
      </c>
      <c r="N146" s="163"/>
      <c r="O146" s="188" t="n">
        <v>0</v>
      </c>
      <c r="P146" s="163"/>
      <c r="Q146" s="188" t="n">
        <v>0</v>
      </c>
      <c r="R146" s="163"/>
      <c r="S146" s="188" t="n">
        <v>0</v>
      </c>
      <c r="T146" s="163"/>
      <c r="U146" s="189" t="n">
        <v>0</v>
      </c>
      <c r="W146" s="173" t="n">
        <v>0</v>
      </c>
      <c r="X146" s="174"/>
      <c r="Y146" s="172" t="n">
        <v>0</v>
      </c>
      <c r="AA146" s="173" t="n">
        <v>0</v>
      </c>
      <c r="AC146" s="172" t="n">
        <v>0</v>
      </c>
      <c r="AE146" s="180" t="n">
        <v>0</v>
      </c>
      <c r="AG146" s="163"/>
      <c r="AL146" s="173" t="n">
        <v>0</v>
      </c>
    </row>
    <row r="147" customFormat="false" ht="12.75" hidden="false" customHeight="false" outlineLevel="0" collapsed="false">
      <c r="C147" s="171" t="n">
        <v>0</v>
      </c>
      <c r="E147" s="172" t="n">
        <v>0</v>
      </c>
      <c r="G147" s="172" t="n">
        <v>0</v>
      </c>
      <c r="H147" s="139"/>
      <c r="I147" s="187" t="n">
        <v>0</v>
      </c>
      <c r="K147" s="173" t="n">
        <v>0</v>
      </c>
      <c r="M147" s="172" t="n">
        <v>0</v>
      </c>
      <c r="N147" s="163"/>
      <c r="O147" s="188" t="n">
        <v>0</v>
      </c>
      <c r="P147" s="163"/>
      <c r="Q147" s="188" t="n">
        <v>0</v>
      </c>
      <c r="R147" s="163"/>
      <c r="S147" s="188" t="n">
        <v>0</v>
      </c>
      <c r="T147" s="163"/>
      <c r="U147" s="189" t="n">
        <v>0</v>
      </c>
      <c r="W147" s="173" t="n">
        <v>0</v>
      </c>
      <c r="X147" s="174"/>
      <c r="Y147" s="172" t="n">
        <v>0</v>
      </c>
      <c r="AA147" s="173" t="n">
        <v>0</v>
      </c>
      <c r="AC147" s="172" t="n">
        <v>0</v>
      </c>
      <c r="AE147" s="173" t="n">
        <v>0</v>
      </c>
      <c r="AG147" s="163"/>
      <c r="AL147" s="173" t="n">
        <v>0</v>
      </c>
    </row>
    <row r="148" customFormat="false" ht="12.75" hidden="false" customHeight="false" outlineLevel="0" collapsed="false">
      <c r="C148" s="171" t="n">
        <v>0</v>
      </c>
      <c r="E148" s="172" t="n">
        <v>0</v>
      </c>
      <c r="G148" s="172"/>
      <c r="H148" s="139"/>
      <c r="M148" s="172"/>
      <c r="O148" s="188" t="n">
        <v>0</v>
      </c>
      <c r="Q148" s="188" t="n">
        <v>0</v>
      </c>
      <c r="S148" s="188" t="n">
        <v>0</v>
      </c>
      <c r="U148" s="189" t="n">
        <v>0</v>
      </c>
      <c r="X148" s="174"/>
      <c r="Y148" s="172"/>
      <c r="AC148" s="172"/>
      <c r="AE148" s="173" t="n">
        <v>0</v>
      </c>
    </row>
    <row r="149" customFormat="false" ht="12.75" hidden="false" customHeight="false" outlineLevel="0" collapsed="false">
      <c r="H149" s="61"/>
      <c r="AE149" s="180" t="n">
        <v>0</v>
      </c>
    </row>
    <row r="150" customFormat="false" ht="12.75" hidden="false" customHeight="false" outlineLevel="0" collapsed="false">
      <c r="AE150" s="0"/>
    </row>
    <row r="151" customFormat="false" ht="12.75" hidden="false" customHeight="false" outlineLevel="0" collapsed="false">
      <c r="AE151" s="173" t="n">
        <v>0</v>
      </c>
    </row>
    <row r="152" customFormat="false" ht="12.75" hidden="false" customHeight="false" outlineLevel="0" collapsed="false">
      <c r="AE152" s="173" t="n">
        <v>0</v>
      </c>
    </row>
  </sheetData>
  <printOptions headings="false" gridLines="false" gridLinesSet="true" horizontalCentered="false" verticalCentered="true"/>
  <pageMargins left="0.279861111111111" right="0.25" top="0.25" bottom="0.4"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 Prepared By: R. Watt (403-974-6905)&amp;R&amp;"Times New Roman,Italic"&amp;D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macro="xls.Module3.Print_Economics">
                <anchor moveWithCells="true" sizeWithCells="false">
                  <from>
                    <xdr:col>118</xdr:col>
                    <xdr:colOff>281520</xdr:colOff>
                    <xdr:row>1</xdr:row>
                    <xdr:rowOff>47520</xdr:rowOff>
                  </from>
                  <to>
                    <xdr:col>119</xdr:col>
                    <xdr:colOff>91080</xdr:colOff>
                    <xdr:row>2</xdr:row>
                    <xdr:rowOff>66600</xdr:rowOff>
                  </to>
                </anchor>
              </controlPr>
            </control>
          </mc:Choice>
        </mc:AlternateContent>
        <mc:AlternateContent xmlns:mc="http://schemas.openxmlformats.org/markup-compatibility/2006">
          <mc:Choice Requires="x14">
            <control shapeId="1002" r:id="rId5" name="Button 4">
              <controlPr defaultSize="0" print="false" autoFill="0" autoPict="0" macro="xls.Module7.Print_Reports7013">
                <anchor moveWithCells="true" sizeWithCells="false">
                  <from>
                    <xdr:col>8</xdr:col>
                    <xdr:colOff>1005840</xdr:colOff>
                    <xdr:row>0</xdr:row>
                    <xdr:rowOff>0</xdr:rowOff>
                  </from>
                  <to>
                    <xdr:col>9</xdr:col>
                    <xdr:colOff>432720</xdr:colOff>
                    <xdr:row>1</xdr:row>
                    <xdr:rowOff>66960</xdr:rowOff>
                  </to>
                </anchor>
              </controlPr>
            </control>
          </mc:Choice>
        </mc:AlternateContent>
        <mc:AlternateContent xmlns:mc="http://schemas.openxmlformats.org/markup-compatibility/2006">
          <mc:Choice Requires="x14">
            <control shapeId="1003" r:id="rId6" name="Button 5">
              <controlPr defaultSize="0" print="false" autoFill="0" autoPict="0" macro="xls.Module8.Print_Reports">
                <anchor moveWithCells="true" sizeWithCells="false">
                  <from>
                    <xdr:col>3</xdr:col>
                    <xdr:colOff>160920</xdr:colOff>
                    <xdr:row>0</xdr:row>
                    <xdr:rowOff>75960</xdr:rowOff>
                  </from>
                  <to>
                    <xdr:col>5</xdr:col>
                    <xdr:colOff>30600</xdr:colOff>
                    <xdr:row>3</xdr:row>
                    <xdr:rowOff>38160</xdr:rowOff>
                  </to>
                </anchor>
              </controlPr>
            </control>
          </mc:Choice>
        </mc:AlternateContent>
        <mc:AlternateContent xmlns:mc="http://schemas.openxmlformats.org/markup-compatibility/2006">
          <mc:Choice Requires="x14">
            <control shapeId="1004" r:id="rId7" name="Button 13">
              <controlPr defaultSize="0" print="false" autoFill="0" autoPict="0" macro="xls.Module14.UploadToOptions">
                <anchor moveWithCells="true" sizeWithCells="false">
                  <from>
                    <xdr:col>5</xdr:col>
                    <xdr:colOff>150840</xdr:colOff>
                    <xdr:row>0</xdr:row>
                    <xdr:rowOff>105120</xdr:rowOff>
                  </from>
                  <to>
                    <xdr:col>6</xdr:col>
                    <xdr:colOff>1027080</xdr:colOff>
                    <xdr:row>3</xdr:row>
                    <xdr:rowOff>66960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48"/>
  <sheetViews>
    <sheetView showFormulas="false" showGridLines="false" showRowColHeaders="true" showZeros="true" rightToLeft="false" tabSelected="true" showOutlineSymbols="true" defaultGridColor="true" view="normal" topLeftCell="A1" colorId="64" zoomScale="75" zoomScaleNormal="75" zoomScalePageLayoutView="100" workbookViewId="0">
      <pane xSplit="1" ySplit="6" topLeftCell="B7" activePane="bottomRight" state="frozen"/>
      <selection pane="topLeft" activeCell="A1" activeCellId="0" sqref="A1"/>
      <selection pane="topRight" activeCell="B1" activeCellId="0" sqref="B1"/>
      <selection pane="bottomLeft" activeCell="A7" activeCellId="0" sqref="A7"/>
      <selection pane="bottomRight" activeCell="A5" activeCellId="0" sqref="A5"/>
    </sheetView>
  </sheetViews>
  <sheetFormatPr defaultColWidth="9.13671875" defaultRowHeight="12.75" customHeight="true" zeroHeight="false" outlineLevelRow="0" outlineLevelCol="0"/>
  <cols>
    <col collapsed="false" customWidth="true" hidden="false" outlineLevel="0" max="1" min="1" style="59" width="42.28"/>
    <col collapsed="false" customWidth="true" hidden="false" outlineLevel="0" max="2" min="2" style="60" width="11.42"/>
    <col collapsed="false" customWidth="true" hidden="false" outlineLevel="0" max="3" min="3" style="61" width="18.14"/>
    <col collapsed="false" customWidth="true" hidden="false" outlineLevel="0" max="4" min="4" style="60" width="6.13"/>
    <col collapsed="false" customWidth="true" hidden="false" outlineLevel="0" max="5" min="5" style="59" width="14.28"/>
    <col collapsed="false" customWidth="true" hidden="false" outlineLevel="0" max="6" min="6" style="60" width="6.13"/>
    <col collapsed="false" customWidth="true" hidden="false" outlineLevel="0" max="7" min="7" style="59" width="14.7"/>
    <col collapsed="false" customWidth="true" hidden="false" outlineLevel="0" max="8" min="8" style="60" width="5.41"/>
    <col collapsed="false" customWidth="true" hidden="false" outlineLevel="0" max="9" min="9" style="59" width="17.56"/>
    <col collapsed="false" customWidth="true" hidden="false" outlineLevel="0" max="10" min="10" style="62" width="5.85"/>
    <col collapsed="false" customWidth="true" hidden="false" outlineLevel="0" max="11" min="11" style="61" width="17.28"/>
    <col collapsed="false" customWidth="true" hidden="false" outlineLevel="0" max="12" min="12" style="60" width="3.56"/>
    <col collapsed="false" customWidth="true" hidden="false" outlineLevel="0" max="13" min="13" style="62" width="8.41"/>
    <col collapsed="false" customWidth="true" hidden="true" outlineLevel="0" max="15" min="14" style="60" width="9.06"/>
    <col collapsed="false" customWidth="true" hidden="true" outlineLevel="0" max="16" min="16" style="0" width="9.06"/>
    <col collapsed="false" customWidth="true" hidden="true" outlineLevel="0" max="17" min="17" style="60" width="9.06"/>
    <col collapsed="false" customWidth="true" hidden="true" outlineLevel="0" max="18" min="18" style="59" width="13.41"/>
    <col collapsed="false" customWidth="true" hidden="true" outlineLevel="0" max="19" min="19" style="59" width="1.41"/>
    <col collapsed="false" customWidth="true" hidden="true" outlineLevel="0" max="20" min="20" style="59" width="1.7"/>
    <col collapsed="false" customWidth="true" hidden="true" outlineLevel="0" max="21" min="21" style="0" width="18.41"/>
    <col collapsed="false" customWidth="true" hidden="true" outlineLevel="0" max="22" min="22" style="59" width="12.99"/>
    <col collapsed="false" customWidth="false" hidden="false" outlineLevel="0" max="24" min="23" style="59" width="9.14"/>
    <col collapsed="false" customWidth="true" hidden="false" outlineLevel="0" max="25" min="25" style="59" width="8.99"/>
    <col collapsed="false" customWidth="false" hidden="true" outlineLevel="0" max="26" min="26" style="59" width="9.14"/>
    <col collapsed="false" customWidth="false" hidden="false" outlineLevel="0" max="257" min="27" style="59" width="9.14"/>
  </cols>
  <sheetData>
    <row r="1" customFormat="false" ht="12.75" hidden="false" customHeight="false" outlineLevel="0" collapsed="false">
      <c r="A1" s="63" t="s">
        <v>27</v>
      </c>
      <c r="B1" s="0"/>
      <c r="D1" s="0"/>
      <c r="W1" s="64"/>
    </row>
    <row r="2" customFormat="false" ht="13.5" hidden="false" customHeight="false" outlineLevel="0" collapsed="false">
      <c r="A2" s="63" t="s">
        <v>28</v>
      </c>
      <c r="B2" s="0"/>
      <c r="C2" s="65"/>
      <c r="D2" s="0"/>
      <c r="E2" s="66"/>
      <c r="G2" s="66"/>
      <c r="I2" s="66"/>
      <c r="J2" s="66"/>
      <c r="K2" s="65" t="s">
        <v>29</v>
      </c>
      <c r="M2" s="66"/>
      <c r="O2" s="67"/>
      <c r="Q2" s="68" t="s">
        <v>30</v>
      </c>
      <c r="R2" s="69"/>
      <c r="W2" s="70"/>
    </row>
    <row r="3" customFormat="false" ht="12.75" hidden="false" customHeight="false" outlineLevel="0" collapsed="false">
      <c r="A3" s="63" t="s">
        <v>31</v>
      </c>
      <c r="B3" s="0"/>
      <c r="C3" s="71"/>
      <c r="D3" s="0"/>
      <c r="E3" s="0"/>
      <c r="I3" s="0"/>
      <c r="K3" s="71"/>
      <c r="T3" s="0"/>
    </row>
    <row r="4" customFormat="false" ht="13.5" hidden="false" customHeight="false" outlineLevel="0" collapsed="false">
      <c r="A4" s="72" t="n">
        <f aca="false">Report!A4</f>
        <v>36847</v>
      </c>
      <c r="C4" s="73"/>
      <c r="E4" s="74"/>
      <c r="G4" s="74"/>
      <c r="I4" s="74"/>
      <c r="J4" s="75"/>
      <c r="K4" s="73"/>
      <c r="M4" s="75"/>
      <c r="R4" s="74"/>
      <c r="T4" s="0"/>
    </row>
    <row r="5" customFormat="false" ht="12.75" hidden="false" customHeight="false" outlineLevel="0" collapsed="false">
      <c r="C5" s="76" t="s">
        <v>120</v>
      </c>
      <c r="E5" s="77" t="s">
        <v>121</v>
      </c>
      <c r="G5" s="77" t="s">
        <v>122</v>
      </c>
      <c r="I5" s="78" t="s">
        <v>123</v>
      </c>
      <c r="J5" s="77"/>
      <c r="K5" s="76" t="s">
        <v>23</v>
      </c>
      <c r="M5" s="77"/>
      <c r="R5" s="77" t="s">
        <v>40</v>
      </c>
      <c r="T5" s="0"/>
    </row>
    <row r="6" customFormat="false" ht="12.75" hidden="false" customHeight="false" outlineLevel="0" collapsed="false">
      <c r="A6" s="0"/>
      <c r="C6" s="80" t="s">
        <v>124</v>
      </c>
      <c r="E6" s="81" t="s">
        <v>124</v>
      </c>
      <c r="G6" s="81" t="s">
        <v>124</v>
      </c>
      <c r="I6" s="82" t="s">
        <v>125</v>
      </c>
      <c r="J6" s="77"/>
      <c r="K6" s="80"/>
      <c r="M6" s="77"/>
      <c r="R6" s="81" t="str">
        <f aca="false">'US $'!B3</f>
        <v>Canadian Gas</v>
      </c>
      <c r="T6" s="0"/>
      <c r="V6" s="0"/>
    </row>
    <row r="7" customFormat="false" ht="12.75" hidden="false" customHeight="false" outlineLevel="0" collapsed="false">
      <c r="A7" s="0"/>
      <c r="C7" s="85"/>
      <c r="E7" s="86"/>
      <c r="G7" s="86"/>
      <c r="I7" s="86"/>
      <c r="J7" s="86"/>
      <c r="K7" s="85"/>
      <c r="M7" s="86"/>
      <c r="R7" s="86"/>
      <c r="T7" s="0"/>
      <c r="V7" s="0"/>
    </row>
    <row r="8" customFormat="false" ht="12.75" hidden="false" customHeight="false" outlineLevel="0" collapsed="false">
      <c r="A8" s="0"/>
      <c r="B8" s="59"/>
      <c r="C8" s="87"/>
      <c r="D8" s="59"/>
      <c r="E8" s="88"/>
      <c r="G8" s="88"/>
      <c r="I8" s="88"/>
      <c r="J8" s="88"/>
      <c r="K8" s="87"/>
      <c r="M8" s="88"/>
      <c r="R8" s="88"/>
      <c r="T8" s="0"/>
      <c r="V8" s="0"/>
    </row>
    <row r="9" customFormat="false" ht="12.75" hidden="false" customHeight="false" outlineLevel="0" collapsed="false">
      <c r="A9" s="0"/>
      <c r="C9" s="85"/>
      <c r="E9" s="86"/>
      <c r="G9" s="86"/>
      <c r="I9" s="86"/>
      <c r="J9" s="86"/>
      <c r="K9" s="85"/>
      <c r="M9" s="86"/>
      <c r="R9" s="86"/>
    </row>
    <row r="10" customFormat="false" ht="12.75" hidden="true" customHeight="false" outlineLevel="0" collapsed="false">
      <c r="A10" s="90" t="s">
        <v>45</v>
      </c>
      <c r="T10" s="0"/>
    </row>
    <row r="11" customFormat="false" ht="12" hidden="true" customHeight="true" outlineLevel="0" collapsed="false">
      <c r="A11" s="90"/>
      <c r="T11" s="0"/>
      <c r="V11" s="0"/>
    </row>
    <row r="12" customFormat="false" ht="13.5" hidden="true" customHeight="false" outlineLevel="0" collapsed="false">
      <c r="A12" s="91" t="n">
        <f aca="false">A4</f>
        <v>36847</v>
      </c>
      <c r="T12" s="0"/>
    </row>
    <row r="13" customFormat="false" ht="12.75" hidden="true" customHeight="false" outlineLevel="0" collapsed="false">
      <c r="A13" s="92" t="s">
        <v>46</v>
      </c>
      <c r="C13" s="93" t="n">
        <f aca="false">PriceAlberta!$R15</f>
        <v>0</v>
      </c>
      <c r="E13" s="93" t="n">
        <f aca="false">AlbertaIndex!$R15</f>
        <v>0</v>
      </c>
      <c r="G13" s="93" t="n">
        <f aca="false">PriceEOL!$R15</f>
        <v>0</v>
      </c>
      <c r="I13" s="93" t="e">
        <f aca="false">IF(I18=0,0,I14/I18)</f>
        <v>#REF!</v>
      </c>
      <c r="J13" s="94"/>
      <c r="K13" s="93" t="n">
        <f aca="false">'Price - East '!$R15</f>
        <v>0</v>
      </c>
      <c r="M13" s="94"/>
      <c r="R13" s="93" t="e">
        <f aca="false">IF(R18=0,0,R14/R18)</f>
        <v>#REF!</v>
      </c>
      <c r="T13" s="95"/>
    </row>
    <row r="14" customFormat="false" ht="12.75" hidden="true" customHeight="false" outlineLevel="0" collapsed="false">
      <c r="A14" s="92" t="s">
        <v>47</v>
      </c>
      <c r="C14" s="96" t="n">
        <f aca="false">PriceAlberta!L16/100</f>
        <v>0</v>
      </c>
      <c r="E14" s="96" t="n">
        <f aca="false">AlbertaIndex!L16/100</f>
        <v>0</v>
      </c>
      <c r="G14" s="96" t="n">
        <f aca="false">+PriceEOL!$R16</f>
        <v>0</v>
      </c>
      <c r="I14" s="96" t="e">
        <f aca="false">+#REF!+G14</f>
        <v>#REF!</v>
      </c>
      <c r="J14" s="97"/>
      <c r="K14" s="96" t="n">
        <f aca="false">'Price - East '!H16/100</f>
        <v>0</v>
      </c>
      <c r="M14" s="97"/>
      <c r="R14" s="96" t="e">
        <f aca="false">#REF!+E14+#REF!+M14+G14+#REF!+#REF!+#REF!</f>
        <v>#REF!</v>
      </c>
      <c r="T14" s="95"/>
    </row>
    <row r="15" customFormat="false" ht="12.75" hidden="true" customHeight="false" outlineLevel="0" collapsed="false">
      <c r="A15" s="92" t="s">
        <v>48</v>
      </c>
      <c r="C15" s="96" t="n">
        <f aca="false">PriceAlberta!M16/100</f>
        <v>0</v>
      </c>
      <c r="E15" s="96" t="n">
        <f aca="false">AlbertaIndex!M16/100</f>
        <v>0</v>
      </c>
      <c r="G15" s="96"/>
      <c r="I15" s="96" t="e">
        <f aca="false">+#REF!+G15</f>
        <v>#REF!</v>
      </c>
      <c r="J15" s="97"/>
      <c r="K15" s="96" t="n">
        <f aca="false">'Price - East '!I16/100</f>
        <v>0</v>
      </c>
      <c r="M15" s="97"/>
      <c r="R15" s="96"/>
      <c r="T15" s="95"/>
    </row>
    <row r="16" customFormat="false" ht="12.75" hidden="true" customHeight="false" outlineLevel="0" collapsed="false">
      <c r="A16" s="92" t="s">
        <v>49</v>
      </c>
      <c r="C16" s="96" t="n">
        <f aca="false">PriceAlberta!N16/1000</f>
        <v>0</v>
      </c>
      <c r="E16" s="96" t="n">
        <f aca="false">AlbertaIndex!N16/1000</f>
        <v>0</v>
      </c>
      <c r="G16" s="96"/>
      <c r="I16" s="96" t="e">
        <f aca="false">+#REF!+G16</f>
        <v>#REF!</v>
      </c>
      <c r="J16" s="97"/>
      <c r="K16" s="96" t="n">
        <f aca="false">'Price - East '!J16/1000</f>
        <v>0</v>
      </c>
      <c r="M16" s="97"/>
      <c r="R16" s="96"/>
      <c r="T16" s="95"/>
    </row>
    <row r="17" customFormat="false" ht="12.75" hidden="true" customHeight="false" outlineLevel="0" collapsed="false">
      <c r="A17" s="92" t="s">
        <v>50</v>
      </c>
      <c r="C17" s="96" t="n">
        <f aca="false">PriceAlberta!O16/100</f>
        <v>0</v>
      </c>
      <c r="E17" s="96" t="n">
        <f aca="false">AlbertaIndex!O16/100</f>
        <v>0</v>
      </c>
      <c r="G17" s="96"/>
      <c r="I17" s="96" t="e">
        <f aca="false">+#REF!+G17</f>
        <v>#REF!</v>
      </c>
      <c r="J17" s="97"/>
      <c r="K17" s="96" t="e">
        <f aca="false">'Price - East '!K16/100</f>
        <v>#VALUE!</v>
      </c>
      <c r="M17" s="97"/>
      <c r="R17" s="96"/>
      <c r="T17" s="95"/>
      <c r="W17" s="98"/>
    </row>
    <row r="18" customFormat="false" ht="12.75" hidden="true" customHeight="false" outlineLevel="0" collapsed="false">
      <c r="A18" s="99" t="s">
        <v>51</v>
      </c>
      <c r="B18" s="100"/>
      <c r="C18" s="101" t="n">
        <f aca="false">PriceAlberta!$R17</f>
        <v>0</v>
      </c>
      <c r="D18" s="100"/>
      <c r="E18" s="102" t="n">
        <f aca="false">AlbertaIndex!$R17</f>
        <v>0</v>
      </c>
      <c r="F18" s="100"/>
      <c r="G18" s="102" t="n">
        <f aca="false">PriceEOL!$R17</f>
        <v>0</v>
      </c>
      <c r="H18" s="100"/>
      <c r="I18" s="96" t="e">
        <f aca="false">+#REF!+G18</f>
        <v>#REF!</v>
      </c>
      <c r="J18" s="103"/>
      <c r="K18" s="101" t="n">
        <f aca="false">'Price - East '!$R17</f>
        <v>0</v>
      </c>
      <c r="L18" s="100"/>
      <c r="M18" s="103"/>
      <c r="N18" s="100"/>
      <c r="O18" s="100"/>
      <c r="Q18" s="100"/>
      <c r="R18" s="104" t="e">
        <f aca="false">#REF!+E18+#REF!+M18+G18+#REF!+#REF!+#REF!</f>
        <v>#REF!</v>
      </c>
      <c r="T18" s="95"/>
      <c r="W18" s="98"/>
    </row>
    <row r="19" customFormat="false" ht="12.75" hidden="true" customHeight="true" outlineLevel="0" collapsed="false">
      <c r="A19" s="95"/>
      <c r="C19" s="105"/>
      <c r="E19" s="106"/>
      <c r="G19" s="106"/>
      <c r="I19" s="106"/>
      <c r="J19" s="107"/>
      <c r="K19" s="105"/>
      <c r="M19" s="107"/>
      <c r="R19" s="106"/>
    </row>
    <row r="20" customFormat="false" ht="12.75" hidden="true" customHeight="false" outlineLevel="0" collapsed="false">
      <c r="A20" s="95" t="s">
        <v>52</v>
      </c>
      <c r="C20" s="96" t="n">
        <f aca="false">PriceAlberta!$S14+PriceAlberta!$Y16</f>
        <v>0</v>
      </c>
      <c r="E20" s="108" t="n">
        <f aca="false">AlbertaIndex!$S14+AlbertaIndex!$Y16</f>
        <v>0</v>
      </c>
      <c r="G20" s="108" t="n">
        <f aca="false">PriceEOL!$S14+PriceEOL!$Y16</f>
        <v>0</v>
      </c>
      <c r="I20" s="108" t="e">
        <f aca="false">+#REF!+G20</f>
        <v>#REF!</v>
      </c>
      <c r="J20" s="107"/>
      <c r="K20" s="96" t="n">
        <f aca="false">'Price - East '!$S14+'Price - East '!$Y16</f>
        <v>0</v>
      </c>
      <c r="M20" s="107"/>
      <c r="R20" s="96" t="e">
        <f aca="false">#REF!+E20+#REF!+M20+G20+#REF!+#REF!+#REF!</f>
        <v>#REF!</v>
      </c>
      <c r="W20" s="98"/>
    </row>
    <row r="21" customFormat="false" ht="12.75" hidden="true" customHeight="false" outlineLevel="0" collapsed="false">
      <c r="A21" s="95" t="s">
        <v>53</v>
      </c>
      <c r="C21" s="96" t="n">
        <f aca="false">PriceAlberta!$T14+PriceAlberta!$Y17</f>
        <v>0</v>
      </c>
      <c r="E21" s="108" t="n">
        <f aca="false">AlbertaIndex!$T14+AlbertaIndex!$Y17</f>
        <v>0</v>
      </c>
      <c r="G21" s="108" t="n">
        <f aca="false">PriceEOL!$T14+PriceEOL!$Y17</f>
        <v>0</v>
      </c>
      <c r="I21" s="108" t="e">
        <f aca="false">+#REF!+G21</f>
        <v>#REF!</v>
      </c>
      <c r="J21" s="107"/>
      <c r="K21" s="96" t="n">
        <f aca="false">'Price - East '!$T14+'Price - East '!$Y17</f>
        <v>0</v>
      </c>
      <c r="M21" s="107"/>
      <c r="R21" s="96" t="e">
        <f aca="false">#REF!+E21+#REF!+M21+G21+#REF!+#REF!+#REF!</f>
        <v>#REF!</v>
      </c>
    </row>
    <row r="22" customFormat="false" ht="12.75" hidden="true" customHeight="false" outlineLevel="0" collapsed="false">
      <c r="A22" s="95" t="s">
        <v>54</v>
      </c>
      <c r="C22" s="96" t="n">
        <f aca="false">SUM(C20:C21)</f>
        <v>0</v>
      </c>
      <c r="E22" s="108" t="n">
        <f aca="false">SUM(E20:E21)</f>
        <v>0</v>
      </c>
      <c r="G22" s="108" t="n">
        <f aca="false">SUM(G20:G21)</f>
        <v>0</v>
      </c>
      <c r="I22" s="108" t="e">
        <f aca="false">+#REF!+G22</f>
        <v>#REF!</v>
      </c>
      <c r="J22" s="107"/>
      <c r="K22" s="96" t="n">
        <f aca="false">SUM(K20:K21)</f>
        <v>0</v>
      </c>
      <c r="M22" s="107"/>
      <c r="R22" s="96" t="e">
        <f aca="false">#REF!+E22+#REF!+M22+G22+#REF!+#REF!+#REF!</f>
        <v>#REF!</v>
      </c>
      <c r="W22" s="98"/>
    </row>
    <row r="23" customFormat="false" ht="6.75" hidden="true" customHeight="true" outlineLevel="0" collapsed="false">
      <c r="C23" s="105"/>
      <c r="E23" s="106"/>
      <c r="G23" s="106"/>
      <c r="I23" s="106"/>
      <c r="J23" s="107"/>
      <c r="K23" s="105"/>
      <c r="M23" s="107"/>
      <c r="R23" s="106"/>
    </row>
    <row r="24" customFormat="false" ht="13.5" hidden="true" customHeight="false" outlineLevel="0" collapsed="false">
      <c r="A24" s="91"/>
    </row>
    <row r="25" customFormat="false" ht="12.75" hidden="true" customHeight="false" outlineLevel="0" collapsed="false">
      <c r="A25" s="95" t="s">
        <v>52</v>
      </c>
      <c r="C25" s="96" t="n">
        <f aca="false">PriceAlberta!$S24+PriceAlberta!$Y16</f>
        <v>0</v>
      </c>
      <c r="E25" s="108" t="n">
        <f aca="false">AlbertaIndex!$S24+AlbertaIndex!$Y16</f>
        <v>0</v>
      </c>
      <c r="G25" s="108" t="n">
        <f aca="false">PriceEOL!$S24+PriceEOL!$Y16</f>
        <v>0</v>
      </c>
      <c r="I25" s="108" t="e">
        <f aca="false">+#REF!+G25</f>
        <v>#REF!</v>
      </c>
      <c r="J25" s="107"/>
      <c r="K25" s="96" t="n">
        <f aca="false">'Price - East '!$S24+'Price - East '!$Y16</f>
        <v>0</v>
      </c>
      <c r="M25" s="107"/>
      <c r="R25" s="96" t="e">
        <f aca="false">#REF!+E25+#REF!+M25+G25+#REF!+#REF!+#REF!</f>
        <v>#REF!</v>
      </c>
    </row>
    <row r="26" customFormat="false" ht="12.75" hidden="true" customHeight="false" outlineLevel="0" collapsed="false">
      <c r="A26" s="95" t="s">
        <v>53</v>
      </c>
      <c r="C26" s="96" t="n">
        <f aca="false">PriceAlberta!$T24+PriceAlberta!$Y17</f>
        <v>0</v>
      </c>
      <c r="E26" s="108" t="n">
        <f aca="false">AlbertaIndex!$T24+AlbertaIndex!$Y17</f>
        <v>0</v>
      </c>
      <c r="G26" s="108" t="n">
        <f aca="false">PriceEOL!$T24+PriceEOL!$Y17</f>
        <v>0</v>
      </c>
      <c r="I26" s="108" t="e">
        <f aca="false">+#REF!+G26</f>
        <v>#REF!</v>
      </c>
      <c r="J26" s="107"/>
      <c r="K26" s="96" t="n">
        <f aca="false">'Price - East '!$T24+'Price - East '!$Y17</f>
        <v>0</v>
      </c>
      <c r="M26" s="107"/>
      <c r="R26" s="96" t="e">
        <f aca="false">#REF!+E26+#REF!+M26+G26+#REF!+#REF!+#REF!</f>
        <v>#REF!</v>
      </c>
    </row>
    <row r="27" customFormat="false" ht="12.75" hidden="true" customHeight="false" outlineLevel="0" collapsed="false">
      <c r="A27" s="95" t="s">
        <v>54</v>
      </c>
      <c r="C27" s="96" t="n">
        <f aca="false">SUM(C25:C26)</f>
        <v>0</v>
      </c>
      <c r="E27" s="108" t="n">
        <f aca="false">SUM(E25:E26)</f>
        <v>0</v>
      </c>
      <c r="G27" s="108" t="n">
        <f aca="false">SUM(G25:G26)</f>
        <v>0</v>
      </c>
      <c r="I27" s="108" t="e">
        <f aca="false">+#REF!+G27</f>
        <v>#REF!</v>
      </c>
      <c r="J27" s="107"/>
      <c r="K27" s="96" t="n">
        <f aca="false">SUM(K25:K26)</f>
        <v>0</v>
      </c>
      <c r="M27" s="107"/>
      <c r="R27" s="96" t="e">
        <f aca="false">#REF!+E27+#REF!+M27+G27+#REF!+#REF!+#REF!</f>
        <v>#REF!</v>
      </c>
    </row>
    <row r="28" customFormat="false" ht="7.5" hidden="true" customHeight="true" outlineLevel="0" collapsed="false"/>
    <row r="29" customFormat="false" ht="12.75" hidden="true" customHeight="false" outlineLevel="0" collapsed="false">
      <c r="A29" s="109"/>
      <c r="C29" s="96" t="n">
        <f aca="false">-C27+C22</f>
        <v>0</v>
      </c>
      <c r="E29" s="108" t="n">
        <f aca="false">-E27+E22</f>
        <v>0</v>
      </c>
      <c r="G29" s="108" t="n">
        <f aca="false">-G27+G22</f>
        <v>0</v>
      </c>
      <c r="I29" s="108" t="e">
        <f aca="false">#REF!+#REF!</f>
        <v>#REF!</v>
      </c>
      <c r="J29" s="107"/>
      <c r="K29" s="96" t="n">
        <f aca="false">-K27+K22</f>
        <v>0</v>
      </c>
      <c r="M29" s="107"/>
      <c r="R29" s="96" t="e">
        <f aca="false">#REF!+E29+#REF!+M29+G29+#REF!+#REF!+#REF!</f>
        <v>#REF!</v>
      </c>
    </row>
    <row r="30" customFormat="false" ht="7.5" hidden="true" customHeight="true" outlineLevel="0" collapsed="false"/>
    <row r="31" customFormat="false" ht="12.75" hidden="true" customHeight="false" outlineLevel="0" collapsed="false">
      <c r="A31" s="110" t="s">
        <v>56</v>
      </c>
    </row>
    <row r="33" customFormat="false" ht="13.5" hidden="false" customHeight="false" outlineLevel="0" collapsed="false">
      <c r="A33" s="111" t="s">
        <v>57</v>
      </c>
      <c r="C33" s="105"/>
      <c r="E33" s="106"/>
      <c r="G33" s="106"/>
      <c r="I33" s="106"/>
      <c r="J33" s="107"/>
      <c r="K33" s="105"/>
      <c r="M33" s="107"/>
      <c r="R33" s="106"/>
    </row>
    <row r="34" customFormat="false" ht="12.75" hidden="false" customHeight="false" outlineLevel="0" collapsed="false">
      <c r="A34" s="95" t="s">
        <v>58</v>
      </c>
      <c r="C34" s="191" t="n">
        <f aca="false">IF(Report!AC34=0,0,Report!AE34*((Report!M34+Report!S34)/Report!AC34))</f>
        <v>1409175.45225392</v>
      </c>
      <c r="E34" s="191" t="n">
        <f aca="false">IF(Report!AC34=0,0,Report!AE34*(Report!G34/Report!AC34))</f>
        <v>136574671.400613</v>
      </c>
      <c r="G34" s="191" t="n">
        <f aca="false">IF(Report!AC34=0,0,Report!AE34*(Report!AA34/Report!AC34))</f>
        <v>34119682.0288167</v>
      </c>
      <c r="I34" s="191" t="n">
        <f aca="false">G34+E34+C34</f>
        <v>172103528.881684</v>
      </c>
      <c r="J34" s="115"/>
      <c r="K34" s="191" t="n">
        <f aca="false">I34-Report!AE34</f>
        <v>0</v>
      </c>
      <c r="M34" s="117"/>
      <c r="R34" s="116" t="e">
        <f aca="false">#REF!+E34+#REF!+M34+G34+#REF!+#REF!+#REF!</f>
        <v>#REF!</v>
      </c>
      <c r="S34" s="118"/>
    </row>
    <row r="35" customFormat="false" ht="12.75" hidden="false" customHeight="false" outlineLevel="0" collapsed="false">
      <c r="A35" s="95" t="s">
        <v>59</v>
      </c>
      <c r="C35" s="191" t="n">
        <f aca="false">IF(Report!AC35=0,0,Report!AE35*((Report!M35+Report!S35)/Report!AC35))</f>
        <v>-0</v>
      </c>
      <c r="E35" s="191" t="n">
        <f aca="false">IF(Report!AC35=0,0,Report!AE35*(Report!G35/Report!AC35))</f>
        <v>-593557.865862259</v>
      </c>
      <c r="G35" s="191" t="n">
        <f aca="false">IF(Report!AC35=0,0,Report!AE35*(Report!AA35/Report!AC35))</f>
        <v>-0</v>
      </c>
      <c r="I35" s="191" t="n">
        <f aca="false">G35+E35+C35</f>
        <v>-593557.865862259</v>
      </c>
      <c r="J35" s="115"/>
      <c r="K35" s="191" t="n">
        <f aca="false">I35-Report!AE35</f>
        <v>0</v>
      </c>
      <c r="M35" s="115"/>
      <c r="R35" s="116" t="e">
        <f aca="false">#REF!+E35+#REF!+M35+G35+#REF!+#REF!+#REF!</f>
        <v>#REF!</v>
      </c>
      <c r="S35" s="118"/>
    </row>
    <row r="36" customFormat="false" ht="12.75" hidden="false" customHeight="false" outlineLevel="0" collapsed="false">
      <c r="A36" s="95" t="s">
        <v>60</v>
      </c>
      <c r="C36" s="191" t="n">
        <f aca="false">IF(Report!AC36=0,0,Report!AE36*((Report!M36+Report!S36)/Report!AC36))</f>
        <v>1741975.45601642</v>
      </c>
      <c r="E36" s="191" t="n">
        <f aca="false">IF(Report!AC36=0,0,Report!AE36*(Report!G36/Report!AC36))</f>
        <v>45691062.3013571</v>
      </c>
      <c r="G36" s="191" t="n">
        <f aca="false">IF(Report!AC36=0,0,Report!AE36*(Report!AA36/Report!AC36))</f>
        <v>-35306923.1339214</v>
      </c>
      <c r="I36" s="191" t="n">
        <f aca="false">G36+E36+C36</f>
        <v>12126114.6234521</v>
      </c>
      <c r="J36" s="115"/>
      <c r="K36" s="191" t="n">
        <f aca="false">I36-Report!AE36</f>
        <v>0</v>
      </c>
      <c r="M36" s="115"/>
      <c r="R36" s="116" t="e">
        <f aca="false">#REF!+E36+#REF!+M36+G36+#REF!+#REF!+#REF!</f>
        <v>#REF!</v>
      </c>
      <c r="S36" s="118"/>
    </row>
    <row r="37" customFormat="false" ht="12.75" hidden="false" customHeight="false" outlineLevel="0" collapsed="false">
      <c r="A37" s="63" t="s">
        <v>61</v>
      </c>
      <c r="C37" s="191" t="n">
        <f aca="false">IF(Report!AC37=0,0,Report!AE37*((Report!M37+Report!S37)/Report!AC37))</f>
        <v>3298347.44946572</v>
      </c>
      <c r="E37" s="191" t="n">
        <f aca="false">IF(Report!AC37=0,0,Report!AE37*(Report!G37/Report!AC37))</f>
        <v>185133393.332717</v>
      </c>
      <c r="G37" s="191" t="n">
        <f aca="false">IF(Report!AC37=0,0,Report!AE37*(Report!AA37/Report!AC37))</f>
        <v>-4795655.14290933</v>
      </c>
      <c r="I37" s="191" t="n">
        <f aca="false">G37+E37+C37</f>
        <v>183636085.639273</v>
      </c>
      <c r="J37" s="115"/>
      <c r="K37" s="191" t="n">
        <f aca="false">I37-Report!AE37</f>
        <v>0</v>
      </c>
      <c r="M37" s="115"/>
      <c r="R37" s="116" t="e">
        <f aca="false">SUM(R34:R36)</f>
        <v>#REF!</v>
      </c>
      <c r="S37" s="118"/>
    </row>
    <row r="38" customFormat="false" ht="9.75" hidden="false" customHeight="true" outlineLevel="0" collapsed="false">
      <c r="C38" s="119"/>
      <c r="E38" s="119"/>
      <c r="G38" s="119"/>
      <c r="I38" s="119"/>
      <c r="J38" s="115"/>
      <c r="K38" s="119"/>
      <c r="M38" s="115"/>
      <c r="R38" s="120"/>
      <c r="S38" s="118"/>
    </row>
    <row r="39" customFormat="false" ht="13.5" hidden="false" customHeight="false" outlineLevel="0" collapsed="false">
      <c r="A39" s="121" t="n">
        <f aca="false">A4</f>
        <v>36847</v>
      </c>
      <c r="E39" s="61"/>
      <c r="G39" s="61"/>
      <c r="I39" s="61"/>
      <c r="S39" s="118"/>
    </row>
    <row r="40" customFormat="false" ht="12.75" hidden="false" customHeight="false" outlineLevel="0" collapsed="false">
      <c r="A40" s="95" t="s">
        <v>62</v>
      </c>
      <c r="B40" s="122"/>
      <c r="C40" s="191" t="n">
        <f aca="false">IF(Report!AC40=0,0,Report!AE40*((Report!M40+Report!S40)/Report!AC40))</f>
        <v>0</v>
      </c>
      <c r="D40" s="123"/>
      <c r="E40" s="191" t="n">
        <f aca="false">IF(Report!AC40=0,0,Report!AE40*(Report!G40/Report!AC40))</f>
        <v>391430.387963953</v>
      </c>
      <c r="F40" s="124"/>
      <c r="G40" s="191" t="n">
        <f aca="false">IF(Report!AC40=0,0,Report!AE40*(Report!AA40/Report!AC40))</f>
        <v>35644.3027340767</v>
      </c>
      <c r="H40" s="124"/>
      <c r="I40" s="191" t="n">
        <f aca="false">G40+E40+C40</f>
        <v>427074.69069803</v>
      </c>
      <c r="J40" s="115"/>
      <c r="K40" s="191" t="n">
        <f aca="false">I40-Report!AE40</f>
        <v>0</v>
      </c>
      <c r="L40" s="124"/>
      <c r="M40" s="115"/>
      <c r="N40" s="124"/>
      <c r="O40" s="124"/>
      <c r="Q40" s="124" t="e">
        <f aca="false">(R40-'Orig Sched'!O185)*0</f>
        <v>#REF!</v>
      </c>
      <c r="R40" s="116" t="e">
        <f aca="false">#REF!+E40+#REF!+M40+G40+#REF!+#REF!+#REF!</f>
        <v>#REF!</v>
      </c>
      <c r="S40" s="118"/>
      <c r="U40" s="124" t="s">
        <v>63</v>
      </c>
    </row>
    <row r="41" customFormat="false" ht="12.75" hidden="false" customHeight="false" outlineLevel="0" collapsed="false">
      <c r="A41" s="95" t="s">
        <v>64</v>
      </c>
      <c r="E41" s="61"/>
      <c r="G41" s="61"/>
      <c r="I41" s="61"/>
      <c r="J41" s="115"/>
      <c r="M41" s="115"/>
      <c r="R41" s="120"/>
      <c r="S41" s="118"/>
      <c r="U41" s="60" t="s">
        <v>65</v>
      </c>
      <c r="V41" s="125" t="n">
        <f aca="false">+'Orig Sched'!Q16</f>
        <v>0</v>
      </c>
    </row>
    <row r="42" customFormat="false" ht="12.75" hidden="false" customHeight="false" outlineLevel="0" collapsed="false">
      <c r="A42" s="92" t="s">
        <v>66</v>
      </c>
      <c r="C42" s="192" t="n">
        <f aca="false">IF(Report!AC42=0,0,Report!AE42*((Report!M42+Report!S42)/Report!AC42))</f>
        <v>1157486.55872919</v>
      </c>
      <c r="E42" s="192" t="n">
        <f aca="false">IF(Report!AC42=0,0,Report!AE42*(Report!G42/Report!AC42))</f>
        <v>511493.699404307</v>
      </c>
      <c r="G42" s="192" t="n">
        <f aca="false">IF(Report!AC42=0,0,Report!AE42*(Report!AA42/Report!AC42))</f>
        <v>2110390.17870781</v>
      </c>
      <c r="I42" s="192" t="n">
        <f aca="false">G42+E42+C42</f>
        <v>3779370.4368413</v>
      </c>
      <c r="J42" s="127"/>
      <c r="K42" s="192" t="n">
        <f aca="false">I42-Report!AE42</f>
        <v>0</v>
      </c>
      <c r="M42" s="127"/>
      <c r="P42" s="61"/>
      <c r="R42" s="119"/>
      <c r="S42" s="118"/>
      <c r="T42" s="61"/>
      <c r="U42" s="60"/>
      <c r="V42" s="128" t="n">
        <f aca="false">+'Orig Sched'!Q12*1000</f>
        <v>10294.59</v>
      </c>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61"/>
      <c r="DP42" s="61"/>
      <c r="DQ42" s="61"/>
      <c r="DR42" s="61"/>
      <c r="DS42" s="61"/>
      <c r="DT42" s="61"/>
      <c r="DU42" s="61"/>
      <c r="DV42" s="61"/>
      <c r="DW42" s="61"/>
      <c r="DX42" s="61"/>
      <c r="DY42" s="61"/>
      <c r="DZ42" s="61"/>
      <c r="EA42" s="61"/>
      <c r="EB42" s="61"/>
      <c r="EC42" s="61"/>
      <c r="ED42" s="61"/>
      <c r="EE42" s="61"/>
      <c r="EF42" s="61"/>
      <c r="EG42" s="61"/>
      <c r="EH42" s="61"/>
      <c r="EI42" s="61"/>
      <c r="EJ42" s="61"/>
      <c r="EK42" s="61"/>
      <c r="EL42" s="61"/>
      <c r="EM42" s="61"/>
      <c r="EN42" s="61"/>
      <c r="EO42" s="61"/>
      <c r="EP42" s="61"/>
      <c r="EQ42" s="61"/>
      <c r="ER42" s="61"/>
      <c r="ES42" s="61"/>
      <c r="ET42" s="61"/>
      <c r="EU42" s="61"/>
      <c r="EV42" s="61"/>
      <c r="EW42" s="61"/>
      <c r="EX42" s="61"/>
      <c r="EY42" s="61"/>
      <c r="EZ42" s="61"/>
      <c r="FA42" s="61"/>
      <c r="FB42" s="61"/>
      <c r="FC42" s="61"/>
      <c r="FD42" s="61"/>
      <c r="FE42" s="61"/>
      <c r="FF42" s="61"/>
      <c r="FG42" s="61"/>
      <c r="FH42" s="61"/>
      <c r="FI42" s="61"/>
      <c r="FJ42" s="61"/>
      <c r="FK42" s="61"/>
      <c r="FL42" s="61"/>
      <c r="FM42" s="61"/>
      <c r="FN42" s="61"/>
      <c r="FO42" s="61"/>
      <c r="FP42" s="61"/>
      <c r="FQ42" s="61"/>
      <c r="FR42" s="61"/>
      <c r="FS42" s="61"/>
      <c r="FT42" s="61"/>
      <c r="FU42" s="61"/>
      <c r="FV42" s="61"/>
      <c r="FW42" s="61"/>
      <c r="FX42" s="61"/>
      <c r="FY42" s="61"/>
      <c r="FZ42" s="61"/>
      <c r="GA42" s="61"/>
      <c r="GB42" s="61"/>
      <c r="GC42" s="61"/>
      <c r="GD42" s="61"/>
      <c r="GE42" s="61"/>
      <c r="GF42" s="61"/>
      <c r="GG42" s="61"/>
      <c r="GH42" s="61"/>
      <c r="GI42" s="61"/>
      <c r="GJ42" s="61"/>
      <c r="GK42" s="61"/>
      <c r="GL42" s="61"/>
      <c r="GM42" s="61"/>
      <c r="GN42" s="61"/>
      <c r="GO42" s="61"/>
      <c r="GP42" s="61"/>
      <c r="GQ42" s="61"/>
      <c r="GR42" s="61"/>
      <c r="GS42" s="61"/>
      <c r="GT42" s="61"/>
      <c r="GU42" s="61"/>
      <c r="GV42" s="61"/>
      <c r="GW42" s="61"/>
      <c r="GX42" s="61"/>
      <c r="GY42" s="61"/>
      <c r="GZ42" s="61"/>
      <c r="HA42" s="61"/>
      <c r="HB42" s="61"/>
      <c r="HC42" s="61"/>
      <c r="HD42" s="61"/>
      <c r="HE42" s="61"/>
      <c r="HF42" s="61"/>
      <c r="HG42" s="61"/>
      <c r="HH42" s="61"/>
      <c r="HI42" s="61"/>
      <c r="HJ42" s="61"/>
      <c r="HK42" s="61"/>
      <c r="HL42" s="61"/>
      <c r="HM42" s="61"/>
      <c r="HN42" s="61"/>
      <c r="HO42" s="61"/>
      <c r="HP42" s="61"/>
      <c r="HQ42" s="61"/>
      <c r="HR42" s="61"/>
      <c r="HS42" s="61"/>
      <c r="HT42" s="61"/>
      <c r="HU42" s="61"/>
      <c r="HV42" s="61"/>
      <c r="HW42" s="61"/>
      <c r="HX42" s="61"/>
      <c r="HY42" s="61"/>
      <c r="HZ42" s="61"/>
      <c r="IA42" s="61"/>
      <c r="IB42" s="61"/>
      <c r="IC42" s="61"/>
      <c r="ID42" s="61"/>
      <c r="IE42" s="61"/>
      <c r="IF42" s="61"/>
      <c r="IG42" s="61"/>
      <c r="IH42" s="61"/>
      <c r="II42" s="61"/>
      <c r="IJ42" s="61"/>
      <c r="IK42" s="61"/>
      <c r="IL42" s="61"/>
      <c r="IM42" s="61"/>
      <c r="IN42" s="61"/>
      <c r="IO42" s="61"/>
      <c r="IP42" s="61"/>
      <c r="IQ42" s="61"/>
      <c r="IR42" s="61"/>
      <c r="IS42" s="61"/>
      <c r="IT42" s="61"/>
      <c r="IU42" s="61"/>
      <c r="IV42" s="61"/>
      <c r="IW42" s="61"/>
    </row>
    <row r="43" customFormat="false" ht="12.75" hidden="false" customHeight="false" outlineLevel="0" collapsed="false">
      <c r="A43" s="95" t="s">
        <v>67</v>
      </c>
      <c r="C43" s="192" t="n">
        <f aca="false">IF(Report!AC43=0,0,Report!AE43*((Report!M43+Report!S43)/Report!AC43))</f>
        <v>-3085005.99511227</v>
      </c>
      <c r="E43" s="192" t="n">
        <f aca="false">IF(Report!AC43=0,0,Report!AE43*(Report!G43/Report!AC43))</f>
        <v>1951916.52665343</v>
      </c>
      <c r="G43" s="192" t="n">
        <f aca="false">IF(Report!AC43=0,0,Report!AE43*(Report!AA43/Report!AC43))</f>
        <v>4538943.52375134</v>
      </c>
      <c r="I43" s="192" t="n">
        <f aca="false">G43+E43+C43</f>
        <v>3405854.0552925</v>
      </c>
      <c r="J43" s="115"/>
      <c r="K43" s="192" t="n">
        <f aca="false">I43-Report!AE43</f>
        <v>0</v>
      </c>
      <c r="M43" s="115"/>
      <c r="R43" s="115" t="e">
        <f aca="false">#REF!+E43+#REF!+M43+G43+#REF!+#REF!+#REF!</f>
        <v>#REF!</v>
      </c>
      <c r="S43" s="118"/>
      <c r="U43" s="125"/>
      <c r="V43" s="125" t="n">
        <f aca="false">SUM(V41:V42)</f>
        <v>10294.59</v>
      </c>
    </row>
    <row r="44" customFormat="false" ht="12.75" hidden="false" customHeight="false" outlineLevel="0" collapsed="false">
      <c r="A44" s="95" t="s">
        <v>68</v>
      </c>
      <c r="C44" s="192" t="n">
        <f aca="false">IF(Report!AC44=0,0,Report!AE44*((Report!M44+Report!S44)/Report!AC44))</f>
        <v>-3214779.97556133</v>
      </c>
      <c r="E44" s="192" t="n">
        <f aca="false">IF(Report!AC44=0,0,Report!AE44*(Report!G44/Report!AC44))</f>
        <v>-7679363.10523904</v>
      </c>
      <c r="G44" s="192" t="n">
        <f aca="false">IF(Report!AC44=0,0,Report!AE44*(Report!AA44/Report!AC44))</f>
        <v>2632951.92454559</v>
      </c>
      <c r="I44" s="192" t="n">
        <f aca="false">G44+E44+C44</f>
        <v>-8261191.15625477</v>
      </c>
      <c r="J44" s="115"/>
      <c r="K44" s="192" t="n">
        <f aca="false">I44-Report!AE44</f>
        <v>0</v>
      </c>
      <c r="M44" s="115"/>
      <c r="R44" s="115" t="e">
        <f aca="false">#REF!+E44+#REF!+M44+G44+#REF!+#REF!+#REF!</f>
        <v>#REF!</v>
      </c>
      <c r="S44" s="118"/>
    </row>
    <row r="45" customFormat="false" ht="12.75" hidden="false" customHeight="false" outlineLevel="0" collapsed="false">
      <c r="A45" s="95" t="s">
        <v>69</v>
      </c>
      <c r="C45" s="192" t="n">
        <f aca="false">IF(Report!AC45=0,0,Report!AE45*((Report!M45+Report!S45)/Report!AC45))</f>
        <v>-27640.9042309455</v>
      </c>
      <c r="E45" s="192" t="n">
        <f aca="false">IF(Report!AC45=0,0,Report!AE45*(Report!G45/Report!AC45))</f>
        <v>-3484.00030548343</v>
      </c>
      <c r="G45" s="192" t="n">
        <f aca="false">IF(Report!AC45=0,0,Report!AE45*(Report!AA45/Report!AC45))</f>
        <v>-520.620131357874</v>
      </c>
      <c r="I45" s="192" t="n">
        <f aca="false">G45+E45+C45</f>
        <v>-31645.5246677868</v>
      </c>
      <c r="J45" s="115"/>
      <c r="K45" s="192" t="n">
        <f aca="false">I45-Report!AE45</f>
        <v>0</v>
      </c>
      <c r="M45" s="115"/>
      <c r="R45" s="115" t="e">
        <f aca="false">#REF!+E45+#REF!+M45+G45+#REF!+#REF!+#REF!</f>
        <v>#REF!</v>
      </c>
      <c r="S45" s="118"/>
    </row>
    <row r="46" customFormat="false" ht="12.75" hidden="false" customHeight="false" outlineLevel="0" collapsed="false">
      <c r="A46" s="95" t="s">
        <v>70</v>
      </c>
      <c r="C46" s="192" t="n">
        <f aca="false">IF(Report!AC46=0,0,Report!AE46*((Report!M46+Report!S46)/Report!AC46))</f>
        <v>-138451.199022453</v>
      </c>
      <c r="E46" s="192" t="n">
        <f aca="false">IF(Report!AC46=0,0,Report!AE46*(Report!G46/Report!AC46))</f>
        <v>-91902.4362303345</v>
      </c>
      <c r="G46" s="192" t="n">
        <f aca="false">IF(Report!AC46=0,0,Report!AE46*(Report!AA46/Report!AC46))</f>
        <v>-6155134.06903925</v>
      </c>
      <c r="I46" s="192" t="n">
        <f aca="false">G46+E46+C46</f>
        <v>-6385487.70429204</v>
      </c>
      <c r="J46" s="115"/>
      <c r="K46" s="192" t="n">
        <f aca="false">I46-Report!AE46</f>
        <v>0</v>
      </c>
      <c r="M46" s="115"/>
      <c r="R46" s="115"/>
      <c r="S46" s="118"/>
    </row>
    <row r="47" customFormat="false" ht="12.75" hidden="false" customHeight="false" outlineLevel="0" collapsed="false">
      <c r="A47" s="95" t="s">
        <v>71</v>
      </c>
      <c r="C47" s="192" t="n">
        <f aca="false">IF(Report!AC47=0,0,Report!AE47*((Report!M47+Report!S47)/Report!AC47))</f>
        <v>12411.1425080189</v>
      </c>
      <c r="E47" s="192" t="n">
        <f aca="false">IF(Report!AC47=0,0,Report!AE47*(Report!G47/Report!AC47))</f>
        <v>-3779.36459447075</v>
      </c>
      <c r="G47" s="192" t="n">
        <f aca="false">IF(Report!AC47=0,0,Report!AE47*(Report!AA47/Report!AC47))</f>
        <v>1071214.22025355</v>
      </c>
      <c r="I47" s="192" t="n">
        <f aca="false">G47+E47+C47</f>
        <v>1079845.9981671</v>
      </c>
      <c r="J47" s="115"/>
      <c r="K47" s="192" t="n">
        <f aca="false">I47-Report!AE47</f>
        <v>0</v>
      </c>
      <c r="M47" s="115"/>
      <c r="R47" s="115" t="e">
        <f aca="false">#REF!+E47+#REF!+M47+G47+#REF!+#REF!+#REF!</f>
        <v>#REF!</v>
      </c>
      <c r="S47" s="118"/>
    </row>
    <row r="48" customFormat="false" ht="12.75" hidden="false" customHeight="false" outlineLevel="0" collapsed="false">
      <c r="A48" s="95" t="s">
        <v>72</v>
      </c>
      <c r="C48" s="192" t="n">
        <f aca="false">IF(Report!AC48=0,0,Report!AE48*((Report!M48+Report!S48)/Report!AC48))</f>
        <v>0</v>
      </c>
      <c r="E48" s="192" t="n">
        <f aca="false">IF(Report!AC48=0,0,Report!AE48*(Report!G48/Report!AC48))</f>
        <v>-27368.2602718803</v>
      </c>
      <c r="G48" s="192" t="n">
        <f aca="false">IF(Report!AC48=0,0,Report!AE48*(Report!AA48/Report!AC48))</f>
        <v>-610006.453337406</v>
      </c>
      <c r="I48" s="192" t="n">
        <f aca="false">G48+E48+C48</f>
        <v>-637374.713609287</v>
      </c>
      <c r="J48" s="115"/>
      <c r="K48" s="192" t="n">
        <f aca="false">I48-Report!AE48</f>
        <v>0</v>
      </c>
      <c r="M48" s="115"/>
      <c r="R48" s="115" t="e">
        <f aca="false">#REF!+E48+#REF!+M48+G48+#REF!+#REF!+#REF!</f>
        <v>#REF!</v>
      </c>
      <c r="S48" s="118"/>
    </row>
    <row r="49" customFormat="false" ht="12.75" hidden="false" customHeight="false" outlineLevel="0" collapsed="false">
      <c r="A49" s="95" t="s">
        <v>73</v>
      </c>
      <c r="C49" s="192" t="n">
        <f aca="false">IF(Report!AC49=0,0,Report!AE49*((Report!M49+Report!S49)/Report!AC49))</f>
        <v>0</v>
      </c>
      <c r="E49" s="192" t="n">
        <f aca="false">IF(Report!AC49=0,0,Report!AE49*(Report!G49/Report!AC49))</f>
        <v>14517.6416679395</v>
      </c>
      <c r="G49" s="192" t="n">
        <f aca="false">IF(Report!AC49=0,0,Report!AE49*(Report!AA49/Report!AC49))</f>
        <v>700467.771498396</v>
      </c>
      <c r="I49" s="192" t="n">
        <f aca="false">G49+E49+C49</f>
        <v>714985.413166336</v>
      </c>
      <c r="J49" s="115"/>
      <c r="K49" s="192" t="n">
        <f aca="false">I49-Report!AE49</f>
        <v>0</v>
      </c>
      <c r="M49" s="115"/>
      <c r="R49" s="115" t="e">
        <f aca="false">#REF!+E49+#REF!+M49+G49+#REF!+#REF!+#REF!</f>
        <v>#REF!</v>
      </c>
      <c r="S49" s="118"/>
    </row>
    <row r="50" customFormat="false" ht="12.75" hidden="false" customHeight="false" outlineLevel="0" collapsed="false">
      <c r="A50" s="95" t="s">
        <v>74</v>
      </c>
      <c r="C50" s="192" t="n">
        <f aca="false">IF(Report!AC50=0,0,Report!AE50*((Report!M50+Report!S50)/Report!AC50))</f>
        <v>0</v>
      </c>
      <c r="E50" s="192" t="n">
        <f aca="false">IF(Report!AC50=0,0,Report!AE50*(Report!G50/Report!AC50))</f>
        <v>0</v>
      </c>
      <c r="G50" s="192" t="n">
        <f aca="false">IF(Report!AC50=0,0,Report!AE50*(Report!AA50/Report!AC50))</f>
        <v>0</v>
      </c>
      <c r="I50" s="192" t="n">
        <f aca="false">G50+E50+C50</f>
        <v>0</v>
      </c>
      <c r="J50" s="115"/>
      <c r="K50" s="192" t="n">
        <f aca="false">I50-Report!AE50</f>
        <v>0</v>
      </c>
      <c r="M50" s="115"/>
      <c r="R50" s="115" t="e">
        <f aca="false">#REF!+E50+#REF!+M50+G50+#REF!+#REF!+#REF!</f>
        <v>#REF!</v>
      </c>
      <c r="S50" s="118"/>
    </row>
    <row r="51" customFormat="false" ht="12.75" hidden="false" customHeight="false" outlineLevel="0" collapsed="false">
      <c r="A51" s="95" t="s">
        <v>75</v>
      </c>
      <c r="B51" s="129"/>
      <c r="C51" s="192" t="n">
        <f aca="false">IF(Report!AC51=0,0,Report!AE51*((Report!M51+Report!S51)/Report!AC51))</f>
        <v>0</v>
      </c>
      <c r="D51" s="129"/>
      <c r="E51" s="192" t="n">
        <f aca="false">IF(Report!AC51=0,0,Report!AE51*(Report!G51/Report!AC51))</f>
        <v>-42194.8984267604</v>
      </c>
      <c r="G51" s="192" t="n">
        <f aca="false">IF(Report!AC51=0,0,Report!AE51*(Report!AA51/Report!AC51))</f>
        <v>0</v>
      </c>
      <c r="I51" s="192" t="n">
        <f aca="false">G51+E51+C51</f>
        <v>-42194.8984267604</v>
      </c>
      <c r="J51" s="115"/>
      <c r="K51" s="192" t="n">
        <f aca="false">I51-Report!AE51</f>
        <v>0</v>
      </c>
      <c r="M51" s="115"/>
      <c r="R51" s="115" t="e">
        <f aca="false">#REF!+E51+#REF!+M51+G51+#REF!+#REF!+#REF!</f>
        <v>#REF!</v>
      </c>
      <c r="S51" s="118"/>
    </row>
    <row r="52" customFormat="false" ht="12.75" hidden="false" customHeight="false" outlineLevel="0" collapsed="false">
      <c r="A52" s="99" t="s">
        <v>76</v>
      </c>
      <c r="B52" s="100"/>
      <c r="C52" s="191" t="n">
        <f aca="false">IF(Report!AC52=0,0,Report!AE52*((Report!M52+Report!S52)/Report!AC52))</f>
        <v>-5295980.37268978</v>
      </c>
      <c r="D52" s="100"/>
      <c r="E52" s="191" t="n">
        <f aca="false">IF(Report!AC52=0,0,Report!AE52*(Report!G52/Report!AC52))</f>
        <v>-5370164.19734229</v>
      </c>
      <c r="F52" s="100"/>
      <c r="G52" s="191" t="n">
        <f aca="false">IF(Report!AC52=0,0,Report!AE52*(Report!AA52/Report!AC52))</f>
        <v>4288306.47624866</v>
      </c>
      <c r="H52" s="100"/>
      <c r="I52" s="191" t="n">
        <f aca="false">G52+E52+C52</f>
        <v>-6377838.09378341</v>
      </c>
      <c r="J52" s="130"/>
      <c r="K52" s="191" t="n">
        <f aca="false">I52-Report!AE52</f>
        <v>0</v>
      </c>
      <c r="L52" s="100"/>
      <c r="M52" s="130"/>
      <c r="N52" s="100"/>
      <c r="O52" s="100"/>
      <c r="Q52" s="100"/>
      <c r="R52" s="132" t="e">
        <f aca="false">SUM(R43:R51)</f>
        <v>#REF!</v>
      </c>
      <c r="S52" s="118"/>
    </row>
    <row r="53" customFormat="false" ht="12.75" hidden="false" customHeight="false" outlineLevel="0" collapsed="false">
      <c r="A53" s="95" t="s">
        <v>77</v>
      </c>
      <c r="C53" s="191" t="n">
        <f aca="false">IF(Report!AC53=0,0,Report!AE53*((Report!M53+Report!S53)/Report!AC53))</f>
        <v>0</v>
      </c>
      <c r="E53" s="191" t="n">
        <f aca="false">IF(Report!AC53=0,0,Report!AE53*(Report!G53/Report!AC53))</f>
        <v>0</v>
      </c>
      <c r="G53" s="191" t="n">
        <f aca="false">IF(Report!AC53=0,0,Report!AE53*(Report!AA53/Report!AC53))</f>
        <v>0</v>
      </c>
      <c r="I53" s="191" t="n">
        <f aca="false">G53+E53+C53</f>
        <v>0</v>
      </c>
      <c r="J53" s="115"/>
      <c r="K53" s="191" t="n">
        <f aca="false">I53-Report!AE53</f>
        <v>0</v>
      </c>
      <c r="M53" s="115"/>
      <c r="R53" s="116" t="e">
        <f aca="false">#REF!+E53+#REF!+M53+G53+#REF!+#REF!+#REF!</f>
        <v>#REF!</v>
      </c>
      <c r="S53" s="118"/>
      <c r="U53" s="133" t="e">
        <f aca="false">+#REF!/#REF!</f>
        <v>#REF!</v>
      </c>
    </row>
    <row r="54" customFormat="false" ht="12.75" hidden="false" customHeight="false" outlineLevel="0" collapsed="false">
      <c r="A54" s="95" t="s">
        <v>78</v>
      </c>
      <c r="C54" s="191" t="n">
        <f aca="false">IF(Report!AC54=0,0,Report!AE54*((Report!M54+Report!S54)/Report!AC54))</f>
        <v>70131.1669466932</v>
      </c>
      <c r="E54" s="191" t="n">
        <f aca="false">IF(Report!AC54=0,0,Report!AE54*(Report!G54/Report!AC54))</f>
        <v>19881.586986406</v>
      </c>
      <c r="G54" s="191" t="n">
        <f aca="false">IF(Report!AC54=0,0,Report!AE54*(Report!AA54/Report!AC54))</f>
        <v>-362029.63189247</v>
      </c>
      <c r="I54" s="191" t="n">
        <f aca="false">G54+E54+C54</f>
        <v>-272016.877959371</v>
      </c>
      <c r="J54" s="115"/>
      <c r="K54" s="191" t="n">
        <f aca="false">I54-Report!AE54</f>
        <v>0</v>
      </c>
      <c r="M54" s="115"/>
      <c r="R54" s="116" t="e">
        <f aca="false">#REF!+E54+#REF!+M54+G54+#REF!+#REF!+#REF!</f>
        <v>#REF!</v>
      </c>
      <c r="S54" s="118"/>
    </row>
    <row r="55" customFormat="false" ht="12.75" hidden="false" customHeight="false" outlineLevel="0" collapsed="false">
      <c r="A55" s="99" t="s">
        <v>79</v>
      </c>
      <c r="B55" s="100"/>
      <c r="C55" s="191" t="n">
        <f aca="false">IF(Report!AC55=0,0,Report!AE55*((Report!M55+Report!S55)/Report!AC55))</f>
        <v>-5225849.20574309</v>
      </c>
      <c r="D55" s="100"/>
      <c r="E55" s="191" t="n">
        <f aca="false">IF(Report!AC55=0,0,Report!AE55*(Report!G55/Report!AC55))</f>
        <v>-4958852.22239194</v>
      </c>
      <c r="F55" s="100"/>
      <c r="G55" s="191" t="n">
        <f aca="false">IF(Report!AC55=0,0,Report!AE55*(Report!AA55/Report!AC55))</f>
        <v>3961921.14709027</v>
      </c>
      <c r="H55" s="100"/>
      <c r="I55" s="191" t="n">
        <f aca="false">G55+E55+C55</f>
        <v>-6222780.28104475</v>
      </c>
      <c r="J55" s="130"/>
      <c r="K55" s="191" t="n">
        <f aca="false">I55-Report!AE55</f>
        <v>0</v>
      </c>
      <c r="L55" s="134"/>
      <c r="M55" s="130"/>
      <c r="N55" s="100"/>
      <c r="O55" s="100"/>
      <c r="Q55" s="100"/>
      <c r="R55" s="132" t="e">
        <f aca="false">R40+R52+R53+R54</f>
        <v>#REF!</v>
      </c>
      <c r="S55" s="118"/>
    </row>
    <row r="56" customFormat="false" ht="12.75" hidden="false" customHeight="false" outlineLevel="0" collapsed="false">
      <c r="A56" s="99" t="s">
        <v>80</v>
      </c>
      <c r="B56" s="100"/>
      <c r="C56" s="127"/>
      <c r="D56" s="100"/>
      <c r="E56" s="127"/>
      <c r="F56" s="100"/>
      <c r="G56" s="127"/>
      <c r="H56" s="100"/>
      <c r="I56" s="127" t="n">
        <f aca="false">+I55-I40</f>
        <v>-6649854.97174278</v>
      </c>
      <c r="J56" s="130"/>
      <c r="K56" s="127"/>
      <c r="L56" s="100"/>
      <c r="M56" s="130"/>
      <c r="N56" s="100"/>
      <c r="O56" s="100"/>
      <c r="Q56" s="100"/>
      <c r="R56" s="137"/>
      <c r="S56" s="118"/>
    </row>
    <row r="57" customFormat="false" ht="12.75" hidden="false" customHeight="false" outlineLevel="0" collapsed="false">
      <c r="A57" s="99" t="s">
        <v>81</v>
      </c>
      <c r="B57" s="100"/>
      <c r="C57" s="127"/>
      <c r="D57" s="100"/>
      <c r="E57" s="127"/>
      <c r="F57" s="100"/>
      <c r="G57" s="127"/>
      <c r="H57" s="100"/>
      <c r="I57" s="127"/>
      <c r="J57" s="130"/>
      <c r="K57" s="127"/>
      <c r="L57" s="100"/>
      <c r="M57" s="130"/>
      <c r="N57" s="100"/>
      <c r="O57" s="100"/>
      <c r="Q57" s="100"/>
      <c r="R57" s="137"/>
      <c r="S57" s="118"/>
    </row>
    <row r="58" customFormat="false" ht="12.75" hidden="false" customHeight="false" outlineLevel="0" collapsed="false">
      <c r="A58" s="99" t="s">
        <v>82</v>
      </c>
      <c r="B58" s="100"/>
      <c r="C58" s="127"/>
      <c r="D58" s="100"/>
      <c r="E58" s="127"/>
      <c r="F58" s="100"/>
      <c r="G58" s="127"/>
      <c r="H58" s="100"/>
      <c r="I58" s="127"/>
      <c r="J58" s="130"/>
      <c r="K58" s="127"/>
      <c r="L58" s="100"/>
      <c r="M58" s="130"/>
      <c r="N58" s="100"/>
      <c r="O58" s="100"/>
      <c r="Q58" s="100"/>
      <c r="R58" s="137"/>
      <c r="S58" s="118"/>
    </row>
    <row r="59" customFormat="false" ht="9" hidden="false" customHeight="true" outlineLevel="0" collapsed="false">
      <c r="C59" s="139"/>
      <c r="E59" s="139"/>
      <c r="G59" s="139"/>
      <c r="I59" s="139"/>
      <c r="J59" s="115"/>
      <c r="K59" s="139"/>
      <c r="M59" s="115"/>
      <c r="R59" s="120"/>
      <c r="S59" s="118"/>
      <c r="T59" s="0"/>
      <c r="V59" s="62"/>
      <c r="W59" s="62"/>
    </row>
    <row r="60" customFormat="false" ht="13.5" hidden="false" customHeight="false" outlineLevel="0" collapsed="false">
      <c r="A60" s="111" t="n">
        <f aca="false">A4</f>
        <v>36847</v>
      </c>
      <c r="C60" s="139"/>
      <c r="E60" s="139"/>
      <c r="G60" s="139"/>
      <c r="I60" s="139"/>
      <c r="K60" s="139"/>
      <c r="S60" s="118"/>
    </row>
    <row r="61" customFormat="false" ht="12.75" hidden="false" customHeight="false" outlineLevel="0" collapsed="false">
      <c r="A61" s="95" t="s">
        <v>83</v>
      </c>
      <c r="C61" s="191" t="n">
        <f aca="false">IF(Report!AC61=0,0,Report!AE61*((Report!M61+Report!S61)/Report!AC61))</f>
        <v>-3485521.99505173</v>
      </c>
      <c r="E61" s="191" t="n">
        <f aca="false">IF(Report!AC61=0,0,Report!AE61*(Report!G61/Report!AC61))</f>
        <v>129368511.119362</v>
      </c>
      <c r="G61" s="191" t="n">
        <f aca="false">IF(Report!AC61=0,0,Report!AE61*(Report!AA61/Report!AC61))</f>
        <v>37332467.4079222</v>
      </c>
      <c r="I61" s="191" t="n">
        <f aca="false">G61+E61+C61</f>
        <v>163215456.532233</v>
      </c>
      <c r="J61" s="115"/>
      <c r="K61" s="191" t="n">
        <f aca="false">I61-Report!AE61</f>
        <v>0</v>
      </c>
      <c r="M61" s="115"/>
      <c r="R61" s="116" t="e">
        <f aca="false">#REF!+E61+#REF!+M61+G61+#REF!+#REF!+#REF!</f>
        <v>#REF!</v>
      </c>
      <c r="S61" s="118"/>
    </row>
    <row r="62" customFormat="false" ht="12.75" hidden="false" customHeight="false" outlineLevel="0" collapsed="false">
      <c r="A62" s="95" t="s">
        <v>84</v>
      </c>
      <c r="C62" s="191" t="n">
        <f aca="false">IF(Report!AC62=0,0,Report!AE62*((Report!M62+Report!S62)/Report!AC62))</f>
        <v>1345.04353138842</v>
      </c>
      <c r="E62" s="191" t="n">
        <f aca="false">IF(Report!AC62=0,0,Report!AE62*(Report!G62/Report!AC62))</f>
        <v>592288.490911868</v>
      </c>
      <c r="G62" s="191" t="n">
        <f aca="false">IF(Report!AC62=0,0,Report!AE62*(Report!AA62/Report!AC62))</f>
        <v>-9785.32152130747</v>
      </c>
      <c r="I62" s="191" t="n">
        <f aca="false">G62+E62+C62</f>
        <v>583848.212921949</v>
      </c>
      <c r="J62" s="115"/>
      <c r="K62" s="191" t="n">
        <f aca="false">I62-Report!AE62</f>
        <v>0</v>
      </c>
      <c r="M62" s="115"/>
      <c r="R62" s="116" t="e">
        <f aca="false">#REF!+E62+#REF!+M62+G62+#REF!+#REF!+#REF!</f>
        <v>#REF!</v>
      </c>
      <c r="S62" s="118"/>
    </row>
    <row r="63" customFormat="false" ht="12.75" hidden="false" customHeight="false" outlineLevel="0" collapsed="false">
      <c r="A63" s="95" t="s">
        <v>85</v>
      </c>
      <c r="C63" s="191" t="n">
        <f aca="false">IF(Report!AC63=0,0,Report!AE63*((Report!M63+Report!S63)/Report!AC63))</f>
        <v>-7361.38689476096</v>
      </c>
      <c r="E63" s="191" t="n">
        <f aca="false">IF(Report!AC63=0,0,Report!AE63*(Report!G63/Report!AC63))</f>
        <v>492188.559645639</v>
      </c>
      <c r="G63" s="191" t="n">
        <f aca="false">IF(Report!AC63=0,0,Report!AE63*(Report!AA63/Report!AC63))</f>
        <v>110044.295096991</v>
      </c>
      <c r="I63" s="191" t="n">
        <f aca="false">G63+E63+C63</f>
        <v>594871.467847869</v>
      </c>
      <c r="J63" s="115"/>
      <c r="K63" s="191" t="n">
        <f aca="false">I63-Report!AE63</f>
        <v>0</v>
      </c>
      <c r="M63" s="115"/>
      <c r="R63" s="116" t="e">
        <f aca="false">#REF!+E63+#REF!+M63+G63+#REF!+#REF!+#REF!</f>
        <v>#REF!</v>
      </c>
      <c r="S63" s="118"/>
    </row>
    <row r="64" customFormat="false" ht="9.75" hidden="false" customHeight="true" outlineLevel="0" collapsed="false">
      <c r="A64" s="95"/>
      <c r="C64" s="139"/>
      <c r="E64" s="139"/>
      <c r="G64" s="139"/>
      <c r="I64" s="139"/>
      <c r="J64" s="115"/>
      <c r="K64" s="139"/>
      <c r="M64" s="115"/>
      <c r="R64" s="115"/>
      <c r="S64" s="118"/>
    </row>
    <row r="65" customFormat="false" ht="12.75" hidden="false" customHeight="false" outlineLevel="0" collapsed="false">
      <c r="A65" s="95" t="s">
        <v>86</v>
      </c>
      <c r="C65" s="191" t="n">
        <f aca="false">IF(Report!AC65=0,0,Report!AE65*((Report!M65+Report!S65)/Report!AC65))</f>
        <v>-3478787.61746581</v>
      </c>
      <c r="E65" s="191" t="n">
        <f aca="false">IF(Report!AC65=0,0,Report!AE65*(Report!G65/Report!AC65))</f>
        <v>128289664.031383</v>
      </c>
      <c r="G65" s="191" t="n">
        <f aca="false">IF(Report!AC65=0,0,Report!AE65*(Report!AA65/Report!AC65))</f>
        <v>37225860.437546</v>
      </c>
      <c r="I65" s="191" t="n">
        <f aca="false">G65+E65+C65</f>
        <v>162036736.851463</v>
      </c>
      <c r="J65" s="115"/>
      <c r="K65" s="191" t="n">
        <f aca="false">I65-Report!AE65</f>
        <v>0</v>
      </c>
      <c r="M65" s="115"/>
      <c r="R65" s="116" t="e">
        <f aca="false">#REF!+E65+#REF!+M65+G65+#REF!+#REF!+#REF!</f>
        <v>#REF!</v>
      </c>
      <c r="S65" s="118"/>
    </row>
    <row r="66" customFormat="false" ht="12.75" hidden="false" customHeight="false" outlineLevel="0" collapsed="false">
      <c r="A66" s="95" t="s">
        <v>87</v>
      </c>
      <c r="B66" s="129"/>
      <c r="C66" s="191" t="n">
        <f aca="false">IF(Report!AC66=0,0,Report!AE66*((Report!M66+Report!S66)/Report!AC66))</f>
        <v>-0</v>
      </c>
      <c r="D66" s="129"/>
      <c r="E66" s="191" t="n">
        <f aca="false">IF(Report!AC66=0,0,Report!AE66*(Report!G66/Report!AC66))</f>
        <v>-593557.865862259</v>
      </c>
      <c r="F66" s="129"/>
      <c r="G66" s="191" t="n">
        <f aca="false">IF(Report!AC66=0,0,Report!AE66*(Report!AA66/Report!AC66))</f>
        <v>-0</v>
      </c>
      <c r="H66" s="129"/>
      <c r="I66" s="191" t="n">
        <f aca="false">G66+E66+C66</f>
        <v>-593557.865862259</v>
      </c>
      <c r="J66" s="60"/>
      <c r="K66" s="191" t="n">
        <f aca="false">I66-Report!AE66</f>
        <v>0</v>
      </c>
      <c r="M66" s="115"/>
      <c r="O66" s="60" t="e">
        <f aca="false">#REF!+#REF!-#REF!</f>
        <v>#REF!</v>
      </c>
      <c r="Q66" s="60" t="e">
        <f aca="false">R35+R53-R66</f>
        <v>#REF!</v>
      </c>
      <c r="R66" s="116" t="e">
        <f aca="false">#REF!+E66+#REF!+M66+G66+#REF!+#REF!+#REF!</f>
        <v>#REF!</v>
      </c>
      <c r="S66" s="118"/>
      <c r="U66" s="142" t="e">
        <f aca="false">+#REF!/#REF!</f>
        <v>#REF!</v>
      </c>
    </row>
    <row r="67" customFormat="false" ht="12.75" hidden="false" customHeight="false" outlineLevel="0" collapsed="false">
      <c r="A67" s="95" t="s">
        <v>88</v>
      </c>
      <c r="C67" s="191" t="n">
        <f aca="false">IF(Report!AC67=0,0,Report!AE67*((Report!M67+Report!S67)/Report!AC67))</f>
        <v>1593421.46941701</v>
      </c>
      <c r="E67" s="191" t="n">
        <f aca="false">IF(Report!AC67=0,0,Report!AE67*(Report!G67/Report!AC67))</f>
        <v>46269949.7961663</v>
      </c>
      <c r="G67" s="191" t="n">
        <f aca="false">IF(Report!AC67=0,0,Report!AE67*(Report!AA67/Report!AC67))</f>
        <v>-35790720.175047</v>
      </c>
      <c r="I67" s="191" t="n">
        <f aca="false">G67+E67+C67</f>
        <v>12072651.0905363</v>
      </c>
      <c r="J67" s="60"/>
      <c r="K67" s="191" t="n">
        <f aca="false">I67-Report!AE67</f>
        <v>0</v>
      </c>
      <c r="M67" s="115"/>
      <c r="R67" s="116" t="e">
        <f aca="false">#REF!+E67+#REF!+M67+G67+#REF!+#REF!+#REF!</f>
        <v>#REF!</v>
      </c>
      <c r="S67" s="118"/>
      <c r="Z67" s="59" t="n">
        <f aca="false">60000-41867.65</f>
        <v>18132.35</v>
      </c>
    </row>
    <row r="68" customFormat="false" ht="12.75" hidden="false" customHeight="false" outlineLevel="0" collapsed="false">
      <c r="A68" s="63" t="s">
        <v>61</v>
      </c>
      <c r="C68" s="191" t="n">
        <f aca="false">IF(Report!AC68=0,0,Report!AE68*((Report!M68+Report!S68)/Report!AC68))</f>
        <v>-1766834.91566049</v>
      </c>
      <c r="E68" s="191" t="n">
        <f aca="false">IF(Report!AC68=0,0,Report!AE68*(Report!G68/Report!AC68))</f>
        <v>176185989.179579</v>
      </c>
      <c r="F68" s="0"/>
      <c r="G68" s="191" t="n">
        <f aca="false">IF(Report!AC68=0,0,Report!AE68*(Report!AA68/Report!AC68))</f>
        <v>-903324.060333929</v>
      </c>
      <c r="H68" s="0"/>
      <c r="I68" s="191" t="n">
        <f aca="false">G68+E68+C68</f>
        <v>173515830.203585</v>
      </c>
      <c r="J68" s="60"/>
      <c r="K68" s="191" t="n">
        <f aca="false">I68-Report!AE68</f>
        <v>0</v>
      </c>
      <c r="M68" s="115"/>
      <c r="O68" s="60" t="e">
        <f aca="false">#REF!-SUM(#REF!)+(PriceAlberta!P67/1000)*0</f>
        <v>#REF!</v>
      </c>
      <c r="Q68" s="60" t="e">
        <f aca="false">R68-SUM(R65:R67)+(PriceAlberta!R67/1000)*0</f>
        <v>#REF!</v>
      </c>
      <c r="R68" s="116" t="e">
        <f aca="false">#REF!+E68+#REF!+M68+G68+#REF!+#REF!+#REF!</f>
        <v>#REF!</v>
      </c>
      <c r="S68" s="118"/>
    </row>
    <row r="69" customFormat="false" ht="9" hidden="false" customHeight="true" outlineLevel="0" collapsed="false">
      <c r="C69" s="139"/>
      <c r="E69" s="139"/>
      <c r="G69" s="139"/>
      <c r="I69" s="139"/>
      <c r="J69" s="60"/>
      <c r="K69" s="139"/>
      <c r="S69" s="118"/>
    </row>
    <row r="70" customFormat="false" ht="13.5" hidden="false" customHeight="false" outlineLevel="0" collapsed="false">
      <c r="A70" s="143" t="s">
        <v>89</v>
      </c>
      <c r="C70" s="139"/>
      <c r="E70" s="139"/>
      <c r="G70" s="139"/>
      <c r="I70" s="139"/>
      <c r="J70" s="60"/>
      <c r="K70" s="139"/>
      <c r="S70" s="118"/>
      <c r="X70" s="144"/>
    </row>
    <row r="71" customFormat="false" ht="12.75" hidden="false" customHeight="false" outlineLevel="0" collapsed="false">
      <c r="A71" s="63" t="s">
        <v>61</v>
      </c>
      <c r="C71" s="191" t="n">
        <f aca="false">IF(Report!AC71=0,0,Report!AE71*((Report!M71+Report!S71)/Report!AC71))</f>
        <v>0</v>
      </c>
      <c r="E71" s="191" t="n">
        <f aca="false">IF(Report!AC71=0,0,Report!AE71*(Report!G71/Report!AC71))</f>
        <v>168857048.818312</v>
      </c>
      <c r="G71" s="191" t="n">
        <f aca="false">IF(Report!AC71=0,0,Report!AE71*(Report!AA71/Report!AC71))</f>
        <v>15888.1816884468</v>
      </c>
      <c r="I71" s="191" t="n">
        <f aca="false">G71+E71+C71</f>
        <v>168872937</v>
      </c>
      <c r="J71" s="60"/>
      <c r="K71" s="191" t="n">
        <f aca="false">I71-Report!AE71</f>
        <v>0</v>
      </c>
      <c r="M71" s="115"/>
      <c r="R71" s="116" t="e">
        <f aca="false">#REF!+E71+#REF!+M71+G71+#REF!+#REF!+#REF!</f>
        <v>#REF!</v>
      </c>
      <c r="S71" s="118"/>
    </row>
    <row r="72" customFormat="false" ht="12" hidden="false" customHeight="true" outlineLevel="0" collapsed="false">
      <c r="B72" s="129"/>
      <c r="C72" s="139"/>
      <c r="E72" s="139"/>
      <c r="F72" s="0"/>
      <c r="G72" s="139"/>
      <c r="H72" s="0"/>
      <c r="I72" s="139"/>
      <c r="J72" s="60"/>
      <c r="K72" s="139"/>
      <c r="M72" s="146"/>
      <c r="O72" s="60" t="e">
        <f aca="false">SUM(#REF!)-#REF!+#REF!</f>
        <v>#REF!</v>
      </c>
      <c r="Q72" s="60" t="e">
        <f aca="false">SUM(R74:R76)-R68+R71</f>
        <v>#REF!</v>
      </c>
      <c r="R72" s="145"/>
      <c r="S72" s="118"/>
    </row>
    <row r="73" customFormat="false" ht="13.5" hidden="false" customHeight="false" outlineLevel="0" collapsed="false">
      <c r="A73" s="147" t="n">
        <f aca="false">A4</f>
        <v>36847</v>
      </c>
      <c r="C73" s="139"/>
      <c r="E73" s="139"/>
      <c r="G73" s="139"/>
      <c r="I73" s="139"/>
      <c r="K73" s="139"/>
      <c r="S73" s="118"/>
    </row>
    <row r="74" customFormat="false" ht="12.75" hidden="false" customHeight="false" outlineLevel="0" collapsed="false">
      <c r="A74" s="95" t="s">
        <v>58</v>
      </c>
      <c r="C74" s="191" t="n">
        <f aca="false">IF(Report!AC74=0,0,Report!AE74*((Report!M74+Report!S74)/Report!AC74))</f>
        <v>-8618055.41358309</v>
      </c>
      <c r="E74" s="191" t="n">
        <f aca="false">IF(Report!AC74=0,0,Report!AE74*(Report!G74/Report!AC74))</f>
        <v>-71948730.9094648</v>
      </c>
      <c r="G74" s="191" t="n">
        <f aca="false">IF(Report!AC74=0,0,Report!AE74*(Report!AA74/Report!AC74))</f>
        <v>67880383.1745106</v>
      </c>
      <c r="I74" s="191" t="n">
        <f aca="false">G74+E74+C74</f>
        <v>-12686403.1485373</v>
      </c>
      <c r="J74" s="115"/>
      <c r="K74" s="191" t="n">
        <f aca="false">I74-Report!AE74</f>
        <v>0</v>
      </c>
      <c r="M74" s="115"/>
      <c r="R74" s="116" t="e">
        <f aca="false">#REF!+E74+#REF!+M74+G74+#REF!+#REF!+#REF!</f>
        <v>#REF!</v>
      </c>
      <c r="S74" s="118"/>
    </row>
    <row r="75" customFormat="false" ht="12.75" hidden="false" customHeight="false" outlineLevel="0" collapsed="false">
      <c r="A75" s="95" t="s">
        <v>90</v>
      </c>
      <c r="C75" s="191" t="n">
        <f aca="false">IF(Report!AC75=0,0,Report!AE75*((Report!M75+Report!S75)/Report!AC75))</f>
        <v>0</v>
      </c>
      <c r="E75" s="191" t="n">
        <f aca="false">IF(Report!AC75=0,0,Report!AE75*(Report!G75/Report!AC75))</f>
        <v>6472964.13413774</v>
      </c>
      <c r="G75" s="191" t="n">
        <f aca="false">IF(Report!AC75=0,0,Report!AE75*(Report!AA75/Report!AC75))</f>
        <v>0</v>
      </c>
      <c r="I75" s="191" t="n">
        <f aca="false">G75+E75+C75</f>
        <v>6472964.13413774</v>
      </c>
      <c r="J75" s="115"/>
      <c r="K75" s="191" t="n">
        <f aca="false">I75-Report!AE75</f>
        <v>0</v>
      </c>
      <c r="M75" s="115"/>
      <c r="R75" s="116" t="e">
        <f aca="false">#REF!+E75+#REF!+M75+G75+#REF!+#REF!+#REF!</f>
        <v>#REF!</v>
      </c>
      <c r="S75" s="118"/>
    </row>
    <row r="76" customFormat="false" ht="12.75" hidden="false" customHeight="false" outlineLevel="0" collapsed="false">
      <c r="A76" s="95" t="s">
        <v>88</v>
      </c>
      <c r="C76" s="191" t="n">
        <f aca="false">IF(Report!AC76=0,0,Report!AE76*((Report!M76+Report!S76)/Report!AC76))</f>
        <v>1881957.16189926</v>
      </c>
      <c r="E76" s="191" t="n">
        <f aca="false">IF(Report!AC76=0,0,Report!AE76*(Report!G76/Report!AC76))</f>
        <v>40372738.6319955</v>
      </c>
      <c r="G76" s="191" t="n">
        <f aca="false">IF(Report!AC76=0,0,Report!AE76*(Report!AA76/Report!AC76))</f>
        <v>-31398364.7033585</v>
      </c>
      <c r="I76" s="191" t="n">
        <f aca="false">G76+E76+C76</f>
        <v>10856331.0905363</v>
      </c>
      <c r="J76" s="115"/>
      <c r="K76" s="191" t="n">
        <f aca="false">I76-Report!AE76</f>
        <v>0</v>
      </c>
      <c r="M76" s="115"/>
      <c r="R76" s="116" t="e">
        <f aca="false">#REF!+E76+#REF!+M76+G76+#REF!+#REF!+#REF!</f>
        <v>#REF!</v>
      </c>
      <c r="S76" s="118"/>
    </row>
    <row r="77" customFormat="false" ht="12.75" hidden="false" customHeight="false" outlineLevel="0" collapsed="false">
      <c r="A77" s="99" t="s">
        <v>91</v>
      </c>
      <c r="B77" s="100"/>
      <c r="C77" s="191" t="n">
        <f aca="false">IF(Report!AC77=0,0,Report!AE77*((Report!M77+Report!S77)/Report!AC77))</f>
        <v>-784017.235194632</v>
      </c>
      <c r="D77" s="100"/>
      <c r="E77" s="191" t="n">
        <f aca="false">IF(Report!AC77=0,0,Report!AE77*(Report!G77/Report!AC77))</f>
        <v>5834558.56006756</v>
      </c>
      <c r="F77" s="100"/>
      <c r="G77" s="191" t="n">
        <f aca="false">IF(Report!AC77=0,0,Report!AE77*(Report!AA77/Report!AC77))</f>
        <v>-407649.248736167</v>
      </c>
      <c r="H77" s="100"/>
      <c r="I77" s="191" t="n">
        <f aca="false">G77+E77+C77</f>
        <v>4642892.07613676</v>
      </c>
      <c r="J77" s="130"/>
      <c r="K77" s="191" t="n">
        <f aca="false">I77-Report!AE77</f>
        <v>0</v>
      </c>
      <c r="L77" s="100"/>
      <c r="M77" s="130"/>
      <c r="N77" s="100"/>
      <c r="O77" s="100"/>
      <c r="Q77" s="100"/>
      <c r="R77" s="132" t="e">
        <f aca="false">#REF!+E77+#REF!+M77+G77+#REF!+#REF!+#REF!</f>
        <v>#REF!</v>
      </c>
      <c r="S77" s="118"/>
      <c r="T77" s="62"/>
      <c r="V77" s="62"/>
      <c r="W77" s="62"/>
    </row>
    <row r="78" customFormat="false" ht="12.75" hidden="true" customHeight="false" outlineLevel="0" collapsed="false">
      <c r="A78" s="99" t="s">
        <v>92</v>
      </c>
      <c r="B78" s="100"/>
      <c r="C78" s="127"/>
      <c r="D78" s="100"/>
      <c r="E78" s="127"/>
      <c r="F78" s="100"/>
      <c r="G78" s="127"/>
      <c r="H78" s="100"/>
      <c r="I78" s="127" t="n">
        <f aca="false">(I77/SpotRates!J1)*0</f>
        <v>0</v>
      </c>
      <c r="J78" s="130"/>
      <c r="K78" s="127"/>
      <c r="L78" s="100"/>
      <c r="M78" s="130"/>
      <c r="N78" s="100"/>
      <c r="O78" s="100"/>
      <c r="Q78" s="100"/>
      <c r="R78" s="137"/>
      <c r="S78" s="118"/>
      <c r="T78" s="62"/>
      <c r="V78" s="62"/>
      <c r="W78" s="62"/>
    </row>
    <row r="79" customFormat="false" ht="12.75" hidden="true" customHeight="false" outlineLevel="0" collapsed="false">
      <c r="A79" s="99" t="s">
        <v>81</v>
      </c>
      <c r="B79" s="100"/>
      <c r="C79" s="127"/>
      <c r="D79" s="100"/>
      <c r="E79" s="127"/>
      <c r="F79" s="100"/>
      <c r="G79" s="127"/>
      <c r="H79" s="100"/>
      <c r="I79" s="127" t="n">
        <f aca="false">(I80-I78)*0</f>
        <v>0</v>
      </c>
      <c r="J79" s="130"/>
      <c r="K79" s="127"/>
      <c r="L79" s="100"/>
      <c r="M79" s="130"/>
      <c r="N79" s="100"/>
      <c r="O79" s="100"/>
      <c r="Q79" s="100"/>
      <c r="R79" s="137"/>
      <c r="S79" s="118"/>
      <c r="T79" s="62"/>
      <c r="V79" s="62"/>
      <c r="W79" s="62"/>
    </row>
    <row r="80" customFormat="false" ht="12.75" hidden="false" customHeight="false" outlineLevel="0" collapsed="false">
      <c r="A80" s="99" t="s">
        <v>93</v>
      </c>
      <c r="B80" s="100"/>
      <c r="C80" s="127"/>
      <c r="D80" s="100"/>
      <c r="E80" s="127"/>
      <c r="F80" s="100"/>
      <c r="G80" s="127"/>
      <c r="H80" s="100"/>
      <c r="I80" s="127" t="n">
        <f aca="false">I77/SpotRates!D36</f>
        <v>2979077.3667865</v>
      </c>
      <c r="J80" s="130"/>
      <c r="K80" s="127"/>
      <c r="L80" s="100"/>
      <c r="M80" s="130"/>
      <c r="N80" s="100"/>
      <c r="O80" s="100"/>
      <c r="Q80" s="100"/>
      <c r="R80" s="137"/>
      <c r="S80" s="118"/>
      <c r="T80" s="62"/>
      <c r="V80" s="62"/>
      <c r="W80" s="62"/>
    </row>
    <row r="81" customFormat="false" ht="12.75" hidden="false" customHeight="true" outlineLevel="0" collapsed="false">
      <c r="A81" s="92"/>
      <c r="C81" s="139"/>
      <c r="E81" s="139"/>
      <c r="G81" s="139"/>
      <c r="I81" s="139"/>
      <c r="K81" s="139"/>
      <c r="S81" s="118"/>
      <c r="T81" s="62"/>
      <c r="V81" s="62"/>
      <c r="W81" s="149"/>
    </row>
    <row r="82" customFormat="false" ht="13.5" hidden="false" customHeight="false" outlineLevel="0" collapsed="false">
      <c r="A82" s="150" t="s">
        <v>94</v>
      </c>
      <c r="C82" s="139"/>
      <c r="E82" s="139"/>
      <c r="G82" s="139"/>
      <c r="I82" s="139"/>
      <c r="K82" s="139"/>
      <c r="S82" s="118"/>
      <c r="T82" s="62"/>
      <c r="V82" s="62"/>
      <c r="W82" s="62"/>
    </row>
    <row r="83" customFormat="false" ht="12.75" hidden="false" customHeight="false" outlineLevel="0" collapsed="false">
      <c r="A83" s="95" t="s">
        <v>95</v>
      </c>
      <c r="C83" s="191" t="n">
        <f aca="false">IF(Report!AC83=0,0,Report!AE83*((Report!M83+Report!S83)/Report!AC83))</f>
        <v>0</v>
      </c>
      <c r="E83" s="191" t="n">
        <f aca="false">IF(Report!AC83=0,0,Report!AE83*(Report!G83/Report!AC83))</f>
        <v>3417.53160019976</v>
      </c>
      <c r="G83" s="191" t="n">
        <f aca="false">IF(Report!AC83=0,0,Report!AE83*(Report!AA83/Report!AC83))</f>
        <v>0</v>
      </c>
      <c r="I83" s="191" t="n">
        <f aca="false">G83+E83+C83</f>
        <v>3417.53160019976</v>
      </c>
      <c r="J83" s="152"/>
      <c r="K83" s="191" t="n">
        <f aca="false">I83-Report!AE83</f>
        <v>0</v>
      </c>
      <c r="M83" s="152"/>
      <c r="R83" s="116" t="e">
        <f aca="false">#REF!+E83+#REF!+M83+G83+#REF!+#REF!+#REF!</f>
        <v>#REF!</v>
      </c>
      <c r="S83" s="118"/>
      <c r="T83" s="62"/>
      <c r="V83" s="62"/>
      <c r="W83" s="153"/>
    </row>
    <row r="84" customFormat="false" ht="12.75" hidden="false" customHeight="false" outlineLevel="0" collapsed="false">
      <c r="A84" s="95" t="s">
        <v>64</v>
      </c>
      <c r="C84" s="139"/>
      <c r="E84" s="139"/>
      <c r="G84" s="139"/>
      <c r="I84" s="139"/>
      <c r="K84" s="139"/>
      <c r="R84" s="120"/>
      <c r="S84" s="118"/>
      <c r="T84" s="62"/>
      <c r="V84" s="62"/>
      <c r="W84" s="154"/>
    </row>
    <row r="85" customFormat="false" ht="12.75" hidden="false" customHeight="false" outlineLevel="0" collapsed="false">
      <c r="A85" s="92" t="s">
        <v>66</v>
      </c>
      <c r="C85" s="192" t="n">
        <f aca="false">IF(Report!AC85=0,0,Report!AE85*((Report!M85+Report!S85)/Report!AC85))</f>
        <v>842357.572376059</v>
      </c>
      <c r="E85" s="192" t="n">
        <f aca="false">IF(Report!AC85=0,0,Report!AE85*(Report!G85/Report!AC85))</f>
        <v>595784.505232387</v>
      </c>
      <c r="G85" s="192" t="n">
        <f aca="false">IF(Report!AC85=0,0,Report!AE85*(Report!AA85/Report!AC85))</f>
        <v>823569.291854305</v>
      </c>
      <c r="I85" s="192" t="n">
        <f aca="false">G85+E85+C85</f>
        <v>2261711.36946275</v>
      </c>
      <c r="J85" s="155"/>
      <c r="K85" s="192" t="n">
        <f aca="false">I85-Report!AE85</f>
        <v>0</v>
      </c>
      <c r="M85" s="155"/>
      <c r="P85" s="61"/>
      <c r="R85" s="119"/>
      <c r="S85" s="118"/>
      <c r="T85" s="155"/>
      <c r="U85" s="71"/>
      <c r="V85" s="155"/>
      <c r="W85" s="154"/>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c r="BM85" s="61"/>
      <c r="BN85" s="61"/>
      <c r="BO85" s="61"/>
      <c r="BP85" s="61"/>
      <c r="BQ85" s="61"/>
      <c r="BR85" s="61"/>
      <c r="BS85" s="61"/>
      <c r="BT85" s="61"/>
      <c r="BU85" s="61"/>
      <c r="BV85" s="61"/>
      <c r="BW85" s="61"/>
      <c r="BX85" s="61"/>
      <c r="BY85" s="61"/>
      <c r="BZ85" s="61"/>
      <c r="CA85" s="61"/>
      <c r="CB85" s="61"/>
      <c r="CC85" s="61"/>
      <c r="CD85" s="61"/>
      <c r="CE85" s="61"/>
      <c r="CF85" s="61"/>
      <c r="CG85" s="61"/>
      <c r="CH85" s="61"/>
      <c r="CI85" s="61"/>
      <c r="CJ85" s="61"/>
      <c r="CK85" s="61"/>
      <c r="CL85" s="61"/>
      <c r="CM85" s="61"/>
      <c r="CN85" s="61"/>
      <c r="CO85" s="61"/>
      <c r="CP85" s="61"/>
      <c r="CQ85" s="61"/>
      <c r="CR85" s="61"/>
      <c r="CS85" s="61"/>
      <c r="CT85" s="61"/>
      <c r="CU85" s="61"/>
      <c r="CV85" s="61"/>
      <c r="CW85" s="61"/>
      <c r="CX85" s="61"/>
      <c r="CY85" s="61"/>
      <c r="CZ85" s="61"/>
      <c r="DA85" s="61"/>
      <c r="DB85" s="61"/>
      <c r="DC85" s="61"/>
      <c r="DD85" s="61"/>
      <c r="DE85" s="61"/>
      <c r="DF85" s="61"/>
      <c r="DG85" s="61"/>
      <c r="DH85" s="61"/>
      <c r="DI85" s="61"/>
      <c r="DJ85" s="61"/>
      <c r="DK85" s="61"/>
      <c r="DL85" s="61"/>
      <c r="DM85" s="61"/>
      <c r="DN85" s="61"/>
      <c r="DO85" s="61"/>
      <c r="DP85" s="61"/>
      <c r="DQ85" s="61"/>
      <c r="DR85" s="61"/>
      <c r="DS85" s="61"/>
      <c r="DT85" s="61"/>
      <c r="DU85" s="61"/>
      <c r="DV85" s="61"/>
      <c r="DW85" s="61"/>
      <c r="DX85" s="61"/>
      <c r="DY85" s="61"/>
      <c r="DZ85" s="61"/>
      <c r="EA85" s="61"/>
      <c r="EB85" s="61"/>
      <c r="EC85" s="61"/>
      <c r="ED85" s="61"/>
      <c r="EE85" s="61"/>
      <c r="EF85" s="61"/>
      <c r="EG85" s="61"/>
      <c r="EH85" s="61"/>
      <c r="EI85" s="61"/>
      <c r="EJ85" s="61"/>
      <c r="EK85" s="61"/>
      <c r="EL85" s="61"/>
      <c r="EM85" s="61"/>
      <c r="EN85" s="61"/>
      <c r="EO85" s="61"/>
      <c r="EP85" s="61"/>
      <c r="EQ85" s="61"/>
      <c r="ER85" s="61"/>
      <c r="ES85" s="61"/>
      <c r="ET85" s="61"/>
      <c r="EU85" s="61"/>
      <c r="EV85" s="61"/>
      <c r="EW85" s="61"/>
      <c r="EX85" s="61"/>
      <c r="EY85" s="61"/>
      <c r="EZ85" s="61"/>
      <c r="FA85" s="61"/>
      <c r="FB85" s="61"/>
      <c r="FC85" s="61"/>
      <c r="FD85" s="61"/>
      <c r="FE85" s="61"/>
      <c r="FF85" s="61"/>
      <c r="FG85" s="61"/>
      <c r="FH85" s="61"/>
      <c r="FI85" s="61"/>
      <c r="FJ85" s="61"/>
      <c r="FK85" s="61"/>
      <c r="FL85" s="61"/>
      <c r="FM85" s="61"/>
      <c r="FN85" s="61"/>
      <c r="FO85" s="61"/>
      <c r="FP85" s="61"/>
      <c r="FQ85" s="61"/>
      <c r="FR85" s="61"/>
      <c r="FS85" s="61"/>
      <c r="FT85" s="61"/>
      <c r="FU85" s="61"/>
      <c r="FV85" s="61"/>
      <c r="FW85" s="61"/>
      <c r="FX85" s="61"/>
      <c r="FY85" s="61"/>
      <c r="FZ85" s="61"/>
      <c r="GA85" s="61"/>
      <c r="GB85" s="61"/>
      <c r="GC85" s="61"/>
      <c r="GD85" s="61"/>
      <c r="GE85" s="61"/>
      <c r="GF85" s="61"/>
      <c r="GG85" s="61"/>
      <c r="GH85" s="61"/>
      <c r="GI85" s="61"/>
      <c r="GJ85" s="61"/>
      <c r="GK85" s="61"/>
      <c r="GL85" s="61"/>
      <c r="GM85" s="61"/>
      <c r="GN85" s="61"/>
      <c r="GO85" s="61"/>
      <c r="GP85" s="61"/>
      <c r="GQ85" s="61"/>
      <c r="GR85" s="61"/>
      <c r="GS85" s="61"/>
      <c r="GT85" s="61"/>
      <c r="GU85" s="61"/>
      <c r="GV85" s="61"/>
      <c r="GW85" s="61"/>
      <c r="GX85" s="61"/>
      <c r="GY85" s="61"/>
      <c r="GZ85" s="61"/>
      <c r="HA85" s="61"/>
      <c r="HB85" s="61"/>
      <c r="HC85" s="61"/>
      <c r="HD85" s="61"/>
      <c r="HE85" s="61"/>
      <c r="HF85" s="61"/>
      <c r="HG85" s="61"/>
      <c r="HH85" s="61"/>
      <c r="HI85" s="61"/>
      <c r="HJ85" s="61"/>
      <c r="HK85" s="61"/>
      <c r="HL85" s="61"/>
      <c r="HM85" s="61"/>
      <c r="HN85" s="61"/>
      <c r="HO85" s="61"/>
      <c r="HP85" s="61"/>
      <c r="HQ85" s="61"/>
      <c r="HR85" s="61"/>
      <c r="HS85" s="61"/>
      <c r="HT85" s="61"/>
      <c r="HU85" s="61"/>
      <c r="HV85" s="61"/>
      <c r="HW85" s="61"/>
      <c r="HX85" s="61"/>
      <c r="HY85" s="61"/>
      <c r="HZ85" s="61"/>
      <c r="IA85" s="61"/>
      <c r="IB85" s="61"/>
      <c r="IC85" s="61"/>
      <c r="ID85" s="61"/>
      <c r="IE85" s="61"/>
      <c r="IF85" s="61"/>
      <c r="IG85" s="61"/>
      <c r="IH85" s="61"/>
      <c r="II85" s="61"/>
      <c r="IJ85" s="61"/>
      <c r="IK85" s="61"/>
      <c r="IL85" s="61"/>
      <c r="IM85" s="61"/>
      <c r="IN85" s="61"/>
      <c r="IO85" s="61"/>
      <c r="IP85" s="61"/>
      <c r="IQ85" s="61"/>
      <c r="IR85" s="61"/>
      <c r="IS85" s="61"/>
      <c r="IT85" s="61"/>
      <c r="IU85" s="61"/>
      <c r="IV85" s="61"/>
      <c r="IW85" s="61"/>
    </row>
    <row r="86" customFormat="false" ht="12.75" hidden="false" customHeight="false" outlineLevel="0" collapsed="false">
      <c r="A86" s="95" t="s">
        <v>67</v>
      </c>
      <c r="C86" s="192" t="n">
        <f aca="false">IF(Report!AC86=0,0,Report!AE86*((Report!M86+Report!S86)/Report!AC86))</f>
        <v>-529409.024025638</v>
      </c>
      <c r="E86" s="192" t="n">
        <f aca="false">IF(Report!AC86=0,0,Report!AE86*(Report!G86/Report!AC86))</f>
        <v>672499.145474255</v>
      </c>
      <c r="G86" s="192" t="n">
        <f aca="false">IF(Report!AC86=0,0,Report!AE86*(Report!AA86/Report!AC86))</f>
        <v>-1090103.31884091</v>
      </c>
      <c r="I86" s="192" t="n">
        <f aca="false">G86+E86+C86</f>
        <v>-947013.197392288</v>
      </c>
      <c r="J86" s="157"/>
      <c r="K86" s="192" t="n">
        <f aca="false">I86-Report!AE86</f>
        <v>0</v>
      </c>
      <c r="M86" s="157"/>
      <c r="R86" s="115" t="e">
        <f aca="false">#REF!+E86+#REF!+M86+G86+#REF!+#REF!+#REF!</f>
        <v>#REF!</v>
      </c>
      <c r="S86" s="118"/>
      <c r="T86" s="62"/>
      <c r="V86" s="62"/>
      <c r="W86" s="154"/>
    </row>
    <row r="87" customFormat="false" ht="12.75" hidden="false" customHeight="false" outlineLevel="0" collapsed="false">
      <c r="A87" s="95" t="s">
        <v>68</v>
      </c>
      <c r="C87" s="192" t="n">
        <f aca="false">IF(Report!AC87=0,0,Report!AE87*((Report!M87+Report!S87)/Report!AC87))</f>
        <v>-1113889.1267769</v>
      </c>
      <c r="E87" s="192" t="n">
        <f aca="false">IF(Report!AC87=0,0,Report!AE87*(Report!G87/Report!AC87))</f>
        <v>-2099505.83569448</v>
      </c>
      <c r="G87" s="192" t="n">
        <f aca="false">IF(Report!AC87=0,0,Report!AE87*(Report!AA87/Report!AC87))</f>
        <v>2141167.93459924</v>
      </c>
      <c r="I87" s="192" t="n">
        <f aca="false">G87+E87+C87</f>
        <v>-1072227.02787214</v>
      </c>
      <c r="J87" s="157"/>
      <c r="K87" s="192" t="n">
        <f aca="false">I87-Report!AE87</f>
        <v>0</v>
      </c>
      <c r="M87" s="157"/>
      <c r="R87" s="115" t="e">
        <f aca="false">#REF!+E87+#REF!+M87+G87+#REF!+#REF!+#REF!</f>
        <v>#REF!</v>
      </c>
      <c r="S87" s="118"/>
      <c r="T87" s="62"/>
      <c r="V87" s="62"/>
      <c r="W87" s="154"/>
    </row>
    <row r="88" customFormat="false" ht="12.75" hidden="false" customHeight="false" outlineLevel="0" collapsed="false">
      <c r="A88" s="95" t="s">
        <v>69</v>
      </c>
      <c r="C88" s="192" t="n">
        <f aca="false">IF(Report!AC88=0,0,Report!AE88*((Report!M88+Report!S88)/Report!AC88))</f>
        <v>0</v>
      </c>
      <c r="E88" s="192" t="n">
        <f aca="false">IF(Report!AC88=0,0,Report!AE88*(Report!G88/Report!AC88))</f>
        <v>0</v>
      </c>
      <c r="G88" s="192" t="n">
        <f aca="false">IF(Report!AC88=0,0,Report!AE88*(Report!AA88/Report!AC88))</f>
        <v>0</v>
      </c>
      <c r="I88" s="192" t="n">
        <f aca="false">G88+E88+C88</f>
        <v>0</v>
      </c>
      <c r="J88" s="157"/>
      <c r="K88" s="192" t="n">
        <f aca="false">I88-Report!AE88</f>
        <v>-23.1653177996232</v>
      </c>
      <c r="M88" s="157"/>
      <c r="R88" s="115" t="e">
        <f aca="false">#REF!+E88+#REF!+M88+G88+#REF!+#REF!+#REF!</f>
        <v>#REF!</v>
      </c>
      <c r="S88" s="118"/>
      <c r="T88" s="62"/>
      <c r="V88" s="62"/>
      <c r="W88" s="154"/>
    </row>
    <row r="89" customFormat="false" ht="12.75" hidden="false" customHeight="false" outlineLevel="0" collapsed="false">
      <c r="A89" s="95" t="s">
        <v>70</v>
      </c>
      <c r="C89" s="192" t="n">
        <f aca="false">IF(Report!AC89=0,0,Report!AE89*((Report!M89+Report!S89)/Report!AC89))</f>
        <v>-18356.6051895499</v>
      </c>
      <c r="E89" s="192" t="n">
        <f aca="false">IF(Report!AC89=0,0,Report!AE89*(Report!G89/Report!AC89))</f>
        <v>8441.25953127622</v>
      </c>
      <c r="G89" s="192" t="n">
        <f aca="false">IF(Report!AC89=0,0,Report!AE89*(Report!AA89/Report!AC89))</f>
        <v>-883296.835379134</v>
      </c>
      <c r="I89" s="192" t="n">
        <f aca="false">G89+E89+C89</f>
        <v>-893212.181037408</v>
      </c>
      <c r="J89" s="157"/>
      <c r="K89" s="192" t="n">
        <f aca="false">I89-Report!AE89</f>
        <v>0</v>
      </c>
      <c r="M89" s="157"/>
      <c r="R89" s="115"/>
      <c r="S89" s="118"/>
      <c r="T89" s="62"/>
      <c r="V89" s="62"/>
      <c r="W89" s="154"/>
    </row>
    <row r="90" customFormat="false" ht="12.75" hidden="false" customHeight="false" outlineLevel="0" collapsed="false">
      <c r="A90" s="95" t="s">
        <v>71</v>
      </c>
      <c r="C90" s="192" t="n">
        <f aca="false">IF(Report!AC90=0,0,Report!AE90*((Report!M90+Report!S90)/Report!AC90))</f>
        <v>12522.5436595047</v>
      </c>
      <c r="E90" s="192" t="n">
        <f aca="false">IF(Report!AC90=0,0,Report!AE90*(Report!G90/Report!AC90))</f>
        <v>7770.67095435764</v>
      </c>
      <c r="G90" s="192" t="n">
        <f aca="false">IF(Report!AC90=0,0,Report!AE90*(Report!AA90/Report!AC90))</f>
        <v>-117040.163928441</v>
      </c>
      <c r="I90" s="192" t="n">
        <f aca="false">G90+E90+C90</f>
        <v>-96746.9493145791</v>
      </c>
      <c r="J90" s="157"/>
      <c r="K90" s="192" t="n">
        <f aca="false">I90-Report!AE90</f>
        <v>0</v>
      </c>
      <c r="M90" s="157"/>
      <c r="R90" s="115" t="e">
        <f aca="false">#REF!+E90+#REF!+M90+G90+#REF!+#REF!+#REF!</f>
        <v>#REF!</v>
      </c>
      <c r="S90" s="118"/>
      <c r="T90" s="62"/>
      <c r="V90" s="62"/>
      <c r="W90" s="154"/>
    </row>
    <row r="91" customFormat="false" ht="12.75" hidden="false" customHeight="false" outlineLevel="0" collapsed="false">
      <c r="A91" s="95" t="s">
        <v>72</v>
      </c>
      <c r="C91" s="192" t="n">
        <f aca="false">IF(Report!AC91=0,0,Report!AE91*((Report!M91+Report!S91)/Report!AC91))</f>
        <v>0</v>
      </c>
      <c r="E91" s="192" t="n">
        <f aca="false">IF(Report!AC91=0,0,Report!AE91*(Report!G91/Report!AC91))</f>
        <v>-5644.6859627989</v>
      </c>
      <c r="G91" s="192" t="n">
        <f aca="false">IF(Report!AC91=0,0,Report!AE91*(Report!AA91/Report!AC91))</f>
        <v>370484.06520964</v>
      </c>
      <c r="I91" s="192" t="n">
        <f aca="false">G91+E91+C91</f>
        <v>364839.379246841</v>
      </c>
      <c r="J91" s="157"/>
      <c r="K91" s="192" t="n">
        <f aca="false">I91-Report!AE91</f>
        <v>0</v>
      </c>
      <c r="M91" s="157"/>
      <c r="R91" s="115" t="e">
        <f aca="false">#REF!+E91+#REF!+M91+G91+#REF!+#REF!+#REF!</f>
        <v>#REF!</v>
      </c>
      <c r="S91" s="118"/>
      <c r="T91" s="62"/>
      <c r="V91" s="62"/>
      <c r="W91" s="154"/>
    </row>
    <row r="92" customFormat="false" ht="12.75" hidden="false" customHeight="false" outlineLevel="0" collapsed="false">
      <c r="A92" s="95" t="s">
        <v>73</v>
      </c>
      <c r="C92" s="192" t="n">
        <f aca="false">IF(Report!AC92=0,0,Report!AE92*((Report!M92+Report!S92)/Report!AC92))</f>
        <v>0</v>
      </c>
      <c r="E92" s="192" t="n">
        <f aca="false">IF(Report!AC92=0,0,Report!AE92*(Report!G92/Report!AC92))</f>
        <v>624.762855888503</v>
      </c>
      <c r="G92" s="192" t="n">
        <f aca="false">IF(Report!AC92=0,0,Report!AE92*(Report!AA92/Report!AC92))</f>
        <v>44017.8500099944</v>
      </c>
      <c r="I92" s="192" t="n">
        <f aca="false">G92+E92+C92</f>
        <v>44642.6128658829</v>
      </c>
      <c r="J92" s="157"/>
      <c r="K92" s="192" t="n">
        <f aca="false">I92-Report!AE92</f>
        <v>0</v>
      </c>
      <c r="M92" s="157"/>
      <c r="R92" s="115" t="e">
        <f aca="false">#REF!+E92+#REF!+M92+G92+#REF!+#REF!+#REF!</f>
        <v>#REF!</v>
      </c>
      <c r="S92" s="118"/>
      <c r="T92" s="62"/>
      <c r="V92" s="62"/>
      <c r="W92" s="154"/>
    </row>
    <row r="93" customFormat="false" ht="12.75" hidden="false" customHeight="false" outlineLevel="0" collapsed="false">
      <c r="A93" s="95" t="s">
        <v>74</v>
      </c>
      <c r="C93" s="192" t="n">
        <f aca="false">IF(Report!AC93=0,0,Report!AE93*((Report!M93+Report!S93)/Report!AC93))</f>
        <v>0</v>
      </c>
      <c r="E93" s="192" t="n">
        <f aca="false">IF(Report!AC93=0,0,Report!AE93*(Report!G93/Report!AC93))</f>
        <v>0</v>
      </c>
      <c r="G93" s="192" t="n">
        <f aca="false">IF(Report!AC93=0,0,Report!AE93*(Report!AA93/Report!AC93))</f>
        <v>0</v>
      </c>
      <c r="I93" s="192" t="n">
        <f aca="false">G93+E93+C93</f>
        <v>0</v>
      </c>
      <c r="J93" s="157"/>
      <c r="K93" s="192" t="n">
        <f aca="false">I93-Report!AE93</f>
        <v>0</v>
      </c>
      <c r="M93" s="157"/>
      <c r="R93" s="115" t="e">
        <f aca="false">#REF!+E93+#REF!+M93+G93+#REF!+#REF!+#REF!</f>
        <v>#REF!</v>
      </c>
      <c r="S93" s="118"/>
      <c r="T93" s="62"/>
      <c r="V93" s="62"/>
      <c r="W93" s="154"/>
    </row>
    <row r="94" customFormat="false" ht="12.75" hidden="false" customHeight="false" outlineLevel="0" collapsed="false">
      <c r="A94" s="95" t="s">
        <v>75</v>
      </c>
      <c r="C94" s="192" t="n">
        <f aca="false">IF(Report!AC94=0,0,Report!AE94*((Report!M94+Report!S94)/Report!AC94))</f>
        <v>0</v>
      </c>
      <c r="E94" s="192" t="n">
        <f aca="false">IF(Report!AC94=0,0,Report!AE94*(Report!G94/Report!AC94))</f>
        <v>-3217.24967221803</v>
      </c>
      <c r="G94" s="192" t="n">
        <f aca="false">IF(Report!AC94=0,0,Report!AE94*(Report!AA94/Report!AC94))</f>
        <v>0</v>
      </c>
      <c r="I94" s="192" t="n">
        <f aca="false">G94+E94+C94</f>
        <v>-3217.24967221803</v>
      </c>
      <c r="J94" s="157"/>
      <c r="K94" s="192" t="n">
        <f aca="false">I94-Report!AE94</f>
        <v>0</v>
      </c>
      <c r="M94" s="157"/>
      <c r="R94" s="115" t="e">
        <f aca="false">#REF!+E94+#REF!+M94+G94+#REF!+#REF!+#REF!</f>
        <v>#REF!</v>
      </c>
      <c r="S94" s="118"/>
      <c r="T94" s="62"/>
      <c r="V94" s="62"/>
      <c r="W94" s="154"/>
    </row>
    <row r="95" customFormat="false" ht="12.75" hidden="false" customHeight="false" outlineLevel="0" collapsed="false">
      <c r="A95" s="99" t="s">
        <v>76</v>
      </c>
      <c r="B95" s="100"/>
      <c r="C95" s="191" t="n">
        <f aca="false">IF(Report!AC95=0,0,Report!AE95*((Report!M95+Report!S95)/Report!AC95))</f>
        <v>-799886.169611469</v>
      </c>
      <c r="D95" s="100"/>
      <c r="E95" s="191" t="n">
        <f aca="false">IF(Report!AC95=0,0,Report!AE95*(Report!G95/Report!AC95))</f>
        <v>-824879.00758315</v>
      </c>
      <c r="F95" s="100"/>
      <c r="G95" s="191" t="n">
        <f aca="false">IF(Report!AC95=0,0,Report!AE95*(Report!AA95/Report!AC95))</f>
        <v>1283565.09879926</v>
      </c>
      <c r="H95" s="100"/>
      <c r="I95" s="191" t="n">
        <f aca="false">G95+E95+C95</f>
        <v>-341200.07839536</v>
      </c>
      <c r="J95" s="130"/>
      <c r="K95" s="191" t="n">
        <f aca="false">I95-Report!AE95</f>
        <v>0</v>
      </c>
      <c r="L95" s="100"/>
      <c r="M95" s="130"/>
      <c r="N95" s="100"/>
      <c r="O95" s="100"/>
      <c r="Q95" s="100"/>
      <c r="R95" s="132" t="e">
        <f aca="false">SUM(R86:R94)</f>
        <v>#REF!</v>
      </c>
      <c r="S95" s="118"/>
      <c r="T95" s="62"/>
      <c r="V95" s="62"/>
      <c r="W95" s="154"/>
    </row>
    <row r="96" customFormat="false" ht="12.75" hidden="false" customHeight="false" outlineLevel="0" collapsed="false">
      <c r="A96" s="99" t="s">
        <v>77</v>
      </c>
      <c r="B96" s="100"/>
      <c r="C96" s="191" t="n">
        <f aca="false">IF(Report!AC96=0,0,Report!AE96*((Report!M96+Report!S96)/Report!AC96))</f>
        <v>0</v>
      </c>
      <c r="D96" s="100"/>
      <c r="E96" s="191" t="n">
        <f aca="false">IF(Report!AC96=0,0,Report!AE96*(Report!G96/Report!AC96))</f>
        <v>0</v>
      </c>
      <c r="F96" s="100"/>
      <c r="G96" s="191" t="n">
        <f aca="false">IF(Report!AC96=0,0,Report!AE96*(Report!AA96/Report!AC96))</f>
        <v>0</v>
      </c>
      <c r="H96" s="100"/>
      <c r="I96" s="191" t="n">
        <f aca="false">G96+E96+C96</f>
        <v>0</v>
      </c>
      <c r="J96" s="130"/>
      <c r="K96" s="191" t="n">
        <f aca="false">I96-Report!AE96</f>
        <v>0</v>
      </c>
      <c r="L96" s="100"/>
      <c r="M96" s="130"/>
      <c r="N96" s="100"/>
      <c r="O96" s="100"/>
      <c r="Q96" s="100"/>
      <c r="R96" s="116" t="e">
        <f aca="false">#REF!+E96+#REF!+M96+G96+#REF!+#REF!+#REF!</f>
        <v>#REF!</v>
      </c>
      <c r="S96" s="118"/>
    </row>
    <row r="97" customFormat="false" ht="12.75" hidden="false" customHeight="false" outlineLevel="0" collapsed="false">
      <c r="A97" s="99" t="s">
        <v>78</v>
      </c>
      <c r="B97" s="100"/>
      <c r="C97" s="191" t="n">
        <f aca="false">IF(Report!AC97=0,0,Report!AE97*((Report!M97+Report!S97)/Report!AC97))</f>
        <v>22757.8672289922</v>
      </c>
      <c r="D97" s="100"/>
      <c r="E97" s="191" t="n">
        <f aca="false">IF(Report!AC97=0,0,Report!AE97*(Report!G97/Report!AC97))</f>
        <v>-12622.5878224552</v>
      </c>
      <c r="F97" s="100"/>
      <c r="G97" s="191" t="n">
        <f aca="false">IF(Report!AC97=0,0,Report!AE97*(Report!AA97/Report!AC97))</f>
        <v>-103369.478058573</v>
      </c>
      <c r="H97" s="100"/>
      <c r="I97" s="191" t="n">
        <f aca="false">G97+E97+C97</f>
        <v>-93234.198652036</v>
      </c>
      <c r="J97" s="130"/>
      <c r="K97" s="191" t="n">
        <f aca="false">I97-Report!AE97</f>
        <v>0</v>
      </c>
      <c r="L97" s="100"/>
      <c r="M97" s="130"/>
      <c r="N97" s="100"/>
      <c r="O97" s="100"/>
      <c r="Q97" s="100"/>
      <c r="R97" s="116" t="e">
        <f aca="false">#REF!+E97+#REF!+M97+G97+#REF!+#REF!+#REF!</f>
        <v>#REF!</v>
      </c>
      <c r="S97" s="118"/>
    </row>
    <row r="98" customFormat="false" ht="12.75" hidden="false" customHeight="false" outlineLevel="0" collapsed="false">
      <c r="A98" s="99" t="s">
        <v>96</v>
      </c>
      <c r="B98" s="159"/>
      <c r="C98" s="191" t="n">
        <f aca="false">IF(Report!AC98=0,0,Report!AE98*((Report!M98+Report!S98)/Report!AC98))</f>
        <v>-779783.568728153</v>
      </c>
      <c r="D98" s="159"/>
      <c r="E98" s="191" t="n">
        <f aca="false">IF(Report!AC98=0,0,Report!AE98*(Report!G98/Report!AC98))</f>
        <v>-836247.504854637</v>
      </c>
      <c r="F98" s="100"/>
      <c r="G98" s="191" t="n">
        <f aca="false">IF(Report!AC98=0,0,Report!AE98*(Report!AA98/Report!AC98))</f>
        <v>1185014.32813529</v>
      </c>
      <c r="H98" s="100"/>
      <c r="I98" s="191" t="n">
        <f aca="false">G98+E98+C98</f>
        <v>-431016.745447502</v>
      </c>
      <c r="J98" s="130"/>
      <c r="K98" s="191" t="n">
        <f aca="false">I98-Report!AE98</f>
        <v>0</v>
      </c>
      <c r="L98" s="100"/>
      <c r="M98" s="130"/>
      <c r="N98" s="100" t="n">
        <f aca="false">SUM(G95:G97)+G83-G98</f>
        <v>-4818.70739460201</v>
      </c>
      <c r="O98" s="100" t="e">
        <f aca="false">SUM(#REF!)+#REF!-#REF!</f>
        <v>#REF!</v>
      </c>
      <c r="Q98" s="100" t="e">
        <f aca="false">SUM(R95:R97)+R83-R98</f>
        <v>#REF!</v>
      </c>
      <c r="R98" s="132" t="e">
        <f aca="false">R83+R95+R96+R97</f>
        <v>#REF!</v>
      </c>
      <c r="S98" s="118"/>
      <c r="T98" s="144"/>
      <c r="U98" s="100"/>
    </row>
    <row r="99" customFormat="false" ht="12.75" hidden="true" customHeight="false" outlineLevel="0" collapsed="false">
      <c r="A99" s="99" t="s">
        <v>97</v>
      </c>
      <c r="B99" s="100"/>
      <c r="C99" s="127"/>
      <c r="D99" s="100"/>
      <c r="E99" s="127"/>
      <c r="F99" s="100"/>
      <c r="G99" s="127"/>
      <c r="H99" s="100"/>
      <c r="I99" s="127" t="e">
        <f aca="false">I98/SpotRates!H36</f>
        <v>#DIV/0!</v>
      </c>
      <c r="J99" s="130"/>
      <c r="K99" s="127"/>
      <c r="L99" s="100"/>
      <c r="M99" s="130"/>
      <c r="N99" s="100"/>
      <c r="O99" s="100"/>
      <c r="Q99" s="100"/>
      <c r="R99" s="137"/>
      <c r="S99" s="118"/>
      <c r="T99" s="144"/>
    </row>
    <row r="100" customFormat="false" ht="12.75" hidden="true" customHeight="false" outlineLevel="0" collapsed="false">
      <c r="A100" s="99" t="s">
        <v>81</v>
      </c>
      <c r="B100" s="100"/>
      <c r="C100" s="127"/>
      <c r="D100" s="100"/>
      <c r="E100" s="127"/>
      <c r="F100" s="100"/>
      <c r="G100" s="127"/>
      <c r="H100" s="100"/>
      <c r="I100" s="127" t="e">
        <f aca="false">I101-I99</f>
        <v>#DIV/0!</v>
      </c>
      <c r="J100" s="130"/>
      <c r="K100" s="127"/>
      <c r="L100" s="100"/>
      <c r="M100" s="130"/>
      <c r="N100" s="100"/>
      <c r="O100" s="100"/>
      <c r="Q100" s="100"/>
      <c r="R100" s="137"/>
      <c r="S100" s="118"/>
      <c r="T100" s="144"/>
    </row>
    <row r="101" customFormat="false" ht="12.75" hidden="true" customHeight="false" outlineLevel="0" collapsed="false">
      <c r="A101" s="99" t="s">
        <v>98</v>
      </c>
      <c r="B101" s="100"/>
      <c r="C101" s="127"/>
      <c r="D101" s="100"/>
      <c r="E101" s="127"/>
      <c r="F101" s="100"/>
      <c r="G101" s="127"/>
      <c r="H101" s="100"/>
      <c r="I101" s="127" t="e">
        <f aca="false">#REF!</f>
        <v>#REF!</v>
      </c>
      <c r="J101" s="130"/>
      <c r="K101" s="127"/>
      <c r="L101" s="100"/>
      <c r="M101" s="130"/>
      <c r="N101" s="100"/>
      <c r="O101" s="100"/>
      <c r="Q101" s="100"/>
      <c r="R101" s="137"/>
      <c r="S101" s="118"/>
      <c r="T101" s="144"/>
    </row>
    <row r="102" customFormat="false" ht="12.75" hidden="false" customHeight="false" outlineLevel="0" collapsed="false">
      <c r="A102" s="99" t="s">
        <v>99</v>
      </c>
      <c r="C102" s="139"/>
      <c r="E102" s="139"/>
      <c r="G102" s="139"/>
      <c r="I102" s="139"/>
      <c r="K102" s="139"/>
    </row>
    <row r="103" customFormat="false" ht="12.75" hidden="false" customHeight="false" outlineLevel="0" collapsed="false">
      <c r="A103" s="95" t="s">
        <v>101</v>
      </c>
      <c r="C103" s="192" t="n">
        <f aca="false">IF(Report!AC103=0,0,Report!AE103*((Report!M103+Report!S103)/Report!AC103))</f>
        <v>-1037736.37628054</v>
      </c>
      <c r="E103" s="192" t="n">
        <f aca="false">IF(Report!AC103=0,0,Report!AE103*(Report!G103/Report!AC103))</f>
        <v>180974097.657347</v>
      </c>
      <c r="G103" s="192" t="n">
        <f aca="false">IF(Report!AC103=0,0,Report!AE103*(Report!AA103/Report!AC103))</f>
        <v>-2092039.17739035</v>
      </c>
      <c r="I103" s="192" t="n">
        <f aca="false">G103+E103+C103</f>
        <v>177844322.103676</v>
      </c>
      <c r="J103" s="163"/>
      <c r="K103" s="192" t="n">
        <f aca="false">I103-Report!AE103</f>
        <v>0</v>
      </c>
      <c r="M103" s="163"/>
      <c r="O103" s="60" t="n">
        <v>0</v>
      </c>
      <c r="Q103" s="60" t="n">
        <v>0.0325787365436554</v>
      </c>
      <c r="R103" s="162" t="n">
        <v>158315437.807048</v>
      </c>
      <c r="S103" s="144"/>
      <c r="V103" s="59" t="s">
        <v>102</v>
      </c>
    </row>
    <row r="104" customFormat="false" ht="12.75" hidden="false" customHeight="false" outlineLevel="0" collapsed="false">
      <c r="A104" s="95"/>
      <c r="C104" s="166"/>
      <c r="E104" s="166"/>
      <c r="G104" s="166"/>
      <c r="I104" s="166"/>
      <c r="J104" s="169"/>
      <c r="K104" s="166"/>
      <c r="M104" s="169"/>
      <c r="R104" s="168"/>
    </row>
    <row r="105" customFormat="false" ht="12.75" hidden="false" customHeight="false" outlineLevel="0" collapsed="false">
      <c r="A105" s="95" t="s">
        <v>103</v>
      </c>
      <c r="C105" s="191" t="n">
        <f aca="false">IF(Report!AC105=0,0,Report!AE105*((Report!M105+Report!S105)/Report!AC105))</f>
        <v>0</v>
      </c>
      <c r="E105" s="191" t="n">
        <f aca="false">IF(Report!AC105=0,0,Report!AE105*(Report!G105/Report!AC105))</f>
        <v>387986.763840111</v>
      </c>
      <c r="G105" s="191" t="n">
        <f aca="false">IF(Report!AC105=0,0,Report!AE105*(Report!AA105/Report!AC105))</f>
        <v>35670.3952577194</v>
      </c>
      <c r="I105" s="191" t="n">
        <f aca="false">G105+E105+C105</f>
        <v>423657.15909783</v>
      </c>
      <c r="J105" s="163"/>
      <c r="K105" s="191" t="n">
        <f aca="false">I105-Report!AE105</f>
        <v>0</v>
      </c>
      <c r="M105" s="163"/>
      <c r="Q105" s="60" t="n">
        <v>0</v>
      </c>
      <c r="R105" s="173" t="n">
        <v>7940848.84791112</v>
      </c>
    </row>
    <row r="106" customFormat="false" ht="12.75" hidden="false" customHeight="false" outlineLevel="0" collapsed="false">
      <c r="A106" s="95" t="s">
        <v>104</v>
      </c>
      <c r="C106" s="161"/>
      <c r="E106" s="161"/>
      <c r="G106" s="161"/>
      <c r="I106" s="161"/>
      <c r="J106" s="163"/>
      <c r="K106" s="161"/>
      <c r="M106" s="163"/>
      <c r="R106" s="162"/>
    </row>
    <row r="107" customFormat="false" ht="12.75" hidden="false" customHeight="false" outlineLevel="0" collapsed="false">
      <c r="A107" s="95" t="s">
        <v>105</v>
      </c>
      <c r="C107" s="192" t="n">
        <f aca="false">IF(Report!AC107=0,0,Report!AE107*((Report!M107+Report!S107)/Report!AC107))</f>
        <v>314945.898211494</v>
      </c>
      <c r="E107" s="192" t="n">
        <f aca="false">IF(Report!AC107=0,0,Report!AE107*(Report!G107/Report!AC107))</f>
        <v>-84645.1612903226</v>
      </c>
      <c r="G107" s="192" t="n">
        <f aca="false">IF(Report!AC107=0,0,Report!AE107*(Report!AA107/Report!AC107))</f>
        <v>1287358.33045738</v>
      </c>
      <c r="I107" s="192" t="n">
        <f aca="false">G107+E107+C107</f>
        <v>1517659.06737855</v>
      </c>
      <c r="J107" s="163"/>
      <c r="K107" s="192" t="n">
        <f aca="false">I107-Report!AE107</f>
        <v>0</v>
      </c>
      <c r="M107" s="163"/>
      <c r="O107" s="176"/>
      <c r="P107" s="178"/>
      <c r="Q107" s="176"/>
      <c r="R107" s="179"/>
      <c r="S107" s="178"/>
      <c r="T107" s="178"/>
      <c r="U107" s="27"/>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c r="BT107" s="178"/>
      <c r="BU107" s="178"/>
      <c r="BV107" s="178"/>
      <c r="BW107" s="178"/>
      <c r="BX107" s="178"/>
      <c r="BY107" s="178"/>
      <c r="BZ107" s="178"/>
      <c r="CA107" s="178"/>
      <c r="CB107" s="178"/>
      <c r="CC107" s="178"/>
      <c r="CD107" s="178"/>
      <c r="CE107" s="178"/>
      <c r="CF107" s="178"/>
      <c r="CG107" s="178"/>
      <c r="CH107" s="178"/>
      <c r="CI107" s="178"/>
      <c r="CJ107" s="178"/>
      <c r="CK107" s="178"/>
      <c r="CL107" s="178"/>
      <c r="CM107" s="178"/>
      <c r="CN107" s="178"/>
      <c r="CO107" s="178"/>
      <c r="CP107" s="178"/>
      <c r="CQ107" s="178"/>
      <c r="CR107" s="178"/>
      <c r="CS107" s="178"/>
      <c r="CT107" s="178"/>
      <c r="CU107" s="178"/>
      <c r="CV107" s="178"/>
      <c r="CW107" s="178"/>
      <c r="CX107" s="178"/>
      <c r="CY107" s="178"/>
      <c r="CZ107" s="178"/>
      <c r="DA107" s="178"/>
      <c r="DB107" s="178"/>
      <c r="DC107" s="178"/>
      <c r="DD107" s="178"/>
      <c r="DE107" s="178"/>
      <c r="DF107" s="178"/>
      <c r="DG107" s="178"/>
      <c r="DH107" s="178"/>
      <c r="DI107" s="178"/>
      <c r="DJ107" s="178"/>
      <c r="DK107" s="178"/>
      <c r="DL107" s="178"/>
      <c r="DM107" s="178"/>
      <c r="DN107" s="178"/>
      <c r="DO107" s="178"/>
      <c r="DP107" s="178"/>
      <c r="DQ107" s="178"/>
      <c r="DR107" s="178"/>
      <c r="DS107" s="178"/>
      <c r="DT107" s="178"/>
      <c r="DU107" s="178"/>
      <c r="DV107" s="178"/>
      <c r="DW107" s="178"/>
      <c r="DX107" s="178"/>
      <c r="DY107" s="178"/>
      <c r="DZ107" s="178"/>
      <c r="EA107" s="178"/>
      <c r="EB107" s="178"/>
      <c r="EC107" s="178"/>
      <c r="ED107" s="178"/>
      <c r="EE107" s="178"/>
      <c r="EF107" s="178"/>
      <c r="EG107" s="178"/>
      <c r="EH107" s="178"/>
      <c r="EI107" s="178"/>
      <c r="EJ107" s="178"/>
      <c r="EK107" s="178"/>
      <c r="EL107" s="178"/>
      <c r="EM107" s="178"/>
      <c r="EN107" s="178"/>
      <c r="EO107" s="178"/>
      <c r="EP107" s="178"/>
      <c r="EQ107" s="178"/>
      <c r="ER107" s="178"/>
      <c r="ES107" s="178"/>
      <c r="ET107" s="178"/>
      <c r="EU107" s="178"/>
      <c r="EV107" s="178"/>
      <c r="EW107" s="178"/>
      <c r="EX107" s="178"/>
      <c r="EY107" s="178"/>
      <c r="EZ107" s="178"/>
      <c r="FA107" s="178"/>
      <c r="FB107" s="178"/>
      <c r="FC107" s="178"/>
      <c r="FD107" s="178"/>
      <c r="FE107" s="178"/>
      <c r="FF107" s="178"/>
      <c r="FG107" s="178"/>
      <c r="FH107" s="178"/>
      <c r="FI107" s="178"/>
      <c r="FJ107" s="178"/>
      <c r="FK107" s="178"/>
      <c r="FL107" s="178"/>
      <c r="FM107" s="178"/>
      <c r="FN107" s="178"/>
      <c r="FO107" s="178"/>
      <c r="FP107" s="178"/>
      <c r="FQ107" s="178"/>
      <c r="FR107" s="178"/>
      <c r="FS107" s="178"/>
      <c r="FT107" s="178"/>
      <c r="FU107" s="178"/>
      <c r="FV107" s="178"/>
      <c r="FW107" s="178"/>
      <c r="FX107" s="178"/>
      <c r="FY107" s="178"/>
      <c r="FZ107" s="178"/>
      <c r="GA107" s="178"/>
      <c r="GB107" s="178"/>
      <c r="GC107" s="178"/>
      <c r="GD107" s="178"/>
      <c r="GE107" s="178"/>
      <c r="GF107" s="178"/>
      <c r="GG107" s="178"/>
      <c r="GH107" s="178"/>
      <c r="GI107" s="178"/>
      <c r="GJ107" s="178"/>
      <c r="GK107" s="178"/>
      <c r="GL107" s="178"/>
      <c r="GM107" s="178"/>
      <c r="GN107" s="178"/>
      <c r="GO107" s="178"/>
      <c r="GP107" s="178"/>
      <c r="GQ107" s="178"/>
      <c r="GR107" s="178"/>
      <c r="GS107" s="178"/>
      <c r="GT107" s="178"/>
      <c r="GU107" s="178"/>
      <c r="GV107" s="178"/>
      <c r="GW107" s="178"/>
      <c r="GX107" s="178"/>
      <c r="GY107" s="178"/>
      <c r="GZ107" s="178"/>
      <c r="HA107" s="178"/>
      <c r="HB107" s="178"/>
      <c r="HC107" s="178"/>
      <c r="HD107" s="178"/>
      <c r="HE107" s="178"/>
      <c r="HF107" s="178"/>
      <c r="HG107" s="178"/>
      <c r="HH107" s="178"/>
      <c r="HI107" s="178"/>
      <c r="HJ107" s="178"/>
      <c r="HK107" s="178"/>
      <c r="HL107" s="178"/>
      <c r="HM107" s="178"/>
      <c r="HN107" s="178"/>
      <c r="HO107" s="178"/>
      <c r="HP107" s="178"/>
      <c r="HQ107" s="178"/>
      <c r="HR107" s="178"/>
      <c r="HS107" s="178"/>
      <c r="HT107" s="178"/>
      <c r="HU107" s="178"/>
      <c r="HV107" s="178"/>
      <c r="HW107" s="178"/>
      <c r="HX107" s="178"/>
      <c r="HY107" s="178"/>
      <c r="HZ107" s="178"/>
      <c r="IA107" s="178"/>
      <c r="IB107" s="178"/>
      <c r="IC107" s="178"/>
      <c r="ID107" s="178"/>
      <c r="IE107" s="178"/>
      <c r="IF107" s="178"/>
      <c r="IG107" s="178"/>
      <c r="IH107" s="178"/>
      <c r="II107" s="178"/>
      <c r="IJ107" s="178"/>
      <c r="IK107" s="178"/>
      <c r="IL107" s="178"/>
      <c r="IM107" s="178"/>
      <c r="IN107" s="178"/>
      <c r="IO107" s="178"/>
      <c r="IP107" s="178"/>
      <c r="IQ107" s="178"/>
      <c r="IR107" s="178"/>
      <c r="IS107" s="178"/>
      <c r="IT107" s="178"/>
      <c r="IU107" s="178"/>
      <c r="IV107" s="178"/>
      <c r="IW107" s="178"/>
    </row>
    <row r="108" customFormat="false" ht="12.75" hidden="false" customHeight="false" outlineLevel="0" collapsed="false">
      <c r="A108" s="95" t="s">
        <v>106</v>
      </c>
      <c r="C108" s="192" t="n">
        <f aca="false">IF(Report!AC108=0,0,Report!AE108*((Report!M108+Report!S108)/Report!AC108))</f>
        <v>-2559249.030634</v>
      </c>
      <c r="E108" s="192" t="n">
        <f aca="false">IF(Report!AC108=0,0,Report!AE108*(Report!G108/Report!AC108))</f>
        <v>1282616.69948639</v>
      </c>
      <c r="G108" s="192" t="n">
        <f aca="false">IF(Report!AC108=0,0,Report!AE108*(Report!AA108/Report!AC108))</f>
        <v>5629499.5838324</v>
      </c>
      <c r="I108" s="192" t="n">
        <f aca="false">G108+E108+C108</f>
        <v>4352867.25268479</v>
      </c>
      <c r="J108" s="163"/>
      <c r="K108" s="192" t="n">
        <f aca="false">I108-Report!AE108</f>
        <v>0</v>
      </c>
      <c r="M108" s="163"/>
      <c r="R108" s="163" t="n">
        <v>2052745.86733201</v>
      </c>
    </row>
    <row r="109" customFormat="false" ht="12.75" hidden="false" customHeight="false" outlineLevel="0" collapsed="false">
      <c r="A109" s="95" t="s">
        <v>107</v>
      </c>
      <c r="C109" s="192" t="n">
        <f aca="false">IF(Report!AC109=0,0,Report!AE109*((Report!M109+Report!S109)/Report!AC109))</f>
        <v>-2096961.77348302</v>
      </c>
      <c r="E109" s="192" t="n">
        <f aca="false">IF(Report!AC109=0,0,Report!AE109*(Report!G109/Report!AC109))</f>
        <v>-5573637.46726487</v>
      </c>
      <c r="G109" s="192" t="n">
        <f aca="false">IF(Report!AC109=0,0,Report!AE109*(Report!AA109/Report!AC109))</f>
        <v>481635.112365253</v>
      </c>
      <c r="I109" s="192" t="n">
        <f aca="false">G109+E109+C109</f>
        <v>-7188964.12838263</v>
      </c>
      <c r="J109" s="163"/>
      <c r="K109" s="192" t="n">
        <f aca="false">I109-Report!AE109</f>
        <v>0</v>
      </c>
      <c r="M109" s="163"/>
      <c r="R109" s="163" t="n">
        <v>-540658.433695008</v>
      </c>
    </row>
    <row r="110" customFormat="false" ht="12.75" hidden="false" customHeight="false" outlineLevel="0" collapsed="false">
      <c r="A110" s="95" t="s">
        <v>108</v>
      </c>
      <c r="C110" s="192" t="n">
        <f aca="false">IF(Report!AC110=0,0,Report!AE110*((Report!M110+Report!S110)/Report!AC110))</f>
        <v>-27661.1380661402</v>
      </c>
      <c r="E110" s="192" t="n">
        <f aca="false">IF(Report!AC110=0,0,Report!AE110*(Report!G110/Report!AC110))</f>
        <v>-3486.55068109381</v>
      </c>
      <c r="G110" s="192" t="n">
        <f aca="false">IF(Report!AC110=0,0,Report!AE110*(Report!AA110/Report!AC110))</f>
        <v>-521.001238352382</v>
      </c>
      <c r="I110" s="192" t="n">
        <f aca="false">G110+E110+C110</f>
        <v>-31668.6899855864</v>
      </c>
      <c r="J110" s="163"/>
      <c r="K110" s="192" t="n">
        <f aca="false">I110-Report!AE110</f>
        <v>0</v>
      </c>
      <c r="M110" s="163"/>
      <c r="R110" s="163" t="n">
        <v>0</v>
      </c>
    </row>
    <row r="111" customFormat="false" ht="12.75" hidden="false" customHeight="false" outlineLevel="0" collapsed="false">
      <c r="A111" s="95" t="s">
        <v>109</v>
      </c>
      <c r="C111" s="192" t="n">
        <f aca="false">IF(Report!AC111=0,0,Report!AE111*((Report!M111+Report!S111)/Report!AC111))</f>
        <v>-120099.880224934</v>
      </c>
      <c r="E111" s="192" t="n">
        <f aca="false">IF(Report!AC111=0,0,Report!AE111*(Report!G111/Report!AC111))</f>
        <v>-100455.145252644</v>
      </c>
      <c r="G111" s="192" t="n">
        <f aca="false">IF(Report!AC111=0,0,Report!AE111*(Report!AA111/Report!AC111))</f>
        <v>-5271720.49777706</v>
      </c>
      <c r="I111" s="192" t="n">
        <f aca="false">G111+E111+C111</f>
        <v>-5492275.52325464</v>
      </c>
      <c r="J111" s="163"/>
      <c r="K111" s="192" t="n">
        <f aca="false">I111-Report!AE111</f>
        <v>0</v>
      </c>
      <c r="M111" s="163"/>
      <c r="R111" s="163"/>
    </row>
    <row r="112" customFormat="false" ht="12.75" hidden="false" customHeight="false" outlineLevel="0" collapsed="false">
      <c r="A112" s="95" t="s">
        <v>110</v>
      </c>
      <c r="C112" s="192" t="n">
        <f aca="false">IF(Report!AC112=0,0,Report!AE112*((Report!M112+Report!S112)/Report!AC112))</f>
        <v>0</v>
      </c>
      <c r="E112" s="192" t="n">
        <f aca="false">IF(Report!AC112=0,0,Report!AE112*(Report!G112/Report!AC112))</f>
        <v>-11489.3115978806</v>
      </c>
      <c r="G112" s="192" t="n">
        <f aca="false">IF(Report!AC112=0,0,Report!AE112*(Report!AA112/Report!AC112))</f>
        <v>1188082.25907956</v>
      </c>
      <c r="I112" s="192" t="n">
        <f aca="false">G112+E112+C112</f>
        <v>1176592.94748168</v>
      </c>
      <c r="J112" s="163"/>
      <c r="K112" s="192" t="n">
        <f aca="false">I112-Report!AE112</f>
        <v>0</v>
      </c>
      <c r="M112" s="163"/>
      <c r="R112" s="163" t="n">
        <v>53363.9221525976</v>
      </c>
    </row>
    <row r="113" customFormat="false" ht="12.75" hidden="false" customHeight="false" outlineLevel="0" collapsed="false">
      <c r="A113" s="95" t="s">
        <v>111</v>
      </c>
      <c r="C113" s="192" t="n">
        <f aca="false">IF(Report!AC113=0,0,Report!AE113*((Report!M113+Report!S113)/Report!AC113))</f>
        <v>0</v>
      </c>
      <c r="E113" s="192" t="n">
        <f aca="false">IF(Report!AC113=0,0,Report!AE113*(Report!G113/Report!AC113))</f>
        <v>-21750.8272599931</v>
      </c>
      <c r="G113" s="192" t="n">
        <f aca="false">IF(Report!AC113=0,0,Report!AE113*(Report!AA113/Report!AC113))</f>
        <v>-980463.265596135</v>
      </c>
      <c r="I113" s="192" t="n">
        <f aca="false">G113+E113+C113</f>
        <v>-1002214.09285613</v>
      </c>
      <c r="J113" s="163"/>
      <c r="K113" s="192" t="n">
        <f aca="false">I113-Report!AE113</f>
        <v>0</v>
      </c>
      <c r="M113" s="163"/>
      <c r="R113" s="163" t="n">
        <v>-10470.2674160253</v>
      </c>
    </row>
    <row r="114" customFormat="false" ht="12.75" hidden="false" customHeight="false" outlineLevel="0" collapsed="false">
      <c r="A114" s="95" t="s">
        <v>112</v>
      </c>
      <c r="C114" s="192" t="n">
        <f aca="false">IF(Report!AC114=0,0,Report!AE114*((Report!M114+Report!S114)/Report!AC114))</f>
        <v>0</v>
      </c>
      <c r="E114" s="192" t="n">
        <f aca="false">IF(Report!AC114=0,0,Report!AE114*(Report!G114/Report!AC114))</f>
        <v>13896.1814084736</v>
      </c>
      <c r="G114" s="192" t="n">
        <f aca="false">IF(Report!AC114=0,0,Report!AE114*(Report!AA114/Report!AC114))</f>
        <v>656446.618891979</v>
      </c>
      <c r="I114" s="192" t="n">
        <f aca="false">G114+E114+C114</f>
        <v>670342.800300453</v>
      </c>
      <c r="J114" s="163"/>
      <c r="K114" s="192" t="n">
        <f aca="false">I114-Report!AE114</f>
        <v>0</v>
      </c>
      <c r="M114" s="163"/>
      <c r="R114" s="163" t="n">
        <v>-43546.3243666172</v>
      </c>
    </row>
    <row r="115" customFormat="false" ht="12.75" hidden="false" customHeight="false" outlineLevel="0" collapsed="false">
      <c r="A115" s="95" t="s">
        <v>113</v>
      </c>
      <c r="C115" s="192" t="n">
        <f aca="false">IF(Report!AC115=0,0,Report!AE115*((Report!M115+Report!S115)/Report!AC115))</f>
        <v>0</v>
      </c>
      <c r="E115" s="192" t="n">
        <f aca="false">IF(Report!AC115=0,0,Report!AE115*(Report!G115/Report!AC115))</f>
        <v>0</v>
      </c>
      <c r="G115" s="192" t="n">
        <f aca="false">IF(Report!AC115=0,0,Report!AE115*(Report!AA115/Report!AC115))</f>
        <v>0</v>
      </c>
      <c r="I115" s="192" t="n">
        <f aca="false">G115+E115+C115</f>
        <v>0</v>
      </c>
      <c r="J115" s="163"/>
      <c r="K115" s="192" t="n">
        <f aca="false">I115-Report!AE115</f>
        <v>0</v>
      </c>
      <c r="M115" s="163"/>
      <c r="R115" s="163" t="n">
        <v>0</v>
      </c>
    </row>
    <row r="116" customFormat="false" ht="12.75" hidden="false" customHeight="false" outlineLevel="0" collapsed="false">
      <c r="A116" s="95" t="s">
        <v>114</v>
      </c>
      <c r="C116" s="192" t="n">
        <f aca="false">IF(Report!AC116=0,0,Report!AE116*((Report!M116+Report!S116)/Report!AC116))</f>
        <v>0</v>
      </c>
      <c r="E116" s="192" t="n">
        <f aca="false">IF(Report!AC116=0,0,Report!AE116*(Report!G116/Report!AC116))</f>
        <v>-38977.6487545423</v>
      </c>
      <c r="G116" s="192" t="n">
        <f aca="false">IF(Report!AC116=0,0,Report!AE116*(Report!AA116/Report!AC116))</f>
        <v>0</v>
      </c>
      <c r="I116" s="192" t="n">
        <f aca="false">G116+E116+C116</f>
        <v>-38977.6487545423</v>
      </c>
      <c r="J116" s="181"/>
      <c r="K116" s="192" t="n">
        <f aca="false">I116-Report!AE116</f>
        <v>0</v>
      </c>
      <c r="M116" s="181"/>
      <c r="R116" s="180" t="n">
        <v>0</v>
      </c>
    </row>
    <row r="117" customFormat="false" ht="12.75" hidden="false" customHeight="false" outlineLevel="0" collapsed="false">
      <c r="A117" s="95" t="s">
        <v>115</v>
      </c>
      <c r="C117" s="191" t="n">
        <f aca="false">IF(Report!AC117=0,0,Report!AE117*((Report!M117+Report!S117)/Report!AC117))</f>
        <v>-4489025.92419659</v>
      </c>
      <c r="E117" s="191" t="n">
        <f aca="false">IF(Report!AC117=0,0,Report!AE117*(Report!G117/Report!AC117))</f>
        <v>-4537929.23120648</v>
      </c>
      <c r="G117" s="191" t="n">
        <f aca="false">IF(Report!AC117=0,0,Report!AE117*(Report!AA117/Report!AC117))</f>
        <v>2990317.14001502</v>
      </c>
      <c r="I117" s="191" t="n">
        <f aca="false">G117+E117+C117</f>
        <v>-6036638.01538805</v>
      </c>
      <c r="J117" s="163"/>
      <c r="K117" s="191" t="n">
        <f aca="false">I117-Report!AE117</f>
        <v>0</v>
      </c>
      <c r="M117" s="163"/>
      <c r="R117" s="173" t="n">
        <v>1511434.76400696</v>
      </c>
    </row>
    <row r="118" customFormat="false" ht="12.75" hidden="false" customHeight="false" outlineLevel="0" collapsed="false">
      <c r="A118" s="95" t="s">
        <v>116</v>
      </c>
      <c r="C118" s="191" t="n">
        <f aca="false">IF(Report!AC118=0,0,Report!AE118*((Report!M118+Report!S118)/Report!AC118))</f>
        <v>0</v>
      </c>
      <c r="E118" s="191" t="n">
        <f aca="false">IF(Report!AC118=0,0,Report!AE118*(Report!G118/Report!AC118))</f>
        <v>0</v>
      </c>
      <c r="G118" s="191" t="n">
        <f aca="false">IF(Report!AC118=0,0,Report!AE118*(Report!AA118/Report!AC118))</f>
        <v>0</v>
      </c>
      <c r="I118" s="191" t="n">
        <f aca="false">G118+E118+C118</f>
        <v>0</v>
      </c>
      <c r="J118" s="163"/>
      <c r="K118" s="191" t="n">
        <f aca="false">I118-Report!AE118</f>
        <v>0</v>
      </c>
      <c r="M118" s="163"/>
      <c r="R118" s="173" t="n">
        <v>-1568824.33028974</v>
      </c>
    </row>
    <row r="119" customFormat="false" ht="12.75" hidden="false" customHeight="false" outlineLevel="0" collapsed="false">
      <c r="A119" s="95" t="s">
        <v>117</v>
      </c>
      <c r="C119" s="191" t="n">
        <f aca="false">IF(Report!AC119=0,0,Report!AE119*((Report!M119+Report!S119)/Report!AC119))</f>
        <v>47376.0328061877</v>
      </c>
      <c r="E119" s="191" t="n">
        <f aca="false">IF(Report!AC119=0,0,Report!AE119*(Report!G119/Report!AC119))</f>
        <v>32545.6870825636</v>
      </c>
      <c r="G119" s="191" t="n">
        <f aca="false">IF(Report!AC119=0,0,Report!AE119*(Report!AA119/Report!AC119))</f>
        <v>-258704.399196086</v>
      </c>
      <c r="I119" s="191" t="n">
        <f aca="false">G119+E119+C119</f>
        <v>-178782.679307335</v>
      </c>
      <c r="K119" s="191" t="n">
        <f aca="false">I119-Report!AE119</f>
        <v>0</v>
      </c>
      <c r="R119" s="59" t="n">
        <v>5362.56788379982</v>
      </c>
    </row>
    <row r="120" customFormat="false" ht="12.75" hidden="false" customHeight="false" outlineLevel="0" collapsed="false">
      <c r="A120" s="95"/>
      <c r="F120" s="0"/>
      <c r="G120" s="183"/>
      <c r="H120" s="0"/>
      <c r="J120" s="137"/>
      <c r="M120" s="137"/>
      <c r="R120" s="137" t="n">
        <v>7888821.84951214</v>
      </c>
    </row>
    <row r="121" customFormat="false" ht="12.75" hidden="false" customHeight="false" outlineLevel="0" collapsed="false">
      <c r="A121" s="184"/>
    </row>
    <row r="135" customFormat="false" ht="12.75" hidden="false" customHeight="false" outlineLevel="0" collapsed="false">
      <c r="A135" s="186" t="s">
        <v>118</v>
      </c>
      <c r="B135" s="124"/>
      <c r="C135" s="171" t="n">
        <v>0</v>
      </c>
      <c r="D135" s="124"/>
      <c r="E135" s="172" t="n">
        <v>0</v>
      </c>
      <c r="G135" s="187" t="n">
        <v>0</v>
      </c>
      <c r="I135" s="172" t="n">
        <v>0</v>
      </c>
      <c r="J135" s="163"/>
      <c r="K135" s="188" t="n">
        <v>0</v>
      </c>
      <c r="M135" s="163"/>
      <c r="Q135" s="60" t="n">
        <v>0</v>
      </c>
      <c r="R135" s="173" t="n">
        <v>0</v>
      </c>
    </row>
    <row r="136" customFormat="false" ht="12.75" hidden="false" customHeight="false" outlineLevel="0" collapsed="false">
      <c r="C136" s="161"/>
      <c r="E136" s="160"/>
      <c r="G136" s="162"/>
      <c r="I136" s="160"/>
      <c r="J136" s="163"/>
      <c r="K136" s="160"/>
      <c r="M136" s="163"/>
      <c r="R136" s="162" t="n">
        <v>0</v>
      </c>
    </row>
    <row r="137" customFormat="false" ht="12.75" hidden="false" customHeight="false" outlineLevel="0" collapsed="false">
      <c r="C137" s="139" t="n">
        <v>0</v>
      </c>
      <c r="E137" s="174" t="n">
        <v>0</v>
      </c>
      <c r="G137" s="163" t="n">
        <v>0</v>
      </c>
      <c r="I137" s="174" t="n">
        <v>0</v>
      </c>
      <c r="J137" s="163"/>
      <c r="K137" s="174" t="n">
        <v>0</v>
      </c>
      <c r="M137" s="163"/>
      <c r="R137" s="163" t="n">
        <v>0</v>
      </c>
    </row>
    <row r="138" customFormat="false" ht="12.75" hidden="false" customHeight="false" outlineLevel="0" collapsed="false">
      <c r="C138" s="139" t="n">
        <v>0</v>
      </c>
      <c r="E138" s="174" t="n">
        <v>0</v>
      </c>
      <c r="G138" s="163" t="n">
        <v>0</v>
      </c>
      <c r="I138" s="174" t="n">
        <v>0</v>
      </c>
      <c r="J138" s="163"/>
      <c r="K138" s="174" t="n">
        <v>0</v>
      </c>
      <c r="M138" s="163"/>
      <c r="R138" s="163" t="n">
        <v>0</v>
      </c>
    </row>
    <row r="139" customFormat="false" ht="12.75" hidden="false" customHeight="false" outlineLevel="0" collapsed="false">
      <c r="C139" s="139" t="n">
        <v>0</v>
      </c>
      <c r="E139" s="174" t="n">
        <v>0</v>
      </c>
      <c r="G139" s="163" t="n">
        <v>0</v>
      </c>
      <c r="I139" s="174" t="n">
        <v>0</v>
      </c>
      <c r="J139" s="163"/>
      <c r="K139" s="174" t="n">
        <v>0</v>
      </c>
      <c r="M139" s="163"/>
      <c r="R139" s="163" t="n">
        <v>0</v>
      </c>
    </row>
    <row r="140" customFormat="false" ht="12.75" hidden="false" customHeight="false" outlineLevel="0" collapsed="false">
      <c r="C140" s="139" t="n">
        <v>0</v>
      </c>
      <c r="E140" s="174" t="n">
        <v>0</v>
      </c>
      <c r="G140" s="163" t="n">
        <v>0</v>
      </c>
      <c r="I140" s="174" t="n">
        <v>0</v>
      </c>
      <c r="J140" s="163"/>
      <c r="K140" s="174" t="n">
        <v>0</v>
      </c>
      <c r="M140" s="163"/>
      <c r="R140" s="163" t="n">
        <v>0</v>
      </c>
    </row>
    <row r="141" customFormat="false" ht="12.75" hidden="false" customHeight="false" outlineLevel="0" collapsed="false">
      <c r="C141" s="139" t="n">
        <v>0</v>
      </c>
      <c r="E141" s="174" t="n">
        <v>0</v>
      </c>
      <c r="G141" s="163" t="n">
        <v>0</v>
      </c>
      <c r="I141" s="174" t="n">
        <v>0</v>
      </c>
      <c r="J141" s="163"/>
      <c r="K141" s="174" t="n">
        <v>0</v>
      </c>
      <c r="M141" s="163"/>
      <c r="R141" s="163" t="n">
        <v>0</v>
      </c>
    </row>
    <row r="142" customFormat="false" ht="12.75" hidden="false" customHeight="false" outlineLevel="0" collapsed="false">
      <c r="C142" s="139" t="n">
        <v>0</v>
      </c>
      <c r="E142" s="174" t="n">
        <v>0</v>
      </c>
      <c r="G142" s="163" t="n">
        <v>0</v>
      </c>
      <c r="I142" s="174" t="n">
        <v>0</v>
      </c>
      <c r="J142" s="163"/>
      <c r="K142" s="174" t="n">
        <v>0</v>
      </c>
      <c r="M142" s="163"/>
      <c r="R142" s="163" t="n">
        <v>0</v>
      </c>
    </row>
    <row r="143" customFormat="false" ht="12.75" hidden="false" customHeight="false" outlineLevel="0" collapsed="false">
      <c r="C143" s="139"/>
      <c r="E143" s="174" t="n">
        <v>0</v>
      </c>
      <c r="G143" s="163" t="n">
        <v>0</v>
      </c>
      <c r="I143" s="174" t="n">
        <v>0</v>
      </c>
      <c r="J143" s="163"/>
      <c r="K143" s="174" t="n">
        <v>0</v>
      </c>
      <c r="M143" s="163"/>
      <c r="R143" s="163" t="n">
        <v>0</v>
      </c>
    </row>
    <row r="144" customFormat="false" ht="12.75" hidden="false" customHeight="false" outlineLevel="0" collapsed="false">
      <c r="C144" s="139" t="n">
        <v>0</v>
      </c>
      <c r="E144" s="174" t="n">
        <v>0</v>
      </c>
      <c r="G144" s="163" t="n">
        <v>0</v>
      </c>
      <c r="I144" s="174" t="n">
        <v>0</v>
      </c>
      <c r="J144" s="163"/>
      <c r="K144" s="174" t="n">
        <v>0</v>
      </c>
      <c r="M144" s="163"/>
      <c r="R144" s="163" t="n">
        <v>0</v>
      </c>
    </row>
    <row r="145" customFormat="false" ht="12.75" hidden="false" customHeight="false" outlineLevel="0" collapsed="false">
      <c r="C145" s="139" t="n">
        <v>0</v>
      </c>
      <c r="E145" s="174" t="n">
        <v>0</v>
      </c>
      <c r="G145" s="190" t="n">
        <v>0</v>
      </c>
      <c r="I145" s="174" t="n">
        <v>0</v>
      </c>
      <c r="J145" s="181"/>
      <c r="K145" s="174" t="n">
        <v>0</v>
      </c>
      <c r="M145" s="181"/>
      <c r="R145" s="180" t="n">
        <v>0</v>
      </c>
    </row>
    <row r="146" customFormat="false" ht="12.75" hidden="false" customHeight="false" outlineLevel="0" collapsed="false">
      <c r="C146" s="171" t="n">
        <v>0</v>
      </c>
      <c r="E146" s="172" t="n">
        <v>0</v>
      </c>
      <c r="G146" s="187" t="n">
        <v>0</v>
      </c>
      <c r="I146" s="172" t="n">
        <v>0</v>
      </c>
      <c r="J146" s="163"/>
      <c r="K146" s="188" t="n">
        <v>0</v>
      </c>
      <c r="M146" s="163"/>
      <c r="R146" s="173" t="n">
        <v>0</v>
      </c>
    </row>
    <row r="147" customFormat="false" ht="12.75" hidden="false" customHeight="false" outlineLevel="0" collapsed="false">
      <c r="C147" s="171" t="n">
        <v>0</v>
      </c>
      <c r="E147" s="172" t="n">
        <v>0</v>
      </c>
      <c r="G147" s="187" t="n">
        <v>0</v>
      </c>
      <c r="I147" s="172" t="n">
        <v>0</v>
      </c>
      <c r="J147" s="163"/>
      <c r="K147" s="188" t="n">
        <v>0</v>
      </c>
      <c r="M147" s="163"/>
      <c r="R147" s="173" t="n">
        <v>0</v>
      </c>
    </row>
    <row r="148" customFormat="false" ht="12.75" hidden="false" customHeight="false" outlineLevel="0" collapsed="false">
      <c r="C148" s="171" t="n">
        <v>0</v>
      </c>
      <c r="E148" s="172" t="n">
        <v>0</v>
      </c>
      <c r="I148" s="172"/>
      <c r="K148" s="188" t="n">
        <v>0</v>
      </c>
    </row>
  </sheetData>
  <printOptions headings="false" gridLines="false" gridLinesSet="true" horizontalCentered="false" verticalCentered="true"/>
  <pageMargins left="0.279861111111111" right="0.25" top="0.25" bottom="0.4"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 Prepared By: R. Watt (403-974-6905)&amp;R&amp;"Times New Roman,Italic"&amp;D &amp;T</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
              <controlPr defaultSize="0" print="false" autoFill="0" autoPict="0" macro="xls.Module3.Print_Economics">
                <anchor moveWithCells="true" sizeWithCells="false">
                  <from>
                    <xdr:col>98</xdr:col>
                    <xdr:colOff>281520</xdr:colOff>
                    <xdr:row>1</xdr:row>
                    <xdr:rowOff>47520</xdr:rowOff>
                  </from>
                  <to>
                    <xdr:col>99</xdr:col>
                    <xdr:colOff>91440</xdr:colOff>
                    <xdr:row>2</xdr:row>
                    <xdr:rowOff>66600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6" topLeftCell="C41" activePane="bottomRight" state="frozen"/>
      <selection pane="topLeft" activeCell="A1" activeCellId="0" sqref="A1"/>
      <selection pane="topRight" activeCell="C1" activeCellId="0" sqref="C1"/>
      <selection pane="bottomLeft" activeCell="A41" activeCellId="0" sqref="A41"/>
      <selection pane="bottomRight" activeCell="S68" activeCellId="0" sqref="S68"/>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24.13"/>
    <col collapsed="false" customWidth="true" hidden="false" outlineLevel="0" max="3" min="3" style="193" width="14.41"/>
    <col collapsed="false" customWidth="true" hidden="false" outlineLevel="0" max="4" min="4" style="193" width="13.56"/>
    <col collapsed="false" customWidth="true" hidden="false" outlineLevel="0" max="11" min="5"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true" hidden="false" outlineLevel="0" max="38" min="38" style="193" width="11.99"/>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194" t="n">
        <f aca="false">M38</f>
        <v>-0.239999979734421</v>
      </c>
      <c r="D1" s="195"/>
      <c r="E1" s="195"/>
      <c r="F1" s="196"/>
      <c r="G1" s="197" t="s">
        <v>126</v>
      </c>
      <c r="H1" s="59"/>
      <c r="I1" s="59"/>
      <c r="J1" s="59"/>
      <c r="K1" s="59"/>
      <c r="L1" s="59"/>
      <c r="M1" s="59"/>
      <c r="N1" s="59"/>
      <c r="O1" s="59"/>
    </row>
    <row r="2" customFormat="false" ht="12.75" hidden="false" customHeight="true" outlineLevel="0" collapsed="false">
      <c r="A2" s="198" t="s">
        <v>127</v>
      </c>
      <c r="C2" s="199"/>
      <c r="D2" s="59"/>
      <c r="E2" s="195"/>
      <c r="F2" s="196"/>
      <c r="G2" s="200" t="n">
        <v>32097078</v>
      </c>
      <c r="H2" s="59"/>
      <c r="I2" s="59"/>
      <c r="J2" s="59"/>
      <c r="K2" s="59"/>
      <c r="L2" s="59"/>
      <c r="M2" s="59"/>
      <c r="N2" s="59"/>
      <c r="O2" s="59"/>
    </row>
    <row r="3" customFormat="false" ht="12.75" hidden="false" customHeight="true" outlineLevel="0" collapsed="false">
      <c r="A3" s="201" t="s">
        <v>128</v>
      </c>
      <c r="B3" s="202" t="s">
        <v>129</v>
      </c>
      <c r="C3" s="203" t="s">
        <v>42</v>
      </c>
      <c r="D3" s="204"/>
      <c r="E3" s="205"/>
      <c r="F3" s="206"/>
      <c r="G3" s="61"/>
      <c r="H3" s="59"/>
      <c r="I3" s="59"/>
      <c r="J3" s="59"/>
      <c r="K3" s="59"/>
      <c r="L3" s="59"/>
      <c r="M3" s="60"/>
      <c r="N3" s="59"/>
      <c r="O3" s="59"/>
    </row>
    <row r="4" customFormat="false" ht="12.75" hidden="false" customHeight="true" outlineLevel="0" collapsed="false">
      <c r="A4" s="201" t="s">
        <v>1</v>
      </c>
      <c r="B4" s="207" t="n">
        <f aca="false">Front!B4</f>
        <v>36831</v>
      </c>
      <c r="C4" s="199"/>
      <c r="D4" s="204"/>
      <c r="E4" s="205"/>
      <c r="F4" s="206"/>
      <c r="G4" s="61"/>
      <c r="H4" s="59"/>
      <c r="I4" s="59"/>
      <c r="J4" s="59"/>
      <c r="K4" s="59"/>
      <c r="L4" s="59"/>
      <c r="M4" s="59"/>
      <c r="N4" s="59"/>
      <c r="O4" s="59"/>
    </row>
    <row r="5" customFormat="false" ht="18" hidden="false" customHeight="true" outlineLevel="0" collapsed="false">
      <c r="A5" s="201" t="s">
        <v>2</v>
      </c>
      <c r="B5" s="208" t="n">
        <f aca="false">Front!B5</f>
        <v>36847</v>
      </c>
      <c r="C5" s="209"/>
      <c r="D5" s="204"/>
      <c r="E5" s="199"/>
      <c r="F5" s="199"/>
      <c r="G5" s="199"/>
      <c r="V5" s="153"/>
      <c r="W5" s="153"/>
      <c r="X5" s="153"/>
      <c r="Y5" s="153"/>
      <c r="Z5" s="153"/>
      <c r="AA5" s="153"/>
    </row>
    <row r="6" customFormat="false" ht="12.75" hidden="false" customHeight="true" outlineLevel="0" collapsed="false">
      <c r="A6" s="201" t="s">
        <v>130</v>
      </c>
      <c r="B6" s="210" t="n">
        <f aca="false">Front!$B$12</f>
        <v>949832</v>
      </c>
      <c r="C6" s="209"/>
      <c r="D6" s="204"/>
      <c r="E6" s="199"/>
      <c r="F6" s="199"/>
      <c r="G6" s="199"/>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C7" s="199"/>
      <c r="D7" s="204"/>
      <c r="K7" s="214"/>
      <c r="L7" s="215" t="s">
        <v>134</v>
      </c>
      <c r="M7" s="215" t="s">
        <v>135</v>
      </c>
      <c r="N7" s="216" t="s">
        <v>136</v>
      </c>
      <c r="O7" s="215"/>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C8" s="199"/>
      <c r="D8" s="222" t="s">
        <v>142</v>
      </c>
      <c r="E8" s="222" t="s">
        <v>143</v>
      </c>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C9" s="199"/>
      <c r="D9" s="225" t="n">
        <v>212650419</v>
      </c>
      <c r="E9" s="225" t="n">
        <v>211043009</v>
      </c>
      <c r="F9" s="59" t="s">
        <v>148</v>
      </c>
      <c r="G9" s="193" t="s">
        <v>149</v>
      </c>
      <c r="I9" s="193" t="n">
        <v>95161869</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C10" s="199"/>
      <c r="D10" s="225" t="n">
        <v>3296993</v>
      </c>
      <c r="E10" s="225" t="n">
        <v>3297306</v>
      </c>
      <c r="F10" s="59" t="s">
        <v>148</v>
      </c>
      <c r="G10" s="193" t="s">
        <v>149</v>
      </c>
      <c r="I10" s="193" t="n">
        <v>1117818</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154</v>
      </c>
      <c r="D11" s="225"/>
      <c r="E11" s="225"/>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225" t="n">
        <v>0</v>
      </c>
      <c r="E12" s="225"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229" t="n">
        <v>37550235</v>
      </c>
      <c r="E13" s="229" t="n">
        <v>37707303</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E14" s="231" t="n">
        <f aca="false">+E159</f>
        <v>-68447810</v>
      </c>
      <c r="F14" s="193" t="s">
        <v>165</v>
      </c>
      <c r="K14" s="219" t="s">
        <v>166</v>
      </c>
      <c r="L14" s="232" t="n">
        <f aca="false">SUM(L9:L13)/100</f>
        <v>0</v>
      </c>
      <c r="M14" s="232" t="n">
        <f aca="false">SUM(M9:M13)/100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D15" s="234" t="str">
        <f aca="false">IF(E13=D13,"FX not changed   "," ")</f>
        <v> </v>
      </c>
      <c r="E15" s="231" t="n">
        <f aca="false">+L158</f>
        <v>12746</v>
      </c>
      <c r="F15" s="193" t="s">
        <v>165</v>
      </c>
      <c r="K15" s="219" t="s">
        <v>169</v>
      </c>
      <c r="L15" s="94" t="n">
        <v>0</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D16" s="237" t="str">
        <f aca="false">IF(INDEX(SpotRates!A4:D34,MATCH(B5,SpotRates!A4:A34,0),4)=INDEX(SpotRates!A4:D34,MATCH(B5-1,SpotRates!A4:A34,0),4),"Change Spot Rate   "," ")</f>
        <v> </v>
      </c>
      <c r="E16" s="231" t="n">
        <f aca="false">+E185</f>
        <v>-808482.394</v>
      </c>
      <c r="F16" s="193" t="s">
        <v>165</v>
      </c>
      <c r="I16" s="238"/>
      <c r="J16" s="238"/>
      <c r="K16" s="219" t="s">
        <v>174</v>
      </c>
      <c r="L16" s="239" t="n">
        <v>0</v>
      </c>
      <c r="M16" s="239" t="n">
        <v>0</v>
      </c>
      <c r="N16" s="240" t="n">
        <v>0</v>
      </c>
      <c r="O16" s="241" t="n">
        <v>0</v>
      </c>
      <c r="P16" s="241" t="n">
        <v>0</v>
      </c>
      <c r="Q16" s="241" t="n">
        <v>0</v>
      </c>
      <c r="R16" s="242"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D17" s="244"/>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D18" s="0"/>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D19" s="0"/>
      <c r="E19" s="248" t="n">
        <f aca="false">SUM(E9:E16)</f>
        <v>182804071.606</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249"/>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SUM(E19)-SUM(B58+B59+B64+B65)</f>
        <v>181249064.606</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75" hidden="false" customHeight="true" outlineLevel="0" collapsed="false">
      <c r="A22" s="193" t="s">
        <v>181</v>
      </c>
      <c r="E22" s="231" t="n">
        <v>0.673913167789578</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75" hidden="false" customHeight="true" outlineLevel="0" collapsed="false">
      <c r="A23" s="193" t="s">
        <v>182</v>
      </c>
      <c r="E23" s="231" t="n">
        <f aca="false">+B63</f>
        <v>0</v>
      </c>
      <c r="F23" s="193" t="s">
        <v>165</v>
      </c>
      <c r="G23" s="153"/>
      <c r="H23" s="253"/>
      <c r="I23" s="254"/>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0.673913167789578</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153"/>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-M213</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0.673913167789578</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66473906.395</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270499</v>
      </c>
      <c r="F30" s="193" t="s">
        <v>193</v>
      </c>
      <c r="H30" s="253"/>
      <c r="I30" s="254"/>
      <c r="J30" s="153"/>
      <c r="K30" s="219" t="s">
        <v>194</v>
      </c>
      <c r="L30" s="153"/>
      <c r="M30" s="226" t="n">
        <v>189743238.366</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0.673913167789578</v>
      </c>
      <c r="N31" s="60" t="n">
        <f aca="false">M31</f>
        <v>0.673913167789578</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226" t="n">
        <v>66473906.395</v>
      </c>
      <c r="N32" s="60"/>
      <c r="O32" s="153" t="s">
        <v>191</v>
      </c>
      <c r="P32" s="153"/>
      <c r="Q32" s="153"/>
      <c r="R32" s="220"/>
      <c r="AI32" s="59"/>
    </row>
    <row r="33" customFormat="false" ht="12.75" hidden="false" customHeight="true" outlineLevel="0" collapsed="false">
      <c r="A33" s="193" t="s">
        <v>199</v>
      </c>
      <c r="E33" s="231" t="n">
        <f aca="false">+B67</f>
        <v>-65000</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-6733668</v>
      </c>
      <c r="N34" s="60" t="n">
        <f aca="false">B63</f>
        <v>0</v>
      </c>
      <c r="O34" s="153" t="s">
        <v>202</v>
      </c>
      <c r="P34" s="153"/>
      <c r="Q34" s="153"/>
      <c r="R34" s="220"/>
    </row>
    <row r="35" customFormat="false" ht="12.75" hidden="false" customHeight="true" outlineLevel="0" collapsed="false">
      <c r="A35" s="193" t="s">
        <v>203</v>
      </c>
      <c r="E35" s="231" t="n">
        <f aca="false">F237</f>
        <v>0</v>
      </c>
      <c r="F35" s="193" t="s">
        <v>193</v>
      </c>
      <c r="K35" s="219"/>
      <c r="L35" s="153"/>
      <c r="M35" s="60"/>
      <c r="N35" s="60"/>
      <c r="O35" s="153"/>
      <c r="P35" s="153"/>
      <c r="Q35" s="153"/>
      <c r="R35" s="220"/>
    </row>
    <row r="36" customFormat="false" ht="12.75" hidden="false" customHeight="true" outlineLevel="0" collapsed="false">
      <c r="A36" s="223" t="s">
        <v>204</v>
      </c>
      <c r="E36" s="248" t="n">
        <f aca="false">SUM(E29:E35)</f>
        <v>66679405.395</v>
      </c>
      <c r="K36" s="219" t="s">
        <v>205</v>
      </c>
      <c r="L36" s="62"/>
      <c r="M36" s="60" t="n">
        <f aca="false">SUM(M30:M34)</f>
        <v>249483477.434913</v>
      </c>
      <c r="N36" s="60" t="n">
        <f aca="false">SUM(N30:N34)</f>
        <v>0.673913167789578</v>
      </c>
      <c r="O36" s="153"/>
      <c r="P36" s="153"/>
      <c r="Q36" s="153"/>
      <c r="R36" s="220"/>
    </row>
    <row r="37" customFormat="false" ht="12.75" hidden="false" customHeight="true" outlineLevel="0" collapsed="false">
      <c r="K37" s="265"/>
      <c r="L37" s="62"/>
      <c r="M37" s="62"/>
      <c r="N37" s="62"/>
      <c r="O37" s="153"/>
      <c r="P37" s="153"/>
      <c r="Q37" s="153"/>
      <c r="R37" s="220"/>
    </row>
    <row r="38" customFormat="false" ht="12.75" hidden="false" customHeight="true" outlineLevel="0" collapsed="false">
      <c r="A38" s="221" t="s">
        <v>206</v>
      </c>
      <c r="C38" s="226"/>
      <c r="E38" s="248" t="n">
        <f aca="false">+E36+E26+E19</f>
        <v>249483477.674913</v>
      </c>
      <c r="K38" s="219"/>
      <c r="L38" s="266" t="s">
        <v>207</v>
      </c>
      <c r="M38" s="124" t="n">
        <f aca="false">M36-E38</f>
        <v>-0.239999979734421</v>
      </c>
      <c r="N38" s="124" t="n">
        <f aca="false">+N36-E26</f>
        <v>0</v>
      </c>
      <c r="O38" s="153"/>
      <c r="P38" s="153"/>
      <c r="Q38" s="153"/>
      <c r="R38" s="220"/>
      <c r="AN38" s="59"/>
      <c r="AO38" s="59"/>
      <c r="AP38" s="59"/>
      <c r="AQ38" s="59"/>
      <c r="AR38" s="59"/>
      <c r="AS38" s="59"/>
    </row>
    <row r="39" customFormat="false" ht="12.75" hidden="false" customHeight="true" outlineLevel="0" collapsed="false">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K40" s="153"/>
      <c r="L40" s="153"/>
      <c r="M40" s="153"/>
      <c r="N40" s="153"/>
      <c r="O40" s="153"/>
      <c r="P40" s="153"/>
      <c r="AJ40" s="59"/>
      <c r="AK40" s="59"/>
      <c r="AN40" s="59"/>
      <c r="AO40" s="59"/>
      <c r="AP40" s="59"/>
      <c r="AQ40" s="59"/>
      <c r="AR40" s="59"/>
      <c r="AS40" s="59"/>
    </row>
    <row r="41" customFormat="false" ht="12.75" hidden="false" customHeight="true" outlineLevel="0" collapsed="false">
      <c r="A41" s="271" t="s">
        <v>208</v>
      </c>
      <c r="B41" s="271"/>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SUM(C47:C76)-C61-C68-C69</f>
        <v>-2412664</v>
      </c>
      <c r="D43" s="275" t="n">
        <f aca="false">SUM(D47:D76)-D61-D68-D69</f>
        <v>845264</v>
      </c>
      <c r="E43" s="275" t="n">
        <f aca="false">SUM(E47:E76)-E61-E68-E69</f>
        <v>253711</v>
      </c>
      <c r="F43" s="275" t="n">
        <f aca="false">SUM(F47:F76)-F61-F68-F69</f>
        <v>0</v>
      </c>
      <c r="G43" s="275" t="n">
        <f aca="false">SUM(G47:G76)-G61-G68-G69</f>
        <v>0</v>
      </c>
      <c r="H43" s="275" t="n">
        <f aca="false">SUM(H47:H76)-H61-H68-H69</f>
        <v>222440</v>
      </c>
      <c r="I43" s="275" t="n">
        <f aca="false">SUM(I47:I76)-N61-I68-I69</f>
        <v>718752</v>
      </c>
      <c r="J43" s="275" t="n">
        <f aca="false">SUM(J47:J76)-J61-J68-J69</f>
        <v>-1100306</v>
      </c>
      <c r="K43" s="275" t="n">
        <f aca="false">SUM(K47:K76)-K61-K68-K69</f>
        <v>-300334</v>
      </c>
      <c r="L43" s="275" t="n">
        <f aca="false">SUM(L47:L76)-L61-L68-L69</f>
        <v>765710</v>
      </c>
      <c r="M43" s="275" t="n">
        <f aca="false">SUM(M47:M76)-M61-M68-M69</f>
        <v>0</v>
      </c>
      <c r="N43" s="275" t="n">
        <f aca="false">SUM(N47:N76)-N61-N68-N69</f>
        <v>0</v>
      </c>
      <c r="O43" s="275" t="n">
        <f aca="false">SUM(O47:O76)-O61-O68-O69</f>
        <v>-563146</v>
      </c>
      <c r="P43" s="275" t="n">
        <f aca="false">SUM(P47:P76)-P61-P68-P69</f>
        <v>-2110248</v>
      </c>
      <c r="Q43" s="275" t="n">
        <f aca="false">SUM(Q47:Q76)-Q61-Q68-Q69</f>
        <v>1608656</v>
      </c>
      <c r="R43" s="275" t="n">
        <f aca="false">SUM(R47:R76)-R61-R68-R69</f>
        <v>-3219220</v>
      </c>
      <c r="S43" s="275" t="n">
        <f aca="false">SUM(S47:S76)-S61-S68-S69</f>
        <v>-1442283</v>
      </c>
      <c r="T43" s="275" t="n">
        <f aca="false">SUM(T47:T76)-T61-T68-T69</f>
        <v>0</v>
      </c>
      <c r="U43" s="275" t="n">
        <f aca="false">SUM(U47:U76)-U61-U68-U69</f>
        <v>0</v>
      </c>
      <c r="V43" s="275" t="n">
        <f aca="false">SUM(V47:V76)-V61-V68-V69</f>
        <v>0</v>
      </c>
      <c r="W43" s="275" t="n">
        <f aca="false">SUM(W47:W76)-Y61-W68-W69</f>
        <v>0</v>
      </c>
      <c r="X43" s="275" t="n">
        <f aca="false">SUM(X47:X76)-X61-X68-X69</f>
        <v>0</v>
      </c>
      <c r="Y43" s="275" t="e">
        <f aca="false">SUM(Y47:Y76)-#REF!-Y68-Y69</f>
        <v>#REF!</v>
      </c>
      <c r="Z43" s="275" t="n">
        <f aca="false">SUM(Z47:Z76)-Z61-Z68-Z69</f>
        <v>0</v>
      </c>
      <c r="AA43" s="275" t="n">
        <f aca="false">SUM(AA47:AA76)-AA61-AA68-AA69</f>
        <v>0</v>
      </c>
      <c r="AB43" s="275" t="n">
        <f aca="false">SUM(AB47:AB76)-AB60-AB68-AB69</f>
        <v>0</v>
      </c>
      <c r="AC43" s="275" t="n">
        <f aca="false">SUM(AC47:AC76)-AC61-AC68-AC69</f>
        <v>0</v>
      </c>
      <c r="AD43" s="275" t="n">
        <f aca="false">SUM(AD47:AD76)-AD61-AD68-AD69</f>
        <v>0</v>
      </c>
      <c r="AE43" s="275" t="n">
        <f aca="false">SUM(AE47:AE76)-AE60-AE68-AE69</f>
        <v>0</v>
      </c>
      <c r="AF43" s="275" t="n">
        <f aca="false">SUM(AF47:AF76)-AF61-AF68-AF69</f>
        <v>0</v>
      </c>
      <c r="AG43" s="275" t="n">
        <f aca="false">SUM(AG47:AG76)-AG61-AG68-AG69</f>
        <v>0</v>
      </c>
      <c r="AH43" s="59"/>
      <c r="AI43" s="276" t="s">
        <v>211</v>
      </c>
      <c r="AJ43" s="277" t="s">
        <v>212</v>
      </c>
      <c r="AK43" s="59"/>
      <c r="AL43" s="77"/>
      <c r="AN43" s="59"/>
      <c r="AO43" s="59"/>
      <c r="AP43" s="59"/>
      <c r="AQ43" s="59"/>
      <c r="AR43" s="59"/>
      <c r="AS43" s="59"/>
    </row>
    <row r="44" customFormat="false" ht="15.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291"/>
      <c r="D46" s="292"/>
      <c r="E46" s="292"/>
      <c r="F46" s="292"/>
      <c r="G46" s="292"/>
      <c r="H46" s="292"/>
      <c r="I46" s="292"/>
      <c r="J46" s="292"/>
      <c r="K46" s="292"/>
      <c r="L46" s="292"/>
      <c r="M46" s="292"/>
      <c r="N46" s="292"/>
      <c r="O46" s="292"/>
      <c r="P46" s="292"/>
      <c r="Q46" s="292"/>
      <c r="R46" s="292"/>
      <c r="S46" s="292"/>
      <c r="T46" s="291"/>
      <c r="U46" s="292"/>
      <c r="V46" s="292"/>
      <c r="W46" s="292"/>
      <c r="X46" s="292"/>
      <c r="Y46" s="292"/>
      <c r="Z46" s="293"/>
      <c r="AA46" s="292"/>
      <c r="AB46" s="292"/>
      <c r="AC46" s="293"/>
      <c r="AD46" s="292"/>
      <c r="AE46" s="293"/>
      <c r="AF46" s="292"/>
      <c r="AG46" s="293"/>
      <c r="AH46" s="59"/>
      <c r="AI46" s="287" t="n">
        <v>3</v>
      </c>
      <c r="AJ46" s="288" t="s">
        <v>217</v>
      </c>
      <c r="AK46" s="59"/>
      <c r="AL46" s="153"/>
      <c r="AN46" s="59"/>
      <c r="AO46" s="59"/>
      <c r="AP46" s="59"/>
      <c r="AQ46" s="59"/>
      <c r="AR46" s="59"/>
      <c r="AS46" s="59"/>
    </row>
    <row r="47" customFormat="false" ht="12.75" hidden="false" customHeight="true" outlineLevel="0" collapsed="false">
      <c r="A47" s="231" t="s">
        <v>218</v>
      </c>
      <c r="B47" s="294" t="n">
        <f aca="false">SUM(C47:AG47)</f>
        <v>3006870</v>
      </c>
      <c r="C47" s="226" t="n">
        <f aca="false">280381-1630020</f>
        <v>-1349639</v>
      </c>
      <c r="D47" s="226" t="n">
        <f aca="false">132230+64633</f>
        <v>196863</v>
      </c>
      <c r="E47" s="226" t="n">
        <f aca="false">-28052-35237</f>
        <v>-63289</v>
      </c>
      <c r="G47" s="226"/>
      <c r="H47" s="226" t="n">
        <f aca="false">-19657+80140</f>
        <v>60483</v>
      </c>
      <c r="I47" s="226" t="n">
        <v>798534</v>
      </c>
      <c r="J47" s="226" t="n">
        <v>756249</v>
      </c>
      <c r="K47" s="226" t="n">
        <v>236639</v>
      </c>
      <c r="L47" s="226" t="n">
        <v>-30013</v>
      </c>
      <c r="M47" s="226"/>
      <c r="N47" s="226"/>
      <c r="O47" s="226" t="n">
        <v>983468</v>
      </c>
      <c r="P47" s="226" t="n">
        <v>2349054</v>
      </c>
      <c r="Q47" s="226" t="n">
        <v>659451</v>
      </c>
      <c r="R47" s="226" t="n">
        <v>-2623412</v>
      </c>
      <c r="S47" s="226" t="n">
        <v>1032482</v>
      </c>
      <c r="T47" s="226"/>
      <c r="U47" s="226"/>
      <c r="V47" s="226"/>
      <c r="X47" s="226"/>
      <c r="Y47" s="226"/>
      <c r="Z47" s="226"/>
      <c r="AA47" s="226"/>
      <c r="AB47" s="226"/>
      <c r="AC47" s="226"/>
      <c r="AD47" s="226"/>
      <c r="AE47" s="226"/>
      <c r="AF47" s="226"/>
      <c r="AG47" s="226"/>
      <c r="AH47" s="59"/>
      <c r="AI47" s="287" t="n">
        <v>4</v>
      </c>
      <c r="AJ47" s="288" t="s">
        <v>219</v>
      </c>
      <c r="AK47" s="59"/>
      <c r="AL47" s="61"/>
      <c r="AM47" s="60"/>
      <c r="AN47" s="98"/>
      <c r="AO47" s="59"/>
      <c r="AP47" s="59"/>
      <c r="AQ47" s="59"/>
      <c r="AR47" s="59"/>
      <c r="AS47" s="59"/>
    </row>
    <row r="48" customFormat="false" ht="12.75" hidden="false" customHeight="true" outlineLevel="0" collapsed="false">
      <c r="A48" s="295" t="s">
        <v>220</v>
      </c>
      <c r="B48" s="294" t="n">
        <f aca="false">SUM(C48:AG48)</f>
        <v>-11829833</v>
      </c>
      <c r="C48" s="226" t="n">
        <v>-1030640</v>
      </c>
      <c r="D48" s="226" t="n">
        <v>220044</v>
      </c>
      <c r="E48" s="226" t="n">
        <v>158617</v>
      </c>
      <c r="F48" s="226"/>
      <c r="G48" s="226"/>
      <c r="H48" s="226" t="n">
        <v>378831</v>
      </c>
      <c r="I48" s="226" t="n">
        <v>-440456</v>
      </c>
      <c r="J48" s="226" t="n">
        <v>-1364183</v>
      </c>
      <c r="K48" s="226" t="n">
        <v>-867092</v>
      </c>
      <c r="L48" s="226" t="n">
        <v>290069</v>
      </c>
      <c r="M48" s="226"/>
      <c r="N48" s="226"/>
      <c r="O48" s="226" t="n">
        <v>-1632330</v>
      </c>
      <c r="P48" s="226" t="n">
        <f aca="false">-4717350-142508</f>
        <v>-4859858</v>
      </c>
      <c r="Q48" s="226" t="n">
        <v>1005747</v>
      </c>
      <c r="R48" s="226" t="n">
        <v>-438493</v>
      </c>
      <c r="S48" s="226" t="n">
        <v>-3250089</v>
      </c>
      <c r="T48" s="226"/>
      <c r="U48" s="226"/>
      <c r="V48" s="226"/>
      <c r="X48" s="226"/>
      <c r="Y48" s="226"/>
      <c r="Z48" s="226"/>
      <c r="AA48" s="226"/>
      <c r="AB48" s="226"/>
      <c r="AC48" s="226"/>
      <c r="AD48" s="226"/>
      <c r="AE48" s="226"/>
      <c r="AF48" s="226"/>
      <c r="AG48" s="226"/>
      <c r="AH48" s="59"/>
      <c r="AI48" s="287" t="n">
        <v>5</v>
      </c>
      <c r="AJ48" s="288" t="s">
        <v>221</v>
      </c>
      <c r="AK48" s="59"/>
      <c r="AL48" s="61"/>
      <c r="AM48" s="226"/>
      <c r="AN48" s="296"/>
      <c r="AO48" s="61"/>
      <c r="AP48" s="61"/>
      <c r="AQ48" s="61"/>
      <c r="AR48" s="61"/>
      <c r="AS48" s="61"/>
      <c r="AT48" s="199"/>
      <c r="AU48" s="199"/>
    </row>
    <row r="49" customFormat="false" ht="12.75" hidden="true" customHeight="true" outlineLevel="0" collapsed="false">
      <c r="A49" s="295" t="s">
        <v>222</v>
      </c>
      <c r="B49" s="294" t="n">
        <f aca="false">SUM(C49:AG49)</f>
        <v>0</v>
      </c>
      <c r="C49" s="226"/>
      <c r="D49" s="226"/>
      <c r="E49" s="226"/>
      <c r="F49" s="226"/>
      <c r="G49" s="226"/>
      <c r="H49" s="226"/>
      <c r="I49" s="226"/>
      <c r="J49" s="226"/>
      <c r="K49" s="226"/>
      <c r="L49" s="226"/>
      <c r="M49" s="226"/>
      <c r="N49" s="226"/>
      <c r="O49" s="226"/>
      <c r="P49" s="226"/>
      <c r="Q49" s="226"/>
      <c r="R49" s="226"/>
      <c r="S49" s="226"/>
      <c r="T49" s="226"/>
      <c r="U49" s="226"/>
      <c r="V49" s="226"/>
      <c r="X49" s="226"/>
      <c r="Y49" s="226"/>
      <c r="Z49" s="226"/>
      <c r="AA49" s="226"/>
      <c r="AB49" s="226"/>
      <c r="AC49" s="226"/>
      <c r="AD49" s="226"/>
      <c r="AE49" s="226"/>
      <c r="AF49" s="226"/>
      <c r="AG49" s="226"/>
      <c r="AH49" s="59"/>
      <c r="AI49" s="287" t="n">
        <v>6</v>
      </c>
      <c r="AJ49" s="288" t="s">
        <v>223</v>
      </c>
      <c r="AK49" s="59"/>
      <c r="AL49" s="61"/>
      <c r="AM49" s="226"/>
      <c r="AN49" s="296"/>
      <c r="AO49" s="61"/>
      <c r="AP49" s="61"/>
      <c r="AQ49" s="61"/>
      <c r="AR49" s="61"/>
      <c r="AS49" s="61"/>
      <c r="AT49" s="199"/>
      <c r="AU49" s="199"/>
    </row>
    <row r="50" customFormat="false" ht="12.75" hidden="true" customHeight="true" outlineLevel="0" collapsed="false">
      <c r="A50" s="295" t="s">
        <v>224</v>
      </c>
      <c r="B50" s="294" t="n">
        <f aca="false">SUM(C50:AG50)</f>
        <v>0</v>
      </c>
      <c r="C50" s="226"/>
      <c r="D50" s="226"/>
      <c r="E50" s="226"/>
      <c r="F50" s="226"/>
      <c r="G50" s="226"/>
      <c r="H50" s="226"/>
      <c r="I50" s="226"/>
      <c r="J50" s="226"/>
      <c r="K50" s="226"/>
      <c r="L50" s="226"/>
      <c r="M50" s="226"/>
      <c r="N50" s="226"/>
      <c r="O50" s="226"/>
      <c r="P50" s="226"/>
      <c r="Q50" s="226"/>
      <c r="R50" s="226"/>
      <c r="S50" s="226"/>
      <c r="T50" s="226"/>
      <c r="U50" s="226"/>
      <c r="V50" s="226"/>
      <c r="X50" s="226"/>
      <c r="Y50" s="226"/>
      <c r="Z50" s="226"/>
      <c r="AA50" s="226"/>
      <c r="AB50" s="226"/>
      <c r="AC50" s="226"/>
      <c r="AD50" s="226"/>
      <c r="AE50" s="226"/>
      <c r="AF50" s="226"/>
      <c r="AG50" s="226"/>
      <c r="AH50" s="59"/>
      <c r="AI50" s="297" t="n">
        <v>7</v>
      </c>
      <c r="AJ50" s="298" t="s">
        <v>214</v>
      </c>
      <c r="AK50" s="59"/>
      <c r="AL50" s="60"/>
      <c r="AM50" s="60"/>
      <c r="AN50" s="296"/>
      <c r="AO50" s="61"/>
      <c r="AP50" s="61"/>
      <c r="AQ50" s="61"/>
      <c r="AR50" s="61"/>
      <c r="AS50" s="61"/>
      <c r="AT50" s="199"/>
      <c r="AU50" s="199"/>
    </row>
    <row r="51" customFormat="false" ht="12.75" hidden="false" customHeight="true" outlineLevel="0" collapsed="false">
      <c r="A51" s="295" t="s">
        <v>225</v>
      </c>
      <c r="B51" s="294" t="n">
        <f aca="false">SUM(C51:AG51)+'Price - East '!B51</f>
        <v>-1643671</v>
      </c>
      <c r="C51" s="226" t="n">
        <v>192737</v>
      </c>
      <c r="D51" s="226" t="n">
        <v>-243371</v>
      </c>
      <c r="E51" s="226" t="n">
        <v>-866583</v>
      </c>
      <c r="F51" s="226"/>
      <c r="G51" s="226"/>
      <c r="H51" s="226" t="n">
        <v>-229422</v>
      </c>
      <c r="I51" s="226" t="n">
        <v>-370132</v>
      </c>
      <c r="J51" s="226" t="n">
        <v>770</v>
      </c>
      <c r="K51" s="226" t="n">
        <v>-190882</v>
      </c>
      <c r="L51" s="226" t="n">
        <v>-556003</v>
      </c>
      <c r="M51" s="226"/>
      <c r="N51" s="226"/>
      <c r="O51" s="226" t="n">
        <v>478426</v>
      </c>
      <c r="P51" s="226" t="n">
        <v>-51714</v>
      </c>
      <c r="Q51" s="226" t="n">
        <v>539765</v>
      </c>
      <c r="R51" s="226" t="n">
        <v>-121909</v>
      </c>
      <c r="S51" s="226" t="n">
        <v>-225353</v>
      </c>
      <c r="T51" s="226"/>
      <c r="U51" s="226"/>
      <c r="V51" s="226"/>
      <c r="X51" s="226"/>
      <c r="Y51" s="226"/>
      <c r="Z51" s="226"/>
      <c r="AA51" s="226"/>
      <c r="AB51" s="226"/>
      <c r="AC51" s="226"/>
      <c r="AD51" s="226"/>
      <c r="AE51" s="226"/>
      <c r="AF51" s="226"/>
      <c r="AG51" s="226"/>
      <c r="AH51" s="59"/>
      <c r="AI51" s="199"/>
      <c r="AJ51" s="59"/>
      <c r="AK51" s="59"/>
      <c r="AL51" s="60"/>
      <c r="AM51" s="60"/>
      <c r="AN51" s="98"/>
      <c r="AO51" s="59"/>
      <c r="AP51" s="59"/>
      <c r="AQ51" s="59"/>
      <c r="AR51" s="59"/>
      <c r="AS51" s="59"/>
    </row>
    <row r="52" customFormat="false" ht="12.75" hidden="true" customHeight="true" outlineLevel="0" collapsed="false">
      <c r="A52" s="295" t="s">
        <v>226</v>
      </c>
      <c r="B52" s="294" t="n">
        <f aca="false">SUM(C52:AG52)</f>
        <v>0</v>
      </c>
      <c r="C52" s="226"/>
      <c r="D52" s="226"/>
      <c r="E52" s="226"/>
      <c r="F52" s="226"/>
      <c r="G52" s="226"/>
      <c r="H52" s="226"/>
      <c r="I52" s="226"/>
      <c r="J52" s="226"/>
      <c r="K52" s="226"/>
      <c r="L52" s="226"/>
      <c r="M52" s="226"/>
      <c r="N52" s="226"/>
      <c r="O52" s="226"/>
      <c r="P52" s="226"/>
      <c r="Q52" s="226"/>
      <c r="R52" s="226"/>
      <c r="S52" s="226"/>
      <c r="T52" s="226"/>
      <c r="U52" s="226"/>
      <c r="V52" s="226"/>
      <c r="X52" s="226"/>
      <c r="Y52" s="226"/>
      <c r="Z52" s="226"/>
      <c r="AA52" s="226"/>
      <c r="AB52" s="226"/>
      <c r="AC52" s="226"/>
      <c r="AD52" s="226"/>
      <c r="AE52" s="226"/>
      <c r="AF52" s="226"/>
      <c r="AG52" s="226"/>
      <c r="AH52" s="59"/>
      <c r="AI52" s="199"/>
      <c r="AJ52" s="59"/>
      <c r="AK52" s="59"/>
      <c r="AL52" s="60"/>
      <c r="AM52" s="60"/>
      <c r="AN52" s="98"/>
      <c r="AO52" s="59"/>
      <c r="AP52" s="59"/>
      <c r="AQ52" s="59"/>
      <c r="AR52" s="59"/>
      <c r="AS52" s="59"/>
    </row>
    <row r="53" customFormat="false" ht="12.75" hidden="false" customHeight="true" outlineLevel="0" collapsed="false">
      <c r="A53" s="231" t="s">
        <v>227</v>
      </c>
      <c r="B53" s="294" t="n">
        <f aca="false">SUM(C53:AG53)</f>
        <v>814175</v>
      </c>
      <c r="C53" s="226" t="n">
        <f aca="false">-171499+142626</f>
        <v>-28873</v>
      </c>
      <c r="D53" s="226" t="n">
        <f aca="false">435122+30876</f>
        <v>465998</v>
      </c>
      <c r="E53" s="226" t="n">
        <f aca="false">54006-2512</f>
        <v>51494</v>
      </c>
      <c r="F53" s="226"/>
      <c r="G53" s="226"/>
      <c r="H53" s="226" t="n">
        <v>-229264</v>
      </c>
      <c r="I53" s="226" t="n">
        <f aca="false">277870-38538-3335</f>
        <v>235997</v>
      </c>
      <c r="J53" s="226" t="n">
        <f aca="false">-7711-6558-42440-14008</f>
        <v>-70717</v>
      </c>
      <c r="K53" s="226" t="n">
        <f aca="false">-147599+275989-50206+73</f>
        <v>78257</v>
      </c>
      <c r="L53" s="226" t="n">
        <f aca="false">129911+300+126863</f>
        <v>257074</v>
      </c>
      <c r="M53" s="226"/>
      <c r="N53" s="226"/>
      <c r="O53" s="226" t="n">
        <v>87531</v>
      </c>
      <c r="P53" s="226" t="n">
        <f aca="false">-65345+16598</f>
        <v>-48747</v>
      </c>
      <c r="Q53" s="226" t="n">
        <f aca="false">2881-69876</f>
        <v>-66995</v>
      </c>
      <c r="R53" s="226" t="n">
        <f aca="false">-683208-153601</f>
        <v>-836809</v>
      </c>
      <c r="S53" s="226" t="n">
        <f aca="false">920404-1175</f>
        <v>919229</v>
      </c>
      <c r="T53" s="226"/>
      <c r="U53" s="226"/>
      <c r="V53" s="226"/>
      <c r="X53" s="226"/>
      <c r="Y53" s="226"/>
      <c r="Z53" s="226"/>
      <c r="AA53" s="226"/>
      <c r="AB53" s="226"/>
      <c r="AC53" s="226"/>
      <c r="AD53" s="226"/>
      <c r="AE53" s="226"/>
      <c r="AF53" s="226"/>
      <c r="AG53" s="226"/>
      <c r="AH53" s="59"/>
      <c r="AJ53" s="59"/>
      <c r="AK53" s="59"/>
      <c r="AL53" s="61"/>
      <c r="AM53" s="60"/>
      <c r="AN53" s="98"/>
      <c r="AO53" s="59"/>
      <c r="AP53" s="59"/>
      <c r="AQ53" s="59"/>
      <c r="AR53" s="59"/>
      <c r="AS53" s="59"/>
    </row>
    <row r="54" customFormat="false" ht="12.75" hidden="false" customHeight="true" outlineLevel="0" collapsed="false">
      <c r="A54" s="231" t="s">
        <v>228</v>
      </c>
      <c r="B54" s="294" t="n">
        <f aca="false">SUM(C54:AG54)</f>
        <v>820982</v>
      </c>
      <c r="C54" s="226" t="n">
        <v>-431352</v>
      </c>
      <c r="D54" s="226" t="n">
        <v>171985</v>
      </c>
      <c r="E54" s="226" t="n">
        <v>1013735</v>
      </c>
      <c r="F54" s="226"/>
      <c r="G54" s="226"/>
      <c r="H54" s="226" t="n">
        <v>324552</v>
      </c>
      <c r="I54" s="226" t="n">
        <v>294002</v>
      </c>
      <c r="J54" s="226" t="n">
        <v>-307232</v>
      </c>
      <c r="K54" s="226" t="n">
        <v>79332</v>
      </c>
      <c r="L54" s="226" t="n">
        <v>629367</v>
      </c>
      <c r="M54" s="226"/>
      <c r="N54" s="226"/>
      <c r="O54" s="226" t="n">
        <v>-600775</v>
      </c>
      <c r="P54" s="226" t="n">
        <v>150029</v>
      </c>
      <c r="Q54" s="226" t="n">
        <v>-806187</v>
      </c>
      <c r="R54" s="226" t="n">
        <v>137672</v>
      </c>
      <c r="S54" s="226" t="n">
        <v>165854</v>
      </c>
      <c r="T54" s="226"/>
      <c r="U54" s="226"/>
      <c r="V54" s="226"/>
      <c r="X54" s="226"/>
      <c r="Y54" s="226"/>
      <c r="Z54" s="226"/>
      <c r="AA54" s="226"/>
      <c r="AB54" s="226"/>
      <c r="AC54" s="226"/>
      <c r="AD54" s="226"/>
      <c r="AE54" s="226"/>
      <c r="AF54" s="226"/>
      <c r="AH54" s="59"/>
      <c r="AJ54" s="59"/>
      <c r="AK54" s="59"/>
      <c r="AL54" s="61"/>
      <c r="AM54" s="60"/>
      <c r="AN54" s="98"/>
      <c r="AO54" s="59"/>
      <c r="AP54" s="59"/>
      <c r="AQ54" s="59"/>
      <c r="AR54" s="59"/>
      <c r="AS54" s="59"/>
    </row>
    <row r="55" customFormat="false" ht="12.75" hidden="false" customHeight="true" outlineLevel="0" collapsed="false">
      <c r="A55" s="231" t="s">
        <v>229</v>
      </c>
      <c r="B55" s="294" t="n">
        <f aca="false">SUM(C55:AG55)</f>
        <v>-5822</v>
      </c>
      <c r="C55" s="226" t="n">
        <v>-4675</v>
      </c>
      <c r="D55" s="226" t="n">
        <v>-877</v>
      </c>
      <c r="E55" s="226" t="n">
        <v>-1762</v>
      </c>
      <c r="F55" s="226"/>
      <c r="G55" s="226"/>
      <c r="H55" s="226" t="n">
        <v>-204</v>
      </c>
      <c r="I55" s="226" t="n">
        <v>-3418</v>
      </c>
      <c r="J55" s="226" t="n">
        <v>-2093</v>
      </c>
      <c r="K55" s="226" t="n">
        <v>-52</v>
      </c>
      <c r="L55" s="226" t="n">
        <v>-242</v>
      </c>
      <c r="M55" s="226"/>
      <c r="N55" s="226"/>
      <c r="O55" s="226" t="n">
        <v>-474</v>
      </c>
      <c r="P55" s="226" t="n">
        <v>-1154</v>
      </c>
      <c r="Q55" s="226" t="n">
        <v>-533</v>
      </c>
      <c r="R55" s="226" t="n">
        <v>-2202</v>
      </c>
      <c r="S55" s="226" t="n">
        <f aca="false">-882+12746</f>
        <v>11864</v>
      </c>
      <c r="T55" s="226"/>
      <c r="U55" s="226"/>
      <c r="V55" s="226"/>
      <c r="X55" s="226"/>
      <c r="Y55" s="226"/>
      <c r="Z55" s="226"/>
      <c r="AA55" s="226"/>
      <c r="AB55" s="226"/>
      <c r="AC55" s="226"/>
      <c r="AD55" s="226"/>
      <c r="AE55" s="226"/>
      <c r="AF55" s="226"/>
      <c r="AG55" s="226"/>
      <c r="AH55" s="59"/>
      <c r="AJ55" s="59"/>
      <c r="AK55" s="59"/>
      <c r="AL55" s="61"/>
      <c r="AM55" s="60"/>
      <c r="AN55" s="98"/>
      <c r="AO55" s="59"/>
      <c r="AP55" s="59"/>
      <c r="AQ55" s="59"/>
      <c r="AR55" s="59"/>
      <c r="AS55" s="59"/>
    </row>
    <row r="56" customFormat="false" ht="12.75" hidden="false" customHeight="true" outlineLevel="0" collapsed="false">
      <c r="A56" s="231" t="s">
        <v>230</v>
      </c>
      <c r="B56" s="294" t="n">
        <f aca="false">SUM(C56:AG56)</f>
        <v>-42160</v>
      </c>
      <c r="C56" s="226" t="n">
        <v>-12185</v>
      </c>
      <c r="D56" s="226" t="n">
        <v>-4375</v>
      </c>
      <c r="E56" s="226" t="n">
        <v>-3834</v>
      </c>
      <c r="F56" s="226"/>
      <c r="G56" s="226"/>
      <c r="H56" s="226"/>
      <c r="I56" s="226" t="n">
        <v>-7186</v>
      </c>
      <c r="J56" s="226" t="n">
        <v>2698</v>
      </c>
      <c r="K56" s="226" t="n">
        <v>948</v>
      </c>
      <c r="L56" s="226"/>
      <c r="M56" s="226"/>
      <c r="N56" s="226"/>
      <c r="O56" s="226" t="n">
        <v>-4340</v>
      </c>
      <c r="P56" s="226" t="n">
        <v>-4464</v>
      </c>
      <c r="Q56" s="226" t="n">
        <v>-744</v>
      </c>
      <c r="R56" s="226"/>
      <c r="S56" s="226" t="n">
        <v>-8678</v>
      </c>
      <c r="T56" s="226"/>
      <c r="U56" s="226"/>
      <c r="V56" s="226"/>
      <c r="X56" s="226"/>
      <c r="Y56" s="226"/>
      <c r="Z56" s="226"/>
      <c r="AA56" s="226"/>
      <c r="AB56" s="226"/>
      <c r="AC56" s="226"/>
      <c r="AD56" s="226"/>
      <c r="AE56" s="226"/>
      <c r="AF56" s="226"/>
      <c r="AG56" s="226"/>
      <c r="AH56" s="59"/>
      <c r="AI56" s="199"/>
      <c r="AJ56" s="59"/>
      <c r="AK56" s="59"/>
      <c r="AL56" s="61"/>
      <c r="AM56" s="60"/>
      <c r="AN56" s="98"/>
      <c r="AO56" s="59"/>
      <c r="AP56" s="59"/>
      <c r="AQ56" s="59"/>
      <c r="AR56" s="59"/>
      <c r="AS56" s="59"/>
    </row>
    <row r="57" customFormat="false" ht="12.75" hidden="false" customHeight="true" outlineLevel="0" collapsed="false">
      <c r="A57" s="295" t="s">
        <v>231</v>
      </c>
      <c r="B57" s="294" t="n">
        <f aca="false">SUM(C57:AG57)</f>
        <v>22364</v>
      </c>
      <c r="C57" s="226" t="n">
        <v>2513</v>
      </c>
      <c r="D57" s="226" t="n">
        <v>1983</v>
      </c>
      <c r="E57" s="226" t="n">
        <v>1837</v>
      </c>
      <c r="F57" s="226"/>
      <c r="G57" s="226"/>
      <c r="H57" s="226" t="n">
        <v>4748</v>
      </c>
      <c r="I57" s="226" t="n">
        <v>1634</v>
      </c>
      <c r="J57" s="226" t="n">
        <v>1371</v>
      </c>
      <c r="K57" s="226" t="n">
        <v>1015</v>
      </c>
      <c r="L57" s="226" t="n">
        <v>939</v>
      </c>
      <c r="M57" s="226"/>
      <c r="N57" s="226"/>
      <c r="O57" s="226" t="n">
        <v>2925</v>
      </c>
      <c r="P57" s="226" t="n">
        <v>915</v>
      </c>
      <c r="Q57" s="226" t="n">
        <v>814</v>
      </c>
      <c r="R57" s="226" t="n">
        <v>697</v>
      </c>
      <c r="S57" s="226" t="n">
        <v>973</v>
      </c>
      <c r="T57" s="226"/>
      <c r="U57" s="226"/>
      <c r="V57" s="226"/>
      <c r="X57" s="226"/>
      <c r="Y57" s="226"/>
      <c r="Z57" s="226"/>
      <c r="AA57" s="226"/>
      <c r="AB57" s="226"/>
      <c r="AC57" s="226"/>
      <c r="AD57" s="226"/>
      <c r="AE57" s="226"/>
      <c r="AF57" s="226"/>
      <c r="AG57" s="226"/>
      <c r="AH57" s="59"/>
      <c r="AI57" s="199"/>
      <c r="AJ57" s="59"/>
      <c r="AK57" s="59"/>
      <c r="AL57" s="61"/>
      <c r="AM57" s="60"/>
      <c r="AN57" s="98"/>
      <c r="AO57" s="59"/>
      <c r="AP57" s="59"/>
      <c r="AQ57" s="59"/>
      <c r="AR57" s="59"/>
      <c r="AS57" s="59"/>
    </row>
    <row r="58" customFormat="false" ht="12.75" hidden="false" customHeight="true" outlineLevel="0" collapsed="false">
      <c r="A58" s="295" t="s">
        <v>232</v>
      </c>
      <c r="B58" s="294" t="n">
        <f aca="false">SUM(C58:AG58)+'Price - East '!B58</f>
        <v>820410</v>
      </c>
      <c r="C58" s="226" t="n">
        <v>183038</v>
      </c>
      <c r="D58" s="226" t="n">
        <v>-9565</v>
      </c>
      <c r="E58" s="226" t="n">
        <v>-131412</v>
      </c>
      <c r="F58" s="226"/>
      <c r="G58" s="226"/>
      <c r="H58" s="226" t="n">
        <v>-185081</v>
      </c>
      <c r="I58" s="226" t="n">
        <v>50100</v>
      </c>
      <c r="J58" s="226" t="n">
        <v>-248948</v>
      </c>
      <c r="K58" s="226" t="n">
        <v>281715</v>
      </c>
      <c r="L58" s="226" t="n">
        <v>100997</v>
      </c>
      <c r="M58" s="226"/>
      <c r="N58" s="226"/>
      <c r="O58" s="226" t="n">
        <v>2912</v>
      </c>
      <c r="P58" s="226" t="n">
        <v>257515</v>
      </c>
      <c r="Q58" s="226" t="n">
        <v>178641</v>
      </c>
      <c r="R58" s="226" t="n">
        <v>429470</v>
      </c>
      <c r="S58" s="226" t="n">
        <v>-88972</v>
      </c>
      <c r="T58" s="226"/>
      <c r="U58" s="226"/>
      <c r="V58" s="226"/>
      <c r="X58" s="226"/>
      <c r="Y58" s="226"/>
      <c r="Z58" s="226"/>
      <c r="AA58" s="226"/>
      <c r="AB58" s="226"/>
      <c r="AC58" s="226"/>
      <c r="AD58" s="226"/>
      <c r="AE58" s="226"/>
      <c r="AF58" s="226"/>
      <c r="AG58" s="226"/>
      <c r="AH58" s="59"/>
      <c r="AI58" s="199"/>
      <c r="AJ58" s="59"/>
      <c r="AK58" s="59"/>
      <c r="AL58" s="61"/>
      <c r="AM58" s="60"/>
      <c r="AN58" s="296"/>
      <c r="AO58" s="61"/>
      <c r="AP58" s="61"/>
      <c r="AQ58" s="61"/>
      <c r="AR58" s="61"/>
      <c r="AS58" s="61"/>
      <c r="AT58" s="199"/>
      <c r="AU58" s="199"/>
      <c r="AV58" s="199"/>
      <c r="AW58" s="199"/>
      <c r="AX58" s="199"/>
    </row>
    <row r="59" customFormat="false" ht="12.75" hidden="false" customHeight="true" outlineLevel="0" collapsed="false">
      <c r="A59" s="295" t="s">
        <v>233</v>
      </c>
      <c r="B59" s="294" t="n">
        <f aca="false">SUM(C59:AG59)+'Price - East '!B59</f>
        <v>586985</v>
      </c>
      <c r="C59" s="226" t="n">
        <v>35880</v>
      </c>
      <c r="D59" s="226" t="n">
        <v>34392</v>
      </c>
      <c r="E59" s="226" t="n">
        <v>34529</v>
      </c>
      <c r="F59" s="226"/>
      <c r="G59" s="226"/>
      <c r="H59" s="226" t="n">
        <v>103489</v>
      </c>
      <c r="I59" s="226" t="n">
        <v>34541</v>
      </c>
      <c r="J59" s="226" t="n">
        <v>34587</v>
      </c>
      <c r="K59" s="226" t="n">
        <v>34731</v>
      </c>
      <c r="L59" s="226" t="n">
        <v>34600</v>
      </c>
      <c r="M59" s="226"/>
      <c r="N59" s="226"/>
      <c r="O59" s="226" t="n">
        <v>103670</v>
      </c>
      <c r="P59" s="226" t="n">
        <v>34543</v>
      </c>
      <c r="Q59" s="226" t="n">
        <v>34058</v>
      </c>
      <c r="R59" s="226" t="n">
        <v>34356</v>
      </c>
      <c r="S59" s="226" t="n">
        <v>33609</v>
      </c>
      <c r="T59" s="226"/>
      <c r="U59" s="226"/>
      <c r="V59" s="226"/>
      <c r="X59" s="226"/>
      <c r="Y59" s="226"/>
      <c r="Z59" s="226"/>
      <c r="AA59" s="226"/>
      <c r="AB59" s="226"/>
      <c r="AC59" s="226"/>
      <c r="AD59" s="226"/>
      <c r="AE59" s="226"/>
      <c r="AF59" s="226"/>
      <c r="AG59" s="226"/>
      <c r="AH59" s="59"/>
      <c r="AI59" s="199"/>
      <c r="AJ59" s="59"/>
      <c r="AK59" s="59"/>
      <c r="AL59" s="61"/>
      <c r="AM59" s="60"/>
      <c r="AN59" s="296"/>
      <c r="AO59" s="61"/>
      <c r="AP59" s="61"/>
      <c r="AQ59" s="61"/>
      <c r="AR59" s="61"/>
      <c r="AS59" s="61"/>
      <c r="AT59" s="199"/>
      <c r="AU59" s="199"/>
      <c r="AV59" s="199"/>
      <c r="AW59" s="199"/>
      <c r="AX59" s="199"/>
    </row>
    <row r="60" customFormat="false" ht="12.75" hidden="false" customHeight="true" outlineLevel="0" collapsed="false">
      <c r="A60" s="295" t="s">
        <v>234</v>
      </c>
      <c r="B60" s="294" t="n">
        <f aca="false">SUM(C60:AG60)</f>
        <v>602987</v>
      </c>
      <c r="C60" s="226"/>
      <c r="D60" s="0" t="n">
        <v>15151</v>
      </c>
      <c r="E60" s="0" t="n">
        <v>74566</v>
      </c>
      <c r="F60" s="226"/>
      <c r="G60" s="226"/>
      <c r="H60" s="226"/>
      <c r="I60" s="226" t="n">
        <f aca="false">105535+3335</f>
        <v>108870</v>
      </c>
      <c r="J60" s="226" t="n">
        <f aca="false">124378+42440</f>
        <v>166818</v>
      </c>
      <c r="K60" s="226" t="n">
        <f aca="false">17140-73</f>
        <v>17067</v>
      </c>
      <c r="L60" s="226" t="n">
        <f aca="false">24431-300</f>
        <v>24131</v>
      </c>
      <c r="M60" s="226"/>
      <c r="N60" s="226"/>
      <c r="O60" s="226"/>
      <c r="P60" s="226"/>
      <c r="Q60" s="226" t="n">
        <v>35658</v>
      </c>
      <c r="R60" s="226" t="n">
        <f aca="false">154984</f>
        <v>154984</v>
      </c>
      <c r="S60" s="226" t="n">
        <v>5742</v>
      </c>
      <c r="T60" s="226"/>
      <c r="U60" s="226"/>
      <c r="V60" s="226"/>
      <c r="X60" s="226"/>
      <c r="Y60" s="226"/>
      <c r="Z60" s="226"/>
      <c r="AA60" s="226"/>
      <c r="AB60" s="226"/>
      <c r="AC60" s="226"/>
      <c r="AD60" s="226"/>
      <c r="AE60" s="226"/>
      <c r="AF60" s="226"/>
      <c r="AG60" s="226"/>
      <c r="AH60" s="59"/>
      <c r="AI60" s="199"/>
      <c r="AJ60" s="59"/>
      <c r="AK60" s="59"/>
      <c r="AL60" s="61"/>
      <c r="AM60" s="60"/>
      <c r="AN60" s="296"/>
      <c r="AO60" s="61"/>
      <c r="AP60" s="61"/>
      <c r="AQ60" s="61"/>
      <c r="AR60" s="61"/>
      <c r="AS60" s="61"/>
      <c r="AT60" s="199"/>
      <c r="AU60" s="199"/>
      <c r="AV60" s="199"/>
      <c r="AW60" s="199"/>
      <c r="AX60" s="199"/>
    </row>
    <row r="61" customFormat="false" ht="12.75" hidden="false" customHeight="true" outlineLevel="0" collapsed="false">
      <c r="A61" s="295" t="s">
        <v>235</v>
      </c>
      <c r="B61" s="294" t="n">
        <f aca="false">SUM(C61:AG61)</f>
        <v>270499</v>
      </c>
      <c r="C61" s="226" t="n">
        <v>210423</v>
      </c>
      <c r="D61" s="226"/>
      <c r="E61" s="226" t="n">
        <v>61920</v>
      </c>
      <c r="F61" s="226"/>
      <c r="G61" s="226"/>
      <c r="H61" s="226" t="n">
        <v>-1844</v>
      </c>
      <c r="J61" s="226"/>
      <c r="K61" s="226"/>
      <c r="L61" s="226"/>
      <c r="M61" s="226"/>
      <c r="N61" s="226"/>
      <c r="O61" s="226"/>
      <c r="P61" s="226"/>
      <c r="Q61" s="226"/>
      <c r="R61" s="226"/>
      <c r="S61" s="226"/>
      <c r="T61" s="226"/>
      <c r="U61" s="226"/>
      <c r="V61" s="226"/>
      <c r="X61" s="226"/>
      <c r="Y61" s="226"/>
      <c r="Z61" s="226"/>
      <c r="AA61" s="226"/>
      <c r="AB61" s="226"/>
      <c r="AC61" s="226"/>
      <c r="AD61" s="226"/>
      <c r="AE61" s="226"/>
      <c r="AF61" s="226"/>
      <c r="AG61" s="226"/>
      <c r="AH61" s="59"/>
      <c r="AJ61" s="59"/>
      <c r="AK61" s="59"/>
      <c r="AL61" s="61"/>
      <c r="AM61" s="60"/>
      <c r="AN61" s="98"/>
      <c r="AO61" s="59"/>
      <c r="AP61" s="59"/>
      <c r="AQ61" s="59"/>
      <c r="AR61" s="59"/>
      <c r="AS61" s="59"/>
    </row>
    <row r="62" customFormat="false" ht="12.75" hidden="false" customHeight="true" outlineLevel="0" collapsed="false">
      <c r="A62" s="295" t="s">
        <v>236</v>
      </c>
      <c r="B62" s="294" t="n">
        <f aca="false">SUM(C62:AG62)+'Price - East '!B62</f>
        <v>30433</v>
      </c>
      <c r="C62" s="226" t="n">
        <f aca="false">3795-6095+1-3618</f>
        <v>-5917</v>
      </c>
      <c r="D62" s="226" t="n">
        <f aca="false">-332-66+5973+1</f>
        <v>5576</v>
      </c>
      <c r="E62" s="226" t="n">
        <f aca="false">2030+166+1-386-1</f>
        <v>1810</v>
      </c>
      <c r="F62" s="226"/>
      <c r="G62" s="226"/>
      <c r="H62" s="226" t="n">
        <f aca="false">2349+97+2-4723</f>
        <v>-2275</v>
      </c>
      <c r="I62" s="226" t="n">
        <f aca="false">1593+787-1+1477</f>
        <v>3856</v>
      </c>
      <c r="J62" s="226" t="n">
        <f aca="false">-799-3707-1+11012-1</f>
        <v>6504</v>
      </c>
      <c r="K62" s="226" t="n">
        <f aca="false">3278-3011+1-1525+1</f>
        <v>-1256</v>
      </c>
      <c r="L62" s="226" t="n">
        <f aca="false">-1787-1196+1+2058</f>
        <v>-924</v>
      </c>
      <c r="M62" s="226"/>
      <c r="N62" s="226"/>
      <c r="O62" s="226" t="n">
        <f aca="false">7674-921-1-341-1</f>
        <v>6410</v>
      </c>
      <c r="P62" s="226" t="n">
        <f aca="false">29835-2718+1-420</f>
        <v>26698</v>
      </c>
      <c r="Q62" s="226" t="n">
        <f aca="false">977+5352+8814-1</f>
        <v>15142</v>
      </c>
      <c r="R62" s="226" t="n">
        <f aca="false">-6257-1494+2033</f>
        <v>-5718</v>
      </c>
      <c r="S62" s="226" t="n">
        <f aca="false">-18396-6761-1+5686-1</f>
        <v>-19473</v>
      </c>
      <c r="T62" s="226"/>
      <c r="U62" s="226"/>
      <c r="V62" s="226"/>
      <c r="X62" s="226"/>
      <c r="Y62" s="226"/>
      <c r="Z62" s="226"/>
      <c r="AA62" s="226"/>
      <c r="AB62" s="226"/>
      <c r="AC62" s="226"/>
      <c r="AD62" s="226"/>
      <c r="AE62" s="226"/>
      <c r="AF62" s="226"/>
      <c r="AG62" s="226"/>
      <c r="AH62" s="59"/>
      <c r="AJ62" s="59"/>
      <c r="AK62" s="59"/>
      <c r="AL62" s="61"/>
      <c r="AM62" s="60"/>
      <c r="AN62" s="98"/>
      <c r="AO62" s="98"/>
      <c r="AP62" s="59"/>
      <c r="AQ62" s="59"/>
      <c r="AR62" s="59"/>
      <c r="AS62" s="59"/>
    </row>
    <row r="63" customFormat="false" ht="12.75" hidden="false" customHeight="true" outlineLevel="0" collapsed="false">
      <c r="A63" s="295" t="s">
        <v>189</v>
      </c>
      <c r="B63" s="294" t="n">
        <f aca="false">SUM(C63:AG63)</f>
        <v>0</v>
      </c>
      <c r="C63" s="226"/>
      <c r="D63" s="226"/>
      <c r="E63" s="226"/>
      <c r="F63" s="226"/>
      <c r="G63" s="226"/>
      <c r="H63" s="226"/>
      <c r="I63" s="226"/>
      <c r="J63" s="226"/>
      <c r="K63" s="226"/>
      <c r="L63" s="226"/>
      <c r="M63" s="226"/>
      <c r="N63" s="226"/>
      <c r="O63" s="226"/>
      <c r="P63" s="226"/>
      <c r="Q63" s="226"/>
      <c r="R63" s="226"/>
      <c r="S63" s="226"/>
      <c r="T63" s="226"/>
      <c r="U63" s="226"/>
      <c r="V63" s="226"/>
      <c r="X63" s="226"/>
      <c r="Y63" s="226"/>
      <c r="Z63" s="226"/>
      <c r="AA63" s="226"/>
      <c r="AB63" s="226"/>
      <c r="AC63" s="226"/>
      <c r="AD63" s="226"/>
      <c r="AE63" s="226"/>
      <c r="AF63" s="226"/>
      <c r="AG63" s="226"/>
      <c r="AH63" s="59"/>
      <c r="AI63" s="199"/>
      <c r="AJ63" s="59"/>
      <c r="AK63" s="59"/>
      <c r="AL63" s="61"/>
      <c r="AM63" s="60"/>
      <c r="AN63" s="98"/>
      <c r="AO63" s="59"/>
      <c r="AP63" s="59"/>
      <c r="AQ63" s="59"/>
      <c r="AR63" s="59"/>
      <c r="AS63" s="59"/>
    </row>
    <row r="64" customFormat="false" ht="12.75" hidden="false" customHeight="true" outlineLevel="0" collapsed="false">
      <c r="A64" s="295" t="s">
        <v>237</v>
      </c>
      <c r="B64" s="294" t="n">
        <f aca="false">SUM(C64:AG64)</f>
        <v>56082</v>
      </c>
      <c r="C64" s="226" t="n">
        <v>30196</v>
      </c>
      <c r="D64" s="226" t="n">
        <v>-11728</v>
      </c>
      <c r="E64" s="226" t="n">
        <v>-21534</v>
      </c>
      <c r="F64" s="226"/>
      <c r="G64" s="226"/>
      <c r="H64" s="226" t="n">
        <v>-23540</v>
      </c>
      <c r="I64" s="226" t="n">
        <v>6955</v>
      </c>
      <c r="J64" s="226" t="n">
        <v>-47813</v>
      </c>
      <c r="K64" s="226" t="n">
        <v>29149</v>
      </c>
      <c r="L64" s="226" t="n">
        <v>9554</v>
      </c>
      <c r="M64" s="226"/>
      <c r="N64" s="226"/>
      <c r="O64" s="226" t="n">
        <v>422</v>
      </c>
      <c r="P64" s="226" t="n">
        <v>35331</v>
      </c>
      <c r="Q64" s="226" t="n">
        <v>15098</v>
      </c>
      <c r="R64" s="226" t="n">
        <v>51693</v>
      </c>
      <c r="S64" s="226" t="n">
        <v>-17701</v>
      </c>
      <c r="T64" s="226"/>
      <c r="U64" s="226"/>
      <c r="V64" s="226"/>
      <c r="X64" s="226"/>
      <c r="Y64" s="226"/>
      <c r="Z64" s="226"/>
      <c r="AA64" s="226"/>
      <c r="AB64" s="226"/>
      <c r="AC64" s="226"/>
      <c r="AD64" s="226"/>
      <c r="AE64" s="226"/>
      <c r="AF64" s="226"/>
      <c r="AG64" s="226"/>
      <c r="AH64" s="59"/>
      <c r="AI64" s="199"/>
      <c r="AJ64" s="59"/>
      <c r="AK64" s="59"/>
      <c r="AL64" s="60"/>
      <c r="AM64" s="60"/>
      <c r="AN64" s="59"/>
      <c r="AO64" s="59"/>
      <c r="AP64" s="59"/>
      <c r="AQ64" s="59"/>
      <c r="AR64" s="59"/>
      <c r="AS64" s="59"/>
    </row>
    <row r="65" customFormat="false" ht="12.75" hidden="false" customHeight="true" outlineLevel="0" collapsed="false">
      <c r="A65" s="231" t="s">
        <v>238</v>
      </c>
      <c r="B65" s="294" t="n">
        <f aca="false">SUM(C65:AG65)</f>
        <v>91530</v>
      </c>
      <c r="C65" s="226" t="n">
        <v>6253</v>
      </c>
      <c r="D65" s="226" t="n">
        <v>3188</v>
      </c>
      <c r="E65" s="226" t="n">
        <v>5537</v>
      </c>
      <c r="F65" s="226"/>
      <c r="G65" s="226"/>
      <c r="H65" s="226" t="n">
        <v>20123</v>
      </c>
      <c r="I65" s="226" t="n">
        <v>5455</v>
      </c>
      <c r="J65" s="226" t="n">
        <v>1683</v>
      </c>
      <c r="K65" s="226" t="n">
        <v>5095</v>
      </c>
      <c r="L65" s="226" t="n">
        <v>6161</v>
      </c>
      <c r="M65" s="226"/>
      <c r="N65" s="226"/>
      <c r="O65" s="226" t="n">
        <v>19009</v>
      </c>
      <c r="P65" s="226" t="n">
        <v>6604</v>
      </c>
      <c r="Q65" s="226" t="n">
        <v>3741</v>
      </c>
      <c r="R65" s="226" t="n">
        <v>5451</v>
      </c>
      <c r="S65" s="226" t="n">
        <v>3230</v>
      </c>
      <c r="T65" s="226"/>
      <c r="U65" s="226"/>
      <c r="V65" s="226"/>
      <c r="X65" s="226"/>
      <c r="Y65" s="226"/>
      <c r="Z65" s="226"/>
      <c r="AA65" s="226"/>
      <c r="AB65" s="226"/>
      <c r="AC65" s="226"/>
      <c r="AD65" s="226"/>
      <c r="AE65" s="226"/>
      <c r="AF65" s="226"/>
      <c r="AG65" s="226"/>
      <c r="AH65" s="59"/>
      <c r="AJ65" s="59"/>
      <c r="AK65" s="59"/>
      <c r="AL65" s="61"/>
      <c r="AM65" s="60"/>
      <c r="AN65" s="59"/>
      <c r="AO65" s="59"/>
      <c r="AP65" s="59"/>
      <c r="AQ65" s="59"/>
      <c r="AR65" s="59"/>
      <c r="AS65" s="59"/>
    </row>
    <row r="66" customFormat="false" ht="12.75" hidden="true" customHeight="true" outlineLevel="0" collapsed="false">
      <c r="A66" s="231" t="s">
        <v>239</v>
      </c>
      <c r="B66" s="294" t="n">
        <f aca="false">SUM(C66:AG66)</f>
        <v>0</v>
      </c>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59"/>
      <c r="AI66" s="199"/>
      <c r="AJ66" s="59"/>
      <c r="AK66" s="59"/>
      <c r="AL66" s="61"/>
      <c r="AM66" s="60"/>
      <c r="AN66" s="59"/>
      <c r="AO66" s="59"/>
      <c r="AP66" s="59"/>
      <c r="AQ66" s="59"/>
      <c r="AR66" s="59"/>
      <c r="AS66" s="59"/>
    </row>
    <row r="67" customFormat="false" ht="12.75" hidden="false" customHeight="true" outlineLevel="0" collapsed="false">
      <c r="A67" s="231" t="s">
        <v>240</v>
      </c>
      <c r="B67" s="299" t="n">
        <f aca="false">SUM(C67:AG67)</f>
        <v>-65000</v>
      </c>
      <c r="C67" s="226"/>
      <c r="D67" s="226"/>
      <c r="E67" s="226"/>
      <c r="F67" s="226"/>
      <c r="G67" s="226"/>
      <c r="H67" s="226"/>
      <c r="I67" s="226"/>
      <c r="J67" s="226" t="n">
        <v>-30000</v>
      </c>
      <c r="K67" s="226" t="n">
        <v>-5000</v>
      </c>
      <c r="L67" s="226"/>
      <c r="M67" s="226"/>
      <c r="N67" s="226"/>
      <c r="O67" s="226" t="n">
        <v>-10000</v>
      </c>
      <c r="P67" s="226" t="n">
        <v>-5000</v>
      </c>
      <c r="Q67" s="226" t="n">
        <v>-5000</v>
      </c>
      <c r="R67" s="226" t="n">
        <v>-5000</v>
      </c>
      <c r="S67" s="226" t="n">
        <v>-5000</v>
      </c>
      <c r="T67" s="226"/>
      <c r="U67" s="226"/>
      <c r="V67" s="226"/>
      <c r="W67" s="226"/>
      <c r="X67" s="226"/>
      <c r="Y67" s="226"/>
      <c r="Z67" s="226"/>
      <c r="AA67" s="226"/>
      <c r="AB67" s="226"/>
      <c r="AC67" s="226"/>
      <c r="AD67" s="226"/>
      <c r="AE67" s="226"/>
      <c r="AF67" s="226"/>
      <c r="AG67" s="226"/>
      <c r="AH67" s="59"/>
      <c r="AI67" s="199"/>
      <c r="AJ67" s="59"/>
      <c r="AK67" s="59"/>
      <c r="AL67" s="61"/>
      <c r="AM67" s="60"/>
      <c r="AN67" s="59"/>
      <c r="AO67" s="59"/>
      <c r="AP67" s="59"/>
      <c r="AQ67" s="59"/>
      <c r="AR67" s="59"/>
      <c r="AS67" s="59"/>
    </row>
    <row r="68" customFormat="false" ht="12.75" hidden="false" customHeight="true" outlineLevel="0" collapsed="false">
      <c r="A68" s="231" t="s">
        <v>241</v>
      </c>
      <c r="B68" s="294" t="n">
        <f aca="false">SUM(C68:AG68)</f>
        <v>0</v>
      </c>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59"/>
      <c r="AJ68" s="59"/>
      <c r="AK68" s="59"/>
      <c r="AL68" s="61"/>
      <c r="AM68" s="60"/>
      <c r="AN68" s="59"/>
      <c r="AO68" s="59"/>
      <c r="AP68" s="59"/>
      <c r="AQ68" s="59"/>
      <c r="AR68" s="59"/>
      <c r="AS68" s="59"/>
    </row>
    <row r="69" customFormat="false" ht="12.75" hidden="false" customHeight="true" outlineLevel="0" collapsed="false">
      <c r="A69" s="295" t="s">
        <v>242</v>
      </c>
      <c r="B69" s="294" t="n">
        <f aca="false">SUM(C69:AG69)</f>
        <v>0</v>
      </c>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59"/>
      <c r="AI69" s="199"/>
      <c r="AJ69" s="59"/>
      <c r="AK69" s="59"/>
      <c r="AL69" s="61"/>
      <c r="AM69" s="60"/>
      <c r="AN69" s="59"/>
      <c r="AO69" s="59"/>
      <c r="AP69" s="59"/>
      <c r="AQ69" s="59"/>
      <c r="AR69" s="59"/>
      <c r="AS69" s="59"/>
    </row>
    <row r="70" customFormat="false" ht="12.75" hidden="false" customHeight="true" outlineLevel="0" collapsed="false">
      <c r="A70" s="231" t="s">
        <v>243</v>
      </c>
      <c r="B70" s="294" t="n">
        <f aca="false">SUM(C70:AG70)</f>
        <v>0</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59"/>
      <c r="AJ70" s="59"/>
      <c r="AK70" s="59"/>
      <c r="AL70" s="61"/>
      <c r="AM70" s="60"/>
      <c r="AN70" s="59"/>
      <c r="AO70" s="59"/>
      <c r="AP70" s="59"/>
      <c r="AQ70" s="59"/>
      <c r="AR70" s="59"/>
      <c r="AS70" s="59"/>
    </row>
    <row r="71" customFormat="false" ht="12.75" hidden="fals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300"/>
      <c r="AH71" s="59"/>
      <c r="AJ71" s="59"/>
      <c r="AK71" s="59"/>
      <c r="AL71" s="61"/>
      <c r="AM71" s="60"/>
    </row>
    <row r="72" customFormat="false" ht="12.75" hidden="false" customHeight="true" outlineLevel="0" collapsed="false">
      <c r="A72" s="231"/>
      <c r="B72" s="294"/>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301"/>
      <c r="AH72" s="59"/>
      <c r="AJ72" s="59"/>
      <c r="AK72" s="59"/>
      <c r="AL72" s="61"/>
      <c r="AM72" s="60"/>
    </row>
    <row r="73" customFormat="false" ht="12.75" hidden="false" customHeight="true" outlineLevel="0" collapsed="false">
      <c r="A73" s="231"/>
      <c r="B73" s="294"/>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301"/>
      <c r="AH73" s="59"/>
      <c r="AJ73" s="59"/>
      <c r="AK73" s="59"/>
      <c r="AL73" s="61"/>
      <c r="AM73" s="60"/>
    </row>
    <row r="74" customFormat="false" ht="12.75" hidden="false" customHeight="true" outlineLevel="0" collapsed="false">
      <c r="A74" s="231"/>
      <c r="B74" s="294"/>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301"/>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SUM(B47:B75)-B61-B68-B69</f>
        <v>-6733668</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C78" s="193" t="n">
        <f aca="false">(+B58+B59)*-1</f>
        <v>-1407395</v>
      </c>
      <c r="AH78" s="153"/>
      <c r="AJ78" s="153"/>
      <c r="AK78" s="226"/>
      <c r="AL78" s="61"/>
      <c r="AM78" s="60"/>
    </row>
    <row r="79" customFormat="false" ht="12.75" hidden="false" customHeight="true" outlineLevel="0" collapsed="false">
      <c r="A79" s="153"/>
      <c r="B79" s="307"/>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c r="C81" s="275"/>
      <c r="D81" s="275"/>
      <c r="E81" s="275"/>
      <c r="F81" s="275"/>
      <c r="G81" s="275"/>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59"/>
      <c r="AI81" s="76"/>
      <c r="AJ81" s="85"/>
      <c r="AK81" s="59"/>
      <c r="AL81" s="77"/>
      <c r="AN81" s="59"/>
      <c r="AO81" s="59"/>
      <c r="AP81" s="59"/>
      <c r="AQ81" s="59"/>
      <c r="AR81" s="59"/>
      <c r="AS81" s="59"/>
    </row>
    <row r="82" customFormat="false" ht="12.75" hidden="false" customHeight="true" outlineLevel="0" collapsed="false">
      <c r="A82" s="308" t="s">
        <v>247</v>
      </c>
      <c r="B82" s="274" t="s">
        <v>210</v>
      </c>
      <c r="C82" s="275" t="n">
        <f aca="false">SUM(C86:C101)</f>
        <v>0</v>
      </c>
      <c r="D82" s="275" t="n">
        <f aca="false">SUM(D86:D101)</f>
        <v>0</v>
      </c>
      <c r="E82" s="275" t="n">
        <f aca="false">SUM(E86:E101)</f>
        <v>0</v>
      </c>
      <c r="F82" s="275" t="n">
        <f aca="false">SUM(F86:F101)</f>
        <v>0</v>
      </c>
      <c r="G82" s="275" t="n">
        <f aca="false">SUM(G86:G101)</f>
        <v>0</v>
      </c>
      <c r="H82" s="275" t="n">
        <f aca="false">SUM(H86:H101)</f>
        <v>0</v>
      </c>
      <c r="I82" s="275" t="n">
        <f aca="false">SUM(I86:I101)</f>
        <v>0</v>
      </c>
      <c r="J82" s="275" t="n">
        <f aca="false">SUM(J86:J101)</f>
        <v>0</v>
      </c>
      <c r="K82" s="275" t="n">
        <f aca="false">SUM(K86:K101)</f>
        <v>0</v>
      </c>
      <c r="L82" s="275" t="n">
        <f aca="false">SUM(L86:L101)</f>
        <v>0</v>
      </c>
      <c r="M82" s="275" t="n">
        <f aca="false">SUM(M86:M101)</f>
        <v>0</v>
      </c>
      <c r="N82" s="275" t="n">
        <f aca="false">SUM(N86:N101)</f>
        <v>0</v>
      </c>
      <c r="O82" s="275" t="n">
        <f aca="false">SUM(O86:O101)</f>
        <v>0</v>
      </c>
      <c r="P82" s="275" t="n">
        <f aca="false">SUM(P86:P101)</f>
        <v>0</v>
      </c>
      <c r="Q82" s="275" t="n">
        <f aca="false">SUM(Q86:Q101)</f>
        <v>0</v>
      </c>
      <c r="R82" s="275" t="n">
        <f aca="false">SUM(R86:R101)</f>
        <v>0</v>
      </c>
      <c r="S82" s="275" t="n">
        <f aca="false">SUM(S86:S101)</f>
        <v>0</v>
      </c>
      <c r="T82" s="275" t="n">
        <f aca="false">SUM(T86:T101)</f>
        <v>0</v>
      </c>
      <c r="U82" s="275" t="n">
        <f aca="false">SUM(U86:U101)</f>
        <v>0</v>
      </c>
      <c r="V82" s="275" t="n">
        <f aca="false">SUM(V86:V101)</f>
        <v>0</v>
      </c>
      <c r="W82" s="275" t="n">
        <f aca="false">SUM(W86:W101)</f>
        <v>0</v>
      </c>
      <c r="X82" s="275" t="n">
        <f aca="false">SUM(X86:X101)</f>
        <v>0</v>
      </c>
      <c r="Y82" s="275" t="n">
        <f aca="false">SUM(Y86:Y101)</f>
        <v>0</v>
      </c>
      <c r="Z82" s="275" t="n">
        <f aca="false">SUM(Z86:Z101)</f>
        <v>0</v>
      </c>
      <c r="AA82" s="275" t="n">
        <f aca="false">SUM(AA86:AA101)</f>
        <v>0</v>
      </c>
      <c r="AB82" s="275" t="n">
        <f aca="false">SUM(AB86:AB101)</f>
        <v>0</v>
      </c>
      <c r="AC82" s="275" t="n">
        <f aca="false">SUM(AC86:AC101)</f>
        <v>0</v>
      </c>
      <c r="AD82" s="275" t="n">
        <f aca="false">SUM(AD86:AD101)</f>
        <v>0</v>
      </c>
      <c r="AE82" s="275" t="n">
        <f aca="false">SUM(AE86:AE101)</f>
        <v>0</v>
      </c>
      <c r="AF82" s="275" t="n">
        <f aca="false">SUM(AF86:AF101)</f>
        <v>0</v>
      </c>
      <c r="AG82" s="275" t="n">
        <f aca="false">SUM(AG86:AG101)</f>
        <v>0</v>
      </c>
      <c r="AH82" s="59"/>
      <c r="AI82" s="76"/>
      <c r="AJ82" s="85"/>
      <c r="AK82" s="59"/>
      <c r="AL82" s="77"/>
      <c r="AN82" s="59"/>
      <c r="AO82" s="59"/>
      <c r="AP82" s="59"/>
      <c r="AQ82" s="59"/>
      <c r="AR82" s="59"/>
      <c r="AS82" s="59"/>
    </row>
    <row r="83" customFormat="false" ht="12.75" hidden="false" customHeight="true" outlineLevel="0" collapsed="false">
      <c r="A83" s="278" t="s">
        <v>248</v>
      </c>
      <c r="B83" s="279" t="n">
        <f aca="false">B44</f>
        <v>36831</v>
      </c>
      <c r="C83" s="280" t="n">
        <f aca="false">C44</f>
        <v>36831</v>
      </c>
      <c r="D83" s="280" t="n">
        <f aca="false">D44</f>
        <v>36832</v>
      </c>
      <c r="E83" s="280" t="n">
        <f aca="false">E44</f>
        <v>36833</v>
      </c>
      <c r="F83" s="280" t="n">
        <f aca="false">F44</f>
        <v>36834</v>
      </c>
      <c r="G83" s="280" t="n">
        <f aca="false">G44</f>
        <v>36835</v>
      </c>
      <c r="H83" s="280" t="n">
        <f aca="false">H44</f>
        <v>36836</v>
      </c>
      <c r="I83" s="280" t="n">
        <f aca="false">I44</f>
        <v>36837</v>
      </c>
      <c r="J83" s="280" t="n">
        <f aca="false">J44</f>
        <v>36838</v>
      </c>
      <c r="K83" s="280" t="n">
        <f aca="false">K44</f>
        <v>36839</v>
      </c>
      <c r="L83" s="280" t="n">
        <f aca="false">L44</f>
        <v>36840</v>
      </c>
      <c r="M83" s="280" t="n">
        <f aca="false">M44</f>
        <v>36841</v>
      </c>
      <c r="N83" s="280" t="n">
        <f aca="false">N44</f>
        <v>36842</v>
      </c>
      <c r="O83" s="280" t="n">
        <f aca="false">O44</f>
        <v>36843</v>
      </c>
      <c r="P83" s="280" t="n">
        <f aca="false">P44</f>
        <v>36844</v>
      </c>
      <c r="Q83" s="280" t="n">
        <f aca="false">Q44</f>
        <v>36845</v>
      </c>
      <c r="R83" s="280" t="n">
        <f aca="false">R44</f>
        <v>36846</v>
      </c>
      <c r="S83" s="280" t="n">
        <f aca="false">S44</f>
        <v>36847</v>
      </c>
      <c r="T83" s="280" t="n">
        <f aca="false">T44</f>
        <v>36848</v>
      </c>
      <c r="U83" s="280" t="n">
        <f aca="false">U44</f>
        <v>36849</v>
      </c>
      <c r="V83" s="280" t="n">
        <f aca="false">V44</f>
        <v>36850</v>
      </c>
      <c r="W83" s="280" t="n">
        <f aca="false">W44</f>
        <v>36851</v>
      </c>
      <c r="X83" s="280" t="n">
        <f aca="false">X44</f>
        <v>36852</v>
      </c>
      <c r="Y83" s="280" t="n">
        <f aca="false">Y44</f>
        <v>36853</v>
      </c>
      <c r="Z83" s="280" t="n">
        <f aca="false">Z44</f>
        <v>36854</v>
      </c>
      <c r="AA83" s="280" t="n">
        <f aca="false">AA44</f>
        <v>36855</v>
      </c>
      <c r="AB83" s="280" t="n">
        <f aca="false">AB44</f>
        <v>36856</v>
      </c>
      <c r="AC83" s="280" t="n">
        <f aca="false">AC44</f>
        <v>36857</v>
      </c>
      <c r="AD83" s="280" t="n">
        <f aca="false">AD44</f>
        <v>36858</v>
      </c>
      <c r="AE83" s="280" t="n">
        <f aca="false">AE44</f>
        <v>36859</v>
      </c>
      <c r="AF83" s="280" t="n">
        <f aca="false">AF44</f>
        <v>36860</v>
      </c>
      <c r="AG83" s="280" t="n">
        <f aca="false">AG44</f>
        <v>36861</v>
      </c>
      <c r="AH83" s="281"/>
      <c r="AI83" s="76"/>
      <c r="AJ83" s="309"/>
      <c r="AK83" s="281"/>
      <c r="AL83" s="284"/>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c r="DM83" s="281"/>
      <c r="DN83" s="281"/>
      <c r="DO83" s="281"/>
      <c r="DP83" s="281"/>
      <c r="DQ83" s="281"/>
      <c r="DR83" s="281"/>
      <c r="DS83" s="281"/>
      <c r="DT83" s="281"/>
      <c r="DU83" s="281"/>
      <c r="DV83" s="281"/>
      <c r="DW83" s="281"/>
      <c r="DX83" s="281"/>
      <c r="DY83" s="281"/>
      <c r="DZ83" s="281"/>
      <c r="EA83" s="281"/>
      <c r="EB83" s="281"/>
      <c r="EC83" s="281"/>
      <c r="ED83" s="281"/>
      <c r="EE83" s="281"/>
      <c r="EF83" s="281"/>
      <c r="EG83" s="281"/>
      <c r="EH83" s="281"/>
      <c r="EI83" s="281"/>
      <c r="EJ83" s="281"/>
      <c r="EK83" s="281"/>
      <c r="EL83" s="281"/>
      <c r="EM83" s="281"/>
      <c r="EN83" s="281"/>
      <c r="EO83" s="281"/>
      <c r="EP83" s="281"/>
      <c r="EQ83" s="281"/>
      <c r="ER83" s="281"/>
      <c r="ES83" s="281"/>
      <c r="ET83" s="281"/>
      <c r="EU83" s="281"/>
      <c r="EV83" s="281"/>
      <c r="EW83" s="281"/>
      <c r="EX83" s="281"/>
      <c r="EY83" s="281"/>
      <c r="EZ83" s="281"/>
      <c r="FA83" s="281"/>
      <c r="FB83" s="281"/>
      <c r="FC83" s="281"/>
      <c r="FD83" s="281"/>
      <c r="FE83" s="281"/>
      <c r="FF83" s="281"/>
      <c r="FG83" s="281"/>
      <c r="FH83" s="281"/>
      <c r="FI83" s="281"/>
      <c r="FJ83" s="281"/>
      <c r="FK83" s="281"/>
      <c r="FL83" s="281"/>
      <c r="FM83" s="281"/>
      <c r="FN83" s="281"/>
      <c r="FO83" s="281"/>
      <c r="FP83" s="281"/>
      <c r="FQ83" s="281"/>
      <c r="FR83" s="281"/>
      <c r="FS83" s="281"/>
      <c r="FT83" s="281"/>
      <c r="FU83" s="281"/>
      <c r="FV83" s="281"/>
      <c r="FW83" s="281"/>
      <c r="FX83" s="281"/>
      <c r="FY83" s="281"/>
      <c r="FZ83" s="281"/>
      <c r="GA83" s="281"/>
      <c r="GB83" s="281"/>
      <c r="GC83" s="281"/>
      <c r="GD83" s="281"/>
      <c r="GE83" s="281"/>
      <c r="GF83" s="281"/>
      <c r="GG83" s="281"/>
      <c r="GH83" s="281"/>
      <c r="GI83" s="281"/>
      <c r="GJ83" s="281"/>
      <c r="GK83" s="281"/>
      <c r="GL83" s="281"/>
      <c r="GM83" s="281"/>
      <c r="GN83" s="281"/>
      <c r="GO83" s="281"/>
      <c r="GP83" s="281"/>
      <c r="GQ83" s="281"/>
      <c r="GR83" s="281"/>
      <c r="GS83" s="281"/>
      <c r="GT83" s="281"/>
      <c r="GU83" s="281"/>
      <c r="GV83" s="281"/>
      <c r="GW83" s="281"/>
      <c r="GX83" s="281"/>
      <c r="GY83" s="281"/>
      <c r="GZ83" s="281"/>
      <c r="HA83" s="281"/>
      <c r="HB83" s="281"/>
      <c r="HC83" s="281"/>
      <c r="HD83" s="281"/>
      <c r="HE83" s="281"/>
      <c r="HF83" s="281"/>
      <c r="HG83" s="281"/>
      <c r="HH83" s="281"/>
      <c r="HI83" s="281"/>
      <c r="HJ83" s="281"/>
      <c r="HK83" s="281"/>
      <c r="HL83" s="281"/>
      <c r="HM83" s="281"/>
      <c r="HN83" s="281"/>
      <c r="HO83" s="281"/>
      <c r="HP83" s="281"/>
      <c r="HQ83" s="281"/>
      <c r="HR83" s="281"/>
      <c r="HS83" s="281"/>
      <c r="HT83" s="281"/>
      <c r="HU83" s="281"/>
      <c r="HV83" s="281"/>
      <c r="HW83" s="281"/>
      <c r="HX83" s="281"/>
      <c r="HY83" s="281"/>
      <c r="HZ83" s="281"/>
      <c r="IA83" s="281"/>
      <c r="IB83" s="281"/>
      <c r="IC83" s="281"/>
      <c r="ID83" s="281"/>
      <c r="IE83" s="281"/>
      <c r="IF83" s="281"/>
      <c r="IG83" s="281"/>
      <c r="IH83" s="281"/>
      <c r="II83" s="281"/>
      <c r="IJ83" s="281"/>
      <c r="IK83" s="281"/>
      <c r="IL83" s="281"/>
      <c r="IM83" s="281"/>
      <c r="IN83" s="281"/>
      <c r="IO83" s="281"/>
      <c r="IP83" s="281"/>
      <c r="IQ83" s="281"/>
      <c r="IR83" s="281"/>
      <c r="IS83" s="281"/>
      <c r="IT83" s="281"/>
      <c r="IU83" s="281"/>
      <c r="IV83" s="281"/>
      <c r="IW83" s="281"/>
    </row>
    <row r="84" customFormat="false" ht="12.75" hidden="false" customHeight="true" outlineLevel="0" collapsed="false">
      <c r="A84" s="285"/>
      <c r="B84" s="285"/>
      <c r="C84" s="286" t="str">
        <f aca="false">C45</f>
        <v>W</v>
      </c>
      <c r="D84" s="286" t="str">
        <f aca="false">D45</f>
        <v>R</v>
      </c>
      <c r="E84" s="286" t="str">
        <f aca="false">E45</f>
        <v>F</v>
      </c>
      <c r="F84" s="286" t="str">
        <f aca="false">F45</f>
        <v>S</v>
      </c>
      <c r="G84" s="286" t="str">
        <f aca="false">G45</f>
        <v>S</v>
      </c>
      <c r="H84" s="286" t="str">
        <f aca="false">H45</f>
        <v>M</v>
      </c>
      <c r="I84" s="286" t="str">
        <f aca="false">I45</f>
        <v>T</v>
      </c>
      <c r="J84" s="286" t="str">
        <f aca="false">J45</f>
        <v>W</v>
      </c>
      <c r="K84" s="286" t="str">
        <f aca="false">K45</f>
        <v>R</v>
      </c>
      <c r="L84" s="286" t="str">
        <f aca="false">L45</f>
        <v>F</v>
      </c>
      <c r="M84" s="286" t="str">
        <f aca="false">M45</f>
        <v>S</v>
      </c>
      <c r="N84" s="286" t="str">
        <f aca="false">N45</f>
        <v>S</v>
      </c>
      <c r="O84" s="286" t="str">
        <f aca="false">O45</f>
        <v>M</v>
      </c>
      <c r="P84" s="286" t="str">
        <f aca="false">P45</f>
        <v>T</v>
      </c>
      <c r="Q84" s="286" t="str">
        <f aca="false">Q45</f>
        <v>W</v>
      </c>
      <c r="R84" s="286" t="str">
        <f aca="false">R45</f>
        <v>R</v>
      </c>
      <c r="S84" s="286" t="str">
        <f aca="false">S45</f>
        <v>F</v>
      </c>
      <c r="T84" s="286" t="str">
        <f aca="false">T45</f>
        <v>S</v>
      </c>
      <c r="U84" s="286" t="str">
        <f aca="false">U45</f>
        <v>S</v>
      </c>
      <c r="V84" s="286" t="str">
        <f aca="false">V45</f>
        <v>M</v>
      </c>
      <c r="W84" s="286" t="str">
        <f aca="false">W45</f>
        <v>T</v>
      </c>
      <c r="X84" s="286" t="str">
        <f aca="false">X45</f>
        <v>W</v>
      </c>
      <c r="Y84" s="286" t="str">
        <f aca="false">Y45</f>
        <v>R</v>
      </c>
      <c r="Z84" s="286" t="str">
        <f aca="false">Z45</f>
        <v>F</v>
      </c>
      <c r="AA84" s="286" t="str">
        <f aca="false">AA45</f>
        <v>S</v>
      </c>
      <c r="AB84" s="286" t="str">
        <f aca="false">AB45</f>
        <v>S</v>
      </c>
      <c r="AC84" s="286" t="str">
        <f aca="false">AC45</f>
        <v>M</v>
      </c>
      <c r="AD84" s="286" t="str">
        <f aca="false">AD45</f>
        <v>T</v>
      </c>
      <c r="AE84" s="286" t="str">
        <f aca="false">AE45</f>
        <v>W</v>
      </c>
      <c r="AF84" s="286" t="str">
        <f aca="false">AF45</f>
        <v>R</v>
      </c>
      <c r="AG84" s="286" t="str">
        <f aca="false">AG45</f>
        <v>F</v>
      </c>
      <c r="AH84" s="59"/>
      <c r="AI84" s="76"/>
      <c r="AJ84" s="85"/>
      <c r="AK84" s="59"/>
      <c r="AL84" s="153"/>
      <c r="AN84" s="59"/>
      <c r="AO84" s="59"/>
      <c r="AP84" s="59"/>
      <c r="AQ84" s="59"/>
      <c r="AR84" s="59"/>
      <c r="AS84" s="59"/>
    </row>
    <row r="85" customFormat="false" ht="12.75" hidden="false" customHeight="true" outlineLevel="0" collapsed="false">
      <c r="A85" s="289"/>
      <c r="B85" s="290" t="s">
        <v>216</v>
      </c>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0"/>
      <c r="AF85" s="310"/>
      <c r="AG85" s="311"/>
      <c r="AH85" s="153"/>
      <c r="AI85" s="199"/>
      <c r="AJ85" s="312"/>
      <c r="AK85" s="226"/>
      <c r="AL85" s="61"/>
      <c r="AM85" s="60"/>
    </row>
    <row r="86" customFormat="false" ht="12.75" hidden="false" customHeight="true" outlineLevel="0" collapsed="false">
      <c r="A86" s="231" t="s">
        <v>249</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250</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251</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252</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253</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254</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255</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256</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257</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258</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259</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260</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t="s">
        <v>261</v>
      </c>
      <c r="B98" s="294" t="n">
        <f aca="false">SUM(C98:AG98)</f>
        <v>0</v>
      </c>
      <c r="C98" s="226" t="n">
        <v>0</v>
      </c>
      <c r="D98" s="226" t="n">
        <v>0</v>
      </c>
      <c r="E98" s="226" t="n">
        <v>0</v>
      </c>
      <c r="F98" s="226" t="n">
        <v>0</v>
      </c>
      <c r="G98" s="226" t="n">
        <v>0</v>
      </c>
      <c r="H98" s="226" t="n">
        <v>0</v>
      </c>
      <c r="I98" s="226" t="n">
        <v>0</v>
      </c>
      <c r="J98" s="226" t="n">
        <v>0</v>
      </c>
      <c r="K98" s="226" t="n">
        <v>0</v>
      </c>
      <c r="L98" s="226" t="n">
        <v>0</v>
      </c>
      <c r="M98" s="226" t="n">
        <v>0</v>
      </c>
      <c r="N98" s="226" t="n">
        <v>0</v>
      </c>
      <c r="O98" s="226" t="n">
        <v>0</v>
      </c>
      <c r="P98" s="226" t="n">
        <v>0</v>
      </c>
      <c r="Q98" s="226" t="n">
        <v>0</v>
      </c>
      <c r="R98" s="226" t="n">
        <v>0</v>
      </c>
      <c r="S98" s="226" t="n">
        <v>0</v>
      </c>
      <c r="T98" s="226" t="n">
        <v>0</v>
      </c>
      <c r="U98" s="226" t="n">
        <v>0</v>
      </c>
      <c r="V98" s="226" t="n">
        <v>0</v>
      </c>
      <c r="W98" s="226" t="n">
        <v>0</v>
      </c>
      <c r="X98" s="226" t="n">
        <v>0</v>
      </c>
      <c r="Y98" s="226" t="n">
        <v>0</v>
      </c>
      <c r="Z98" s="226" t="n">
        <v>0</v>
      </c>
      <c r="AA98" s="226" t="n">
        <v>0</v>
      </c>
      <c r="AB98" s="226" t="n">
        <v>0</v>
      </c>
      <c r="AC98" s="226" t="n">
        <v>0</v>
      </c>
      <c r="AD98" s="226" t="n">
        <v>0</v>
      </c>
      <c r="AE98" s="226" t="n">
        <v>0</v>
      </c>
      <c r="AF98" s="226" t="n">
        <v>0</v>
      </c>
      <c r="AG98" s="300" t="n">
        <v>0</v>
      </c>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SUM(B88:B101)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3" t="s">
        <v>271</v>
      </c>
      <c r="B126" s="153" t="s">
        <v>272</v>
      </c>
      <c r="C126" s="153"/>
      <c r="D126" s="324"/>
      <c r="E126" s="325" t="n">
        <v>-22228677</v>
      </c>
      <c r="G126" s="326"/>
      <c r="H126" s="327"/>
      <c r="I126" s="153"/>
      <c r="J126" s="59"/>
      <c r="K126" s="328"/>
      <c r="L126" s="325"/>
      <c r="M126" s="59"/>
      <c r="N126" s="59"/>
      <c r="O126" s="59"/>
      <c r="P126" s="59"/>
    </row>
    <row r="127" customFormat="false" ht="12.75" hidden="false" customHeight="true" outlineLevel="0" collapsed="false">
      <c r="A127" s="329" t="s">
        <v>273</v>
      </c>
      <c r="B127" s="153" t="s">
        <v>274</v>
      </c>
      <c r="C127" s="153"/>
      <c r="D127" s="301"/>
      <c r="E127" s="325" t="n">
        <v>-11878542</v>
      </c>
      <c r="G127" s="326"/>
      <c r="H127" s="62"/>
      <c r="I127" s="153"/>
      <c r="J127" s="59"/>
      <c r="K127" s="328"/>
      <c r="L127" s="325"/>
      <c r="M127" s="59"/>
      <c r="N127" s="59"/>
      <c r="O127" s="59"/>
      <c r="P127" s="59"/>
    </row>
    <row r="128" customFormat="false" ht="12.75" hidden="false" customHeight="true" outlineLevel="0" collapsed="false">
      <c r="A128" s="329" t="s">
        <v>275</v>
      </c>
      <c r="B128" s="153" t="s">
        <v>276</v>
      </c>
      <c r="C128" s="153"/>
      <c r="D128" s="301"/>
      <c r="E128" s="325" t="n">
        <v>-19377663</v>
      </c>
      <c r="G128" s="326" t="s">
        <v>277</v>
      </c>
      <c r="H128" s="153" t="s">
        <v>278</v>
      </c>
      <c r="I128" s="59"/>
      <c r="J128" s="59"/>
      <c r="K128" s="328"/>
      <c r="L128" s="325" t="n">
        <v>12746</v>
      </c>
      <c r="M128" s="59"/>
      <c r="N128" s="59"/>
      <c r="O128" s="59"/>
      <c r="P128" s="59"/>
    </row>
    <row r="129" customFormat="false" ht="12.75" hidden="false" customHeight="true" outlineLevel="0" collapsed="false">
      <c r="A129" s="329" t="n">
        <v>36161</v>
      </c>
      <c r="B129" s="153" t="s">
        <v>279</v>
      </c>
      <c r="C129" s="153"/>
      <c r="D129" s="324"/>
      <c r="E129" s="325" t="n">
        <f aca="false">121198-1031352-23445-26133</f>
        <v>-959732</v>
      </c>
      <c r="G129" s="326"/>
      <c r="H129" s="153"/>
      <c r="I129" s="59"/>
      <c r="J129" s="59"/>
      <c r="K129" s="324"/>
      <c r="L129" s="330"/>
      <c r="M129" s="59"/>
      <c r="N129" s="59"/>
      <c r="O129" s="59"/>
      <c r="P129" s="59"/>
    </row>
    <row r="130" customFormat="false" ht="12.75" hidden="false" customHeight="true" outlineLevel="0" collapsed="false">
      <c r="A130" s="329" t="n">
        <v>36192</v>
      </c>
      <c r="B130" s="153" t="s">
        <v>280</v>
      </c>
      <c r="C130" s="153"/>
      <c r="D130" s="324"/>
      <c r="E130" s="325" t="n">
        <f aca="false">5060212-968879+557012-109228</f>
        <v>4539117</v>
      </c>
      <c r="G130" s="326"/>
      <c r="H130" s="153"/>
      <c r="I130" s="59"/>
      <c r="J130" s="59"/>
      <c r="K130" s="324"/>
      <c r="L130" s="325"/>
      <c r="M130" s="59"/>
      <c r="N130" s="59"/>
      <c r="O130" s="59"/>
      <c r="P130" s="59"/>
    </row>
    <row r="131" customFormat="false" ht="12.75" hidden="false" customHeight="true" outlineLevel="0" collapsed="false">
      <c r="A131" s="329" t="s">
        <v>281</v>
      </c>
      <c r="B131" s="153" t="s">
        <v>282</v>
      </c>
      <c r="C131" s="153"/>
      <c r="D131" s="324"/>
      <c r="E131" s="325" t="n">
        <f aca="false">+'Price - East '!E159</f>
        <v>339524</v>
      </c>
      <c r="G131" s="331"/>
      <c r="H131" s="153"/>
      <c r="I131" s="59"/>
      <c r="J131" s="59"/>
      <c r="K131" s="324"/>
      <c r="L131" s="325"/>
      <c r="M131" s="59"/>
      <c r="N131" s="59"/>
      <c r="O131" s="59"/>
      <c r="P131" s="59"/>
    </row>
    <row r="132" customFormat="false" ht="12.75" hidden="false" customHeight="true" outlineLevel="0" collapsed="false">
      <c r="A132" s="329" t="n">
        <v>36220</v>
      </c>
      <c r="B132" s="153" t="s">
        <v>283</v>
      </c>
      <c r="C132" s="153"/>
      <c r="D132" s="324"/>
      <c r="E132" s="325" t="n">
        <f aca="false">-3326324-1169978-413567-86415-1170</f>
        <v>-4997454</v>
      </c>
      <c r="G132" s="326"/>
      <c r="H132" s="59"/>
      <c r="I132" s="59"/>
      <c r="J132" s="59"/>
      <c r="K132" s="328"/>
      <c r="L132" s="330"/>
      <c r="M132" s="59"/>
      <c r="N132" s="59"/>
      <c r="O132" s="59"/>
      <c r="P132" s="59"/>
    </row>
    <row r="133" customFormat="false" ht="12.75" hidden="false" customHeight="true" outlineLevel="0" collapsed="false">
      <c r="A133" s="329" t="n">
        <v>36251</v>
      </c>
      <c r="B133" s="153" t="s">
        <v>284</v>
      </c>
      <c r="C133" s="153"/>
      <c r="D133" s="324"/>
      <c r="E133" s="325" t="n">
        <f aca="false">870951-883845+260293-194307</f>
        <v>53092</v>
      </c>
      <c r="G133" s="326"/>
      <c r="H133" s="153"/>
      <c r="I133" s="59"/>
      <c r="J133" s="59"/>
      <c r="K133" s="324"/>
      <c r="L133" s="330"/>
      <c r="M133" s="59"/>
      <c r="N133" s="59"/>
      <c r="O133" s="59"/>
      <c r="P133" s="59"/>
    </row>
    <row r="134" customFormat="false" ht="12.75" hidden="false" customHeight="true" outlineLevel="0" collapsed="false">
      <c r="A134" s="329" t="n">
        <v>36281</v>
      </c>
      <c r="B134" s="153" t="s">
        <v>285</v>
      </c>
      <c r="C134" s="332"/>
      <c r="D134" s="324"/>
      <c r="E134" s="325" t="n">
        <f aca="false">2831996-739915+926325-251376</f>
        <v>2767030</v>
      </c>
      <c r="G134" s="326"/>
      <c r="H134" s="153"/>
      <c r="I134" s="59"/>
      <c r="J134" s="59"/>
      <c r="K134" s="324"/>
      <c r="L134" s="325"/>
      <c r="M134" s="98"/>
      <c r="N134" s="60"/>
      <c r="O134" s="59"/>
      <c r="P134" s="59"/>
    </row>
    <row r="135" customFormat="false" ht="12.75" hidden="false" customHeight="true" outlineLevel="0" collapsed="false">
      <c r="A135" s="329" t="n">
        <v>36312</v>
      </c>
      <c r="B135" s="153" t="s">
        <v>286</v>
      </c>
      <c r="C135" s="332"/>
      <c r="D135" s="324"/>
      <c r="E135" s="325" t="n">
        <f aca="false">896336-874312+243466-311252</f>
        <v>-45762</v>
      </c>
      <c r="G135" s="326"/>
      <c r="H135" s="153"/>
      <c r="I135" s="59"/>
      <c r="J135" s="59"/>
      <c r="K135" s="324"/>
      <c r="L135" s="325"/>
      <c r="M135" s="98"/>
      <c r="N135" s="59"/>
      <c r="O135" s="59"/>
      <c r="P135" s="59"/>
    </row>
    <row r="136" customFormat="false" ht="12.75" hidden="false" customHeight="true" outlineLevel="0" collapsed="false">
      <c r="A136" s="329" t="n">
        <v>36342</v>
      </c>
      <c r="B136" s="153" t="s">
        <v>287</v>
      </c>
      <c r="C136" s="332"/>
      <c r="D136" s="324"/>
      <c r="E136" s="325" t="n">
        <f aca="false">2441084-828302+585290-203283</f>
        <v>1994789</v>
      </c>
      <c r="G136" s="326"/>
      <c r="H136" s="153"/>
      <c r="I136" s="59"/>
      <c r="J136" s="59"/>
      <c r="K136" s="324"/>
      <c r="L136" s="325"/>
      <c r="M136" s="59"/>
      <c r="N136" s="98"/>
      <c r="O136" s="59"/>
      <c r="P136" s="59"/>
    </row>
    <row r="137" customFormat="false" ht="12.75" hidden="false" customHeight="true" outlineLevel="0" collapsed="false">
      <c r="A137" s="329" t="n">
        <v>36373</v>
      </c>
      <c r="B137" s="153" t="s">
        <v>288</v>
      </c>
      <c r="C137" s="153"/>
      <c r="D137" s="324"/>
      <c r="E137" s="325" t="n">
        <f aca="false">28017-926023-154064-150742</f>
        <v>-1202812</v>
      </c>
      <c r="G137" s="326"/>
      <c r="H137" s="153"/>
      <c r="I137" s="59"/>
      <c r="J137" s="59"/>
      <c r="K137" s="324"/>
      <c r="L137" s="325"/>
      <c r="M137" s="59"/>
      <c r="N137" s="98"/>
      <c r="O137" s="59"/>
      <c r="P137" s="59"/>
    </row>
    <row r="138" customFormat="false" ht="12.75" hidden="false" customHeight="true" outlineLevel="0" collapsed="false">
      <c r="A138" s="329" t="n">
        <v>36404</v>
      </c>
      <c r="B138" s="153" t="s">
        <v>289</v>
      </c>
      <c r="C138" s="153"/>
      <c r="D138" s="324"/>
      <c r="E138" s="325" t="n">
        <f aca="false">-549488-793600-120519-254376</f>
        <v>-1717983</v>
      </c>
      <c r="G138" s="326"/>
      <c r="H138" s="153"/>
      <c r="I138" s="59"/>
      <c r="J138" s="59"/>
      <c r="K138" s="324"/>
      <c r="L138" s="325"/>
      <c r="M138" s="59"/>
      <c r="N138" s="59"/>
      <c r="O138" s="59"/>
      <c r="P138" s="59"/>
    </row>
    <row r="139" customFormat="false" ht="12.75" hidden="false" customHeight="true" outlineLevel="0" collapsed="false">
      <c r="A139" s="329" t="n">
        <v>36434</v>
      </c>
      <c r="B139" s="153" t="s">
        <v>290</v>
      </c>
      <c r="C139" s="153"/>
      <c r="D139" s="324"/>
      <c r="E139" s="325" t="n">
        <f aca="false">1526778-800248+474629-224536</f>
        <v>976623</v>
      </c>
      <c r="G139" s="326"/>
      <c r="H139" s="153"/>
      <c r="I139" s="59"/>
      <c r="J139" s="59"/>
      <c r="K139" s="324"/>
      <c r="L139" s="325"/>
      <c r="M139" s="59"/>
      <c r="N139" s="59"/>
      <c r="O139" s="59"/>
      <c r="P139" s="59"/>
    </row>
    <row r="140" customFormat="false" ht="12.75" hidden="false" customHeight="true" outlineLevel="0" collapsed="false">
      <c r="A140" s="329" t="n">
        <v>36465</v>
      </c>
      <c r="B140" s="153" t="s">
        <v>291</v>
      </c>
      <c r="C140" s="333"/>
      <c r="D140" s="324"/>
      <c r="E140" s="325" t="n">
        <v>-236248</v>
      </c>
      <c r="G140" s="326"/>
      <c r="H140" s="153"/>
      <c r="I140" s="59"/>
      <c r="J140" s="59"/>
      <c r="K140" s="324"/>
      <c r="L140" s="325"/>
      <c r="M140" s="59"/>
      <c r="N140" s="59"/>
      <c r="O140" s="59"/>
      <c r="P140" s="59"/>
    </row>
    <row r="141" customFormat="false" ht="12.75" hidden="false" customHeight="true" outlineLevel="0" collapsed="false">
      <c r="A141" s="329" t="n">
        <v>36495</v>
      </c>
      <c r="B141" s="153" t="s">
        <v>292</v>
      </c>
      <c r="C141" s="0"/>
      <c r="D141" s="324"/>
      <c r="E141" s="325" t="n">
        <v>-519336</v>
      </c>
      <c r="G141" s="326"/>
      <c r="H141" s="153"/>
      <c r="I141" s="59"/>
      <c r="J141" s="59"/>
      <c r="K141" s="324"/>
      <c r="L141" s="325"/>
      <c r="M141" s="59"/>
      <c r="N141" s="59"/>
      <c r="O141" s="59"/>
      <c r="P141" s="59"/>
    </row>
    <row r="142" customFormat="false" ht="12.75" hidden="false" customHeight="true" outlineLevel="0" collapsed="false">
      <c r="A142" s="329" t="n">
        <v>36526</v>
      </c>
      <c r="B142" s="153" t="s">
        <v>293</v>
      </c>
      <c r="C142" s="0"/>
      <c r="D142" s="324"/>
      <c r="E142" s="325" t="n">
        <f aca="false">2448932-1116934+732479-277012</f>
        <v>1787465</v>
      </c>
      <c r="G142" s="326"/>
      <c r="H142" s="153"/>
      <c r="I142" s="59"/>
      <c r="J142" s="59"/>
      <c r="K142" s="324"/>
      <c r="L142" s="325"/>
      <c r="M142" s="59"/>
      <c r="N142" s="59"/>
      <c r="O142" s="59"/>
      <c r="P142" s="59"/>
    </row>
    <row r="143" customFormat="false" ht="12.75" hidden="false" customHeight="true" outlineLevel="0" collapsed="false">
      <c r="A143" s="329" t="n">
        <v>36557</v>
      </c>
      <c r="B143" s="153" t="s">
        <v>294</v>
      </c>
      <c r="C143" s="0"/>
      <c r="D143" s="324"/>
      <c r="E143" s="325" t="n">
        <v>-5098547</v>
      </c>
      <c r="G143" s="326"/>
      <c r="H143" s="153"/>
      <c r="I143" s="59"/>
      <c r="J143" s="59"/>
      <c r="K143" s="324"/>
      <c r="L143" s="325"/>
      <c r="M143" s="59"/>
      <c r="N143" s="59"/>
      <c r="O143" s="59"/>
      <c r="P143" s="59"/>
    </row>
    <row r="144" customFormat="false" ht="12.75" hidden="false" customHeight="true" outlineLevel="0" collapsed="false">
      <c r="A144" s="329" t="n">
        <v>36586</v>
      </c>
      <c r="B144" s="153" t="s">
        <v>295</v>
      </c>
      <c r="C144" s="0"/>
      <c r="D144" s="324"/>
      <c r="E144" s="325" t="n">
        <v>-1836616</v>
      </c>
      <c r="G144" s="326"/>
      <c r="H144" s="153"/>
      <c r="I144" s="59"/>
      <c r="J144" s="59"/>
      <c r="K144" s="324"/>
      <c r="L144" s="325"/>
      <c r="M144" s="59"/>
      <c r="N144" s="59"/>
      <c r="O144" s="59"/>
      <c r="P144" s="59"/>
    </row>
    <row r="145" customFormat="false" ht="12.75" hidden="false" customHeight="true" outlineLevel="0" collapsed="false">
      <c r="A145" s="329" t="s">
        <v>296</v>
      </c>
      <c r="B145" s="0"/>
      <c r="C145" s="0"/>
      <c r="D145" s="324"/>
      <c r="E145" s="325" t="n">
        <v>7993</v>
      </c>
      <c r="G145" s="326"/>
      <c r="H145" s="153"/>
      <c r="I145" s="59"/>
      <c r="J145" s="59"/>
      <c r="K145" s="324"/>
      <c r="L145" s="325"/>
      <c r="M145" s="59"/>
      <c r="N145" s="59"/>
      <c r="O145" s="59"/>
      <c r="P145" s="59"/>
    </row>
    <row r="146" customFormat="false" ht="12.75" hidden="false" customHeight="true" outlineLevel="0" collapsed="false">
      <c r="A146" s="329" t="n">
        <v>36617</v>
      </c>
      <c r="B146" s="153" t="s">
        <v>297</v>
      </c>
      <c r="C146" s="0"/>
      <c r="D146" s="324"/>
      <c r="E146" s="325" t="n">
        <v>606571</v>
      </c>
      <c r="G146" s="326"/>
      <c r="H146" s="153"/>
      <c r="I146" s="59"/>
      <c r="J146" s="59"/>
      <c r="K146" s="324"/>
      <c r="L146" s="325"/>
      <c r="M146" s="59"/>
      <c r="N146" s="59"/>
      <c r="O146" s="59"/>
      <c r="P146" s="59"/>
    </row>
    <row r="147" customFormat="false" ht="12.75" hidden="false" customHeight="true" outlineLevel="0" collapsed="false">
      <c r="A147" s="329" t="n">
        <v>36647</v>
      </c>
      <c r="B147" s="153" t="s">
        <v>298</v>
      </c>
      <c r="C147" s="0"/>
      <c r="D147" s="324"/>
      <c r="E147" s="325" t="n">
        <v>-2115594</v>
      </c>
      <c r="G147" s="326"/>
      <c r="H147" s="153"/>
      <c r="I147" s="59"/>
      <c r="J147" s="59"/>
      <c r="K147" s="324"/>
      <c r="L147" s="325"/>
      <c r="M147" s="59"/>
      <c r="N147" s="59"/>
      <c r="O147" s="59"/>
      <c r="P147" s="59"/>
    </row>
    <row r="148" customFormat="false" ht="12.75" hidden="false" customHeight="true" outlineLevel="0" collapsed="false">
      <c r="A148" s="329" t="s">
        <v>299</v>
      </c>
      <c r="B148" s="0"/>
      <c r="C148" s="0"/>
      <c r="D148" s="324"/>
      <c r="E148" s="325" t="n">
        <v>-242536</v>
      </c>
      <c r="G148" s="326"/>
      <c r="H148" s="153"/>
      <c r="I148" s="59"/>
      <c r="J148" s="59"/>
      <c r="K148" s="324"/>
      <c r="L148" s="325"/>
      <c r="M148" s="59"/>
      <c r="N148" s="59"/>
      <c r="O148" s="59"/>
      <c r="P148" s="59"/>
    </row>
    <row r="149" customFormat="false" ht="12.75" hidden="false" customHeight="true" outlineLevel="0" collapsed="false">
      <c r="A149" s="329" t="n">
        <v>36678</v>
      </c>
      <c r="B149" s="153" t="s">
        <v>300</v>
      </c>
      <c r="C149" s="0"/>
      <c r="D149" s="324"/>
      <c r="E149" s="325" t="n">
        <v>-3155226</v>
      </c>
      <c r="G149" s="326"/>
      <c r="H149" s="153"/>
      <c r="I149" s="59"/>
      <c r="J149" s="59"/>
      <c r="K149" s="324"/>
      <c r="L149" s="325"/>
      <c r="M149" s="59"/>
      <c r="N149" s="59"/>
      <c r="O149" s="59"/>
      <c r="P149" s="59"/>
    </row>
    <row r="150" customFormat="false" ht="12.75" hidden="false" customHeight="true" outlineLevel="0" collapsed="false">
      <c r="A150" s="329" t="n">
        <v>36708</v>
      </c>
      <c r="B150" s="153" t="s">
        <v>301</v>
      </c>
      <c r="C150" s="0"/>
      <c r="D150" s="324"/>
      <c r="E150" s="325" t="n">
        <v>-979663</v>
      </c>
      <c r="G150" s="326"/>
      <c r="H150" s="153"/>
      <c r="I150" s="59"/>
      <c r="J150" s="59"/>
      <c r="K150" s="324"/>
      <c r="L150" s="325"/>
      <c r="M150" s="59"/>
      <c r="N150" s="59"/>
      <c r="O150" s="59"/>
      <c r="P150" s="59"/>
    </row>
    <row r="151" customFormat="false" ht="12.75" hidden="false" customHeight="true" outlineLevel="0" collapsed="false">
      <c r="A151" s="329" t="n">
        <v>36739</v>
      </c>
      <c r="B151" s="153" t="s">
        <v>302</v>
      </c>
      <c r="C151" s="153"/>
      <c r="D151" s="324"/>
      <c r="E151" s="325" t="n">
        <v>-3151686</v>
      </c>
      <c r="G151" s="326"/>
      <c r="H151" s="153"/>
      <c r="I151" s="59"/>
      <c r="J151" s="59"/>
      <c r="K151" s="324"/>
      <c r="L151" s="325"/>
      <c r="M151" s="59"/>
      <c r="N151" s="59"/>
      <c r="O151" s="59"/>
      <c r="P151" s="59"/>
    </row>
    <row r="152" customFormat="false" ht="12.75" hidden="false" customHeight="true" outlineLevel="0" collapsed="false">
      <c r="A152" s="329" t="n">
        <v>36770</v>
      </c>
      <c r="B152" s="153" t="s">
        <v>303</v>
      </c>
      <c r="C152" s="153"/>
      <c r="D152" s="324"/>
      <c r="E152" s="325" t="n">
        <v>-1573086</v>
      </c>
      <c r="G152" s="326"/>
      <c r="H152" s="153"/>
      <c r="I152" s="59"/>
      <c r="J152" s="59"/>
      <c r="K152" s="324"/>
      <c r="L152" s="325"/>
      <c r="M152" s="59"/>
      <c r="N152" s="59"/>
      <c r="O152" s="59"/>
      <c r="P152" s="59"/>
    </row>
    <row r="153" customFormat="false" ht="12.75" hidden="false" customHeight="true" outlineLevel="0" collapsed="false">
      <c r="A153" s="329" t="n">
        <v>36800</v>
      </c>
      <c r="B153" s="153" t="s">
        <v>304</v>
      </c>
      <c r="C153" s="153"/>
      <c r="D153" s="324"/>
      <c r="E153" s="325" t="n">
        <v>-202851</v>
      </c>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34"/>
      <c r="M157" s="59"/>
      <c r="N157" s="59"/>
      <c r="O157" s="59"/>
      <c r="P157" s="59"/>
    </row>
    <row r="158" customFormat="false" ht="12.75" hidden="false" customHeight="true" outlineLevel="0" collapsed="false">
      <c r="A158" s="329"/>
      <c r="B158" s="153"/>
      <c r="C158" s="153"/>
      <c r="D158" s="324"/>
      <c r="E158" s="334"/>
      <c r="G158" s="335"/>
      <c r="H158" s="153"/>
      <c r="I158" s="59"/>
      <c r="J158" s="59"/>
      <c r="K158" s="336" t="s">
        <v>305</v>
      </c>
      <c r="L158" s="337" t="n">
        <f aca="false">SUM(L126:L157)</f>
        <v>12746</v>
      </c>
      <c r="M158" s="59"/>
      <c r="N158" s="59"/>
      <c r="O158" s="59"/>
      <c r="P158" s="59"/>
    </row>
    <row r="159" customFormat="false" ht="12.75" hidden="false" customHeight="true" outlineLevel="0" collapsed="false">
      <c r="A159" s="335"/>
      <c r="B159" s="153"/>
      <c r="C159" s="153"/>
      <c r="D159" s="336" t="s">
        <v>306</v>
      </c>
      <c r="E159" s="338" t="n">
        <f aca="false">SUM(E126:E158)</f>
        <v>-68447810</v>
      </c>
      <c r="G159" s="339"/>
      <c r="H159" s="340"/>
      <c r="I159" s="340"/>
      <c r="J159" s="340"/>
      <c r="K159" s="340"/>
      <c r="L159" s="341"/>
      <c r="M159" s="59"/>
      <c r="N159" s="59"/>
      <c r="O159" s="59"/>
      <c r="P159" s="59"/>
    </row>
    <row r="160" customFormat="false" ht="12.75" hidden="false" customHeight="true" outlineLevel="0" collapsed="false">
      <c r="A160" s="339"/>
      <c r="B160" s="340"/>
      <c r="C160" s="340"/>
      <c r="D160" s="340"/>
      <c r="E160" s="341"/>
      <c r="AJ160" s="59"/>
      <c r="AK160" s="59"/>
      <c r="AL160" s="59"/>
      <c r="AM160" s="59"/>
    </row>
    <row r="161" customFormat="false" ht="12.75" hidden="false" customHeight="true" outlineLevel="0" collapsed="false">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t="n">
        <v>34759</v>
      </c>
      <c r="B165" s="153" t="s">
        <v>308</v>
      </c>
      <c r="C165" s="153"/>
      <c r="D165" s="324" t="s">
        <v>309</v>
      </c>
      <c r="E165" s="343" t="n">
        <f aca="false">187000*1.3645</f>
        <v>255161.5</v>
      </c>
      <c r="F165" s="193" t="s">
        <v>310</v>
      </c>
      <c r="G165" s="344"/>
      <c r="AJ165" s="59"/>
      <c r="AK165" s="59"/>
      <c r="AL165" s="59"/>
      <c r="AM165" s="59"/>
    </row>
    <row r="166" customFormat="false" ht="12.75" hidden="false" customHeight="true" outlineLevel="0" collapsed="false">
      <c r="A166" s="342" t="n">
        <v>34614</v>
      </c>
      <c r="B166" s="153" t="s">
        <v>311</v>
      </c>
      <c r="C166" s="153"/>
      <c r="D166" s="324" t="s">
        <v>312</v>
      </c>
      <c r="E166" s="345" t="n">
        <f aca="false">1836917*1.3645</f>
        <v>2506473.2465</v>
      </c>
      <c r="G166" s="344"/>
      <c r="AJ166" s="59"/>
      <c r="AK166" s="59"/>
      <c r="AL166" s="59"/>
      <c r="AM166" s="59"/>
    </row>
    <row r="167" customFormat="false" ht="12.75" hidden="false" customHeight="true" outlineLevel="0" collapsed="false">
      <c r="A167" s="342" t="s">
        <v>313</v>
      </c>
      <c r="B167" s="153" t="s">
        <v>314</v>
      </c>
      <c r="C167" s="153"/>
      <c r="D167" s="324" t="s">
        <v>315</v>
      </c>
      <c r="E167" s="345" t="n">
        <f aca="false">-419408*1.3645</f>
        <v>-572282.216</v>
      </c>
      <c r="G167" s="344"/>
      <c r="AJ167" s="59"/>
      <c r="AK167" s="59"/>
      <c r="AL167" s="59"/>
      <c r="AM167" s="59"/>
    </row>
    <row r="168" customFormat="false" ht="12.75" hidden="false" customHeight="true" outlineLevel="0" collapsed="false">
      <c r="A168" s="342" t="n">
        <v>34835</v>
      </c>
      <c r="B168" s="153" t="s">
        <v>316</v>
      </c>
      <c r="C168" s="153"/>
      <c r="D168" s="324" t="s">
        <v>317</v>
      </c>
      <c r="E168" s="330" t="n">
        <f aca="false">704656*1.3645</f>
        <v>961503.112</v>
      </c>
      <c r="AJ168" s="59"/>
      <c r="AK168" s="59"/>
      <c r="AL168" s="59"/>
      <c r="AM168" s="59"/>
    </row>
    <row r="169" customFormat="false" ht="12.75" hidden="false" customHeight="true" outlineLevel="0" collapsed="false">
      <c r="A169" s="342" t="n">
        <v>35185</v>
      </c>
      <c r="B169" s="153" t="s">
        <v>318</v>
      </c>
      <c r="C169" s="153"/>
      <c r="D169" s="324"/>
      <c r="E169" s="345" t="n">
        <v>2272857</v>
      </c>
      <c r="AJ169" s="59"/>
      <c r="AK169" s="59"/>
      <c r="AL169" s="59"/>
      <c r="AM169" s="59"/>
    </row>
    <row r="170" customFormat="false" ht="12.75" hidden="false" customHeight="true" outlineLevel="0" collapsed="false">
      <c r="A170" s="342" t="s">
        <v>275</v>
      </c>
      <c r="B170" s="327" t="s">
        <v>319</v>
      </c>
      <c r="C170" s="332"/>
      <c r="D170" s="346"/>
      <c r="E170" s="347" t="n">
        <f aca="false">-2126.35*1</f>
        <v>-2126.35</v>
      </c>
      <c r="AJ170" s="59"/>
      <c r="AK170" s="59"/>
      <c r="AL170" s="59"/>
      <c r="AM170" s="59"/>
    </row>
    <row r="171" customFormat="false" ht="12.75" hidden="false" customHeight="true" outlineLevel="0" collapsed="false">
      <c r="A171" s="342" t="s">
        <v>320</v>
      </c>
      <c r="B171" s="327" t="s">
        <v>321</v>
      </c>
      <c r="C171" s="332"/>
      <c r="D171" s="346"/>
      <c r="E171" s="347" t="n">
        <f aca="false">-2126.35*12</f>
        <v>-25516.2</v>
      </c>
      <c r="AJ171" s="59"/>
      <c r="AK171" s="59"/>
      <c r="AL171" s="59"/>
      <c r="AM171" s="59"/>
    </row>
    <row r="172" customFormat="false" ht="12.75" hidden="false" customHeight="true" outlineLevel="0" collapsed="false">
      <c r="A172" s="218" t="s">
        <v>322</v>
      </c>
      <c r="B172" s="193" t="s">
        <v>323</v>
      </c>
      <c r="E172" s="347" t="n">
        <v>-353764</v>
      </c>
      <c r="AJ172" s="59"/>
      <c r="AK172" s="59"/>
      <c r="AL172" s="59"/>
      <c r="AM172" s="59"/>
    </row>
    <row r="173" customFormat="false" ht="12.75" hidden="false" customHeight="true" outlineLevel="0" collapsed="false">
      <c r="A173" s="342" t="n">
        <v>36308</v>
      </c>
      <c r="B173" s="327" t="s">
        <v>324</v>
      </c>
      <c r="C173" s="153"/>
      <c r="D173" s="324"/>
      <c r="E173" s="330" t="n">
        <v>7259178</v>
      </c>
      <c r="AJ173" s="59"/>
      <c r="AK173" s="59"/>
      <c r="AL173" s="59"/>
      <c r="AM173" s="59"/>
    </row>
    <row r="174" customFormat="false" ht="12.75" hidden="false" customHeight="true" outlineLevel="0" collapsed="false">
      <c r="A174" s="342" t="n">
        <v>36363</v>
      </c>
      <c r="B174" s="153" t="s">
        <v>325</v>
      </c>
      <c r="C174" s="153"/>
      <c r="D174" s="324"/>
      <c r="E174" s="343" t="n">
        <f aca="false">-1000000+457763</f>
        <v>-542237</v>
      </c>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t="n">
        <v>36368</v>
      </c>
      <c r="B176" s="153" t="s">
        <v>326</v>
      </c>
      <c r="C176" s="153"/>
      <c r="D176" s="324"/>
      <c r="E176" s="325" t="n">
        <v>-7259178</v>
      </c>
      <c r="AJ176" s="59"/>
      <c r="AK176" s="59"/>
      <c r="AL176" s="59"/>
      <c r="AM176" s="59"/>
    </row>
    <row r="177" customFormat="false" ht="12.75" hidden="false" customHeight="true" outlineLevel="0" collapsed="false">
      <c r="A177" s="342" t="n">
        <v>36615</v>
      </c>
      <c r="B177" s="153" t="s">
        <v>327</v>
      </c>
      <c r="C177" s="153"/>
      <c r="D177" s="324"/>
      <c r="E177" s="325" t="n">
        <f aca="false">(-3535661-255636)*1.4545+345890</f>
        <v>-5168551.4865</v>
      </c>
      <c r="AJ177" s="59"/>
      <c r="AK177" s="59"/>
      <c r="AL177" s="59"/>
      <c r="AM177" s="59"/>
    </row>
    <row r="178" customFormat="false" ht="12.75" hidden="false" customHeight="true" outlineLevel="0" collapsed="false">
      <c r="A178" s="342" t="n">
        <v>36671</v>
      </c>
      <c r="B178" s="153" t="s">
        <v>328</v>
      </c>
      <c r="C178" s="153"/>
      <c r="D178" s="324"/>
      <c r="E178" s="343" t="n">
        <v>-140000</v>
      </c>
      <c r="F178" s="193" t="s">
        <v>329</v>
      </c>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-808482.394</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F188" s="350"/>
      <c r="G188" s="350"/>
      <c r="H188" s="350"/>
      <c r="I188" s="350"/>
      <c r="J188" s="350"/>
      <c r="K188" s="350"/>
      <c r="L188" s="350"/>
      <c r="M188" s="351"/>
      <c r="O188" s="59"/>
      <c r="P188" s="59"/>
      <c r="Q188" s="59"/>
      <c r="R188" s="59"/>
    </row>
    <row r="189" customFormat="false" ht="12.75" hidden="false" customHeight="true" outlineLevel="0" collapsed="false">
      <c r="A189" s="352" t="s">
        <v>331</v>
      </c>
      <c r="B189" s="350"/>
      <c r="C189" s="350"/>
      <c r="D189" s="350"/>
      <c r="E189" s="350"/>
      <c r="F189" s="353"/>
      <c r="G189" s="353"/>
      <c r="H189" s="353"/>
      <c r="I189" s="353"/>
      <c r="J189" s="353"/>
      <c r="K189" s="353"/>
      <c r="L189" s="353"/>
      <c r="M189" s="354" t="s">
        <v>270</v>
      </c>
      <c r="O189" s="59"/>
      <c r="P189" s="59"/>
      <c r="Q189" s="59"/>
      <c r="R189" s="59"/>
    </row>
    <row r="190" customFormat="false" ht="12.75" hidden="false" customHeight="true" outlineLevel="0" collapsed="false">
      <c r="A190" s="355" t="s">
        <v>332</v>
      </c>
      <c r="B190" s="356" t="s">
        <v>268</v>
      </c>
      <c r="C190" s="357" t="s">
        <v>333</v>
      </c>
      <c r="D190" s="358" t="s">
        <v>334</v>
      </c>
      <c r="E190" s="356" t="s">
        <v>269</v>
      </c>
      <c r="F190" s="153"/>
      <c r="G190" s="153"/>
      <c r="H190" s="153"/>
      <c r="I190" s="153"/>
      <c r="J190" s="153"/>
      <c r="K190" s="153"/>
      <c r="L190" s="153"/>
      <c r="M190" s="359"/>
      <c r="O190" s="59"/>
      <c r="P190" s="59"/>
      <c r="Q190" s="59"/>
      <c r="R190" s="59"/>
    </row>
    <row r="191" customFormat="false" ht="12.75" hidden="false" customHeight="true" outlineLevel="0" collapsed="false">
      <c r="A191" s="360"/>
      <c r="B191" s="361"/>
      <c r="C191" s="362"/>
      <c r="D191" s="324"/>
      <c r="E191" s="153"/>
      <c r="F191" s="153"/>
      <c r="G191" s="153"/>
      <c r="H191" s="153"/>
      <c r="I191" s="153"/>
      <c r="J191" s="153"/>
      <c r="K191" s="153"/>
      <c r="L191" s="1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336" t="s">
        <v>335</v>
      </c>
      <c r="M213" s="366" t="n">
        <f aca="false">SUM(M190:M212)</f>
        <v>0</v>
      </c>
    </row>
    <row r="214" customFormat="false" ht="12.75" hidden="false" customHeight="true" outlineLevel="0" collapsed="false">
      <c r="A214" s="363"/>
      <c r="B214" s="361"/>
      <c r="C214" s="367"/>
      <c r="D214" s="324"/>
      <c r="E214" s="153"/>
      <c r="F214" s="340"/>
      <c r="G214" s="340"/>
      <c r="H214" s="340"/>
      <c r="I214" s="340"/>
      <c r="J214" s="340"/>
      <c r="K214" s="340"/>
      <c r="L214" s="340"/>
      <c r="M214" s="341"/>
    </row>
    <row r="215" customFormat="false" ht="12.75" hidden="false" customHeight="true" outlineLevel="0" collapsed="false">
      <c r="A215" s="368"/>
      <c r="B215" s="369"/>
      <c r="C215" s="340"/>
      <c r="D215" s="340"/>
      <c r="E215" s="340"/>
    </row>
    <row r="216" customFormat="false" ht="12.75" hidden="false" customHeight="true" outlineLevel="0" collapsed="false"/>
    <row r="217" customFormat="false" ht="12.75" hidden="false" customHeight="true" outlineLevel="0" collapsed="false">
      <c r="G217" s="370"/>
      <c r="H217" s="370"/>
      <c r="I217" s="370"/>
      <c r="J217" s="370"/>
      <c r="K217" s="370"/>
      <c r="L217" s="370"/>
      <c r="M217" s="370"/>
      <c r="N217" s="370"/>
    </row>
    <row r="218" customFormat="false" ht="12.75" hidden="false" customHeight="true" outlineLevel="0" collapsed="false">
      <c r="A218" s="371" t="s">
        <v>336</v>
      </c>
      <c r="B218" s="372"/>
      <c r="C218" s="372"/>
      <c r="D218" s="372"/>
      <c r="E218" s="372"/>
      <c r="F218" s="373"/>
      <c r="G218" s="370"/>
      <c r="H218" s="370"/>
      <c r="I218" s="370"/>
      <c r="J218" s="370"/>
      <c r="K218" s="370"/>
      <c r="L218" s="370"/>
      <c r="M218" s="370"/>
      <c r="N218" s="370"/>
    </row>
    <row r="219" customFormat="false" ht="12.75" hidden="false" customHeight="true" outlineLevel="0" collapsed="false">
      <c r="A219" s="374" t="s">
        <v>332</v>
      </c>
      <c r="B219" s="375" t="s">
        <v>268</v>
      </c>
      <c r="C219" s="376" t="s">
        <v>333</v>
      </c>
      <c r="D219" s="377" t="s">
        <v>334</v>
      </c>
      <c r="E219" s="377"/>
      <c r="F219" s="378" t="s">
        <v>270</v>
      </c>
      <c r="G219" s="379"/>
      <c r="H219" s="379"/>
      <c r="I219" s="379"/>
      <c r="J219" s="379"/>
      <c r="K219" s="379"/>
      <c r="L219" s="379"/>
      <c r="M219" s="379"/>
      <c r="N219" s="379"/>
    </row>
    <row r="220" customFormat="false" ht="12.75" hidden="false" customHeight="true" outlineLevel="0" collapsed="false">
      <c r="A220" s="380"/>
      <c r="B220" s="361"/>
      <c r="C220" s="381"/>
      <c r="D220" s="153"/>
      <c r="E220" s="382"/>
      <c r="F220" s="383"/>
      <c r="G220" s="379"/>
      <c r="H220" s="379"/>
      <c r="I220" s="379"/>
      <c r="J220" s="379"/>
      <c r="K220" s="379"/>
      <c r="L220" s="379"/>
      <c r="M220" s="379"/>
      <c r="N220" s="379"/>
    </row>
    <row r="221" customFormat="false" ht="12.75" hidden="false" customHeight="true" outlineLevel="0" collapsed="false">
      <c r="A221" s="380"/>
      <c r="B221" s="361"/>
      <c r="C221" s="362"/>
      <c r="D221" s="324"/>
      <c r="E221" s="153"/>
      <c r="F221" s="359"/>
      <c r="G221" s="370"/>
      <c r="H221" s="370"/>
      <c r="I221" s="370"/>
      <c r="J221" s="370"/>
      <c r="K221" s="370"/>
      <c r="L221" s="370"/>
      <c r="M221" s="370"/>
      <c r="N221" s="370"/>
    </row>
    <row r="222" customFormat="false" ht="12.75" hidden="false" customHeight="true" outlineLevel="0" collapsed="false">
      <c r="A222" s="380"/>
      <c r="B222" s="361"/>
      <c r="C222" s="362"/>
      <c r="D222" s="324"/>
      <c r="E222" s="153"/>
      <c r="F222" s="359"/>
      <c r="G222" s="370"/>
      <c r="H222" s="370"/>
      <c r="I222" s="370"/>
      <c r="J222" s="370"/>
      <c r="K222" s="370"/>
      <c r="L222" s="370"/>
      <c r="M222" s="370"/>
      <c r="N222" s="370"/>
    </row>
    <row r="223" customFormat="false" ht="12.75" hidden="false" customHeight="true" outlineLevel="0" collapsed="false">
      <c r="A223" s="380"/>
      <c r="B223" s="361"/>
      <c r="C223" s="362"/>
      <c r="D223" s="324"/>
      <c r="E223" s="153"/>
      <c r="F223" s="359"/>
      <c r="G223" s="370"/>
      <c r="H223" s="370"/>
      <c r="I223" s="370"/>
      <c r="J223" s="370"/>
      <c r="K223" s="370"/>
      <c r="L223" s="370"/>
      <c r="M223" s="370"/>
      <c r="N223" s="370"/>
    </row>
    <row r="224" customFormat="false" ht="12.75" hidden="false" customHeight="true" outlineLevel="0" collapsed="false">
      <c r="A224" s="380"/>
      <c r="B224" s="361"/>
      <c r="C224" s="362"/>
      <c r="D224" s="324"/>
      <c r="E224" s="153"/>
      <c r="F224" s="359"/>
      <c r="G224" s="370"/>
      <c r="H224" s="370"/>
      <c r="I224" s="370"/>
      <c r="J224" s="370"/>
      <c r="K224" s="370"/>
      <c r="L224" s="370"/>
      <c r="M224" s="370"/>
      <c r="N224" s="370"/>
    </row>
    <row r="225" customFormat="false" ht="12.75" hidden="false" customHeight="true" outlineLevel="0" collapsed="false">
      <c r="A225" s="380"/>
      <c r="B225" s="361"/>
      <c r="C225" s="362"/>
      <c r="D225" s="324"/>
      <c r="E225" s="153"/>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6" t="n">
        <f aca="false">SUM(F219:F236)</f>
        <v>0</v>
      </c>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7"/>
      <c r="G238" s="370"/>
      <c r="H238" s="370"/>
      <c r="I238" s="370"/>
      <c r="J238" s="370"/>
      <c r="K238" s="370"/>
      <c r="L238" s="370"/>
      <c r="M238" s="370"/>
      <c r="N238" s="370"/>
    </row>
    <row r="239" customFormat="false" ht="12.75" hidden="false" customHeight="true" outlineLevel="0" collapsed="false">
      <c r="A239" s="388"/>
      <c r="B239" s="389"/>
      <c r="C239" s="390"/>
      <c r="D239" s="390"/>
      <c r="E239" s="391"/>
    </row>
    <row r="240" customFormat="false" ht="13.5" hidden="false" customHeight="false" outlineLevel="0" collapsed="false"/>
  </sheetData>
  <mergeCells count="9">
    <mergeCell ref="S6:T6"/>
    <mergeCell ref="K28:L28"/>
    <mergeCell ref="A41:B41"/>
    <mergeCell ref="AI42:AJ42"/>
    <mergeCell ref="A121:B121"/>
    <mergeCell ref="B125:D125"/>
    <mergeCell ref="G125:K125"/>
    <mergeCell ref="B164:D164"/>
    <mergeCell ref="D219:E219"/>
  </mergeCells>
  <printOptions headings="false" gridLines="false" gridLinesSet="true" horizontalCentered="true" verticalCentered="false"/>
  <pageMargins left="0.25" right="0.25" top="0.25" bottom="0.25"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Roman,Italic"&amp;F/&amp;A&amp;R&amp;"Times New Roman,Italic"&amp;D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xls.Module1.Macro2">
                <anchor moveWithCells="true" sizeWithCells="false">
                  <from>
                    <xdr:col>7</xdr:col>
                    <xdr:colOff>50040</xdr:colOff>
                    <xdr:row>0</xdr:row>
                    <xdr:rowOff>105120</xdr:rowOff>
                  </from>
                  <to>
                    <xdr:col>9</xdr:col>
                    <xdr:colOff>816480</xdr:colOff>
                    <xdr:row>7</xdr:row>
                    <xdr:rowOff>37800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6" topLeftCell="C41" activePane="bottomRight" state="frozen"/>
      <selection pane="topLeft" activeCell="A1" activeCellId="0" sqref="A1"/>
      <selection pane="topRight" activeCell="C1" activeCellId="0" sqref="C1"/>
      <selection pane="bottomLeft" activeCell="A41" activeCellId="0" sqref="A41"/>
      <selection pane="bottomRight" activeCell="S72" activeCellId="0" sqref="S72"/>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14.85"/>
    <col collapsed="false" customWidth="true" hidden="false" outlineLevel="0" max="3" min="3" style="193" width="12.42"/>
    <col collapsed="false" customWidth="true" hidden="false" outlineLevel="0" max="4" min="4" style="193" width="14.85"/>
    <col collapsed="false" customWidth="true" hidden="false" outlineLevel="0" max="5" min="5" style="193" width="15.99"/>
    <col collapsed="false" customWidth="true" hidden="false" outlineLevel="0" max="11" min="6"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false" hidden="false" outlineLevel="0" max="38" min="38" style="193" width="9.14"/>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392" t="n">
        <f aca="false">M38</f>
        <v>0</v>
      </c>
      <c r="D1" s="195"/>
      <c r="E1" s="195"/>
      <c r="F1" s="196"/>
      <c r="G1" s="393"/>
      <c r="H1" s="59"/>
      <c r="I1" s="59"/>
      <c r="J1" s="59"/>
      <c r="K1" s="59"/>
      <c r="L1" s="59"/>
      <c r="M1" s="59"/>
      <c r="N1" s="59"/>
      <c r="O1" s="59"/>
    </row>
    <row r="2" customFormat="false" ht="12.75" hidden="false" customHeight="true" outlineLevel="0" collapsed="false">
      <c r="A2" s="198" t="s">
        <v>127</v>
      </c>
      <c r="D2" s="59"/>
      <c r="E2" s="195"/>
      <c r="F2" s="196"/>
      <c r="G2" s="59"/>
      <c r="H2" s="59"/>
      <c r="I2" s="59"/>
      <c r="J2" s="59"/>
      <c r="K2" s="59"/>
      <c r="L2" s="59"/>
      <c r="M2" s="59"/>
      <c r="N2" s="59"/>
      <c r="O2" s="59"/>
    </row>
    <row r="3" customFormat="false" ht="12.75" hidden="false" customHeight="true" outlineLevel="0" collapsed="false">
      <c r="A3" s="201" t="s">
        <v>128</v>
      </c>
      <c r="B3" s="202" t="s">
        <v>338</v>
      </c>
      <c r="C3" s="202" t="s">
        <v>42</v>
      </c>
      <c r="D3" s="59"/>
      <c r="E3" s="195"/>
      <c r="F3" s="196"/>
      <c r="G3" s="59"/>
      <c r="H3" s="59"/>
      <c r="I3" s="59"/>
      <c r="J3" s="59"/>
      <c r="K3" s="59"/>
      <c r="L3" s="59"/>
      <c r="M3" s="59"/>
      <c r="N3" s="59"/>
      <c r="O3" s="59"/>
    </row>
    <row r="4" customFormat="false" ht="12.75" hidden="false" customHeight="true" outlineLevel="0" collapsed="false">
      <c r="A4" s="201" t="s">
        <v>1</v>
      </c>
      <c r="B4" s="207" t="n">
        <f aca="false">Front!B4</f>
        <v>36831</v>
      </c>
      <c r="D4" s="59"/>
      <c r="E4" s="195"/>
      <c r="F4" s="59"/>
      <c r="G4" s="59"/>
      <c r="H4" s="59"/>
      <c r="I4" s="59"/>
      <c r="J4" s="59"/>
      <c r="K4" s="59"/>
      <c r="L4" s="59"/>
      <c r="M4" s="59"/>
      <c r="N4" s="59"/>
      <c r="O4" s="59"/>
    </row>
    <row r="5" customFormat="false" ht="12.75" hidden="false" customHeight="true" outlineLevel="0" collapsed="false">
      <c r="A5" s="201" t="s">
        <v>2</v>
      </c>
      <c r="B5" s="208" t="n">
        <f aca="false">Front!B5</f>
        <v>36847</v>
      </c>
      <c r="C5" s="394"/>
      <c r="V5" s="153"/>
      <c r="W5" s="153"/>
      <c r="X5" s="153"/>
      <c r="Y5" s="153"/>
      <c r="Z5" s="153"/>
      <c r="AA5" s="153"/>
    </row>
    <row r="6" customFormat="false" ht="12.75" hidden="false" customHeight="true" outlineLevel="0" collapsed="false">
      <c r="A6" s="201" t="s">
        <v>130</v>
      </c>
      <c r="B6" s="210" t="n">
        <f aca="false">Front!$C$12</f>
        <v>949833</v>
      </c>
      <c r="C6" s="394"/>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D7" s="218" t="s">
        <v>142</v>
      </c>
      <c r="E7" s="218" t="s">
        <v>143</v>
      </c>
      <c r="K7" s="214"/>
      <c r="L7" s="215" t="s">
        <v>339</v>
      </c>
      <c r="M7" s="215" t="s">
        <v>137</v>
      </c>
      <c r="N7" s="215" t="s">
        <v>137</v>
      </c>
      <c r="O7" s="215" t="s">
        <v>137</v>
      </c>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D8" s="395"/>
      <c r="E8" s="1"/>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D9" s="395" t="n">
        <v>29341105</v>
      </c>
      <c r="E9" s="395" t="n">
        <v>29407693</v>
      </c>
      <c r="F9" s="59" t="s">
        <v>148</v>
      </c>
      <c r="G9" s="193" t="s">
        <v>149</v>
      </c>
      <c r="I9" s="193" t="n">
        <v>16839621</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D10" s="396"/>
      <c r="E10" s="396"/>
      <c r="F10" s="59" t="s">
        <v>148</v>
      </c>
      <c r="G10" s="193" t="s">
        <v>149</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154</v>
      </c>
      <c r="D11" s="396" t="n">
        <v>0</v>
      </c>
      <c r="E11" s="396" t="n">
        <v>0</v>
      </c>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396" t="n">
        <v>0</v>
      </c>
      <c r="E12" s="396"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396" t="n">
        <v>0</v>
      </c>
      <c r="E13" s="396" t="n">
        <v>0</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D14" s="2"/>
      <c r="E14" s="397" t="n">
        <f aca="false">+E159</f>
        <v>-5218331</v>
      </c>
      <c r="F14" s="193" t="s">
        <v>165</v>
      </c>
      <c r="K14" s="219" t="s">
        <v>166</v>
      </c>
      <c r="L14" s="232" t="n">
        <f aca="false">SUM(L9:L13)/1000000</f>
        <v>0</v>
      </c>
      <c r="M14" s="232" t="n">
        <f aca="false">SUM(M9:M13)/1000000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D15" s="2"/>
      <c r="E15" s="397" t="n">
        <f aca="false">+L159</f>
        <v>0</v>
      </c>
      <c r="F15" s="193" t="s">
        <v>165</v>
      </c>
      <c r="K15" s="219" t="s">
        <v>169</v>
      </c>
      <c r="L15" s="94" t="n">
        <v>1</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D16" s="2"/>
      <c r="E16" s="397" t="n">
        <f aca="false">+E185</f>
        <v>0</v>
      </c>
      <c r="F16" s="193" t="s">
        <v>165</v>
      </c>
      <c r="I16" s="238"/>
      <c r="J16" s="238"/>
      <c r="K16" s="219" t="s">
        <v>174</v>
      </c>
      <c r="L16" s="241" t="n">
        <v>0</v>
      </c>
      <c r="M16" s="241" t="n">
        <v>0</v>
      </c>
      <c r="N16" s="241" t="n">
        <v>0</v>
      </c>
      <c r="O16" s="241" t="n">
        <v>0</v>
      </c>
      <c r="P16" s="241" t="n">
        <v>0</v>
      </c>
      <c r="Q16" s="241" t="n">
        <v>0</v>
      </c>
      <c r="R16" s="398"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E19" s="248" t="n">
        <f aca="false">SUM(E9:E16)</f>
        <v>24189362</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153"/>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SUM(E19)-SUM(B58+B59+B64+B65)</f>
        <v>24073764</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6" hidden="false" customHeight="true" outlineLevel="0" collapsed="false">
      <c r="A22" s="193" t="s">
        <v>181</v>
      </c>
      <c r="E22" s="262" t="n">
        <v>0</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6" hidden="false" customHeight="true" outlineLevel="0" collapsed="false">
      <c r="A23" s="193" t="s">
        <v>182</v>
      </c>
      <c r="E23" s="225" t="n">
        <f aca="false">B63</f>
        <v>0</v>
      </c>
      <c r="F23" s="193" t="s">
        <v>165</v>
      </c>
      <c r="G23" s="153"/>
      <c r="I23" s="153"/>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62"/>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-M214</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12227277</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0</v>
      </c>
      <c r="F30" s="193" t="s">
        <v>193</v>
      </c>
      <c r="I30" s="153"/>
      <c r="J30" s="153"/>
      <c r="K30" s="219" t="s">
        <v>194</v>
      </c>
      <c r="L30" s="153"/>
      <c r="M30" s="226" t="n">
        <v>23424055</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v>
      </c>
      <c r="N31" s="60" t="n">
        <f aca="false">M31</f>
        <v>0</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226" t="n">
        <v>12227277</v>
      </c>
      <c r="N32" s="60"/>
      <c r="O32" s="153" t="s">
        <v>191</v>
      </c>
      <c r="P32" s="153"/>
      <c r="Q32" s="153"/>
      <c r="R32" s="220"/>
      <c r="AI32" s="59"/>
    </row>
    <row r="33" customFormat="false" ht="12.75" hidden="false" customHeight="true" outlineLevel="0" collapsed="false">
      <c r="A33" s="193" t="s">
        <v>199</v>
      </c>
      <c r="E33" s="231" t="n">
        <f aca="false">+B67</f>
        <v>0</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765307</v>
      </c>
      <c r="N34" s="60" t="n">
        <f aca="false">B63</f>
        <v>0</v>
      </c>
      <c r="O34" s="153" t="s">
        <v>202</v>
      </c>
      <c r="P34" s="153"/>
      <c r="Q34" s="153"/>
      <c r="R34" s="220"/>
    </row>
    <row r="35" customFormat="false" ht="12.75" hidden="false" customHeight="true" outlineLevel="0" collapsed="false">
      <c r="A35" s="193" t="s">
        <v>203</v>
      </c>
      <c r="E35" s="231" t="n">
        <f aca="false">F238</f>
        <v>0</v>
      </c>
      <c r="F35" s="193" t="s">
        <v>193</v>
      </c>
      <c r="K35" s="219"/>
      <c r="L35" s="153"/>
      <c r="M35" s="60"/>
      <c r="N35" s="60"/>
      <c r="O35" s="153"/>
      <c r="P35" s="153"/>
      <c r="Q35" s="153"/>
      <c r="R35" s="220"/>
    </row>
    <row r="36" customFormat="false" ht="12.75" hidden="false" customHeight="true" outlineLevel="0" collapsed="false">
      <c r="A36" s="223" t="s">
        <v>204</v>
      </c>
      <c r="E36" s="248" t="n">
        <f aca="false">SUM(E29:E35)</f>
        <v>12227277</v>
      </c>
      <c r="K36" s="219" t="s">
        <v>205</v>
      </c>
      <c r="L36" s="62"/>
      <c r="M36" s="60" t="n">
        <f aca="false">SUM(M30:M34)</f>
        <v>36416639</v>
      </c>
      <c r="N36" s="60" t="n">
        <f aca="false">SUM(N30:N34)</f>
        <v>0</v>
      </c>
      <c r="O36" s="153"/>
      <c r="P36" s="153"/>
      <c r="Q36" s="153"/>
      <c r="R36" s="220"/>
    </row>
    <row r="37" customFormat="false" ht="12.75" hidden="false" customHeight="true" outlineLevel="0" collapsed="false">
      <c r="C37" s="199"/>
      <c r="D37" s="199"/>
      <c r="K37" s="265"/>
      <c r="L37" s="62"/>
      <c r="M37" s="62"/>
      <c r="N37" s="62"/>
      <c r="O37" s="153"/>
      <c r="P37" s="153"/>
      <c r="Q37" s="153"/>
      <c r="R37" s="220"/>
    </row>
    <row r="38" customFormat="false" ht="12.75" hidden="false" customHeight="true" outlineLevel="0" collapsed="false">
      <c r="A38" s="221" t="s">
        <v>206</v>
      </c>
      <c r="C38" s="226"/>
      <c r="D38" s="199"/>
      <c r="E38" s="248" t="n">
        <f aca="false">+E36+E26+E19</f>
        <v>36416639</v>
      </c>
      <c r="K38" s="219"/>
      <c r="L38" s="266" t="s">
        <v>207</v>
      </c>
      <c r="M38" s="124" t="n">
        <f aca="false">M36-E38</f>
        <v>0</v>
      </c>
      <c r="N38" s="124" t="n">
        <f aca="false">+N36-E26</f>
        <v>0</v>
      </c>
      <c r="O38" s="153"/>
      <c r="P38" s="153"/>
      <c r="Q38" s="153"/>
      <c r="R38" s="220"/>
      <c r="AN38" s="59"/>
      <c r="AO38" s="59"/>
      <c r="AP38" s="59"/>
      <c r="AQ38" s="59"/>
      <c r="AR38" s="59"/>
      <c r="AS38" s="59"/>
    </row>
    <row r="39" customFormat="false" ht="12.75" hidden="false" customHeight="true" outlineLevel="0" collapsed="false">
      <c r="C39" s="199"/>
      <c r="D39" s="199"/>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A40" s="399"/>
      <c r="B40" s="400"/>
      <c r="C40" s="401"/>
      <c r="D40" s="401"/>
      <c r="E40" s="400"/>
      <c r="F40" s="400"/>
      <c r="G40" s="400"/>
      <c r="H40" s="400"/>
      <c r="I40" s="400"/>
      <c r="J40" s="400"/>
      <c r="K40" s="402"/>
      <c r="L40" s="402"/>
      <c r="M40" s="402"/>
      <c r="N40" s="402"/>
      <c r="O40" s="402"/>
      <c r="P40" s="402"/>
      <c r="Q40" s="400"/>
      <c r="R40" s="400"/>
      <c r="S40" s="400"/>
      <c r="T40" s="400"/>
      <c r="U40" s="400"/>
      <c r="V40" s="400"/>
      <c r="W40" s="400"/>
      <c r="X40" s="400"/>
      <c r="Y40" s="400"/>
      <c r="Z40" s="400"/>
      <c r="AA40" s="400"/>
      <c r="AB40" s="400"/>
      <c r="AC40" s="400"/>
      <c r="AD40" s="400"/>
      <c r="AE40" s="400"/>
      <c r="AF40" s="400"/>
      <c r="AG40" s="400"/>
      <c r="AJ40" s="59"/>
      <c r="AK40" s="59"/>
      <c r="AN40" s="59"/>
      <c r="AO40" s="59"/>
      <c r="AP40" s="59"/>
      <c r="AQ40" s="59"/>
      <c r="AR40" s="59"/>
      <c r="AS40" s="59"/>
    </row>
    <row r="41" customFormat="false" ht="12.75" hidden="false" customHeight="true" outlineLevel="0" collapsed="false">
      <c r="A41" s="271" t="s">
        <v>208</v>
      </c>
      <c r="B41" s="271"/>
      <c r="C41" s="199"/>
      <c r="D41" s="199"/>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SUM(C47:C76)-C61-C68-C69</f>
        <v>207489</v>
      </c>
      <c r="D43" s="275" t="n">
        <f aca="false">SUM(D47:D76)-D61-D68-D69</f>
        <v>-28989</v>
      </c>
      <c r="E43" s="275" t="n">
        <f aca="false">SUM(E47:E76)-E61-E68-E69</f>
        <v>-26828</v>
      </c>
      <c r="F43" s="275" t="n">
        <f aca="false">SUM(F47:F76)-F61-F68-F69</f>
        <v>0</v>
      </c>
      <c r="G43" s="275" t="n">
        <f aca="false">SUM(G47:G76)-G61-G68-G69</f>
        <v>0</v>
      </c>
      <c r="H43" s="275" t="n">
        <f aca="false">SUM(H47:H76)-H61-H68-H69</f>
        <v>-50668</v>
      </c>
      <c r="I43" s="275" t="n">
        <f aca="false">SUM(I47:I76)-I61-I68-I69</f>
        <v>66074</v>
      </c>
      <c r="J43" s="275" t="n">
        <f aca="false">SUM(J47:J76)-J61-J68-J69</f>
        <v>138143</v>
      </c>
      <c r="K43" s="275" t="n">
        <f aca="false">SUM(K47:K76)-K61-K68-K69</f>
        <v>170757</v>
      </c>
      <c r="L43" s="275" t="n">
        <f aca="false">SUM(L47:L76)-L61-L68-L69</f>
        <v>-106398</v>
      </c>
      <c r="M43" s="275" t="n">
        <f aca="false">SUM(M47:M76)-M61-M68-M69</f>
        <v>0</v>
      </c>
      <c r="N43" s="275" t="n">
        <f aca="false">SUM(N47:N76)-N61-N68-N69</f>
        <v>0</v>
      </c>
      <c r="O43" s="275" t="n">
        <f aca="false">SUM(O47:O76)-O61-O68-O69</f>
        <v>72016</v>
      </c>
      <c r="P43" s="275" t="n">
        <f aca="false">SUM(P47:P76)-P61-P68-P69</f>
        <v>24415</v>
      </c>
      <c r="Q43" s="275" t="n">
        <f aca="false">SUM(Q47:Q76)-R61-Q68-Q69</f>
        <v>177778</v>
      </c>
      <c r="R43" s="275" t="n">
        <f aca="false">SUM(R47:R76)-S61-R68-R69</f>
        <v>54930</v>
      </c>
      <c r="S43" s="275" t="n">
        <f aca="false">SUM(S47:S76)-S61-S68-S69</f>
        <v>66588</v>
      </c>
      <c r="T43" s="275" t="n">
        <f aca="false">SUM(T47:T76)-T61-T68-T69</f>
        <v>0</v>
      </c>
      <c r="U43" s="275" t="n">
        <f aca="false">SUM(U47:U76)-U61-U68-U69</f>
        <v>0</v>
      </c>
      <c r="V43" s="275" t="n">
        <f aca="false">SUM(V47:V76)-V61-V68-V69</f>
        <v>0</v>
      </c>
      <c r="W43" s="275" t="n">
        <f aca="false">SUM(W47:W76)-W61-W68-W69</f>
        <v>0</v>
      </c>
      <c r="X43" s="275" t="n">
        <f aca="false">SUM(X47:X76)-X61-X68-X69</f>
        <v>0</v>
      </c>
      <c r="Y43" s="275" t="n">
        <f aca="false">SUM(Y47:Y76)-Y61-Y68-Y69</f>
        <v>0</v>
      </c>
      <c r="Z43" s="275" t="n">
        <f aca="false">SUM(Z47:Z76)-Z61-Z68-Z69</f>
        <v>0</v>
      </c>
      <c r="AA43" s="275" t="n">
        <f aca="false">SUM(AA47:AA76)-AA61-AA68-AA69</f>
        <v>0</v>
      </c>
      <c r="AB43" s="275" t="n">
        <f aca="false">SUM(AB47:AB76)-AB61-AB68-AB69</f>
        <v>0</v>
      </c>
      <c r="AC43" s="275" t="n">
        <f aca="false">SUM(AC47:AC76)-AC61-AC68-AC69</f>
        <v>0</v>
      </c>
      <c r="AD43" s="275" t="n">
        <f aca="false">SUM(AD47:AD76)-AD61-AD68-AD69</f>
        <v>0</v>
      </c>
      <c r="AE43" s="275" t="n">
        <f aca="false">SUM(AE47:AE76)-AE61-AE68-AE69</f>
        <v>0</v>
      </c>
      <c r="AF43" s="275" t="n">
        <f aca="false">SUM(AF47:AF76)-AF61-AF68-AF69</f>
        <v>0</v>
      </c>
      <c r="AG43" s="275" t="n">
        <f aca="false">SUM(AG47:AG76)-AG61-AG68-AG69</f>
        <v>0</v>
      </c>
      <c r="AH43" s="59"/>
      <c r="AI43" s="276" t="s">
        <v>211</v>
      </c>
      <c r="AJ43" s="277" t="s">
        <v>212</v>
      </c>
      <c r="AK43" s="59"/>
      <c r="AL43" s="77"/>
      <c r="AN43" s="59"/>
      <c r="AO43" s="59"/>
      <c r="AP43" s="59"/>
      <c r="AQ43" s="59"/>
      <c r="AR43" s="59"/>
      <c r="AS43" s="59"/>
    </row>
    <row r="44" customFormat="false" ht="12.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310"/>
      <c r="D46" s="310"/>
      <c r="E46" s="310"/>
      <c r="F46" s="310"/>
      <c r="G46" s="310"/>
      <c r="H46" s="310"/>
      <c r="I46" s="310"/>
      <c r="J46" s="310"/>
      <c r="K46" s="310"/>
      <c r="L46" s="310"/>
      <c r="M46" s="310"/>
      <c r="N46" s="310"/>
      <c r="O46" s="310"/>
      <c r="P46" s="292"/>
      <c r="Q46" s="310"/>
      <c r="R46" s="292"/>
      <c r="S46" s="310"/>
      <c r="T46" s="292"/>
      <c r="U46" s="310"/>
      <c r="V46" s="310"/>
      <c r="W46" s="292"/>
      <c r="X46" s="310"/>
      <c r="Y46" s="310"/>
      <c r="Z46" s="310"/>
      <c r="AA46" s="310"/>
      <c r="AB46" s="292"/>
      <c r="AC46" s="310"/>
      <c r="AD46" s="310"/>
      <c r="AE46" s="292"/>
      <c r="AF46" s="310"/>
      <c r="AG46" s="311"/>
      <c r="AH46" s="59"/>
      <c r="AI46" s="287" t="n">
        <v>3</v>
      </c>
      <c r="AJ46" s="288" t="s">
        <v>217</v>
      </c>
      <c r="AK46" s="59"/>
      <c r="AL46" s="153"/>
      <c r="AN46" s="59"/>
      <c r="AO46" s="59"/>
      <c r="AP46" s="59"/>
      <c r="AQ46" s="59"/>
      <c r="AR46" s="59"/>
      <c r="AS46" s="59"/>
    </row>
    <row r="47" customFormat="false" ht="12.75" hidden="true" customHeight="true" outlineLevel="0" collapsed="false">
      <c r="A47" s="231" t="s">
        <v>218</v>
      </c>
      <c r="B47" s="294" t="n">
        <f aca="false">SUM(C47:AG47)</f>
        <v>0</v>
      </c>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59"/>
      <c r="AI47" s="287" t="n">
        <v>4</v>
      </c>
      <c r="AJ47" s="288" t="s">
        <v>219</v>
      </c>
      <c r="AK47" s="59"/>
      <c r="AL47" s="61"/>
      <c r="AM47" s="60"/>
      <c r="AN47" s="98"/>
      <c r="AO47" s="59"/>
      <c r="AP47" s="59"/>
      <c r="AQ47" s="59"/>
      <c r="AR47" s="59"/>
      <c r="AS47" s="59"/>
    </row>
    <row r="48" customFormat="false" ht="12.75" hidden="true" customHeight="true" outlineLevel="0" collapsed="false">
      <c r="A48" s="295" t="s">
        <v>220</v>
      </c>
      <c r="B48" s="294" t="n">
        <f aca="false">SUM(C48:AG48)</f>
        <v>0</v>
      </c>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59"/>
      <c r="AI48" s="287" t="n">
        <v>5</v>
      </c>
      <c r="AJ48" s="288" t="s">
        <v>221</v>
      </c>
      <c r="AK48" s="59"/>
      <c r="AL48" s="61"/>
      <c r="AM48" s="226"/>
      <c r="AN48" s="296"/>
      <c r="AO48" s="61"/>
      <c r="AP48" s="61"/>
      <c r="AQ48" s="61"/>
      <c r="AR48" s="61"/>
      <c r="AS48" s="61"/>
      <c r="AT48" s="199"/>
      <c r="AU48" s="199"/>
    </row>
    <row r="49" customFormat="false" ht="12.75" hidden="false" customHeight="true" outlineLevel="0" collapsed="false">
      <c r="A49" s="295" t="s">
        <v>222</v>
      </c>
      <c r="B49" s="294" t="n">
        <f aca="false">SUM(C49:AG49)</f>
        <v>-5367</v>
      </c>
      <c r="C49" s="226"/>
      <c r="D49" s="226" t="n">
        <v>-5367</v>
      </c>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59"/>
      <c r="AI49" s="287" t="n">
        <v>6</v>
      </c>
      <c r="AJ49" s="288" t="s">
        <v>223</v>
      </c>
      <c r="AK49" s="59"/>
      <c r="AL49" s="61"/>
      <c r="AM49" s="226"/>
      <c r="AN49" s="296"/>
      <c r="AO49" s="61"/>
      <c r="AP49" s="61"/>
      <c r="AQ49" s="61"/>
      <c r="AR49" s="61"/>
      <c r="AS49" s="61"/>
      <c r="AT49" s="199"/>
      <c r="AU49" s="199"/>
    </row>
    <row r="50" customFormat="false" ht="12.75" hidden="true" customHeight="true" outlineLevel="0" collapsed="false">
      <c r="A50" s="295" t="s">
        <v>224</v>
      </c>
      <c r="B50" s="294" t="n">
        <f aca="false">SUM(C50:AG50)</f>
        <v>0</v>
      </c>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59"/>
      <c r="AI50" s="297" t="n">
        <v>7</v>
      </c>
      <c r="AJ50" s="298" t="s">
        <v>214</v>
      </c>
      <c r="AK50" s="59"/>
      <c r="AL50" s="60"/>
      <c r="AM50" s="60"/>
      <c r="AN50" s="296"/>
      <c r="AO50" s="61"/>
      <c r="AP50" s="61"/>
      <c r="AQ50" s="61"/>
      <c r="AR50" s="61"/>
      <c r="AS50" s="61"/>
      <c r="AT50" s="199"/>
      <c r="AU50" s="199"/>
    </row>
    <row r="51" customFormat="false" ht="12.75" hidden="false" customHeight="true" outlineLevel="0" collapsed="false">
      <c r="A51" s="295" t="s">
        <v>225</v>
      </c>
      <c r="B51" s="294" t="n">
        <f aca="false">SUM(C51:AG51)</f>
        <v>681116</v>
      </c>
      <c r="C51" s="226" t="n">
        <v>216329</v>
      </c>
      <c r="D51" s="226" t="n">
        <v>-17381</v>
      </c>
      <c r="E51" s="226" t="n">
        <v>-23952</v>
      </c>
      <c r="F51" s="226"/>
      <c r="G51" s="226"/>
      <c r="H51" s="226" t="n">
        <v>-47737</v>
      </c>
      <c r="I51" s="226" t="n">
        <v>54193</v>
      </c>
      <c r="J51" s="226" t="n">
        <v>153525</v>
      </c>
      <c r="K51" s="226" t="n">
        <v>165177</v>
      </c>
      <c r="L51" s="226" t="n">
        <v>-117420</v>
      </c>
      <c r="M51" s="226"/>
      <c r="N51" s="226"/>
      <c r="O51" s="226" t="n">
        <v>57557</v>
      </c>
      <c r="P51" s="226" t="n">
        <v>-6699</v>
      </c>
      <c r="Q51" s="226" t="n">
        <v>167046</v>
      </c>
      <c r="R51" s="226" t="n">
        <v>7917</v>
      </c>
      <c r="S51" s="226" t="n">
        <v>72561</v>
      </c>
      <c r="T51" s="226"/>
      <c r="U51" s="226"/>
      <c r="V51" s="226"/>
      <c r="W51" s="226"/>
      <c r="X51" s="226"/>
      <c r="Y51" s="226"/>
      <c r="Z51" s="226"/>
      <c r="AA51" s="226"/>
      <c r="AB51" s="226"/>
      <c r="AC51" s="226"/>
      <c r="AD51" s="226"/>
      <c r="AE51" s="226"/>
      <c r="AF51" s="226"/>
      <c r="AG51" s="226"/>
      <c r="AH51" s="59"/>
      <c r="AI51" s="199"/>
      <c r="AJ51" s="59"/>
      <c r="AK51" s="59"/>
      <c r="AL51" s="60"/>
      <c r="AM51" s="60"/>
      <c r="AN51" s="98"/>
      <c r="AO51" s="59"/>
      <c r="AP51" s="59"/>
      <c r="AQ51" s="59"/>
      <c r="AR51" s="59"/>
      <c r="AS51" s="59"/>
    </row>
    <row r="52" customFormat="false" ht="12.75" hidden="true" customHeight="true" outlineLevel="0" collapsed="false">
      <c r="A52" s="295" t="s">
        <v>226</v>
      </c>
      <c r="B52" s="294" t="n">
        <f aca="false">SUM(C52:AG52)</f>
        <v>0</v>
      </c>
      <c r="C52" s="226"/>
      <c r="D52" s="226"/>
      <c r="E52" s="226"/>
      <c r="F52" s="226"/>
      <c r="G52" s="226"/>
      <c r="H52" s="226"/>
      <c r="I52" s="226"/>
      <c r="J52" s="226"/>
      <c r="K52" s="226"/>
      <c r="L52" s="226"/>
      <c r="M52" s="226"/>
      <c r="N52" s="226"/>
      <c r="P52" s="226"/>
      <c r="Q52" s="226"/>
      <c r="R52" s="226"/>
      <c r="S52" s="226"/>
      <c r="T52" s="226"/>
      <c r="U52" s="226"/>
      <c r="V52" s="226"/>
      <c r="W52" s="226"/>
      <c r="X52" s="226"/>
      <c r="Y52" s="226"/>
      <c r="Z52" s="226"/>
      <c r="AA52" s="226"/>
      <c r="AB52" s="226"/>
      <c r="AC52" s="226"/>
      <c r="AD52" s="226"/>
      <c r="AE52" s="226"/>
      <c r="AF52" s="226"/>
      <c r="AG52" s="226"/>
      <c r="AH52" s="59"/>
      <c r="AI52" s="199"/>
      <c r="AJ52" s="59"/>
      <c r="AK52" s="59"/>
      <c r="AL52" s="60"/>
      <c r="AM52" s="60"/>
      <c r="AN52" s="98"/>
      <c r="AO52" s="59"/>
      <c r="AP52" s="59"/>
      <c r="AQ52" s="59"/>
      <c r="AR52" s="59"/>
      <c r="AS52" s="59"/>
    </row>
    <row r="53" customFormat="false" ht="12.75" hidden="false" customHeight="true" outlineLevel="0" collapsed="false">
      <c r="A53" s="231" t="s">
        <v>227</v>
      </c>
      <c r="B53" s="294" t="n">
        <f aca="false">SUM(C53:AG53)</f>
        <v>-26234</v>
      </c>
      <c r="C53" s="226" t="n">
        <v>-35186</v>
      </c>
      <c r="D53" s="226" t="n">
        <v>2003</v>
      </c>
      <c r="E53" s="226" t="n">
        <v>370</v>
      </c>
      <c r="F53" s="226"/>
      <c r="G53" s="226"/>
      <c r="H53" s="226"/>
      <c r="I53" s="226" t="n">
        <v>5399</v>
      </c>
      <c r="J53" s="226" t="n">
        <v>15098</v>
      </c>
      <c r="K53" s="226" t="n">
        <v>-11904</v>
      </c>
      <c r="L53" s="226"/>
      <c r="M53" s="226"/>
      <c r="N53" s="226"/>
      <c r="P53" s="226" t="n">
        <v>-2577</v>
      </c>
      <c r="Q53" s="226" t="n">
        <v>516</v>
      </c>
      <c r="R53" s="226" t="n">
        <v>1037</v>
      </c>
      <c r="S53" s="226" t="n">
        <v>-990</v>
      </c>
      <c r="T53" s="226"/>
      <c r="U53" s="226"/>
      <c r="V53" s="226"/>
      <c r="W53" s="226"/>
      <c r="X53" s="226"/>
      <c r="Y53" s="226"/>
      <c r="Z53" s="226"/>
      <c r="AA53" s="226"/>
      <c r="AB53" s="226"/>
      <c r="AC53" s="226"/>
      <c r="AD53" s="226"/>
      <c r="AE53" s="226"/>
      <c r="AF53" s="226"/>
      <c r="AG53" s="226"/>
      <c r="AH53" s="59"/>
      <c r="AJ53" s="59"/>
      <c r="AK53" s="59"/>
      <c r="AL53" s="61"/>
      <c r="AM53" s="60"/>
      <c r="AN53" s="98"/>
      <c r="AO53" s="59"/>
      <c r="AP53" s="59"/>
      <c r="AQ53" s="59"/>
      <c r="AR53" s="59"/>
      <c r="AS53" s="59"/>
    </row>
    <row r="54" customFormat="false" ht="12.75" hidden="false" customHeight="true" outlineLevel="0" collapsed="false">
      <c r="A54" s="231" t="s">
        <v>228</v>
      </c>
      <c r="B54" s="294" t="n">
        <f aca="false">SUM(C54:AG54)</f>
        <v>0</v>
      </c>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59"/>
      <c r="AJ54" s="59"/>
      <c r="AK54" s="59"/>
      <c r="AL54" s="61"/>
      <c r="AM54" s="60"/>
      <c r="AN54" s="98"/>
      <c r="AO54" s="59"/>
      <c r="AP54" s="59"/>
      <c r="AQ54" s="59"/>
      <c r="AR54" s="59"/>
      <c r="AS54" s="59"/>
    </row>
    <row r="55" customFormat="false" ht="12.75" hidden="false" customHeight="true" outlineLevel="0" collapsed="false">
      <c r="A55" s="231" t="s">
        <v>229</v>
      </c>
      <c r="B55" s="294" t="n">
        <f aca="false">SUM(C55:AG55)</f>
        <v>0</v>
      </c>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226"/>
      <c r="AH55" s="59"/>
      <c r="AJ55" s="59"/>
      <c r="AK55" s="59"/>
      <c r="AL55" s="61"/>
      <c r="AM55" s="60"/>
      <c r="AN55" s="98"/>
      <c r="AO55" s="59"/>
      <c r="AP55" s="59"/>
      <c r="AQ55" s="59"/>
      <c r="AR55" s="59"/>
      <c r="AS55" s="59"/>
    </row>
    <row r="56" customFormat="false" ht="12.75" hidden="false" customHeight="true" outlineLevel="0" collapsed="false">
      <c r="A56" s="231" t="s">
        <v>230</v>
      </c>
      <c r="B56" s="294" t="n">
        <f aca="false">SUM(C56:AG56)</f>
        <v>0</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59"/>
      <c r="AI56" s="199"/>
      <c r="AJ56" s="59"/>
      <c r="AK56" s="59"/>
      <c r="AL56" s="61"/>
      <c r="AM56" s="60"/>
      <c r="AN56" s="98"/>
      <c r="AO56" s="59"/>
      <c r="AP56" s="59"/>
      <c r="AQ56" s="59"/>
      <c r="AR56" s="59"/>
      <c r="AS56" s="59"/>
    </row>
    <row r="57" customFormat="false" ht="12.75" hidden="false" customHeight="true" outlineLevel="0" collapsed="false">
      <c r="A57" s="295" t="s">
        <v>231</v>
      </c>
      <c r="B57" s="294" t="n">
        <f aca="false">SUM(C57:AG57)</f>
        <v>0</v>
      </c>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59"/>
      <c r="AI57" s="199"/>
      <c r="AJ57" s="59"/>
      <c r="AK57" s="59"/>
      <c r="AL57" s="61"/>
      <c r="AM57" s="60"/>
      <c r="AN57" s="98"/>
      <c r="AO57" s="59"/>
      <c r="AP57" s="59"/>
      <c r="AQ57" s="59"/>
      <c r="AR57" s="59"/>
      <c r="AS57" s="59"/>
    </row>
    <row r="58" customFormat="false" ht="12.75" hidden="false" customHeight="true" outlineLevel="0" collapsed="false">
      <c r="A58" s="295" t="s">
        <v>232</v>
      </c>
      <c r="B58" s="294" t="n">
        <f aca="false">SUM(C58:AG58)</f>
        <v>35911</v>
      </c>
      <c r="C58" s="226" t="n">
        <v>21494</v>
      </c>
      <c r="D58" s="226" t="n">
        <v>-12888</v>
      </c>
      <c r="E58" s="226" t="n">
        <v>-7898</v>
      </c>
      <c r="F58" s="226"/>
      <c r="G58" s="226"/>
      <c r="H58" s="226" t="n">
        <v>-16906</v>
      </c>
      <c r="I58" s="226" t="n">
        <v>1823</v>
      </c>
      <c r="J58" s="226" t="n">
        <v>-34987</v>
      </c>
      <c r="K58" s="226" t="n">
        <v>12672</v>
      </c>
      <c r="L58" s="226" t="n">
        <v>6332</v>
      </c>
      <c r="M58" s="226"/>
      <c r="N58" s="226"/>
      <c r="O58" s="226" t="n">
        <v>267</v>
      </c>
      <c r="P58" s="226" t="n">
        <v>29002</v>
      </c>
      <c r="Q58" s="226" t="n">
        <v>5443</v>
      </c>
      <c r="R58" s="226" t="n">
        <v>41257</v>
      </c>
      <c r="S58" s="226" t="n">
        <v>-9700</v>
      </c>
      <c r="T58" s="226"/>
      <c r="U58" s="226"/>
      <c r="V58" s="226"/>
      <c r="W58" s="226"/>
      <c r="X58" s="226"/>
      <c r="Y58" s="226"/>
      <c r="Z58" s="226"/>
      <c r="AA58" s="226"/>
      <c r="AB58" s="226"/>
      <c r="AC58" s="226"/>
      <c r="AD58" s="226"/>
      <c r="AE58" s="226"/>
      <c r="AF58" s="226"/>
      <c r="AG58" s="226"/>
      <c r="AH58" s="59"/>
      <c r="AI58" s="199"/>
      <c r="AJ58" s="59"/>
      <c r="AK58" s="59"/>
      <c r="AL58" s="61"/>
      <c r="AM58" s="60"/>
      <c r="AN58" s="296"/>
      <c r="AO58" s="61"/>
      <c r="AP58" s="61"/>
      <c r="AQ58" s="61"/>
      <c r="AR58" s="61"/>
      <c r="AS58" s="61"/>
      <c r="AT58" s="199"/>
      <c r="AU58" s="199"/>
      <c r="AV58" s="199"/>
      <c r="AW58" s="199"/>
      <c r="AX58" s="199"/>
    </row>
    <row r="59" customFormat="false" ht="12.75" hidden="false" customHeight="true" outlineLevel="0" collapsed="false">
      <c r="A59" s="295" t="s">
        <v>233</v>
      </c>
      <c r="B59" s="294" t="n">
        <f aca="false">SUM(C59:AG59)</f>
        <v>79687</v>
      </c>
      <c r="C59" s="226" t="n">
        <v>4662</v>
      </c>
      <c r="D59" s="226" t="n">
        <v>4627</v>
      </c>
      <c r="E59" s="226" t="n">
        <v>4640</v>
      </c>
      <c r="F59" s="226"/>
      <c r="G59" s="226"/>
      <c r="H59" s="226" t="n">
        <v>13939</v>
      </c>
      <c r="I59" s="226" t="n">
        <v>4649</v>
      </c>
      <c r="J59" s="226" t="n">
        <v>4657</v>
      </c>
      <c r="K59" s="226" t="n">
        <v>4711</v>
      </c>
      <c r="L59" s="226" t="n">
        <v>4739</v>
      </c>
      <c r="M59" s="226"/>
      <c r="N59" s="226"/>
      <c r="O59" s="226" t="n">
        <v>14163</v>
      </c>
      <c r="P59" s="226" t="n">
        <v>4732</v>
      </c>
      <c r="Q59" s="226" t="n">
        <v>4712</v>
      </c>
      <c r="R59" s="226" t="n">
        <v>4740</v>
      </c>
      <c r="S59" s="226" t="n">
        <v>4716</v>
      </c>
      <c r="T59" s="226"/>
      <c r="U59" s="226"/>
      <c r="V59" s="226"/>
      <c r="W59" s="226"/>
      <c r="X59" s="226"/>
      <c r="Y59" s="226"/>
      <c r="Z59" s="226"/>
      <c r="AA59" s="226"/>
      <c r="AB59" s="226"/>
      <c r="AC59" s="226"/>
      <c r="AD59" s="226"/>
      <c r="AE59" s="226"/>
      <c r="AF59" s="226"/>
      <c r="AG59" s="226"/>
      <c r="AH59" s="59"/>
      <c r="AI59" s="199"/>
      <c r="AJ59" s="59"/>
      <c r="AK59" s="59"/>
      <c r="AL59" s="61"/>
      <c r="AM59" s="60"/>
      <c r="AN59" s="296"/>
      <c r="AO59" s="61"/>
      <c r="AP59" s="61"/>
      <c r="AQ59" s="61"/>
      <c r="AR59" s="61"/>
      <c r="AS59" s="61"/>
      <c r="AT59" s="199"/>
      <c r="AU59" s="199"/>
      <c r="AV59" s="199"/>
      <c r="AW59" s="199"/>
      <c r="AX59" s="199"/>
    </row>
    <row r="60" customFormat="false" ht="12.75" hidden="false" customHeight="true" outlineLevel="0" collapsed="false">
      <c r="A60" s="295" t="s">
        <v>234</v>
      </c>
      <c r="B60" s="294" t="n">
        <f aca="false">SUM(C60:AG60)</f>
        <v>0</v>
      </c>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59"/>
      <c r="AI60" s="199"/>
      <c r="AJ60" s="59"/>
      <c r="AK60" s="59"/>
      <c r="AL60" s="61"/>
      <c r="AM60" s="60"/>
      <c r="AN60" s="296"/>
      <c r="AO60" s="61"/>
      <c r="AP60" s="61"/>
      <c r="AQ60" s="61"/>
      <c r="AR60" s="61"/>
      <c r="AS60" s="61"/>
      <c r="AT60" s="199"/>
      <c r="AU60" s="199"/>
      <c r="AV60" s="199"/>
      <c r="AW60" s="199"/>
      <c r="AX60" s="199"/>
    </row>
    <row r="61" customFormat="false" ht="12.75" hidden="false" customHeight="true" outlineLevel="0" collapsed="false">
      <c r="A61" s="295" t="s">
        <v>235</v>
      </c>
      <c r="B61" s="294" t="n">
        <f aca="false">SUM(C61:AG61)</f>
        <v>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59"/>
      <c r="AJ61" s="59"/>
      <c r="AK61" s="59"/>
      <c r="AL61" s="61"/>
      <c r="AM61" s="60"/>
      <c r="AN61" s="98"/>
      <c r="AO61" s="59"/>
      <c r="AP61" s="59"/>
      <c r="AQ61" s="59"/>
      <c r="AR61" s="59"/>
      <c r="AS61" s="59"/>
    </row>
    <row r="62" customFormat="false" ht="12.75" hidden="false" customHeight="true" outlineLevel="0" collapsed="false">
      <c r="A62" s="295" t="s">
        <v>236</v>
      </c>
      <c r="B62" s="294" t="n">
        <f aca="false">SUM(C62:AG62)</f>
        <v>194</v>
      </c>
      <c r="C62" s="226" t="n">
        <f aca="false">191-1</f>
        <v>190</v>
      </c>
      <c r="D62" s="226" t="n">
        <f aca="false">17</f>
        <v>17</v>
      </c>
      <c r="E62" s="226" t="n">
        <f aca="false">13-1</f>
        <v>12</v>
      </c>
      <c r="F62" s="226"/>
      <c r="G62" s="226"/>
      <c r="H62" s="226" t="n">
        <v>36</v>
      </c>
      <c r="I62" s="226" t="n">
        <f aca="false">9+1</f>
        <v>10</v>
      </c>
      <c r="J62" s="226" t="n">
        <f aca="false">-149-1</f>
        <v>-150</v>
      </c>
      <c r="K62" s="226" t="n">
        <f aca="false">100+1</f>
        <v>101</v>
      </c>
      <c r="L62" s="226" t="n">
        <v>-49</v>
      </c>
      <c r="M62" s="226"/>
      <c r="N62" s="226"/>
      <c r="O62" s="226" t="n">
        <f aca="false">29</f>
        <v>29</v>
      </c>
      <c r="P62" s="226" t="n">
        <f aca="false">-44+1</f>
        <v>-43</v>
      </c>
      <c r="Q62" s="226" t="n">
        <f aca="false">62-1</f>
        <v>61</v>
      </c>
      <c r="R62" s="226" t="n">
        <f aca="false">-22+1</f>
        <v>-21</v>
      </c>
      <c r="S62" s="226" t="n">
        <f aca="false">2-1</f>
        <v>1</v>
      </c>
      <c r="T62" s="226"/>
      <c r="U62" s="226"/>
      <c r="V62" s="226"/>
      <c r="W62" s="226"/>
      <c r="X62" s="226"/>
      <c r="Y62" s="226"/>
      <c r="Z62" s="226"/>
      <c r="AA62" s="226"/>
      <c r="AB62" s="226"/>
      <c r="AC62" s="226"/>
      <c r="AD62" s="226"/>
      <c r="AE62" s="226"/>
      <c r="AF62" s="226"/>
      <c r="AG62" s="226"/>
      <c r="AH62" s="59"/>
      <c r="AJ62" s="59"/>
      <c r="AK62" s="59"/>
      <c r="AL62" s="61"/>
      <c r="AM62" s="60"/>
      <c r="AN62" s="98"/>
      <c r="AO62" s="98"/>
      <c r="AP62" s="59"/>
      <c r="AQ62" s="59"/>
      <c r="AR62" s="59"/>
      <c r="AS62" s="59"/>
    </row>
    <row r="63" customFormat="false" ht="12.75" hidden="true" customHeight="true" outlineLevel="0" collapsed="false">
      <c r="A63" s="295" t="s">
        <v>189</v>
      </c>
      <c r="B63" s="294" t="n">
        <f aca="false">SUM(C63:AG63)</f>
        <v>0</v>
      </c>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59"/>
      <c r="AI63" s="199"/>
      <c r="AJ63" s="59"/>
      <c r="AK63" s="59"/>
      <c r="AL63" s="61"/>
      <c r="AM63" s="60"/>
      <c r="AN63" s="98"/>
      <c r="AO63" s="59"/>
      <c r="AP63" s="59"/>
      <c r="AQ63" s="59"/>
      <c r="AR63" s="59"/>
      <c r="AS63" s="59"/>
    </row>
    <row r="64" customFormat="false" ht="12.75" hidden="true" customHeight="true" outlineLevel="0" collapsed="false">
      <c r="A64" s="295" t="s">
        <v>237</v>
      </c>
      <c r="B64" s="294" t="n">
        <f aca="false">SUM(C64:AG64)</f>
        <v>0</v>
      </c>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59"/>
      <c r="AI64" s="199"/>
      <c r="AJ64" s="59"/>
      <c r="AK64" s="59"/>
      <c r="AL64" s="60"/>
      <c r="AM64" s="60"/>
      <c r="AN64" s="59"/>
      <c r="AO64" s="59"/>
      <c r="AP64" s="59"/>
      <c r="AQ64" s="59"/>
      <c r="AR64" s="59"/>
      <c r="AS64" s="59"/>
    </row>
    <row r="65" customFormat="false" ht="12.75" hidden="true" customHeight="true" outlineLevel="0" collapsed="false">
      <c r="A65" s="231" t="s">
        <v>238</v>
      </c>
      <c r="B65" s="294" t="n">
        <f aca="false">SUM(C65:AG65)</f>
        <v>0</v>
      </c>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59"/>
      <c r="AJ65" s="59"/>
      <c r="AK65" s="59"/>
      <c r="AL65" s="61"/>
      <c r="AM65" s="60"/>
      <c r="AN65" s="59"/>
      <c r="AO65" s="59"/>
      <c r="AP65" s="59"/>
      <c r="AQ65" s="59"/>
      <c r="AR65" s="59"/>
      <c r="AS65" s="59"/>
    </row>
    <row r="66" customFormat="false" ht="12.75" hidden="true" customHeight="true" outlineLevel="0" collapsed="false">
      <c r="A66" s="231" t="s">
        <v>239</v>
      </c>
      <c r="B66" s="294" t="n">
        <f aca="false">SUM(C66:AG66)</f>
        <v>0</v>
      </c>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59"/>
      <c r="AI66" s="199"/>
      <c r="AJ66" s="59"/>
      <c r="AK66" s="59"/>
      <c r="AL66" s="61"/>
      <c r="AM66" s="60"/>
      <c r="AN66" s="59"/>
      <c r="AO66" s="59"/>
      <c r="AP66" s="59"/>
      <c r="AQ66" s="59"/>
      <c r="AR66" s="59"/>
      <c r="AS66" s="59"/>
    </row>
    <row r="67" customFormat="false" ht="12.75" hidden="true" customHeight="true" outlineLevel="0" collapsed="false">
      <c r="A67" s="231" t="s">
        <v>240</v>
      </c>
      <c r="B67" s="294" t="n">
        <f aca="false">SUM(C67:AG67)</f>
        <v>0</v>
      </c>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59"/>
      <c r="AI67" s="199"/>
      <c r="AJ67" s="59"/>
      <c r="AK67" s="59"/>
      <c r="AL67" s="61"/>
      <c r="AM67" s="60"/>
      <c r="AN67" s="59"/>
      <c r="AO67" s="59"/>
      <c r="AP67" s="59"/>
      <c r="AQ67" s="59"/>
      <c r="AR67" s="59"/>
      <c r="AS67" s="59"/>
    </row>
    <row r="68" customFormat="false" ht="12.75" hidden="true" customHeight="true" outlineLevel="0" collapsed="false">
      <c r="A68" s="231" t="s">
        <v>241</v>
      </c>
      <c r="B68" s="294" t="n">
        <f aca="false">SUM(C68:AG68)</f>
        <v>0</v>
      </c>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59"/>
      <c r="AJ68" s="59"/>
      <c r="AK68" s="59"/>
      <c r="AL68" s="61"/>
      <c r="AM68" s="60"/>
      <c r="AN68" s="59"/>
      <c r="AO68" s="59"/>
      <c r="AP68" s="59"/>
      <c r="AQ68" s="59"/>
      <c r="AR68" s="59"/>
      <c r="AS68" s="59"/>
    </row>
    <row r="69" customFormat="false" ht="12.75" hidden="true" customHeight="true" outlineLevel="0" collapsed="false">
      <c r="A69" s="295" t="s">
        <v>242</v>
      </c>
      <c r="B69" s="294" t="n">
        <f aca="false">SUM(C69:AG69)</f>
        <v>0</v>
      </c>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59"/>
      <c r="AI69" s="199"/>
      <c r="AJ69" s="59"/>
      <c r="AK69" s="59"/>
      <c r="AL69" s="61"/>
      <c r="AM69" s="60"/>
      <c r="AN69" s="59"/>
      <c r="AO69" s="59"/>
      <c r="AP69" s="59"/>
      <c r="AQ69" s="59"/>
      <c r="AR69" s="59"/>
      <c r="AS69" s="59"/>
    </row>
    <row r="70" customFormat="false" ht="12.75" hidden="true" customHeight="true" outlineLevel="0" collapsed="false">
      <c r="A70" s="231" t="s">
        <v>243</v>
      </c>
      <c r="B70" s="294" t="n">
        <f aca="false">SUM(C70:AG70)</f>
        <v>0</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59"/>
      <c r="AJ70" s="59"/>
      <c r="AK70" s="59"/>
      <c r="AL70" s="61"/>
      <c r="AM70" s="60"/>
      <c r="AN70" s="59"/>
      <c r="AO70" s="59"/>
      <c r="AP70" s="59"/>
      <c r="AQ70" s="59"/>
      <c r="AR70" s="59"/>
      <c r="AS70" s="59"/>
    </row>
    <row r="71" customFormat="false" ht="12.75" hidden="tru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300"/>
      <c r="AH71" s="59"/>
      <c r="AJ71" s="59"/>
      <c r="AK71" s="59"/>
      <c r="AL71" s="61"/>
      <c r="AM71" s="60"/>
    </row>
    <row r="72" customFormat="false" ht="12.75" hidden="false" customHeight="true" outlineLevel="0" collapsed="false">
      <c r="A72" s="231"/>
      <c r="B72" s="294"/>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301"/>
      <c r="AH72" s="59"/>
      <c r="AJ72" s="59"/>
      <c r="AK72" s="59"/>
      <c r="AL72" s="61"/>
      <c r="AM72" s="60"/>
    </row>
    <row r="73" customFormat="false" ht="12.75" hidden="false" customHeight="true" outlineLevel="0" collapsed="false">
      <c r="A73" s="231"/>
      <c r="B73" s="294"/>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301"/>
      <c r="AH73" s="59"/>
      <c r="AJ73" s="59"/>
      <c r="AK73" s="59"/>
      <c r="AL73" s="61"/>
      <c r="AM73" s="60"/>
    </row>
    <row r="74" customFormat="false" ht="12.75" hidden="false" customHeight="true" outlineLevel="0" collapsed="false">
      <c r="A74" s="231"/>
      <c r="B74" s="294"/>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301"/>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SUM(B47:B75)-B61-B68-B69</f>
        <v>765307</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C78" s="193" t="n">
        <f aca="false">(+B58+B59)*-1</f>
        <v>-115598</v>
      </c>
      <c r="AH78" s="153"/>
      <c r="AJ78" s="153"/>
      <c r="AK78" s="226"/>
      <c r="AL78" s="61"/>
      <c r="AM78" s="60"/>
    </row>
    <row r="79" customFormat="false" ht="12.75" hidden="false" customHeight="true" outlineLevel="0" collapsed="false">
      <c r="A79" s="271" t="s">
        <v>340</v>
      </c>
      <c r="B79" s="271"/>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t="s">
        <v>210</v>
      </c>
      <c r="C81" s="275" t="n">
        <f aca="false">SUM(C85:C101)</f>
        <v>0</v>
      </c>
      <c r="D81" s="275" t="n">
        <f aca="false">SUM(D85:D101)</f>
        <v>0</v>
      </c>
      <c r="E81" s="275" t="n">
        <f aca="false">SUM(E85:E101)</f>
        <v>0</v>
      </c>
      <c r="F81" s="275" t="n">
        <f aca="false">SUM(F85:F101)</f>
        <v>0</v>
      </c>
      <c r="G81" s="275" t="n">
        <f aca="false">SUM(G85:G101)</f>
        <v>0</v>
      </c>
      <c r="H81" s="275" t="n">
        <f aca="false">SUM(H85:H101)</f>
        <v>0</v>
      </c>
      <c r="I81" s="275" t="n">
        <f aca="false">SUM(I85:I101)</f>
        <v>0</v>
      </c>
      <c r="J81" s="275" t="n">
        <f aca="false">SUM(J85:J101)</f>
        <v>0</v>
      </c>
      <c r="K81" s="275" t="n">
        <f aca="false">SUM(K85:K101)</f>
        <v>0</v>
      </c>
      <c r="L81" s="275" t="n">
        <f aca="false">SUM(L85:L101)</f>
        <v>0</v>
      </c>
      <c r="M81" s="275" t="n">
        <f aca="false">SUM(M85:M101)</f>
        <v>0</v>
      </c>
      <c r="N81" s="275" t="n">
        <f aca="false">SUM(N85:N101)</f>
        <v>0</v>
      </c>
      <c r="O81" s="275" t="n">
        <f aca="false">SUM(O85:O101)</f>
        <v>0</v>
      </c>
      <c r="P81" s="275" t="n">
        <f aca="false">SUM(P85:P101)</f>
        <v>0</v>
      </c>
      <c r="Q81" s="275" t="n">
        <f aca="false">SUM(Q85:Q101)</f>
        <v>0</v>
      </c>
      <c r="R81" s="275" t="n">
        <f aca="false">SUM(R85:R101)</f>
        <v>0</v>
      </c>
      <c r="S81" s="275" t="n">
        <f aca="false">SUM(S85:S101)</f>
        <v>0</v>
      </c>
      <c r="T81" s="275" t="n">
        <f aca="false">SUM(T85:T101)</f>
        <v>0</v>
      </c>
      <c r="U81" s="275" t="n">
        <f aca="false">SUM(U85:U101)</f>
        <v>0</v>
      </c>
      <c r="V81" s="275" t="n">
        <f aca="false">SUM(V85:V101)</f>
        <v>0</v>
      </c>
      <c r="W81" s="275" t="n">
        <f aca="false">SUM(W85:W101)</f>
        <v>0</v>
      </c>
      <c r="X81" s="275" t="n">
        <f aca="false">SUM(X85:X101)</f>
        <v>0</v>
      </c>
      <c r="Y81" s="275" t="n">
        <f aca="false">SUM(Y85:Y101)</f>
        <v>0</v>
      </c>
      <c r="Z81" s="275" t="n">
        <f aca="false">SUM(Z85:Z101)</f>
        <v>0</v>
      </c>
      <c r="AA81" s="275" t="n">
        <f aca="false">SUM(AA85:AA101)</f>
        <v>0</v>
      </c>
      <c r="AB81" s="275" t="n">
        <f aca="false">SUM(AB85:AB101)</f>
        <v>0</v>
      </c>
      <c r="AC81" s="275" t="n">
        <f aca="false">SUM(AC85:AC101)</f>
        <v>0</v>
      </c>
      <c r="AD81" s="275" t="n">
        <f aca="false">SUM(AD85:AD101)</f>
        <v>0</v>
      </c>
      <c r="AE81" s="275" t="n">
        <f aca="false">SUM(AE85:AE101)</f>
        <v>0</v>
      </c>
      <c r="AF81" s="275" t="n">
        <f aca="false">SUM(AF85:AF101)</f>
        <v>0</v>
      </c>
      <c r="AG81" s="275" t="n">
        <f aca="false">SUM(AG85:AG101)</f>
        <v>0</v>
      </c>
      <c r="AH81" s="59"/>
      <c r="AI81" s="76"/>
      <c r="AJ81" s="85"/>
      <c r="AK81" s="59"/>
      <c r="AL81" s="77"/>
      <c r="AN81" s="59"/>
      <c r="AO81" s="59"/>
      <c r="AP81" s="59"/>
      <c r="AQ81" s="59"/>
      <c r="AR81" s="59"/>
      <c r="AS81" s="59"/>
    </row>
    <row r="82" customFormat="false" ht="12.75" hidden="false" customHeight="true" outlineLevel="0" collapsed="false">
      <c r="A82" s="278" t="s">
        <v>248</v>
      </c>
      <c r="B82" s="279" t="n">
        <f aca="false">B44</f>
        <v>36831</v>
      </c>
      <c r="C82" s="280" t="n">
        <f aca="false">C44</f>
        <v>36831</v>
      </c>
      <c r="D82" s="280" t="n">
        <f aca="false">D44</f>
        <v>36832</v>
      </c>
      <c r="E82" s="280" t="n">
        <f aca="false">E44</f>
        <v>36833</v>
      </c>
      <c r="F82" s="280" t="n">
        <f aca="false">F44</f>
        <v>36834</v>
      </c>
      <c r="G82" s="280" t="n">
        <f aca="false">G44</f>
        <v>36835</v>
      </c>
      <c r="H82" s="280" t="n">
        <f aca="false">H44</f>
        <v>36836</v>
      </c>
      <c r="I82" s="280" t="n">
        <f aca="false">I44</f>
        <v>36837</v>
      </c>
      <c r="J82" s="280" t="n">
        <f aca="false">J44</f>
        <v>36838</v>
      </c>
      <c r="K82" s="280" t="n">
        <f aca="false">K44</f>
        <v>36839</v>
      </c>
      <c r="L82" s="280" t="n">
        <f aca="false">L44</f>
        <v>36840</v>
      </c>
      <c r="M82" s="280" t="n">
        <f aca="false">M44</f>
        <v>36841</v>
      </c>
      <c r="N82" s="280" t="n">
        <f aca="false">N44</f>
        <v>36842</v>
      </c>
      <c r="O82" s="280" t="n">
        <f aca="false">O44</f>
        <v>36843</v>
      </c>
      <c r="P82" s="280" t="n">
        <f aca="false">P44</f>
        <v>36844</v>
      </c>
      <c r="Q82" s="280" t="n">
        <f aca="false">Q44</f>
        <v>36845</v>
      </c>
      <c r="R82" s="280" t="n">
        <f aca="false">R44</f>
        <v>36846</v>
      </c>
      <c r="S82" s="280" t="n">
        <f aca="false">S44</f>
        <v>36847</v>
      </c>
      <c r="T82" s="280" t="n">
        <f aca="false">T44</f>
        <v>36848</v>
      </c>
      <c r="U82" s="280" t="n">
        <f aca="false">U44</f>
        <v>36849</v>
      </c>
      <c r="V82" s="280" t="n">
        <f aca="false">V44</f>
        <v>36850</v>
      </c>
      <c r="W82" s="280" t="n">
        <f aca="false">W44</f>
        <v>36851</v>
      </c>
      <c r="X82" s="280" t="n">
        <f aca="false">X44</f>
        <v>36852</v>
      </c>
      <c r="Y82" s="280" t="n">
        <f aca="false">Y44</f>
        <v>36853</v>
      </c>
      <c r="Z82" s="280" t="n">
        <f aca="false">Z44</f>
        <v>36854</v>
      </c>
      <c r="AA82" s="280" t="n">
        <f aca="false">AA44</f>
        <v>36855</v>
      </c>
      <c r="AB82" s="280" t="n">
        <f aca="false">AB44</f>
        <v>36856</v>
      </c>
      <c r="AC82" s="280" t="n">
        <f aca="false">AC44</f>
        <v>36857</v>
      </c>
      <c r="AD82" s="280" t="n">
        <f aca="false">AD44</f>
        <v>36858</v>
      </c>
      <c r="AE82" s="280" t="n">
        <f aca="false">AE44</f>
        <v>36859</v>
      </c>
      <c r="AF82" s="280" t="n">
        <f aca="false">AF44</f>
        <v>36860</v>
      </c>
      <c r="AG82" s="280" t="n">
        <f aca="false">AG44</f>
        <v>36861</v>
      </c>
      <c r="AH82" s="281"/>
      <c r="AI82" s="76"/>
      <c r="AJ82" s="309"/>
      <c r="AK82" s="281"/>
      <c r="AL82" s="284"/>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c r="DM82" s="281"/>
      <c r="DN82" s="281"/>
      <c r="DO82" s="281"/>
      <c r="DP82" s="281"/>
      <c r="DQ82" s="281"/>
      <c r="DR82" s="281"/>
      <c r="DS82" s="281"/>
      <c r="DT82" s="281"/>
      <c r="DU82" s="281"/>
      <c r="DV82" s="281"/>
      <c r="DW82" s="281"/>
      <c r="DX82" s="281"/>
      <c r="DY82" s="281"/>
      <c r="DZ82" s="281"/>
      <c r="EA82" s="281"/>
      <c r="EB82" s="281"/>
      <c r="EC82" s="281"/>
      <c r="ED82" s="281"/>
      <c r="EE82" s="281"/>
      <c r="EF82" s="281"/>
      <c r="EG82" s="281"/>
      <c r="EH82" s="281"/>
      <c r="EI82" s="281"/>
      <c r="EJ82" s="281"/>
      <c r="EK82" s="281"/>
      <c r="EL82" s="281"/>
      <c r="EM82" s="281"/>
      <c r="EN82" s="281"/>
      <c r="EO82" s="281"/>
      <c r="EP82" s="281"/>
      <c r="EQ82" s="281"/>
      <c r="ER82" s="281"/>
      <c r="ES82" s="281"/>
      <c r="ET82" s="281"/>
      <c r="EU82" s="281"/>
      <c r="EV82" s="281"/>
      <c r="EW82" s="281"/>
      <c r="EX82" s="281"/>
      <c r="EY82" s="281"/>
      <c r="EZ82" s="281"/>
      <c r="FA82" s="281"/>
      <c r="FB82" s="281"/>
      <c r="FC82" s="281"/>
      <c r="FD82" s="281"/>
      <c r="FE82" s="281"/>
      <c r="FF82" s="281"/>
      <c r="FG82" s="281"/>
      <c r="FH82" s="281"/>
      <c r="FI82" s="281"/>
      <c r="FJ82" s="281"/>
      <c r="FK82" s="281"/>
      <c r="FL82" s="281"/>
      <c r="FM82" s="281"/>
      <c r="FN82" s="281"/>
      <c r="FO82" s="281"/>
      <c r="FP82" s="281"/>
      <c r="FQ82" s="281"/>
      <c r="FR82" s="281"/>
      <c r="FS82" s="281"/>
      <c r="FT82" s="281"/>
      <c r="FU82" s="281"/>
      <c r="FV82" s="281"/>
      <c r="FW82" s="281"/>
      <c r="FX82" s="281"/>
      <c r="FY82" s="281"/>
      <c r="FZ82" s="281"/>
      <c r="GA82" s="281"/>
      <c r="GB82" s="281"/>
      <c r="GC82" s="281"/>
      <c r="GD82" s="281"/>
      <c r="GE82" s="281"/>
      <c r="GF82" s="281"/>
      <c r="GG82" s="281"/>
      <c r="GH82" s="281"/>
      <c r="GI82" s="281"/>
      <c r="GJ82" s="281"/>
      <c r="GK82" s="281"/>
      <c r="GL82" s="281"/>
      <c r="GM82" s="281"/>
      <c r="GN82" s="281"/>
      <c r="GO82" s="281"/>
      <c r="GP82" s="281"/>
      <c r="GQ82" s="281"/>
      <c r="GR82" s="281"/>
      <c r="GS82" s="281"/>
      <c r="GT82" s="281"/>
      <c r="GU82" s="281"/>
      <c r="GV82" s="281"/>
      <c r="GW82" s="281"/>
      <c r="GX82" s="281"/>
      <c r="GY82" s="281"/>
      <c r="GZ82" s="281"/>
      <c r="HA82" s="281"/>
      <c r="HB82" s="281"/>
      <c r="HC82" s="281"/>
      <c r="HD82" s="281"/>
      <c r="HE82" s="281"/>
      <c r="HF82" s="281"/>
      <c r="HG82" s="281"/>
      <c r="HH82" s="281"/>
      <c r="HI82" s="281"/>
      <c r="HJ82" s="281"/>
      <c r="HK82" s="281"/>
      <c r="HL82" s="281"/>
      <c r="HM82" s="281"/>
      <c r="HN82" s="281"/>
      <c r="HO82" s="281"/>
      <c r="HP82" s="281"/>
      <c r="HQ82" s="281"/>
      <c r="HR82" s="281"/>
      <c r="HS82" s="281"/>
      <c r="HT82" s="281"/>
      <c r="HU82" s="281"/>
      <c r="HV82" s="281"/>
      <c r="HW82" s="281"/>
      <c r="HX82" s="281"/>
      <c r="HY82" s="281"/>
      <c r="HZ82" s="281"/>
      <c r="IA82" s="281"/>
      <c r="IB82" s="281"/>
      <c r="IC82" s="281"/>
      <c r="ID82" s="281"/>
      <c r="IE82" s="281"/>
      <c r="IF82" s="281"/>
      <c r="IG82" s="281"/>
      <c r="IH82" s="281"/>
      <c r="II82" s="281"/>
      <c r="IJ82" s="281"/>
      <c r="IK82" s="281"/>
      <c r="IL82" s="281"/>
      <c r="IM82" s="281"/>
      <c r="IN82" s="281"/>
      <c r="IO82" s="281"/>
      <c r="IP82" s="281"/>
      <c r="IQ82" s="281"/>
      <c r="IR82" s="281"/>
      <c r="IS82" s="281"/>
      <c r="IT82" s="281"/>
      <c r="IU82" s="281"/>
      <c r="IV82" s="281"/>
      <c r="IW82" s="281"/>
    </row>
    <row r="83" customFormat="false" ht="12.75" hidden="false" customHeight="true" outlineLevel="0" collapsed="false">
      <c r="A83" s="285"/>
      <c r="B83" s="285"/>
      <c r="C83" s="286" t="str">
        <f aca="false">C45</f>
        <v>W</v>
      </c>
      <c r="D83" s="286" t="str">
        <f aca="false">D45</f>
        <v>R</v>
      </c>
      <c r="E83" s="286" t="str">
        <f aca="false">E45</f>
        <v>F</v>
      </c>
      <c r="F83" s="286" t="str">
        <f aca="false">F45</f>
        <v>S</v>
      </c>
      <c r="G83" s="286" t="str">
        <f aca="false">G45</f>
        <v>S</v>
      </c>
      <c r="H83" s="286" t="str">
        <f aca="false">H45</f>
        <v>M</v>
      </c>
      <c r="I83" s="286" t="str">
        <f aca="false">I45</f>
        <v>T</v>
      </c>
      <c r="J83" s="286" t="str">
        <f aca="false">J45</f>
        <v>W</v>
      </c>
      <c r="K83" s="286" t="str">
        <f aca="false">K45</f>
        <v>R</v>
      </c>
      <c r="L83" s="286" t="str">
        <f aca="false">L45</f>
        <v>F</v>
      </c>
      <c r="M83" s="286" t="str">
        <f aca="false">M45</f>
        <v>S</v>
      </c>
      <c r="N83" s="286" t="str">
        <f aca="false">N45</f>
        <v>S</v>
      </c>
      <c r="O83" s="286" t="str">
        <f aca="false">O45</f>
        <v>M</v>
      </c>
      <c r="P83" s="286" t="str">
        <f aca="false">P45</f>
        <v>T</v>
      </c>
      <c r="Q83" s="286" t="str">
        <f aca="false">Q45</f>
        <v>W</v>
      </c>
      <c r="R83" s="286" t="str">
        <f aca="false">R45</f>
        <v>R</v>
      </c>
      <c r="S83" s="286" t="str">
        <f aca="false">S45</f>
        <v>F</v>
      </c>
      <c r="T83" s="286" t="str">
        <f aca="false">T45</f>
        <v>S</v>
      </c>
      <c r="U83" s="286" t="str">
        <f aca="false">U45</f>
        <v>S</v>
      </c>
      <c r="V83" s="286" t="str">
        <f aca="false">V45</f>
        <v>M</v>
      </c>
      <c r="W83" s="286" t="str">
        <f aca="false">W45</f>
        <v>T</v>
      </c>
      <c r="X83" s="286" t="str">
        <f aca="false">X45</f>
        <v>W</v>
      </c>
      <c r="Y83" s="286" t="str">
        <f aca="false">Y45</f>
        <v>R</v>
      </c>
      <c r="Z83" s="286" t="str">
        <f aca="false">Z45</f>
        <v>F</v>
      </c>
      <c r="AA83" s="286" t="str">
        <f aca="false">AA45</f>
        <v>S</v>
      </c>
      <c r="AB83" s="286" t="str">
        <f aca="false">AB45</f>
        <v>S</v>
      </c>
      <c r="AC83" s="286" t="str">
        <f aca="false">AC45</f>
        <v>M</v>
      </c>
      <c r="AD83" s="286" t="str">
        <f aca="false">AD45</f>
        <v>T</v>
      </c>
      <c r="AE83" s="286" t="str">
        <f aca="false">AE45</f>
        <v>W</v>
      </c>
      <c r="AF83" s="286" t="str">
        <f aca="false">AF45</f>
        <v>R</v>
      </c>
      <c r="AG83" s="286" t="str">
        <f aca="false">AG45</f>
        <v>F</v>
      </c>
      <c r="AH83" s="59"/>
      <c r="AI83" s="76"/>
      <c r="AJ83" s="85"/>
      <c r="AK83" s="59"/>
      <c r="AL83" s="153"/>
      <c r="AN83" s="59"/>
      <c r="AO83" s="59"/>
      <c r="AP83" s="59"/>
      <c r="AQ83" s="59"/>
      <c r="AR83" s="59"/>
      <c r="AS83" s="59"/>
    </row>
    <row r="84" customFormat="false" ht="12.75" hidden="false" customHeight="true" outlineLevel="0" collapsed="false">
      <c r="A84" s="289"/>
      <c r="B84" s="290" t="s">
        <v>216</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1"/>
      <c r="AH84" s="153"/>
      <c r="AI84" s="199"/>
      <c r="AJ84" s="312"/>
      <c r="AK84" s="226"/>
      <c r="AL84" s="61"/>
      <c r="AM84" s="60"/>
    </row>
    <row r="85" customFormat="false" ht="12.75" hidden="false" customHeight="true" outlineLevel="0" collapsed="false">
      <c r="A85" s="231" t="s">
        <v>249</v>
      </c>
      <c r="B85" s="294" t="n">
        <f aca="false">SUM(C85:AG85)</f>
        <v>0</v>
      </c>
      <c r="C85" s="226" t="n">
        <v>0</v>
      </c>
      <c r="D85" s="226" t="n">
        <v>0</v>
      </c>
      <c r="E85" s="226" t="n">
        <v>0</v>
      </c>
      <c r="F85" s="226" t="n">
        <v>0</v>
      </c>
      <c r="G85" s="226" t="n">
        <v>0</v>
      </c>
      <c r="H85" s="226" t="n">
        <v>0</v>
      </c>
      <c r="I85" s="226" t="n">
        <v>0</v>
      </c>
      <c r="J85" s="226" t="n">
        <v>0</v>
      </c>
      <c r="K85" s="226" t="n">
        <v>0</v>
      </c>
      <c r="L85" s="226" t="n">
        <v>0</v>
      </c>
      <c r="M85" s="226" t="n">
        <v>0</v>
      </c>
      <c r="N85" s="226" t="n">
        <v>0</v>
      </c>
      <c r="O85" s="226" t="n">
        <v>0</v>
      </c>
      <c r="P85" s="226" t="n">
        <v>0</v>
      </c>
      <c r="Q85" s="226" t="n">
        <v>0</v>
      </c>
      <c r="R85" s="226" t="n">
        <v>0</v>
      </c>
      <c r="S85" s="226" t="n">
        <v>0</v>
      </c>
      <c r="T85" s="226" t="n">
        <v>0</v>
      </c>
      <c r="U85" s="226" t="n">
        <v>0</v>
      </c>
      <c r="V85" s="226" t="n">
        <v>0</v>
      </c>
      <c r="W85" s="226" t="n">
        <v>0</v>
      </c>
      <c r="X85" s="226" t="n">
        <v>0</v>
      </c>
      <c r="Y85" s="226" t="n">
        <v>0</v>
      </c>
      <c r="Z85" s="226" t="n">
        <v>0</v>
      </c>
      <c r="AA85" s="226" t="n">
        <v>0</v>
      </c>
      <c r="AB85" s="226" t="n">
        <v>0</v>
      </c>
      <c r="AC85" s="226" t="n">
        <v>0</v>
      </c>
      <c r="AD85" s="226" t="n">
        <v>0</v>
      </c>
      <c r="AE85" s="226" t="n">
        <v>0</v>
      </c>
      <c r="AF85" s="226" t="n">
        <v>0</v>
      </c>
      <c r="AG85" s="300" t="n">
        <v>0</v>
      </c>
      <c r="AH85" s="153"/>
      <c r="AJ85" s="153"/>
      <c r="AK85" s="226"/>
      <c r="AL85" s="61"/>
      <c r="AM85" s="60"/>
    </row>
    <row r="86" customFormat="false" ht="12.75" hidden="false" customHeight="true" outlineLevel="0" collapsed="false">
      <c r="A86" s="231" t="s">
        <v>250</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251</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252</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253</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254</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255</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256</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257</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258</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259</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260</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261</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c r="B98" s="294"/>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300"/>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SUM(B87:B101)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3" t="s">
        <v>341</v>
      </c>
      <c r="B126" s="153" t="s">
        <v>272</v>
      </c>
      <c r="C126" s="153"/>
      <c r="D126" s="324"/>
      <c r="E126" s="325" t="n">
        <v>-4555</v>
      </c>
      <c r="G126" s="403"/>
      <c r="H126" s="327"/>
      <c r="I126" s="153"/>
      <c r="J126" s="59"/>
      <c r="K126" s="328"/>
      <c r="L126" s="325"/>
      <c r="M126" s="59"/>
      <c r="N126" s="59"/>
      <c r="O126" s="59"/>
      <c r="P126" s="59"/>
    </row>
    <row r="127" customFormat="false" ht="12.75" hidden="false" customHeight="true" outlineLevel="0" collapsed="false">
      <c r="A127" s="329" t="s">
        <v>273</v>
      </c>
      <c r="B127" s="153" t="s">
        <v>274</v>
      </c>
      <c r="C127" s="59"/>
      <c r="D127" s="301"/>
      <c r="E127" s="325" t="n">
        <v>-647298</v>
      </c>
      <c r="G127" s="326"/>
      <c r="H127" s="62"/>
      <c r="I127" s="332"/>
      <c r="J127" s="59"/>
      <c r="K127" s="328"/>
      <c r="L127" s="325"/>
      <c r="M127" s="59"/>
      <c r="N127" s="59"/>
      <c r="O127" s="59"/>
      <c r="P127" s="59"/>
    </row>
    <row r="128" customFormat="false" ht="12.75" hidden="false" customHeight="true" outlineLevel="0" collapsed="false">
      <c r="A128" s="329" t="s">
        <v>275</v>
      </c>
      <c r="B128" s="153" t="s">
        <v>276</v>
      </c>
      <c r="C128" s="59"/>
      <c r="D128" s="301"/>
      <c r="E128" s="325" t="n">
        <v>-2256151</v>
      </c>
      <c r="G128" s="326"/>
      <c r="H128" s="153"/>
      <c r="I128" s="59"/>
      <c r="J128" s="59"/>
      <c r="K128" s="328"/>
      <c r="L128" s="325"/>
      <c r="M128" s="59"/>
      <c r="N128" s="59"/>
      <c r="O128" s="59"/>
      <c r="P128" s="59"/>
    </row>
    <row r="129" customFormat="false" ht="12.75" hidden="false" customHeight="true" outlineLevel="0" collapsed="false">
      <c r="A129" s="329" t="n">
        <v>36161</v>
      </c>
      <c r="B129" s="153" t="s">
        <v>342</v>
      </c>
      <c r="C129" s="59"/>
      <c r="D129" s="324"/>
      <c r="E129" s="325" t="n">
        <f aca="false">12965-131508</f>
        <v>-118543</v>
      </c>
      <c r="G129" s="326"/>
      <c r="H129" s="153"/>
      <c r="I129" s="59"/>
      <c r="J129" s="59"/>
      <c r="K129" s="324"/>
      <c r="L129" s="330"/>
      <c r="M129" s="59"/>
      <c r="N129" s="59"/>
      <c r="O129" s="59"/>
      <c r="P129" s="59"/>
    </row>
    <row r="130" customFormat="false" ht="12.75" hidden="false" customHeight="true" outlineLevel="0" collapsed="false">
      <c r="A130" s="329" t="n">
        <v>36192</v>
      </c>
      <c r="B130" s="153" t="s">
        <v>343</v>
      </c>
      <c r="C130" s="59"/>
      <c r="D130" s="324"/>
      <c r="E130" s="325" t="n">
        <f aca="false">648438-142105</f>
        <v>506333</v>
      </c>
      <c r="G130" s="326"/>
      <c r="H130" s="153"/>
      <c r="I130" s="59"/>
      <c r="J130" s="59"/>
      <c r="K130" s="324"/>
      <c r="L130" s="325"/>
      <c r="M130" s="59"/>
      <c r="N130" s="59"/>
      <c r="O130" s="59"/>
      <c r="P130" s="59"/>
    </row>
    <row r="131" customFormat="false" ht="12.75" hidden="false" customHeight="true" outlineLevel="0" collapsed="false">
      <c r="A131" s="329" t="n">
        <v>36220</v>
      </c>
      <c r="B131" s="153" t="s">
        <v>344</v>
      </c>
      <c r="C131" s="153"/>
      <c r="D131" s="324"/>
      <c r="E131" s="325" t="n">
        <f aca="false">-485713-177173</f>
        <v>-662886</v>
      </c>
      <c r="G131" s="326"/>
      <c r="H131" s="153"/>
      <c r="I131" s="59"/>
      <c r="J131" s="59"/>
      <c r="K131" s="324"/>
      <c r="L131" s="325"/>
      <c r="M131" s="59"/>
      <c r="N131" s="59"/>
      <c r="O131" s="59"/>
      <c r="P131" s="59"/>
    </row>
    <row r="132" customFormat="false" ht="12.75" hidden="false" customHeight="true" outlineLevel="0" collapsed="false">
      <c r="A132" s="329" t="n">
        <v>36251</v>
      </c>
      <c r="B132" s="153" t="s">
        <v>345</v>
      </c>
      <c r="C132" s="153"/>
      <c r="D132" s="324"/>
      <c r="E132" s="325" t="n">
        <f aca="false">58667-150398</f>
        <v>-91731</v>
      </c>
      <c r="G132" s="326"/>
      <c r="H132" s="59"/>
      <c r="I132" s="59"/>
      <c r="J132" s="59"/>
      <c r="K132" s="328"/>
      <c r="L132" s="330"/>
      <c r="M132" s="59"/>
      <c r="N132" s="59"/>
      <c r="O132" s="59"/>
      <c r="P132" s="59"/>
    </row>
    <row r="133" customFormat="false" ht="12.75" hidden="false" customHeight="true" outlineLevel="0" collapsed="false">
      <c r="A133" s="329" t="n">
        <v>36281</v>
      </c>
      <c r="B133" s="153" t="s">
        <v>346</v>
      </c>
      <c r="C133" s="153"/>
      <c r="D133" s="324"/>
      <c r="E133" s="325" t="n">
        <f aca="false">488267-143949</f>
        <v>344318</v>
      </c>
      <c r="G133" s="326"/>
      <c r="H133" s="153"/>
      <c r="I133" s="59"/>
      <c r="J133" s="59"/>
      <c r="K133" s="324"/>
      <c r="L133" s="330"/>
      <c r="M133" s="59"/>
      <c r="N133" s="59"/>
      <c r="O133" s="59"/>
      <c r="P133" s="59"/>
    </row>
    <row r="134" customFormat="false" ht="12.75" hidden="false" customHeight="true" outlineLevel="0" collapsed="false">
      <c r="A134" s="329" t="n">
        <v>36312</v>
      </c>
      <c r="B134" s="153" t="s">
        <v>347</v>
      </c>
      <c r="C134" s="153"/>
      <c r="D134" s="324"/>
      <c r="E134" s="325" t="n">
        <f aca="false">87913-184282</f>
        <v>-96369</v>
      </c>
      <c r="G134" s="326"/>
      <c r="H134" s="153"/>
      <c r="I134" s="59"/>
      <c r="J134" s="59"/>
      <c r="K134" s="324"/>
      <c r="L134" s="325"/>
      <c r="M134" s="98"/>
      <c r="N134" s="60"/>
      <c r="O134" s="59"/>
      <c r="P134" s="59"/>
    </row>
    <row r="135" customFormat="false" ht="12.75" hidden="false" customHeight="true" outlineLevel="0" collapsed="false">
      <c r="A135" s="329" t="n">
        <v>36342</v>
      </c>
      <c r="B135" s="153" t="s">
        <v>348</v>
      </c>
      <c r="C135" s="153"/>
      <c r="D135" s="324"/>
      <c r="E135" s="325" t="n">
        <f aca="false">367655-167378</f>
        <v>200277</v>
      </c>
      <c r="G135" s="326"/>
      <c r="H135" s="153"/>
      <c r="I135" s="59"/>
      <c r="J135" s="59"/>
      <c r="K135" s="324"/>
      <c r="L135" s="325"/>
      <c r="M135" s="98"/>
      <c r="N135" s="59"/>
      <c r="O135" s="59"/>
      <c r="P135" s="59"/>
    </row>
    <row r="136" customFormat="false" ht="12.75" hidden="false" customHeight="true" outlineLevel="0" collapsed="false">
      <c r="A136" s="329" t="n">
        <v>36373</v>
      </c>
      <c r="B136" s="153" t="s">
        <v>349</v>
      </c>
      <c r="C136" s="153"/>
      <c r="D136" s="324"/>
      <c r="E136" s="325" t="n">
        <f aca="false">19139-183346</f>
        <v>-164207</v>
      </c>
      <c r="G136" s="326"/>
      <c r="H136" s="153"/>
      <c r="I136" s="59"/>
      <c r="J136" s="59"/>
      <c r="K136" s="324"/>
      <c r="L136" s="325"/>
      <c r="M136" s="59"/>
      <c r="N136" s="98"/>
      <c r="O136" s="59"/>
      <c r="P136" s="59"/>
    </row>
    <row r="137" customFormat="false" ht="12.75" hidden="false" customHeight="true" outlineLevel="0" collapsed="false">
      <c r="A137" s="329" t="n">
        <v>36404</v>
      </c>
      <c r="B137" s="153" t="s">
        <v>350</v>
      </c>
      <c r="C137" s="153"/>
      <c r="D137" s="324"/>
      <c r="E137" s="325" t="n">
        <f aca="false">-159433-164621</f>
        <v>-324054</v>
      </c>
      <c r="G137" s="326"/>
      <c r="H137" s="153"/>
      <c r="I137" s="59"/>
      <c r="J137" s="59"/>
      <c r="K137" s="324"/>
      <c r="L137" s="325"/>
      <c r="M137" s="59"/>
      <c r="N137" s="98"/>
      <c r="O137" s="59"/>
      <c r="P137" s="59"/>
    </row>
    <row r="138" customFormat="false" ht="12.75" hidden="false" customHeight="true" outlineLevel="0" collapsed="false">
      <c r="A138" s="329" t="n">
        <v>36434</v>
      </c>
      <c r="B138" s="153" t="s">
        <v>290</v>
      </c>
      <c r="C138" s="153"/>
      <c r="D138" s="324"/>
      <c r="E138" s="325" t="n">
        <f aca="false">272193-165557</f>
        <v>106636</v>
      </c>
      <c r="G138" s="326"/>
      <c r="H138" s="153"/>
      <c r="I138" s="59"/>
      <c r="J138" s="59"/>
      <c r="K138" s="324"/>
      <c r="L138" s="325"/>
      <c r="M138" s="59"/>
      <c r="N138" s="59"/>
      <c r="O138" s="59"/>
      <c r="P138" s="59"/>
    </row>
    <row r="139" customFormat="false" ht="12.75" hidden="false" customHeight="true" outlineLevel="0" collapsed="false">
      <c r="A139" s="329" t="n">
        <v>36465</v>
      </c>
      <c r="B139" s="153" t="s">
        <v>291</v>
      </c>
      <c r="C139" s="153"/>
      <c r="D139" s="324"/>
      <c r="E139" s="325" t="n">
        <v>-81309</v>
      </c>
      <c r="G139" s="326"/>
      <c r="H139" s="153"/>
      <c r="I139" s="59"/>
      <c r="J139" s="59"/>
      <c r="K139" s="324"/>
      <c r="L139" s="325"/>
      <c r="M139" s="59"/>
      <c r="N139" s="59"/>
      <c r="O139" s="59"/>
      <c r="P139" s="59"/>
    </row>
    <row r="140" customFormat="false" ht="12.75" hidden="false" customHeight="true" outlineLevel="0" collapsed="false">
      <c r="A140" s="329" t="n">
        <v>36495</v>
      </c>
      <c r="B140" s="153" t="s">
        <v>292</v>
      </c>
      <c r="C140" s="153"/>
      <c r="D140" s="324"/>
      <c r="E140" s="325" t="n">
        <v>-139175</v>
      </c>
      <c r="G140" s="326"/>
      <c r="H140" s="153"/>
      <c r="I140" s="59"/>
      <c r="J140" s="59"/>
      <c r="K140" s="324"/>
      <c r="L140" s="325"/>
      <c r="M140" s="59"/>
      <c r="N140" s="59"/>
      <c r="O140" s="59"/>
      <c r="P140" s="59"/>
    </row>
    <row r="141" customFormat="false" ht="12.75" hidden="false" customHeight="true" outlineLevel="0" collapsed="false">
      <c r="A141" s="329" t="n">
        <v>36526</v>
      </c>
      <c r="B141" s="153" t="s">
        <v>293</v>
      </c>
      <c r="C141" s="153"/>
      <c r="D141" s="324"/>
      <c r="E141" s="325" t="n">
        <v>196045</v>
      </c>
      <c r="G141" s="326"/>
      <c r="H141" s="153"/>
      <c r="I141" s="59"/>
      <c r="J141" s="59"/>
      <c r="K141" s="324"/>
      <c r="L141" s="325"/>
      <c r="M141" s="59"/>
      <c r="N141" s="59"/>
      <c r="O141" s="59"/>
      <c r="P141" s="59"/>
    </row>
    <row r="142" customFormat="false" ht="12.75" hidden="false" customHeight="true" outlineLevel="0" collapsed="false">
      <c r="A142" s="329" t="n">
        <v>36557</v>
      </c>
      <c r="B142" s="153" t="s">
        <v>294</v>
      </c>
      <c r="C142" s="153"/>
      <c r="D142" s="324"/>
      <c r="E142" s="325" t="n">
        <v>-546912</v>
      </c>
      <c r="G142" s="326"/>
      <c r="H142" s="153"/>
      <c r="I142" s="59"/>
      <c r="J142" s="59"/>
      <c r="K142" s="324"/>
      <c r="L142" s="325"/>
      <c r="M142" s="59"/>
      <c r="N142" s="59"/>
      <c r="O142" s="59"/>
      <c r="P142" s="59"/>
    </row>
    <row r="143" customFormat="false" ht="12.75" hidden="false" customHeight="true" outlineLevel="0" collapsed="false">
      <c r="A143" s="329" t="n">
        <v>36586</v>
      </c>
      <c r="B143" s="153" t="s">
        <v>295</v>
      </c>
      <c r="C143" s="153"/>
      <c r="D143" s="324"/>
      <c r="E143" s="325" t="n">
        <v>-220907</v>
      </c>
      <c r="G143" s="326"/>
      <c r="H143" s="153"/>
      <c r="I143" s="59"/>
      <c r="J143" s="59"/>
      <c r="K143" s="324"/>
      <c r="L143" s="325"/>
      <c r="M143" s="59"/>
      <c r="N143" s="59"/>
      <c r="O143" s="59"/>
      <c r="P143" s="59"/>
    </row>
    <row r="144" customFormat="false" ht="12.75" hidden="false" customHeight="true" outlineLevel="0" collapsed="false">
      <c r="A144" s="329" t="s">
        <v>296</v>
      </c>
      <c r="B144" s="153"/>
      <c r="C144" s="153"/>
      <c r="D144" s="324"/>
      <c r="E144" s="325" t="n">
        <v>-222</v>
      </c>
      <c r="G144" s="326"/>
      <c r="H144" s="153"/>
      <c r="I144" s="59"/>
      <c r="J144" s="59"/>
      <c r="K144" s="324"/>
      <c r="L144" s="325"/>
      <c r="M144" s="59"/>
      <c r="N144" s="59"/>
      <c r="O144" s="59"/>
      <c r="P144" s="59"/>
    </row>
    <row r="145" customFormat="false" ht="12.75" hidden="false" customHeight="true" outlineLevel="0" collapsed="false">
      <c r="A145" s="329" t="n">
        <v>36617</v>
      </c>
      <c r="B145" s="153" t="s">
        <v>297</v>
      </c>
      <c r="C145" s="153"/>
      <c r="D145" s="324"/>
      <c r="E145" s="325" t="n">
        <v>-36407</v>
      </c>
      <c r="G145" s="326"/>
      <c r="H145" s="153"/>
      <c r="I145" s="59"/>
      <c r="J145" s="59"/>
      <c r="K145" s="324"/>
      <c r="L145" s="325"/>
      <c r="M145" s="59"/>
      <c r="N145" s="59"/>
      <c r="O145" s="59"/>
      <c r="P145" s="59"/>
    </row>
    <row r="146" customFormat="false" ht="12.75" hidden="false" customHeight="true" outlineLevel="0" collapsed="false">
      <c r="A146" s="329" t="n">
        <v>36647</v>
      </c>
      <c r="B146" s="153" t="s">
        <v>298</v>
      </c>
      <c r="C146" s="153"/>
      <c r="D146" s="324"/>
      <c r="E146" s="325" t="n">
        <v>-191871</v>
      </c>
      <c r="G146" s="326"/>
      <c r="H146" s="153"/>
      <c r="I146" s="59"/>
      <c r="J146" s="59"/>
      <c r="K146" s="324"/>
      <c r="L146" s="325"/>
      <c r="M146" s="59"/>
      <c r="N146" s="59"/>
      <c r="O146" s="59"/>
      <c r="P146" s="59"/>
    </row>
    <row r="147" customFormat="false" ht="12.75" hidden="false" customHeight="true" outlineLevel="0" collapsed="false">
      <c r="A147" s="329" t="n">
        <v>36678</v>
      </c>
      <c r="B147" s="153" t="s">
        <v>300</v>
      </c>
      <c r="C147" s="153"/>
      <c r="D147" s="324"/>
      <c r="E147" s="325" t="n">
        <v>-330586</v>
      </c>
      <c r="G147" s="326"/>
      <c r="H147" s="153"/>
      <c r="I147" s="59"/>
      <c r="J147" s="59"/>
      <c r="K147" s="324"/>
      <c r="L147" s="325"/>
      <c r="M147" s="59"/>
      <c r="N147" s="59"/>
      <c r="O147" s="59"/>
      <c r="P147" s="59"/>
    </row>
    <row r="148" customFormat="false" ht="12.75" hidden="false" customHeight="true" outlineLevel="0" collapsed="false">
      <c r="A148" s="329" t="n">
        <v>36708</v>
      </c>
      <c r="B148" s="153" t="s">
        <v>301</v>
      </c>
      <c r="C148" s="153"/>
      <c r="D148" s="324"/>
      <c r="E148" s="325" t="n">
        <v>-108386</v>
      </c>
      <c r="G148" s="326"/>
      <c r="H148" s="153"/>
      <c r="I148" s="59"/>
      <c r="J148" s="59"/>
      <c r="K148" s="324"/>
      <c r="L148" s="325"/>
      <c r="M148" s="59"/>
      <c r="N148" s="59"/>
      <c r="O148" s="59"/>
      <c r="P148" s="59"/>
    </row>
    <row r="149" customFormat="false" ht="12.75" hidden="false" customHeight="true" outlineLevel="0" collapsed="false">
      <c r="A149" s="329" t="n">
        <v>36739</v>
      </c>
      <c r="B149" s="153" t="s">
        <v>302</v>
      </c>
      <c r="C149" s="153"/>
      <c r="D149" s="324"/>
      <c r="E149" s="325" t="n">
        <v>-313220</v>
      </c>
      <c r="G149" s="326"/>
      <c r="H149" s="153"/>
      <c r="I149" s="59"/>
      <c r="J149" s="59"/>
      <c r="K149" s="324"/>
      <c r="L149" s="325"/>
      <c r="M149" s="59"/>
      <c r="N149" s="59"/>
      <c r="O149" s="59"/>
      <c r="P149" s="59"/>
    </row>
    <row r="150" customFormat="false" ht="12.75" hidden="false" customHeight="true" outlineLevel="0" collapsed="false">
      <c r="A150" s="329" t="n">
        <v>36770</v>
      </c>
      <c r="B150" s="153" t="s">
        <v>303</v>
      </c>
      <c r="C150" s="153"/>
      <c r="D150" s="324"/>
      <c r="E150" s="325" t="n">
        <v>-188759</v>
      </c>
      <c r="G150" s="326"/>
      <c r="H150" s="153"/>
      <c r="I150" s="59"/>
      <c r="J150" s="59"/>
      <c r="K150" s="324"/>
      <c r="L150" s="325"/>
      <c r="M150" s="59"/>
      <c r="N150" s="59"/>
      <c r="O150" s="59"/>
      <c r="P150" s="59"/>
    </row>
    <row r="151" customFormat="false" ht="12.75" hidden="false" customHeight="true" outlineLevel="0" collapsed="false">
      <c r="A151" s="329" t="n">
        <v>36800</v>
      </c>
      <c r="B151" s="153" t="s">
        <v>304</v>
      </c>
      <c r="C151" s="153"/>
      <c r="D151" s="324"/>
      <c r="E151" s="325" t="n">
        <v>-48392</v>
      </c>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25"/>
      <c r="M157" s="59"/>
      <c r="N157" s="59"/>
      <c r="O157" s="59"/>
      <c r="P157" s="59"/>
    </row>
    <row r="158" customFormat="false" ht="12.75" hidden="false" customHeight="true" outlineLevel="0" collapsed="false">
      <c r="A158" s="329"/>
      <c r="B158" s="153"/>
      <c r="C158" s="153"/>
      <c r="D158" s="324"/>
      <c r="E158" s="334"/>
      <c r="G158" s="326"/>
      <c r="H158" s="153"/>
      <c r="I158" s="59"/>
      <c r="J158" s="59"/>
      <c r="K158" s="324"/>
      <c r="L158" s="334"/>
      <c r="M158" s="59"/>
      <c r="N158" s="59"/>
      <c r="O158" s="59"/>
      <c r="P158" s="59"/>
    </row>
    <row r="159" customFormat="false" ht="12.75" hidden="false" customHeight="true" outlineLevel="0" collapsed="false">
      <c r="A159" s="335"/>
      <c r="B159" s="153"/>
      <c r="C159" s="153"/>
      <c r="D159" s="336" t="s">
        <v>306</v>
      </c>
      <c r="E159" s="338" t="n">
        <f aca="false">SUM(E126:E158)</f>
        <v>-5218331</v>
      </c>
      <c r="G159" s="335"/>
      <c r="H159" s="153"/>
      <c r="I159" s="59"/>
      <c r="J159" s="59"/>
      <c r="K159" s="336" t="s">
        <v>305</v>
      </c>
      <c r="L159" s="338" t="n">
        <f aca="false">SUM(L126:L158)</f>
        <v>0</v>
      </c>
      <c r="M159" s="59"/>
      <c r="N159" s="59"/>
      <c r="O159" s="59"/>
      <c r="P159" s="59"/>
    </row>
    <row r="160" customFormat="false" ht="12.75" hidden="false" customHeight="true" outlineLevel="0" collapsed="false">
      <c r="A160" s="339"/>
      <c r="B160" s="340"/>
      <c r="C160" s="340"/>
      <c r="D160" s="340"/>
      <c r="E160" s="341"/>
      <c r="G160" s="339"/>
      <c r="H160" s="340"/>
      <c r="I160" s="340"/>
      <c r="J160" s="340"/>
      <c r="K160" s="340"/>
      <c r="L160" s="341"/>
      <c r="M160" s="59"/>
      <c r="N160" s="59"/>
      <c r="O160" s="59"/>
      <c r="P160" s="59"/>
    </row>
    <row r="161" customFormat="false" ht="12.75" hidden="false" customHeight="true" outlineLevel="0" collapsed="false">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c r="B165" s="153"/>
      <c r="C165" s="153"/>
      <c r="D165" s="324"/>
      <c r="E165" s="325"/>
      <c r="AJ165" s="59"/>
      <c r="AK165" s="59"/>
      <c r="AL165" s="59"/>
      <c r="AM165" s="59"/>
    </row>
    <row r="166" customFormat="false" ht="12.75" hidden="false" customHeight="true" outlineLevel="0" collapsed="false">
      <c r="A166" s="342"/>
      <c r="B166" s="153"/>
      <c r="C166" s="153"/>
      <c r="D166" s="324"/>
      <c r="E166" s="325"/>
      <c r="AJ166" s="59"/>
      <c r="AK166" s="59"/>
      <c r="AL166" s="59"/>
      <c r="AM166" s="59"/>
    </row>
    <row r="167" customFormat="false" ht="12.75" hidden="false" customHeight="true" outlineLevel="0" collapsed="false">
      <c r="A167" s="342"/>
      <c r="B167" s="153"/>
      <c r="C167" s="153"/>
      <c r="D167" s="324"/>
      <c r="E167" s="325"/>
      <c r="AJ167" s="59"/>
      <c r="AK167" s="59"/>
      <c r="AL167" s="59"/>
      <c r="AM167" s="59"/>
    </row>
    <row r="168" customFormat="false" ht="12.75" hidden="false" customHeight="true" outlineLevel="0" collapsed="false">
      <c r="A168" s="342"/>
      <c r="B168" s="153"/>
      <c r="C168" s="153"/>
      <c r="D168" s="324"/>
      <c r="E168" s="330"/>
      <c r="AJ168" s="59"/>
      <c r="AK168" s="59"/>
      <c r="AL168" s="59"/>
      <c r="AM168" s="59"/>
    </row>
    <row r="169" customFormat="false" ht="12.75" hidden="false" customHeight="true" outlineLevel="0" collapsed="false">
      <c r="A169" s="342"/>
      <c r="B169" s="153"/>
      <c r="C169" s="153"/>
      <c r="D169" s="324"/>
      <c r="E169" s="325"/>
      <c r="AJ169" s="59"/>
      <c r="AK169" s="59"/>
      <c r="AL169" s="59"/>
      <c r="AM169" s="59"/>
    </row>
    <row r="170" customFormat="false" ht="12.75" hidden="false" customHeight="true" outlineLevel="0" collapsed="false">
      <c r="A170" s="342"/>
      <c r="B170" s="153"/>
      <c r="C170" s="153"/>
      <c r="D170" s="324"/>
      <c r="E170" s="325"/>
      <c r="AJ170" s="59"/>
      <c r="AK170" s="59"/>
      <c r="AL170" s="59"/>
      <c r="AM170" s="59"/>
    </row>
    <row r="171" customFormat="false" ht="12.75" hidden="false" customHeight="true" outlineLevel="0" collapsed="false">
      <c r="A171" s="342"/>
      <c r="B171" s="153"/>
      <c r="C171" s="332"/>
      <c r="D171" s="346"/>
      <c r="E171" s="330"/>
      <c r="AJ171" s="59"/>
      <c r="AK171" s="59"/>
      <c r="AL171" s="59"/>
      <c r="AM171" s="59"/>
    </row>
    <row r="172" customFormat="false" ht="12.75" hidden="false" customHeight="true" outlineLevel="0" collapsed="false">
      <c r="A172" s="342"/>
      <c r="B172" s="327"/>
      <c r="C172" s="332"/>
      <c r="D172" s="346"/>
      <c r="E172" s="330"/>
      <c r="AJ172" s="59"/>
      <c r="AK172" s="59"/>
      <c r="AL172" s="59"/>
      <c r="AM172" s="59"/>
    </row>
    <row r="173" customFormat="false" ht="12.75" hidden="false" customHeight="true" outlineLevel="0" collapsed="false">
      <c r="A173" s="342"/>
      <c r="B173" s="327"/>
      <c r="C173" s="153"/>
      <c r="D173" s="324"/>
      <c r="E173" s="325"/>
      <c r="AJ173" s="59"/>
      <c r="AK173" s="59"/>
      <c r="AL173" s="59"/>
      <c r="AM173" s="59"/>
    </row>
    <row r="174" customFormat="false" ht="12.75" hidden="false" customHeight="true" outlineLevel="0" collapsed="false">
      <c r="A174" s="342"/>
      <c r="B174" s="153"/>
      <c r="C174" s="153"/>
      <c r="D174" s="324"/>
      <c r="E174" s="32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25"/>
      <c r="AJ176" s="59"/>
      <c r="AK176" s="59"/>
      <c r="AL176" s="59"/>
      <c r="AM176" s="59"/>
    </row>
    <row r="177" customFormat="false" ht="12.75" hidden="false" customHeight="true" outlineLevel="0" collapsed="false">
      <c r="A177" s="342"/>
      <c r="B177" s="153"/>
      <c r="C177" s="153"/>
      <c r="D177" s="324"/>
      <c r="E177" s="325"/>
      <c r="AJ177" s="59"/>
      <c r="AK177" s="59"/>
      <c r="AL177" s="59"/>
      <c r="AM177" s="59"/>
    </row>
    <row r="178" customFormat="false" ht="12.75" hidden="false" customHeight="true" outlineLevel="0" collapsed="false">
      <c r="A178" s="342"/>
      <c r="B178" s="62"/>
      <c r="C178" s="332"/>
      <c r="D178" s="346"/>
      <c r="E178" s="330"/>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0</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AJ188" s="59"/>
      <c r="AK188" s="59"/>
      <c r="AL188" s="59"/>
      <c r="AM188" s="59"/>
    </row>
    <row r="189" customFormat="false" ht="12.75" hidden="false" customHeight="true" outlineLevel="0" collapsed="false">
      <c r="A189" s="352" t="s">
        <v>331</v>
      </c>
      <c r="B189" s="350"/>
      <c r="C189" s="350"/>
      <c r="D189" s="350"/>
      <c r="E189" s="350"/>
      <c r="F189" s="350"/>
      <c r="G189" s="350"/>
      <c r="H189" s="350"/>
      <c r="I189" s="350"/>
      <c r="J189" s="350"/>
      <c r="K189" s="350"/>
      <c r="L189" s="350"/>
      <c r="M189" s="351"/>
      <c r="O189" s="59"/>
      <c r="P189" s="59"/>
      <c r="Q189" s="59"/>
      <c r="R189" s="59"/>
    </row>
    <row r="190" customFormat="false" ht="12.75" hidden="false" customHeight="true" outlineLevel="0" collapsed="false">
      <c r="A190" s="355" t="s">
        <v>332</v>
      </c>
      <c r="B190" s="356" t="s">
        <v>268</v>
      </c>
      <c r="C190" s="357" t="s">
        <v>333</v>
      </c>
      <c r="D190" s="358" t="s">
        <v>334</v>
      </c>
      <c r="E190" s="404" t="s">
        <v>269</v>
      </c>
      <c r="F190" s="404"/>
      <c r="G190" s="404"/>
      <c r="H190" s="404"/>
      <c r="I190" s="404"/>
      <c r="J190" s="404"/>
      <c r="K190" s="404"/>
      <c r="L190" s="404"/>
      <c r="M190" s="354" t="s">
        <v>270</v>
      </c>
      <c r="O190" s="59"/>
      <c r="P190" s="59"/>
      <c r="Q190" s="59"/>
      <c r="R190" s="59"/>
    </row>
    <row r="191" customFormat="false" ht="12.75" hidden="false" customHeight="true" outlineLevel="0" collapsed="false">
      <c r="A191" s="360"/>
      <c r="B191" s="361"/>
      <c r="C191" s="362"/>
      <c r="D191" s="324"/>
      <c r="E191" s="153"/>
      <c r="F191" s="153"/>
      <c r="G191" s="153"/>
      <c r="H191" s="153"/>
      <c r="I191" s="153"/>
      <c r="J191" s="153"/>
      <c r="K191" s="153"/>
      <c r="L191" s="1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c r="O195" s="59"/>
      <c r="P195" s="59"/>
      <c r="Q195" s="59"/>
      <c r="R195" s="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153"/>
      <c r="M213" s="359"/>
    </row>
    <row r="214" customFormat="false" ht="12.75" hidden="false" customHeight="true" outlineLevel="0" collapsed="false">
      <c r="A214" s="363"/>
      <c r="B214" s="361"/>
      <c r="C214" s="367"/>
      <c r="D214" s="324"/>
      <c r="E214" s="153"/>
      <c r="F214" s="153"/>
      <c r="G214" s="153"/>
      <c r="H214" s="153"/>
      <c r="I214" s="153"/>
      <c r="J214" s="153"/>
      <c r="K214" s="153"/>
      <c r="L214" s="336" t="s">
        <v>335</v>
      </c>
      <c r="M214" s="366" t="n">
        <f aca="false">SUM(M191:M213)</f>
        <v>0</v>
      </c>
    </row>
    <row r="215" customFormat="false" ht="12.75" hidden="false" customHeight="true" outlineLevel="0" collapsed="false">
      <c r="A215" s="368"/>
      <c r="B215" s="369"/>
      <c r="C215" s="340"/>
      <c r="D215" s="340"/>
      <c r="E215" s="340"/>
      <c r="F215" s="340"/>
      <c r="G215" s="340"/>
      <c r="H215" s="340"/>
      <c r="I215" s="340"/>
      <c r="J215" s="340"/>
      <c r="K215" s="340"/>
      <c r="L215" s="340"/>
      <c r="M215" s="341"/>
    </row>
    <row r="216" customFormat="false" ht="12.75" hidden="false" customHeight="true" outlineLevel="0" collapsed="false"/>
    <row r="217" customFormat="false" ht="12.75" hidden="false" customHeight="true" outlineLevel="0" collapsed="false"/>
    <row r="218" customFormat="false" ht="12.75" hidden="false" customHeight="true" outlineLevel="0" collapsed="false">
      <c r="A218" s="371" t="s">
        <v>336</v>
      </c>
      <c r="B218" s="372"/>
      <c r="C218" s="372"/>
      <c r="D218" s="372"/>
      <c r="E218" s="372"/>
      <c r="F218" s="373"/>
      <c r="G218" s="370"/>
      <c r="H218" s="370"/>
      <c r="I218" s="370"/>
      <c r="J218" s="370"/>
      <c r="K218" s="370"/>
      <c r="L218" s="370"/>
      <c r="M218" s="370"/>
      <c r="N218" s="370"/>
    </row>
    <row r="219" customFormat="false" ht="12.75" hidden="false" customHeight="true" outlineLevel="0" collapsed="false">
      <c r="A219" s="374" t="s">
        <v>332</v>
      </c>
      <c r="B219" s="375" t="s">
        <v>268</v>
      </c>
      <c r="C219" s="376" t="s">
        <v>333</v>
      </c>
      <c r="D219" s="377" t="s">
        <v>334</v>
      </c>
      <c r="E219" s="377"/>
      <c r="F219" s="378" t="s">
        <v>270</v>
      </c>
      <c r="G219" s="370"/>
      <c r="H219" s="370"/>
      <c r="I219" s="370"/>
      <c r="J219" s="370"/>
      <c r="K219" s="370"/>
      <c r="L219" s="370"/>
      <c r="M219" s="370"/>
      <c r="N219" s="370"/>
    </row>
    <row r="220" customFormat="false" ht="12.75" hidden="false" customHeight="true" outlineLevel="0" collapsed="false">
      <c r="A220" s="380"/>
      <c r="B220" s="361"/>
      <c r="C220" s="381"/>
      <c r="D220" s="153"/>
      <c r="E220" s="382"/>
      <c r="F220" s="383"/>
      <c r="G220" s="379"/>
      <c r="H220" s="379"/>
      <c r="I220" s="379"/>
      <c r="J220" s="379"/>
      <c r="K220" s="379"/>
      <c r="L220" s="379"/>
      <c r="M220" s="379"/>
      <c r="N220" s="379"/>
    </row>
    <row r="221" customFormat="false" ht="12.75" hidden="false" customHeight="true" outlineLevel="0" collapsed="false">
      <c r="A221" s="380"/>
      <c r="B221" s="361"/>
      <c r="C221" s="370"/>
      <c r="D221" s="385"/>
      <c r="E221" s="382"/>
      <c r="F221" s="405"/>
      <c r="G221" s="379"/>
      <c r="H221" s="379"/>
      <c r="I221" s="379"/>
      <c r="J221" s="379"/>
      <c r="K221" s="379"/>
      <c r="L221" s="379"/>
      <c r="M221" s="379"/>
      <c r="N221" s="379"/>
    </row>
    <row r="222" customFormat="false" ht="12.75" hidden="false" customHeight="true" outlineLevel="0" collapsed="false">
      <c r="A222" s="380"/>
      <c r="B222" s="361"/>
      <c r="C222" s="370"/>
      <c r="D222" s="385"/>
      <c r="E222" s="382"/>
      <c r="F222" s="384"/>
      <c r="G222" s="370"/>
      <c r="H222" s="370"/>
      <c r="I222" s="370"/>
      <c r="J222" s="370"/>
      <c r="K222" s="370"/>
      <c r="L222" s="370"/>
      <c r="M222" s="370"/>
      <c r="N222" s="370"/>
    </row>
    <row r="223" customFormat="false" ht="12.75" hidden="false" customHeight="true" outlineLevel="0" collapsed="false">
      <c r="A223" s="380"/>
      <c r="B223" s="361"/>
      <c r="C223" s="370"/>
      <c r="D223" s="385"/>
      <c r="E223" s="382"/>
      <c r="F223" s="384"/>
      <c r="G223" s="370"/>
      <c r="H223" s="370"/>
      <c r="I223" s="370"/>
      <c r="J223" s="370"/>
      <c r="K223" s="370"/>
      <c r="L223" s="370"/>
      <c r="M223" s="370"/>
      <c r="N223" s="370"/>
    </row>
    <row r="224" customFormat="false" ht="12.75" hidden="false" customHeight="true" outlineLevel="0" collapsed="false">
      <c r="A224" s="380"/>
      <c r="B224" s="361"/>
      <c r="C224" s="370"/>
      <c r="D224" s="385"/>
      <c r="E224" s="382"/>
      <c r="F224" s="384"/>
      <c r="G224" s="370"/>
      <c r="H224" s="370"/>
      <c r="I224" s="370"/>
      <c r="J224" s="370"/>
      <c r="K224" s="370"/>
      <c r="L224" s="370"/>
      <c r="M224" s="370"/>
      <c r="N224" s="370"/>
    </row>
    <row r="225" customFormat="false" ht="12.75" hidden="false" customHeight="true" outlineLevel="0" collapsed="false">
      <c r="A225" s="380"/>
      <c r="B225" s="361"/>
      <c r="C225" s="370"/>
      <c r="D225" s="385"/>
      <c r="E225" s="382"/>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4"/>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6" t="n">
        <f aca="false">SUM(F219:F237)</f>
        <v>0</v>
      </c>
      <c r="G238" s="370"/>
      <c r="H238" s="370"/>
      <c r="I238" s="370"/>
      <c r="J238" s="370"/>
      <c r="K238" s="370"/>
      <c r="L238" s="370"/>
      <c r="M238" s="370"/>
      <c r="N238" s="370"/>
    </row>
    <row r="239" customFormat="false" ht="12.75" hidden="false" customHeight="true" outlineLevel="0" collapsed="false">
      <c r="A239" s="388"/>
      <c r="B239" s="389"/>
      <c r="C239" s="390"/>
      <c r="D239" s="390"/>
      <c r="E239" s="391"/>
      <c r="F239" s="387"/>
      <c r="G239" s="370"/>
      <c r="H239" s="370"/>
      <c r="I239" s="370"/>
      <c r="J239" s="370"/>
      <c r="K239" s="370"/>
      <c r="L239" s="370"/>
      <c r="M239" s="370"/>
      <c r="N239" s="370"/>
    </row>
    <row r="240" customFormat="false" ht="12.75" hidden="false" customHeight="true" outlineLevel="0" collapsed="false"/>
  </sheetData>
  <mergeCells count="11">
    <mergeCell ref="S6:T6"/>
    <mergeCell ref="K28:L28"/>
    <mergeCell ref="A41:B41"/>
    <mergeCell ref="AI42:AJ42"/>
    <mergeCell ref="A79:B79"/>
    <mergeCell ref="A121:B121"/>
    <mergeCell ref="B125:D125"/>
    <mergeCell ref="G125:K125"/>
    <mergeCell ref="B164:D164"/>
    <mergeCell ref="E190:L190"/>
    <mergeCell ref="D219:E219"/>
  </mergeCells>
  <printOptions headings="false" gridLines="false" gridLinesSet="true" horizontalCentered="true" verticalCentered="false"/>
  <pageMargins left="0.25" right="0.25" top="0.25" bottom="0.25"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Roman,Italic"&amp;F/&amp;A&amp;R&amp;"Times New Roman,Italic"&amp;D &amp;T</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6" topLeftCell="C41" activePane="bottomRight" state="frozen"/>
      <selection pane="topLeft" activeCell="A1" activeCellId="0" sqref="A1"/>
      <selection pane="topRight" activeCell="C1" activeCellId="0" sqref="C1"/>
      <selection pane="bottomLeft" activeCell="A41" activeCellId="0" sqref="A41"/>
      <selection pane="bottomRight" activeCell="S54" activeCellId="0" sqref="S54"/>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24.13"/>
    <col collapsed="false" customWidth="true" hidden="false" outlineLevel="0" max="3" min="3" style="193" width="14.41"/>
    <col collapsed="false" customWidth="true" hidden="false" outlineLevel="0" max="4" min="4" style="193" width="13.56"/>
    <col collapsed="false" customWidth="true" hidden="false" outlineLevel="0" max="11" min="5"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true" hidden="false" outlineLevel="0" max="38" min="38" style="193" width="11.99"/>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194" t="n">
        <f aca="false">M38</f>
        <v>0</v>
      </c>
      <c r="D1" s="195"/>
      <c r="E1" s="195"/>
      <c r="F1" s="196"/>
      <c r="G1" s="197" t="s">
        <v>126</v>
      </c>
      <c r="H1" s="59"/>
      <c r="I1" s="59"/>
      <c r="J1" s="59"/>
      <c r="K1" s="59"/>
      <c r="L1" s="59"/>
      <c r="M1" s="59"/>
      <c r="N1" s="59"/>
      <c r="O1" s="59"/>
    </row>
    <row r="2" customFormat="false" ht="12.75" hidden="false" customHeight="true" outlineLevel="0" collapsed="false">
      <c r="A2" s="198" t="s">
        <v>127</v>
      </c>
      <c r="C2" s="199"/>
      <c r="D2" s="59"/>
      <c r="E2" s="195"/>
      <c r="F2" s="196"/>
      <c r="G2" s="200" t="n">
        <v>32097078</v>
      </c>
      <c r="H2" s="59"/>
      <c r="I2" s="59"/>
      <c r="J2" s="59"/>
      <c r="K2" s="59"/>
      <c r="L2" s="59"/>
      <c r="M2" s="59"/>
      <c r="N2" s="59"/>
      <c r="O2" s="59"/>
    </row>
    <row r="3" customFormat="false" ht="12.75" hidden="false" customHeight="true" outlineLevel="0" collapsed="false">
      <c r="A3" s="201" t="s">
        <v>128</v>
      </c>
      <c r="B3" s="202" t="s">
        <v>351</v>
      </c>
      <c r="C3" s="203" t="s">
        <v>42</v>
      </c>
      <c r="D3" s="204"/>
      <c r="E3" s="205"/>
      <c r="F3" s="206"/>
      <c r="G3" s="61"/>
      <c r="H3" s="59"/>
      <c r="I3" s="59"/>
      <c r="J3" s="59"/>
      <c r="K3" s="59"/>
      <c r="L3" s="59"/>
      <c r="M3" s="60"/>
      <c r="N3" s="59"/>
      <c r="O3" s="59"/>
    </row>
    <row r="4" customFormat="false" ht="12.75" hidden="false" customHeight="true" outlineLevel="0" collapsed="false">
      <c r="A4" s="201" t="s">
        <v>1</v>
      </c>
      <c r="B4" s="207" t="n">
        <f aca="false">Front!B4</f>
        <v>36831</v>
      </c>
      <c r="C4" s="199"/>
      <c r="D4" s="204"/>
      <c r="E4" s="205"/>
      <c r="F4" s="206"/>
      <c r="G4" s="61"/>
      <c r="H4" s="59"/>
      <c r="I4" s="59"/>
      <c r="J4" s="59"/>
      <c r="K4" s="59"/>
      <c r="L4" s="59"/>
      <c r="M4" s="59"/>
      <c r="N4" s="59"/>
      <c r="O4" s="59"/>
    </row>
    <row r="5" customFormat="false" ht="18" hidden="false" customHeight="true" outlineLevel="0" collapsed="false">
      <c r="A5" s="201" t="s">
        <v>2</v>
      </c>
      <c r="B5" s="208" t="n">
        <f aca="false">Front!B5</f>
        <v>36847</v>
      </c>
      <c r="C5" s="209"/>
      <c r="D5" s="204"/>
      <c r="E5" s="199"/>
      <c r="F5" s="199"/>
      <c r="G5" s="199"/>
      <c r="V5" s="153"/>
      <c r="W5" s="153"/>
      <c r="X5" s="153"/>
      <c r="Y5" s="153"/>
      <c r="Z5" s="153"/>
      <c r="AA5" s="153"/>
    </row>
    <row r="6" customFormat="false" ht="12.75" hidden="false" customHeight="true" outlineLevel="0" collapsed="false">
      <c r="A6" s="201" t="s">
        <v>130</v>
      </c>
      <c r="B6" s="210" t="n">
        <f aca="false">Front!$D$12</f>
        <v>949837</v>
      </c>
      <c r="C6" s="209"/>
      <c r="D6" s="204"/>
      <c r="E6" s="199"/>
      <c r="F6" s="199"/>
      <c r="G6" s="199"/>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C7" s="199"/>
      <c r="D7" s="204"/>
      <c r="K7" s="214"/>
      <c r="L7" s="215" t="s">
        <v>134</v>
      </c>
      <c r="M7" s="215" t="s">
        <v>135</v>
      </c>
      <c r="N7" s="216" t="s">
        <v>136</v>
      </c>
      <c r="O7" s="215"/>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C8" s="199"/>
      <c r="D8" s="222" t="s">
        <v>142</v>
      </c>
      <c r="E8" s="222" t="s">
        <v>143</v>
      </c>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C9" s="199"/>
      <c r="D9" s="225" t="n">
        <v>-5897137</v>
      </c>
      <c r="E9" s="225" t="n">
        <v>-8271410</v>
      </c>
      <c r="F9" s="59" t="s">
        <v>148</v>
      </c>
      <c r="G9" s="193" t="s">
        <v>149</v>
      </c>
      <c r="I9" s="193" t="n">
        <v>95161869</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C10" s="199"/>
      <c r="D10" s="225"/>
      <c r="E10" s="225"/>
      <c r="F10" s="59" t="s">
        <v>148</v>
      </c>
      <c r="G10" s="193" t="s">
        <v>149</v>
      </c>
      <c r="I10" s="193" t="n">
        <v>1117818</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154</v>
      </c>
      <c r="D11" s="225"/>
      <c r="E11" s="225"/>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225" t="n">
        <v>0</v>
      </c>
      <c r="E12" s="225"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229" t="n">
        <v>0</v>
      </c>
      <c r="E13" s="229" t="n">
        <v>0</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E14" s="231" t="n">
        <f aca="false">+E159</f>
        <v>3731</v>
      </c>
      <c r="F14" s="193" t="s">
        <v>165</v>
      </c>
      <c r="K14" s="219" t="s">
        <v>166</v>
      </c>
      <c r="L14" s="232" t="n">
        <f aca="false">SUM(L9:L13)/100</f>
        <v>0</v>
      </c>
      <c r="M14" s="232" t="n">
        <f aca="false">SUM(M9:M13)/100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D15" s="234"/>
      <c r="E15" s="231" t="n">
        <f aca="false">+L158</f>
        <v>19119</v>
      </c>
      <c r="F15" s="193" t="s">
        <v>165</v>
      </c>
      <c r="K15" s="219" t="s">
        <v>169</v>
      </c>
      <c r="L15" s="94" t="n">
        <v>0</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D16" s="237"/>
      <c r="E16" s="231" t="n">
        <f aca="false">+E185</f>
        <v>-1500000</v>
      </c>
      <c r="F16" s="193" t="s">
        <v>165</v>
      </c>
      <c r="I16" s="238"/>
      <c r="J16" s="238"/>
      <c r="K16" s="219" t="s">
        <v>174</v>
      </c>
      <c r="L16" s="239" t="n">
        <v>0</v>
      </c>
      <c r="M16" s="239" t="n">
        <v>0</v>
      </c>
      <c r="N16" s="240" t="n">
        <v>0</v>
      </c>
      <c r="O16" s="241" t="n">
        <v>0</v>
      </c>
      <c r="P16" s="241" t="n">
        <v>0</v>
      </c>
      <c r="Q16" s="241" t="n">
        <v>0</v>
      </c>
      <c r="R16" s="242"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D17" s="244"/>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D18" s="0"/>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D19" s="0"/>
      <c r="E19" s="248" t="n">
        <f aca="false">SUM(E9:E16)</f>
        <v>-9748560</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249"/>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SUM(E19)-SUM(B58+B59+B64+B65)</f>
        <v>-9740423</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75" hidden="false" customHeight="true" outlineLevel="0" collapsed="false">
      <c r="A22" s="193" t="s">
        <v>181</v>
      </c>
      <c r="E22" s="231" t="n">
        <v>0</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75" hidden="false" customHeight="true" outlineLevel="0" collapsed="false">
      <c r="A23" s="193" t="s">
        <v>182</v>
      </c>
      <c r="E23" s="231" t="n">
        <f aca="false">+B63</f>
        <v>0</v>
      </c>
      <c r="F23" s="193" t="s">
        <v>165</v>
      </c>
      <c r="G23" s="153"/>
      <c r="H23" s="253"/>
      <c r="I23" s="254"/>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153"/>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-M213</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0</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0</v>
      </c>
      <c r="F30" s="193" t="s">
        <v>193</v>
      </c>
      <c r="H30" s="253"/>
      <c r="I30" s="254"/>
      <c r="J30" s="153"/>
      <c r="K30" s="219" t="s">
        <v>194</v>
      </c>
      <c r="L30" s="153"/>
      <c r="M30" s="226" t="n">
        <v>-2182705</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v>
      </c>
      <c r="N31" s="60" t="n">
        <f aca="false">M31</f>
        <v>0</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226" t="n">
        <v>0</v>
      </c>
      <c r="N32" s="60"/>
      <c r="O32" s="153" t="s">
        <v>191</v>
      </c>
      <c r="P32" s="153"/>
      <c r="Q32" s="153"/>
      <c r="R32" s="220"/>
      <c r="AI32" s="59"/>
    </row>
    <row r="33" customFormat="false" ht="12.75" hidden="false" customHeight="true" outlineLevel="0" collapsed="false">
      <c r="A33" s="193" t="s">
        <v>199</v>
      </c>
      <c r="E33" s="231" t="n">
        <f aca="false">+B67</f>
        <v>0</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-7565855</v>
      </c>
      <c r="N34" s="60" t="n">
        <f aca="false">B63</f>
        <v>0</v>
      </c>
      <c r="O34" s="153" t="s">
        <v>202</v>
      </c>
      <c r="P34" s="153"/>
      <c r="Q34" s="153"/>
      <c r="R34" s="220"/>
    </row>
    <row r="35" customFormat="false" ht="12.75" hidden="false" customHeight="true" outlineLevel="0" collapsed="false">
      <c r="A35" s="193" t="s">
        <v>203</v>
      </c>
      <c r="E35" s="231" t="n">
        <f aca="false">F237</f>
        <v>0</v>
      </c>
      <c r="F35" s="193" t="s">
        <v>193</v>
      </c>
      <c r="K35" s="219"/>
      <c r="L35" s="153"/>
      <c r="M35" s="60"/>
      <c r="N35" s="60"/>
      <c r="O35" s="153"/>
      <c r="P35" s="153"/>
      <c r="Q35" s="153"/>
      <c r="R35" s="220"/>
    </row>
    <row r="36" customFormat="false" ht="12.75" hidden="false" customHeight="true" outlineLevel="0" collapsed="false">
      <c r="A36" s="223" t="s">
        <v>204</v>
      </c>
      <c r="E36" s="248" t="n">
        <f aca="false">SUM(E29:E35)</f>
        <v>0</v>
      </c>
      <c r="K36" s="219" t="s">
        <v>205</v>
      </c>
      <c r="L36" s="62"/>
      <c r="M36" s="60" t="n">
        <f aca="false">SUM(M30:M34)</f>
        <v>-9748560</v>
      </c>
      <c r="N36" s="60" t="n">
        <f aca="false">SUM(N30:N34)</f>
        <v>0</v>
      </c>
      <c r="O36" s="153"/>
      <c r="P36" s="153"/>
      <c r="Q36" s="153"/>
      <c r="R36" s="220"/>
    </row>
    <row r="37" customFormat="false" ht="12.75" hidden="false" customHeight="true" outlineLevel="0" collapsed="false">
      <c r="K37" s="265"/>
      <c r="L37" s="62"/>
      <c r="M37" s="62"/>
      <c r="N37" s="62"/>
      <c r="O37" s="153"/>
      <c r="P37" s="153"/>
      <c r="Q37" s="153"/>
      <c r="R37" s="220"/>
    </row>
    <row r="38" customFormat="false" ht="12.75" hidden="false" customHeight="true" outlineLevel="0" collapsed="false">
      <c r="A38" s="221" t="s">
        <v>206</v>
      </c>
      <c r="C38" s="226"/>
      <c r="E38" s="248" t="n">
        <f aca="false">+E36+E26+E19</f>
        <v>-9748560</v>
      </c>
      <c r="K38" s="219"/>
      <c r="L38" s="266" t="s">
        <v>207</v>
      </c>
      <c r="M38" s="124" t="n">
        <f aca="false">M36-E38</f>
        <v>0</v>
      </c>
      <c r="N38" s="124" t="n">
        <f aca="false">+N36-E26</f>
        <v>0</v>
      </c>
      <c r="O38" s="153"/>
      <c r="P38" s="153"/>
      <c r="Q38" s="153"/>
      <c r="R38" s="220"/>
      <c r="AN38" s="59"/>
      <c r="AO38" s="59"/>
      <c r="AP38" s="59"/>
      <c r="AQ38" s="59"/>
      <c r="AR38" s="59"/>
      <c r="AS38" s="59"/>
    </row>
    <row r="39" customFormat="false" ht="12.75" hidden="false" customHeight="true" outlineLevel="0" collapsed="false">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K40" s="153"/>
      <c r="L40" s="153"/>
      <c r="M40" s="153"/>
      <c r="N40" s="153"/>
      <c r="O40" s="153"/>
      <c r="P40" s="153"/>
      <c r="AJ40" s="59"/>
      <c r="AK40" s="59"/>
      <c r="AN40" s="59"/>
      <c r="AO40" s="59"/>
      <c r="AP40" s="59"/>
      <c r="AQ40" s="59"/>
      <c r="AR40" s="59"/>
      <c r="AS40" s="59"/>
    </row>
    <row r="41" customFormat="false" ht="12.75" hidden="false" customHeight="true" outlineLevel="0" collapsed="false">
      <c r="A41" s="271" t="s">
        <v>208</v>
      </c>
      <c r="B41" s="271"/>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SUM(C47:C76)-C61-C68-C69</f>
        <v>2042967</v>
      </c>
      <c r="D43" s="275" t="n">
        <f aca="false">SUM(D47:D76)-D61-D68-D69</f>
        <v>-2866173</v>
      </c>
      <c r="E43" s="275" t="n">
        <f aca="false">SUM(E47:E76)-E61-E68-E69</f>
        <v>-1750</v>
      </c>
      <c r="F43" s="275" t="n">
        <f aca="false">SUM(F47:F76)-F61-F68-F69</f>
        <v>0</v>
      </c>
      <c r="G43" s="275" t="n">
        <f aca="false">SUM(G47:G76)-G61-G68-G69</f>
        <v>0</v>
      </c>
      <c r="H43" s="275" t="n">
        <f aca="false">SUM(H47:H76)-H61-H68-H69</f>
        <v>-1114873</v>
      </c>
      <c r="I43" s="275" t="n">
        <f aca="false">SUM(I47:I76)-N61-I68-I69</f>
        <v>-970913</v>
      </c>
      <c r="J43" s="275" t="n">
        <f aca="false">SUM(J47:J76)-J61-J68-J69</f>
        <v>-1580797</v>
      </c>
      <c r="K43" s="275" t="n">
        <f aca="false">SUM(K47:K76)-K61-K68-K69</f>
        <v>-362168</v>
      </c>
      <c r="L43" s="275" t="n">
        <f aca="false">SUM(L47:L76)-L61-L68-L69</f>
        <v>194499</v>
      </c>
      <c r="M43" s="275" t="n">
        <f aca="false">SUM(M47:M76)-M61-M68-M69</f>
        <v>0</v>
      </c>
      <c r="N43" s="275" t="n">
        <f aca="false">SUM(N47:N76)-N61-N68-N69</f>
        <v>0</v>
      </c>
      <c r="O43" s="275" t="n">
        <f aca="false">SUM(O47:O76)-O61-O68-O69</f>
        <v>-544356</v>
      </c>
      <c r="P43" s="275" t="n">
        <f aca="false">SUM(P47:P76)-P61-P68-P69</f>
        <v>419308</v>
      </c>
      <c r="Q43" s="275" t="n">
        <f aca="false">SUM(Q47:Q76)-Q61-Q68-Q69</f>
        <v>-1146924</v>
      </c>
      <c r="R43" s="275" t="n">
        <f aca="false">SUM(R47:R76)-R61-R68-R69</f>
        <v>720479</v>
      </c>
      <c r="S43" s="275" t="n">
        <f aca="false">SUM(S47:S76)-S61-S68-S69</f>
        <v>-2355154</v>
      </c>
      <c r="T43" s="275" t="n">
        <f aca="false">SUM(T47:T76)-T61-T68-T69</f>
        <v>0</v>
      </c>
      <c r="U43" s="275" t="n">
        <f aca="false">SUM(U47:U76)-U61-U68-U69</f>
        <v>0</v>
      </c>
      <c r="V43" s="275" t="n">
        <f aca="false">SUM(V47:V76)-V61-V68-V69</f>
        <v>0</v>
      </c>
      <c r="W43" s="275" t="n">
        <f aca="false">SUM(W47:W76)-W61-W68-W69</f>
        <v>0</v>
      </c>
      <c r="X43" s="275" t="n">
        <f aca="false">SUM(X47:X76)-X61-X68-X69</f>
        <v>0</v>
      </c>
      <c r="Y43" s="275" t="n">
        <f aca="false">SUM(Y47:Y76)-Y61-Y68-Y69</f>
        <v>0</v>
      </c>
      <c r="Z43" s="275" t="n">
        <f aca="false">SUM(Z47:Z76)-Z61-Z68-Z69</f>
        <v>0</v>
      </c>
      <c r="AA43" s="275" t="n">
        <f aca="false">SUM(AA47:AA76)-AA61-AA68-AA69</f>
        <v>0</v>
      </c>
      <c r="AB43" s="275" t="n">
        <f aca="false">SUM(AB47:AB76)-AB60-AB68-AB69</f>
        <v>0</v>
      </c>
      <c r="AC43" s="275" t="n">
        <f aca="false">SUM(AC47:AC76)-AC61-AC68-AC69</f>
        <v>0</v>
      </c>
      <c r="AD43" s="275" t="n">
        <f aca="false">SUM(AD47:AD76)-AD61-AD68-AD69</f>
        <v>0</v>
      </c>
      <c r="AE43" s="275" t="n">
        <f aca="false">SUM(AE47:AE76)-AE60-AE68-AE69</f>
        <v>0</v>
      </c>
      <c r="AF43" s="275" t="n">
        <f aca="false">SUM(AF47:AF76)-AF61-AF68-AF69</f>
        <v>0</v>
      </c>
      <c r="AG43" s="275" t="n">
        <f aca="false">SUM(AG47:AG76)-AG61-AG68-AG69</f>
        <v>0</v>
      </c>
      <c r="AH43" s="59"/>
      <c r="AI43" s="276" t="s">
        <v>211</v>
      </c>
      <c r="AJ43" s="277" t="s">
        <v>212</v>
      </c>
      <c r="AK43" s="59"/>
      <c r="AL43" s="77"/>
      <c r="AN43" s="59"/>
      <c r="AO43" s="59"/>
      <c r="AP43" s="59"/>
      <c r="AQ43" s="59"/>
      <c r="AR43" s="59"/>
      <c r="AS43" s="59"/>
    </row>
    <row r="44" customFormat="false" ht="15.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291"/>
      <c r="D46" s="292"/>
      <c r="E46" s="292"/>
      <c r="F46" s="292"/>
      <c r="G46" s="292"/>
      <c r="H46" s="292"/>
      <c r="I46" s="292"/>
      <c r="J46" s="292"/>
      <c r="K46" s="292"/>
      <c r="L46" s="292"/>
      <c r="M46" s="292"/>
      <c r="N46" s="292"/>
      <c r="O46" s="292"/>
      <c r="P46" s="292"/>
      <c r="Q46" s="292"/>
      <c r="R46" s="292"/>
      <c r="S46" s="292"/>
      <c r="T46" s="291"/>
      <c r="U46" s="292"/>
      <c r="V46" s="292"/>
      <c r="W46" s="292"/>
      <c r="X46" s="292"/>
      <c r="Y46" s="292"/>
      <c r="Z46" s="293"/>
      <c r="AA46" s="292"/>
      <c r="AB46" s="292"/>
      <c r="AC46" s="293"/>
      <c r="AD46" s="292"/>
      <c r="AE46" s="293"/>
      <c r="AF46" s="292"/>
      <c r="AG46" s="293"/>
      <c r="AH46" s="59"/>
      <c r="AI46" s="287" t="n">
        <v>3</v>
      </c>
      <c r="AJ46" s="288" t="s">
        <v>217</v>
      </c>
      <c r="AK46" s="59"/>
      <c r="AL46" s="153"/>
      <c r="AN46" s="59"/>
      <c r="AO46" s="59"/>
      <c r="AP46" s="59"/>
      <c r="AQ46" s="59"/>
      <c r="AR46" s="59"/>
      <c r="AS46" s="59"/>
    </row>
    <row r="47" customFormat="false" ht="12.75" hidden="false" customHeight="true" outlineLevel="0" collapsed="false">
      <c r="A47" s="231" t="s">
        <v>218</v>
      </c>
      <c r="B47" s="294" t="n">
        <f aca="false">SUM(C47:AG47)</f>
        <v>-3144036</v>
      </c>
      <c r="C47" s="226" t="n">
        <f aca="false">27+652348</f>
        <v>652375</v>
      </c>
      <c r="D47" s="226" t="n">
        <f aca="false">12-2858727</f>
        <v>-2858715</v>
      </c>
      <c r="E47" s="226" t="n">
        <v>22</v>
      </c>
      <c r="F47" s="226"/>
      <c r="G47" s="226"/>
      <c r="H47" s="226" t="n">
        <v>-9</v>
      </c>
      <c r="I47" s="226" t="n">
        <v>-219039</v>
      </c>
      <c r="J47" s="226" t="n">
        <v>-243198</v>
      </c>
      <c r="K47" s="226" t="n">
        <v>-101724</v>
      </c>
      <c r="L47" s="226" t="n">
        <v>-10518</v>
      </c>
      <c r="M47" s="226"/>
      <c r="N47" s="226"/>
      <c r="O47" s="226" t="n">
        <v>-230331</v>
      </c>
      <c r="P47" s="226" t="n">
        <f aca="false">-303197+171194</f>
        <v>-132003</v>
      </c>
      <c r="Q47" s="226" t="n">
        <v>-475385</v>
      </c>
      <c r="R47" s="226" t="n">
        <v>1345000</v>
      </c>
      <c r="S47" s="226" t="n">
        <v>-870511</v>
      </c>
      <c r="T47" s="226"/>
      <c r="U47" s="226"/>
      <c r="V47" s="226"/>
      <c r="W47" s="226"/>
      <c r="X47" s="226"/>
      <c r="Y47" s="226"/>
      <c r="Z47" s="226"/>
      <c r="AA47" s="226"/>
      <c r="AB47" s="226"/>
      <c r="AC47" s="226"/>
      <c r="AD47" s="226"/>
      <c r="AE47" s="226"/>
      <c r="AF47" s="226"/>
      <c r="AG47" s="226"/>
      <c r="AH47" s="59"/>
      <c r="AI47" s="287" t="n">
        <v>4</v>
      </c>
      <c r="AJ47" s="288" t="s">
        <v>219</v>
      </c>
      <c r="AK47" s="59"/>
      <c r="AL47" s="61"/>
      <c r="AM47" s="60"/>
      <c r="AN47" s="98"/>
      <c r="AO47" s="59"/>
      <c r="AP47" s="59"/>
      <c r="AQ47" s="59"/>
      <c r="AR47" s="59"/>
      <c r="AS47" s="59"/>
    </row>
    <row r="48" customFormat="false" ht="12.75" hidden="false" customHeight="true" outlineLevel="0" collapsed="false">
      <c r="A48" s="295" t="s">
        <v>220</v>
      </c>
      <c r="B48" s="294" t="n">
        <f aca="false">SUM(C48:AG48)</f>
        <v>-4703036</v>
      </c>
      <c r="C48" s="226" t="n">
        <v>1365642</v>
      </c>
      <c r="D48" s="226" t="n">
        <v>-242893</v>
      </c>
      <c r="E48" s="226" t="n">
        <v>5398</v>
      </c>
      <c r="F48" s="226"/>
      <c r="G48" s="226"/>
      <c r="H48" s="226" t="n">
        <v>-1116296</v>
      </c>
      <c r="I48" s="226" t="n">
        <v>-740114</v>
      </c>
      <c r="J48" s="226" t="n">
        <v>-1320780</v>
      </c>
      <c r="K48" s="226" t="n">
        <v>-136944</v>
      </c>
      <c r="L48" s="226" t="n">
        <v>140240</v>
      </c>
      <c r="M48" s="226"/>
      <c r="N48" s="226"/>
      <c r="O48" s="226" t="n">
        <v>-313397</v>
      </c>
      <c r="P48" s="226" t="n">
        <v>199030</v>
      </c>
      <c r="Q48" s="226" t="n">
        <v>-397597</v>
      </c>
      <c r="R48" s="226" t="n">
        <v>-612061</v>
      </c>
      <c r="S48" s="226" t="n">
        <v>-1533264</v>
      </c>
      <c r="T48" s="226"/>
      <c r="U48" s="226"/>
      <c r="V48" s="226"/>
      <c r="W48" s="226"/>
      <c r="X48" s="226"/>
      <c r="Y48" s="226"/>
      <c r="Z48" s="226"/>
      <c r="AA48" s="226"/>
      <c r="AB48" s="226"/>
      <c r="AC48" s="226"/>
      <c r="AD48" s="226"/>
      <c r="AE48" s="226"/>
      <c r="AF48" s="226"/>
      <c r="AG48" s="226"/>
      <c r="AH48" s="59"/>
      <c r="AI48" s="287" t="n">
        <v>5</v>
      </c>
      <c r="AJ48" s="288" t="s">
        <v>221</v>
      </c>
      <c r="AK48" s="59"/>
      <c r="AL48" s="61"/>
      <c r="AM48" s="226"/>
      <c r="AN48" s="296"/>
      <c r="AO48" s="61"/>
      <c r="AP48" s="61"/>
      <c r="AQ48" s="61"/>
      <c r="AR48" s="61"/>
      <c r="AS48" s="61"/>
      <c r="AT48" s="199"/>
      <c r="AU48" s="199"/>
    </row>
    <row r="49" customFormat="false" ht="12.75" hidden="true" customHeight="true" outlineLevel="0" collapsed="false">
      <c r="A49" s="295" t="s">
        <v>222</v>
      </c>
      <c r="B49" s="294" t="n">
        <f aca="false">SUM(C49:AG49)</f>
        <v>0</v>
      </c>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59"/>
      <c r="AI49" s="287" t="n">
        <v>6</v>
      </c>
      <c r="AJ49" s="288" t="s">
        <v>223</v>
      </c>
      <c r="AK49" s="59"/>
      <c r="AL49" s="61"/>
      <c r="AM49" s="226"/>
      <c r="AN49" s="296"/>
      <c r="AO49" s="61"/>
      <c r="AP49" s="61"/>
      <c r="AQ49" s="61"/>
      <c r="AR49" s="61"/>
      <c r="AS49" s="61"/>
      <c r="AT49" s="199"/>
      <c r="AU49" s="199"/>
    </row>
    <row r="50" customFormat="false" ht="12.75" hidden="true" customHeight="true" outlineLevel="0" collapsed="false">
      <c r="A50" s="295" t="s">
        <v>224</v>
      </c>
      <c r="B50" s="294" t="n">
        <f aca="false">SUM(C50:AG50)</f>
        <v>0</v>
      </c>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59"/>
      <c r="AI50" s="297" t="n">
        <v>7</v>
      </c>
      <c r="AJ50" s="298" t="s">
        <v>214</v>
      </c>
      <c r="AK50" s="59"/>
      <c r="AL50" s="60"/>
      <c r="AM50" s="60"/>
      <c r="AN50" s="296"/>
      <c r="AO50" s="61"/>
      <c r="AP50" s="61"/>
      <c r="AQ50" s="61"/>
      <c r="AR50" s="61"/>
      <c r="AS50" s="61"/>
      <c r="AT50" s="199"/>
      <c r="AU50" s="199"/>
    </row>
    <row r="51" customFormat="false" ht="12.75" hidden="false" customHeight="true" outlineLevel="0" collapsed="false">
      <c r="A51" s="295" t="s">
        <v>225</v>
      </c>
      <c r="B51" s="294" t="n">
        <f aca="false">SUM(C51:AG51)+'[1]Price - East '!B51</f>
        <v>-66338</v>
      </c>
      <c r="C51" s="226" t="n">
        <v>400</v>
      </c>
      <c r="D51" s="226" t="n">
        <v>-15</v>
      </c>
      <c r="E51" s="226" t="n">
        <v>-20</v>
      </c>
      <c r="F51" s="226"/>
      <c r="G51" s="226"/>
      <c r="H51" s="226" t="n">
        <v>-43</v>
      </c>
      <c r="I51" s="226" t="n">
        <v>-2484</v>
      </c>
      <c r="J51" s="226" t="n">
        <v>-9272</v>
      </c>
      <c r="K51" s="226" t="n">
        <v>-19269</v>
      </c>
      <c r="L51" s="226" t="n">
        <v>17612</v>
      </c>
      <c r="M51" s="226"/>
      <c r="N51" s="226"/>
      <c r="O51" s="226" t="n">
        <v>-5165</v>
      </c>
      <c r="P51" s="226" t="n">
        <v>-4820</v>
      </c>
      <c r="Q51" s="226" t="n">
        <v>-24991</v>
      </c>
      <c r="R51" s="226" t="n">
        <v>-3969</v>
      </c>
      <c r="S51" s="226" t="n">
        <v>-14302</v>
      </c>
      <c r="T51" s="226"/>
      <c r="U51" s="226"/>
      <c r="V51" s="226"/>
      <c r="W51" s="226"/>
      <c r="X51" s="226"/>
      <c r="Y51" s="226"/>
      <c r="Z51" s="226"/>
      <c r="AA51" s="226"/>
      <c r="AB51" s="226"/>
      <c r="AC51" s="226"/>
      <c r="AD51" s="226"/>
      <c r="AE51" s="226"/>
      <c r="AF51" s="226"/>
      <c r="AG51" s="226"/>
      <c r="AH51" s="59"/>
      <c r="AI51" s="199"/>
      <c r="AJ51" s="59"/>
      <c r="AK51" s="59"/>
      <c r="AL51" s="60"/>
      <c r="AM51" s="60"/>
      <c r="AN51" s="98"/>
      <c r="AO51" s="59"/>
      <c r="AP51" s="59"/>
      <c r="AQ51" s="59"/>
      <c r="AR51" s="59"/>
      <c r="AS51" s="59"/>
    </row>
    <row r="52" customFormat="false" ht="12.75" hidden="true" customHeight="true" outlineLevel="0" collapsed="false">
      <c r="A52" s="295" t="s">
        <v>226</v>
      </c>
      <c r="B52" s="294" t="n">
        <f aca="false">SUM(C52:AG52)</f>
        <v>0</v>
      </c>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226"/>
      <c r="AH52" s="59"/>
      <c r="AI52" s="199"/>
      <c r="AJ52" s="59"/>
      <c r="AK52" s="59"/>
      <c r="AL52" s="60"/>
      <c r="AM52" s="60"/>
      <c r="AN52" s="98"/>
      <c r="AO52" s="59"/>
      <c r="AP52" s="59"/>
      <c r="AQ52" s="59"/>
      <c r="AR52" s="59"/>
      <c r="AS52" s="59"/>
    </row>
    <row r="53" customFormat="false" ht="12.75" hidden="false" customHeight="true" outlineLevel="0" collapsed="false">
      <c r="A53" s="231" t="s">
        <v>227</v>
      </c>
      <c r="B53" s="294" t="n">
        <f aca="false">SUM(C53:AG53)</f>
        <v>223885</v>
      </c>
      <c r="C53" s="226" t="n">
        <v>14360</v>
      </c>
      <c r="D53" s="226" t="n">
        <v>235076</v>
      </c>
      <c r="E53" s="226" t="n">
        <v>-7087</v>
      </c>
      <c r="F53" s="226"/>
      <c r="G53" s="226"/>
      <c r="H53" s="226" t="n">
        <v>944</v>
      </c>
      <c r="I53" s="226" t="n">
        <v>-6704</v>
      </c>
      <c r="J53" s="226" t="n">
        <v>0</v>
      </c>
      <c r="K53" s="226" t="n">
        <v>-102233</v>
      </c>
      <c r="L53" s="226" t="n">
        <v>48397</v>
      </c>
      <c r="M53" s="226"/>
      <c r="N53" s="226"/>
      <c r="O53" s="226"/>
      <c r="P53" s="226" t="n">
        <v>271113</v>
      </c>
      <c r="Q53" s="226" t="n">
        <v>-239053</v>
      </c>
      <c r="R53" s="226"/>
      <c r="S53" s="226" t="n">
        <v>9072</v>
      </c>
      <c r="T53" s="226"/>
      <c r="U53" s="226"/>
      <c r="V53" s="226"/>
      <c r="W53" s="226"/>
      <c r="X53" s="226"/>
      <c r="Y53" s="226"/>
      <c r="Z53" s="226"/>
      <c r="AA53" s="226"/>
      <c r="AB53" s="226"/>
      <c r="AC53" s="226"/>
      <c r="AD53" s="226"/>
      <c r="AE53" s="226"/>
      <c r="AF53" s="226"/>
      <c r="AG53" s="226"/>
      <c r="AH53" s="59"/>
      <c r="AJ53" s="59"/>
      <c r="AK53" s="59"/>
      <c r="AL53" s="61"/>
      <c r="AM53" s="60"/>
      <c r="AN53" s="98"/>
      <c r="AO53" s="59"/>
      <c r="AP53" s="59"/>
      <c r="AQ53" s="59"/>
      <c r="AR53" s="59"/>
      <c r="AS53" s="59"/>
    </row>
    <row r="54" customFormat="false" ht="12.75" hidden="false" customHeight="true" outlineLevel="0" collapsed="false">
      <c r="A54" s="231" t="s">
        <v>228</v>
      </c>
      <c r="B54" s="294" t="n">
        <f aca="false">SUM(C54:AG54)</f>
        <v>0</v>
      </c>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59"/>
      <c r="AJ54" s="59"/>
      <c r="AK54" s="59"/>
      <c r="AL54" s="61"/>
      <c r="AM54" s="60"/>
      <c r="AN54" s="98"/>
      <c r="AO54" s="59"/>
      <c r="AP54" s="59"/>
      <c r="AQ54" s="59"/>
      <c r="AR54" s="59"/>
      <c r="AS54" s="59"/>
    </row>
    <row r="55" customFormat="false" ht="12.75" hidden="false" customHeight="true" outlineLevel="0" collapsed="false">
      <c r="A55" s="231" t="s">
        <v>229</v>
      </c>
      <c r="B55" s="294" t="n">
        <f aca="false">SUM(C55:AG55)</f>
        <v>19119</v>
      </c>
      <c r="C55" s="226"/>
      <c r="D55" s="226"/>
      <c r="E55" s="226"/>
      <c r="F55" s="226"/>
      <c r="G55" s="226"/>
      <c r="H55" s="226"/>
      <c r="I55" s="226"/>
      <c r="J55" s="226"/>
      <c r="K55" s="226"/>
      <c r="L55" s="226"/>
      <c r="M55" s="226"/>
      <c r="N55" s="226"/>
      <c r="O55" s="226"/>
      <c r="P55" s="226"/>
      <c r="Q55" s="226"/>
      <c r="R55" s="226"/>
      <c r="S55" s="226" t="n">
        <f aca="false">19119</f>
        <v>19119</v>
      </c>
      <c r="T55" s="226"/>
      <c r="U55" s="226"/>
      <c r="V55" s="226"/>
      <c r="W55" s="226"/>
      <c r="X55" s="226"/>
      <c r="Y55" s="226"/>
      <c r="Z55" s="226"/>
      <c r="AA55" s="226"/>
      <c r="AB55" s="226"/>
      <c r="AC55" s="226"/>
      <c r="AD55" s="226"/>
      <c r="AE55" s="226"/>
      <c r="AF55" s="226"/>
      <c r="AG55" s="226"/>
      <c r="AH55" s="59"/>
      <c r="AJ55" s="59"/>
      <c r="AK55" s="59"/>
      <c r="AL55" s="61"/>
      <c r="AM55" s="60"/>
      <c r="AN55" s="98"/>
      <c r="AO55" s="59"/>
      <c r="AP55" s="59"/>
      <c r="AQ55" s="59"/>
      <c r="AR55" s="59"/>
      <c r="AS55" s="59"/>
    </row>
    <row r="56" customFormat="false" ht="12.75" hidden="false" customHeight="true" outlineLevel="0" collapsed="false">
      <c r="A56" s="231" t="s">
        <v>230</v>
      </c>
      <c r="B56" s="294" t="n">
        <f aca="false">SUM(C56:AG56)</f>
        <v>0</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59"/>
      <c r="AI56" s="199"/>
      <c r="AJ56" s="59"/>
      <c r="AK56" s="59"/>
      <c r="AL56" s="61"/>
      <c r="AM56" s="60"/>
      <c r="AN56" s="98"/>
      <c r="AO56" s="59"/>
      <c r="AP56" s="59"/>
      <c r="AQ56" s="59"/>
      <c r="AR56" s="59"/>
      <c r="AS56" s="59"/>
    </row>
    <row r="57" customFormat="false" ht="12.75" hidden="false" customHeight="true" outlineLevel="0" collapsed="false">
      <c r="A57" s="295" t="s">
        <v>231</v>
      </c>
      <c r="B57" s="294" t="n">
        <f aca="false">SUM(C57:AG57)</f>
        <v>0</v>
      </c>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59"/>
      <c r="AI57" s="199"/>
      <c r="AJ57" s="59"/>
      <c r="AK57" s="59"/>
      <c r="AL57" s="61"/>
      <c r="AM57" s="60"/>
      <c r="AN57" s="98"/>
      <c r="AO57" s="59"/>
      <c r="AP57" s="59"/>
      <c r="AQ57" s="59"/>
      <c r="AR57" s="59"/>
      <c r="AS57" s="59"/>
    </row>
    <row r="58" customFormat="false" ht="12.75" hidden="false" customHeight="true" outlineLevel="0" collapsed="false">
      <c r="A58" s="295" t="s">
        <v>232</v>
      </c>
      <c r="B58" s="294" t="n">
        <f aca="false">SUM(C58:AG58)+'[1]Price - East '!B58</f>
        <v>350</v>
      </c>
      <c r="C58" s="226" t="n">
        <v>-114</v>
      </c>
      <c r="D58" s="226" t="n">
        <v>199</v>
      </c>
      <c r="E58" s="226" t="n">
        <v>55</v>
      </c>
      <c r="F58" s="226"/>
      <c r="G58" s="226"/>
      <c r="H58" s="226" t="n">
        <v>51</v>
      </c>
      <c r="I58" s="226" t="n">
        <v>-86</v>
      </c>
      <c r="J58" s="226" t="n">
        <v>135</v>
      </c>
      <c r="K58" s="226" t="n">
        <v>9</v>
      </c>
      <c r="L58" s="226" t="n">
        <v>79</v>
      </c>
      <c r="M58" s="226"/>
      <c r="N58" s="226"/>
      <c r="O58" s="226" t="n">
        <v>-5</v>
      </c>
      <c r="P58" s="226" t="n">
        <v>-50</v>
      </c>
      <c r="Q58" s="226" t="n">
        <v>-25</v>
      </c>
      <c r="R58" s="226" t="n">
        <v>-15</v>
      </c>
      <c r="S58" s="226" t="n">
        <v>117</v>
      </c>
      <c r="T58" s="226"/>
      <c r="U58" s="226"/>
      <c r="V58" s="226"/>
      <c r="W58" s="226"/>
      <c r="X58" s="226"/>
      <c r="Y58" s="226"/>
      <c r="Z58" s="226"/>
      <c r="AA58" s="226"/>
      <c r="AB58" s="226"/>
      <c r="AC58" s="226"/>
      <c r="AD58" s="226"/>
      <c r="AE58" s="226"/>
      <c r="AF58" s="226"/>
      <c r="AG58" s="226"/>
      <c r="AH58" s="59"/>
      <c r="AI58" s="199"/>
      <c r="AJ58" s="59"/>
      <c r="AK58" s="59"/>
      <c r="AL58" s="61"/>
      <c r="AM58" s="60"/>
      <c r="AN58" s="296"/>
      <c r="AO58" s="61"/>
      <c r="AP58" s="61"/>
      <c r="AQ58" s="61"/>
      <c r="AR58" s="61"/>
      <c r="AS58" s="61"/>
      <c r="AT58" s="199"/>
      <c r="AU58" s="199"/>
      <c r="AV58" s="199"/>
      <c r="AW58" s="199"/>
      <c r="AX58" s="199"/>
    </row>
    <row r="59" customFormat="false" ht="12.75" hidden="false" customHeight="true" outlineLevel="0" collapsed="false">
      <c r="A59" s="295" t="s">
        <v>233</v>
      </c>
      <c r="B59" s="294" t="n">
        <f aca="false">SUM(C59:AG59)+'[1]Price - East '!B59</f>
        <v>-8487</v>
      </c>
      <c r="C59" s="226" t="n">
        <v>-4</v>
      </c>
      <c r="D59" s="226" t="n">
        <v>-121</v>
      </c>
      <c r="E59" s="226" t="n">
        <v>-122</v>
      </c>
      <c r="F59" s="226"/>
      <c r="G59" s="226"/>
      <c r="H59" s="226" t="n">
        <v>-369</v>
      </c>
      <c r="I59" s="226" t="n">
        <v>-301</v>
      </c>
      <c r="J59" s="226" t="n">
        <v>-455</v>
      </c>
      <c r="K59" s="226" t="n">
        <v>-709</v>
      </c>
      <c r="L59" s="226" t="n">
        <v>-768</v>
      </c>
      <c r="M59" s="226"/>
      <c r="N59" s="226"/>
      <c r="O59" s="226" t="n">
        <v>-2211</v>
      </c>
      <c r="P59" s="226" t="n">
        <v>-824</v>
      </c>
      <c r="Q59" s="226" t="n">
        <v>-783</v>
      </c>
      <c r="R59" s="226" t="n">
        <v>-967</v>
      </c>
      <c r="S59" s="226" t="n">
        <v>-853</v>
      </c>
      <c r="T59" s="226"/>
      <c r="U59" s="226"/>
      <c r="V59" s="226"/>
      <c r="W59" s="226"/>
      <c r="X59" s="226"/>
      <c r="Y59" s="226"/>
      <c r="Z59" s="226"/>
      <c r="AA59" s="226"/>
      <c r="AB59" s="226"/>
      <c r="AC59" s="226"/>
      <c r="AD59" s="226"/>
      <c r="AE59" s="226"/>
      <c r="AF59" s="226"/>
      <c r="AG59" s="226"/>
      <c r="AH59" s="59"/>
      <c r="AI59" s="199"/>
      <c r="AJ59" s="59"/>
      <c r="AK59" s="59"/>
      <c r="AL59" s="61"/>
      <c r="AM59" s="60"/>
      <c r="AN59" s="296"/>
      <c r="AO59" s="61"/>
      <c r="AP59" s="61"/>
      <c r="AQ59" s="61"/>
      <c r="AR59" s="61"/>
      <c r="AS59" s="61"/>
      <c r="AT59" s="199"/>
      <c r="AU59" s="199"/>
      <c r="AV59" s="199"/>
      <c r="AW59" s="199"/>
      <c r="AX59" s="199"/>
    </row>
    <row r="60" customFormat="false" ht="12.75" hidden="false" customHeight="true" outlineLevel="0" collapsed="false">
      <c r="A60" s="295" t="s">
        <v>234</v>
      </c>
      <c r="B60" s="294" t="n">
        <f aca="false">SUM(C60:AG60)</f>
        <v>0</v>
      </c>
      <c r="C60" s="226"/>
      <c r="D60" s="0"/>
      <c r="E60" s="0"/>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59"/>
      <c r="AI60" s="199"/>
      <c r="AJ60" s="59"/>
      <c r="AK60" s="59"/>
      <c r="AL60" s="61"/>
      <c r="AM60" s="60"/>
      <c r="AN60" s="296"/>
      <c r="AO60" s="61"/>
      <c r="AP60" s="61"/>
      <c r="AQ60" s="61"/>
      <c r="AR60" s="61"/>
      <c r="AS60" s="61"/>
      <c r="AT60" s="199"/>
      <c r="AU60" s="199"/>
      <c r="AV60" s="199"/>
      <c r="AW60" s="199"/>
      <c r="AX60" s="199"/>
    </row>
    <row r="61" customFormat="false" ht="12.75" hidden="false" customHeight="true" outlineLevel="0" collapsed="false">
      <c r="A61" s="295" t="s">
        <v>235</v>
      </c>
      <c r="B61" s="294" t="n">
        <f aca="false">SUM(C61:AG61)</f>
        <v>0</v>
      </c>
      <c r="C61" s="226"/>
      <c r="D61" s="226"/>
      <c r="E61" s="226"/>
      <c r="F61" s="226"/>
      <c r="G61" s="226"/>
      <c r="H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59"/>
      <c r="AJ61" s="59"/>
      <c r="AK61" s="59"/>
      <c r="AL61" s="61"/>
      <c r="AM61" s="60"/>
      <c r="AN61" s="98"/>
      <c r="AO61" s="59"/>
      <c r="AP61" s="59"/>
      <c r="AQ61" s="59"/>
      <c r="AR61" s="59"/>
      <c r="AS61" s="59"/>
    </row>
    <row r="62" customFormat="false" ht="12.75" hidden="false" customHeight="true" outlineLevel="0" collapsed="false">
      <c r="A62" s="295" t="s">
        <v>236</v>
      </c>
      <c r="B62" s="294" t="n">
        <f aca="false">SUM(C62:AG62)+'[1]Price - East '!B62</f>
        <v>112688</v>
      </c>
      <c r="C62" s="226" t="n">
        <f aca="false">260+10049-1</f>
        <v>10308</v>
      </c>
      <c r="D62" s="226" t="n">
        <f aca="false">-35+331</f>
        <v>296</v>
      </c>
      <c r="E62" s="226" t="n">
        <f aca="false">4</f>
        <v>4</v>
      </c>
      <c r="F62" s="226"/>
      <c r="G62" s="226"/>
      <c r="H62" s="226" t="n">
        <f aca="false">-524+1375-2</f>
        <v>849</v>
      </c>
      <c r="I62" s="226" t="n">
        <f aca="false">-165-2019-1</f>
        <v>-2185</v>
      </c>
      <c r="J62" s="226" t="n">
        <f aca="false">-230-6997</f>
        <v>-7227</v>
      </c>
      <c r="K62" s="226" t="n">
        <f aca="false">-42-1256</f>
        <v>-1298</v>
      </c>
      <c r="L62" s="226" t="n">
        <f aca="false">21-563-1</f>
        <v>-543</v>
      </c>
      <c r="M62" s="226"/>
      <c r="N62" s="226"/>
      <c r="O62" s="226" t="n">
        <f aca="false">7423-671+1</f>
        <v>6753</v>
      </c>
      <c r="P62" s="226" t="n">
        <f aca="false">86958-95-1</f>
        <v>86862</v>
      </c>
      <c r="Q62" s="226" t="n">
        <f aca="false">-4264-4826</f>
        <v>-9090</v>
      </c>
      <c r="R62" s="226" t="n">
        <f aca="false">-8023+515-1</f>
        <v>-7509</v>
      </c>
      <c r="S62" s="226" t="n">
        <f aca="false">42485-7017</f>
        <v>35468</v>
      </c>
      <c r="T62" s="226"/>
      <c r="U62" s="226"/>
      <c r="V62" s="226"/>
      <c r="W62" s="226"/>
      <c r="X62" s="226"/>
      <c r="Y62" s="226"/>
      <c r="Z62" s="226"/>
      <c r="AA62" s="226"/>
      <c r="AB62" s="226"/>
      <c r="AC62" s="226"/>
      <c r="AD62" s="226"/>
      <c r="AE62" s="226"/>
      <c r="AF62" s="226"/>
      <c r="AG62" s="226"/>
      <c r="AH62" s="59"/>
      <c r="AJ62" s="59"/>
      <c r="AK62" s="59"/>
      <c r="AL62" s="61"/>
      <c r="AM62" s="60"/>
      <c r="AN62" s="98"/>
      <c r="AO62" s="98"/>
      <c r="AP62" s="59"/>
      <c r="AQ62" s="59"/>
      <c r="AR62" s="59"/>
      <c r="AS62" s="59"/>
    </row>
    <row r="63" customFormat="false" ht="12.75" hidden="false" customHeight="true" outlineLevel="0" collapsed="false">
      <c r="A63" s="295" t="s">
        <v>189</v>
      </c>
      <c r="B63" s="294" t="n">
        <f aca="false">SUM(C63:AG63)</f>
        <v>0</v>
      </c>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59"/>
      <c r="AI63" s="199"/>
      <c r="AJ63" s="59"/>
      <c r="AK63" s="59"/>
      <c r="AL63" s="61"/>
      <c r="AM63" s="60"/>
      <c r="AN63" s="98"/>
      <c r="AO63" s="59"/>
      <c r="AP63" s="59"/>
      <c r="AQ63" s="59"/>
      <c r="AR63" s="59"/>
      <c r="AS63" s="59"/>
    </row>
    <row r="64" customFormat="false" ht="12.75" hidden="false" customHeight="true" outlineLevel="0" collapsed="false">
      <c r="A64" s="295" t="s">
        <v>237</v>
      </c>
      <c r="B64" s="294" t="n">
        <f aca="false">SUM(C64:AG64)</f>
        <v>0</v>
      </c>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59"/>
      <c r="AI64" s="199"/>
      <c r="AJ64" s="59"/>
      <c r="AK64" s="59"/>
      <c r="AL64" s="60"/>
      <c r="AM64" s="60"/>
      <c r="AN64" s="59"/>
      <c r="AO64" s="59"/>
      <c r="AP64" s="59"/>
      <c r="AQ64" s="59"/>
      <c r="AR64" s="59"/>
      <c r="AS64" s="59"/>
    </row>
    <row r="65" customFormat="false" ht="12.75" hidden="false" customHeight="true" outlineLevel="0" collapsed="false">
      <c r="A65" s="231" t="s">
        <v>238</v>
      </c>
      <c r="B65" s="294" t="n">
        <f aca="false">SUM(C65:AG65)</f>
        <v>0</v>
      </c>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59"/>
      <c r="AJ65" s="59"/>
      <c r="AK65" s="59"/>
      <c r="AL65" s="61"/>
      <c r="AM65" s="60"/>
      <c r="AN65" s="59"/>
      <c r="AO65" s="59"/>
      <c r="AP65" s="59"/>
      <c r="AQ65" s="59"/>
      <c r="AR65" s="59"/>
      <c r="AS65" s="59"/>
    </row>
    <row r="66" customFormat="false" ht="12.75" hidden="true" customHeight="true" outlineLevel="0" collapsed="false">
      <c r="A66" s="231" t="s">
        <v>239</v>
      </c>
      <c r="B66" s="294" t="n">
        <f aca="false">SUM(C66:AG66)</f>
        <v>0</v>
      </c>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59"/>
      <c r="AI66" s="199"/>
      <c r="AJ66" s="59"/>
      <c r="AK66" s="59"/>
      <c r="AL66" s="61"/>
      <c r="AM66" s="60"/>
      <c r="AN66" s="59"/>
      <c r="AO66" s="59"/>
      <c r="AP66" s="59"/>
      <c r="AQ66" s="59"/>
      <c r="AR66" s="59"/>
      <c r="AS66" s="59"/>
    </row>
    <row r="67" customFormat="false" ht="12.75" hidden="false" customHeight="true" outlineLevel="0" collapsed="false">
      <c r="A67" s="231" t="s">
        <v>240</v>
      </c>
      <c r="B67" s="299" t="n">
        <f aca="false">SUM(C67:AG67)</f>
        <v>0</v>
      </c>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59"/>
      <c r="AI67" s="199"/>
      <c r="AJ67" s="59"/>
      <c r="AK67" s="59"/>
      <c r="AL67" s="61"/>
      <c r="AM67" s="60"/>
      <c r="AN67" s="59"/>
      <c r="AO67" s="59"/>
      <c r="AP67" s="59"/>
      <c r="AQ67" s="59"/>
      <c r="AR67" s="59"/>
      <c r="AS67" s="59"/>
    </row>
    <row r="68" customFormat="false" ht="12.75" hidden="false" customHeight="true" outlineLevel="0" collapsed="false">
      <c r="A68" s="231" t="s">
        <v>241</v>
      </c>
      <c r="B68" s="294" t="n">
        <f aca="false">SUM(C68:AG68)</f>
        <v>0</v>
      </c>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59"/>
      <c r="AJ68" s="59"/>
      <c r="AK68" s="59"/>
      <c r="AL68" s="61"/>
      <c r="AM68" s="60"/>
      <c r="AN68" s="59"/>
      <c r="AO68" s="59"/>
      <c r="AP68" s="59"/>
      <c r="AQ68" s="59"/>
      <c r="AR68" s="59"/>
      <c r="AS68" s="59"/>
    </row>
    <row r="69" customFormat="false" ht="12.75" hidden="false" customHeight="true" outlineLevel="0" collapsed="false">
      <c r="A69" s="295" t="s">
        <v>242</v>
      </c>
      <c r="B69" s="294" t="n">
        <f aca="false">SUM(C69:AG69)</f>
        <v>0</v>
      </c>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59"/>
      <c r="AI69" s="199"/>
      <c r="AJ69" s="59"/>
      <c r="AK69" s="59"/>
      <c r="AL69" s="61"/>
      <c r="AM69" s="60"/>
      <c r="AN69" s="59"/>
      <c r="AO69" s="59"/>
      <c r="AP69" s="59"/>
      <c r="AQ69" s="59"/>
      <c r="AR69" s="59"/>
      <c r="AS69" s="59"/>
    </row>
    <row r="70" customFormat="false" ht="12.75" hidden="false" customHeight="true" outlineLevel="0" collapsed="false">
      <c r="A70" s="231" t="s">
        <v>243</v>
      </c>
      <c r="B70" s="294" t="n">
        <f aca="false">SUM(C70:AG70)</f>
        <v>0</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59"/>
      <c r="AJ70" s="59"/>
      <c r="AK70" s="59"/>
      <c r="AL70" s="61"/>
      <c r="AM70" s="60"/>
      <c r="AN70" s="59"/>
      <c r="AO70" s="59"/>
      <c r="AP70" s="59"/>
      <c r="AQ70" s="59"/>
      <c r="AR70" s="59"/>
      <c r="AS70" s="59"/>
    </row>
    <row r="71" customFormat="false" ht="12.75" hidden="fals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300"/>
      <c r="AH71" s="59"/>
      <c r="AJ71" s="59"/>
      <c r="AK71" s="59"/>
      <c r="AL71" s="61"/>
      <c r="AM71" s="60"/>
    </row>
    <row r="72" customFormat="false" ht="12.75" hidden="false" customHeight="true" outlineLevel="0" collapsed="false">
      <c r="A72" s="231"/>
      <c r="B72" s="294"/>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301"/>
      <c r="AH72" s="59"/>
      <c r="AJ72" s="59"/>
      <c r="AK72" s="59"/>
      <c r="AL72" s="61"/>
      <c r="AM72" s="60"/>
    </row>
    <row r="73" customFormat="false" ht="12.75" hidden="false" customHeight="true" outlineLevel="0" collapsed="false">
      <c r="A73" s="231"/>
      <c r="B73" s="294"/>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301"/>
      <c r="AH73" s="59"/>
      <c r="AJ73" s="59"/>
      <c r="AK73" s="59"/>
      <c r="AL73" s="61"/>
      <c r="AM73" s="60"/>
    </row>
    <row r="74" customFormat="false" ht="12.75" hidden="false" customHeight="true" outlineLevel="0" collapsed="false">
      <c r="A74" s="231"/>
      <c r="B74" s="294"/>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301"/>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SUM(B47:B75)-B61-B68-B69</f>
        <v>-7565855</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C78" s="193" t="n">
        <f aca="false">(+B58+B59)*-1</f>
        <v>8137</v>
      </c>
      <c r="AH78" s="153"/>
      <c r="AJ78" s="153"/>
      <c r="AK78" s="226"/>
      <c r="AL78" s="61"/>
      <c r="AM78" s="60"/>
    </row>
    <row r="79" customFormat="false" ht="12.75" hidden="false" customHeight="true" outlineLevel="0" collapsed="false">
      <c r="A79" s="153"/>
      <c r="B79" s="307"/>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c r="C81" s="275"/>
      <c r="D81" s="275"/>
      <c r="E81" s="275"/>
      <c r="F81" s="275"/>
      <c r="G81" s="275"/>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59"/>
      <c r="AI81" s="76"/>
      <c r="AJ81" s="85"/>
      <c r="AK81" s="59"/>
      <c r="AL81" s="77"/>
      <c r="AN81" s="59"/>
      <c r="AO81" s="59"/>
      <c r="AP81" s="59"/>
      <c r="AQ81" s="59"/>
      <c r="AR81" s="59"/>
      <c r="AS81" s="59"/>
    </row>
    <row r="82" customFormat="false" ht="12.75" hidden="false" customHeight="true" outlineLevel="0" collapsed="false">
      <c r="A82" s="308" t="s">
        <v>247</v>
      </c>
      <c r="B82" s="274" t="s">
        <v>210</v>
      </c>
      <c r="C82" s="275" t="n">
        <f aca="false">SUM(C86:C101)</f>
        <v>0</v>
      </c>
      <c r="D82" s="275" t="n">
        <f aca="false">SUM(D86:D101)</f>
        <v>0</v>
      </c>
      <c r="E82" s="275" t="n">
        <f aca="false">SUM(E86:E101)</f>
        <v>0</v>
      </c>
      <c r="F82" s="275" t="n">
        <f aca="false">SUM(F86:F101)</f>
        <v>0</v>
      </c>
      <c r="G82" s="275" t="n">
        <f aca="false">SUM(G86:G101)</f>
        <v>0</v>
      </c>
      <c r="H82" s="275" t="n">
        <f aca="false">SUM(H86:H101)</f>
        <v>0</v>
      </c>
      <c r="I82" s="275" t="n">
        <f aca="false">SUM(I86:I101)</f>
        <v>0</v>
      </c>
      <c r="J82" s="275" t="n">
        <f aca="false">SUM(J86:J101)</f>
        <v>0</v>
      </c>
      <c r="K82" s="275" t="n">
        <f aca="false">SUM(K86:K101)</f>
        <v>0</v>
      </c>
      <c r="L82" s="275" t="n">
        <f aca="false">SUM(L86:L101)</f>
        <v>0</v>
      </c>
      <c r="M82" s="275" t="n">
        <f aca="false">SUM(M86:M101)</f>
        <v>0</v>
      </c>
      <c r="N82" s="275" t="n">
        <f aca="false">SUM(N86:N101)</f>
        <v>0</v>
      </c>
      <c r="O82" s="275" t="n">
        <f aca="false">SUM(O86:O101)</f>
        <v>0</v>
      </c>
      <c r="P82" s="275" t="n">
        <f aca="false">SUM(P86:P101)</f>
        <v>0</v>
      </c>
      <c r="Q82" s="275" t="n">
        <f aca="false">SUM(Q86:Q101)</f>
        <v>0</v>
      </c>
      <c r="R82" s="275" t="n">
        <f aca="false">SUM(R86:R101)</f>
        <v>0</v>
      </c>
      <c r="S82" s="275" t="n">
        <f aca="false">SUM(S86:S101)</f>
        <v>0</v>
      </c>
      <c r="T82" s="275" t="n">
        <f aca="false">SUM(T86:T101)</f>
        <v>0</v>
      </c>
      <c r="U82" s="275" t="n">
        <f aca="false">SUM(U86:U101)</f>
        <v>0</v>
      </c>
      <c r="V82" s="275" t="n">
        <f aca="false">SUM(V86:V101)</f>
        <v>0</v>
      </c>
      <c r="W82" s="275" t="n">
        <f aca="false">SUM(W86:W101)</f>
        <v>0</v>
      </c>
      <c r="X82" s="275" t="n">
        <f aca="false">SUM(X86:X101)</f>
        <v>0</v>
      </c>
      <c r="Y82" s="275" t="n">
        <f aca="false">SUM(Y86:Y101)</f>
        <v>0</v>
      </c>
      <c r="Z82" s="275" t="n">
        <f aca="false">SUM(Z86:Z101)</f>
        <v>0</v>
      </c>
      <c r="AA82" s="275" t="n">
        <f aca="false">SUM(AA86:AA101)</f>
        <v>0</v>
      </c>
      <c r="AB82" s="275" t="n">
        <f aca="false">SUM(AB86:AB101)</f>
        <v>0</v>
      </c>
      <c r="AC82" s="275" t="n">
        <f aca="false">SUM(AC86:AC101)</f>
        <v>0</v>
      </c>
      <c r="AD82" s="275" t="n">
        <f aca="false">SUM(AD86:AD101)</f>
        <v>0</v>
      </c>
      <c r="AE82" s="275" t="n">
        <f aca="false">SUM(AE86:AE101)</f>
        <v>0</v>
      </c>
      <c r="AF82" s="275" t="n">
        <f aca="false">SUM(AF86:AF101)</f>
        <v>0</v>
      </c>
      <c r="AG82" s="275" t="n">
        <f aca="false">SUM(AG86:AG101)</f>
        <v>0</v>
      </c>
      <c r="AH82" s="59"/>
      <c r="AI82" s="76"/>
      <c r="AJ82" s="85"/>
      <c r="AK82" s="59"/>
      <c r="AL82" s="77"/>
      <c r="AN82" s="59"/>
      <c r="AO82" s="59"/>
      <c r="AP82" s="59"/>
      <c r="AQ82" s="59"/>
      <c r="AR82" s="59"/>
      <c r="AS82" s="59"/>
    </row>
    <row r="83" customFormat="false" ht="12.75" hidden="false" customHeight="true" outlineLevel="0" collapsed="false">
      <c r="A83" s="278" t="s">
        <v>248</v>
      </c>
      <c r="B83" s="279" t="n">
        <f aca="false">B44</f>
        <v>36831</v>
      </c>
      <c r="C83" s="280" t="n">
        <f aca="false">C44</f>
        <v>36831</v>
      </c>
      <c r="D83" s="280" t="n">
        <f aca="false">D44</f>
        <v>36832</v>
      </c>
      <c r="E83" s="280" t="n">
        <f aca="false">E44</f>
        <v>36833</v>
      </c>
      <c r="F83" s="280" t="n">
        <f aca="false">F44</f>
        <v>36834</v>
      </c>
      <c r="G83" s="280" t="n">
        <f aca="false">G44</f>
        <v>36835</v>
      </c>
      <c r="H83" s="280" t="n">
        <f aca="false">H44</f>
        <v>36836</v>
      </c>
      <c r="I83" s="280" t="n">
        <f aca="false">I44</f>
        <v>36837</v>
      </c>
      <c r="J83" s="280" t="n">
        <f aca="false">J44</f>
        <v>36838</v>
      </c>
      <c r="K83" s="280" t="n">
        <f aca="false">K44</f>
        <v>36839</v>
      </c>
      <c r="L83" s="280" t="n">
        <f aca="false">L44</f>
        <v>36840</v>
      </c>
      <c r="M83" s="280" t="n">
        <f aca="false">M44</f>
        <v>36841</v>
      </c>
      <c r="N83" s="280" t="n">
        <f aca="false">N44</f>
        <v>36842</v>
      </c>
      <c r="O83" s="280" t="n">
        <f aca="false">O44</f>
        <v>36843</v>
      </c>
      <c r="P83" s="280" t="n">
        <f aca="false">P44</f>
        <v>36844</v>
      </c>
      <c r="Q83" s="280" t="n">
        <f aca="false">Q44</f>
        <v>36845</v>
      </c>
      <c r="R83" s="280" t="n">
        <f aca="false">R44</f>
        <v>36846</v>
      </c>
      <c r="S83" s="280" t="n">
        <f aca="false">S44</f>
        <v>36847</v>
      </c>
      <c r="T83" s="280" t="n">
        <f aca="false">T44</f>
        <v>36848</v>
      </c>
      <c r="U83" s="280" t="n">
        <f aca="false">U44</f>
        <v>36849</v>
      </c>
      <c r="V83" s="280" t="n">
        <f aca="false">V44</f>
        <v>36850</v>
      </c>
      <c r="W83" s="280" t="n">
        <f aca="false">W44</f>
        <v>36851</v>
      </c>
      <c r="X83" s="280" t="n">
        <f aca="false">X44</f>
        <v>36852</v>
      </c>
      <c r="Y83" s="280" t="n">
        <f aca="false">Y44</f>
        <v>36853</v>
      </c>
      <c r="Z83" s="280" t="n">
        <f aca="false">Z44</f>
        <v>36854</v>
      </c>
      <c r="AA83" s="280" t="n">
        <f aca="false">AA44</f>
        <v>36855</v>
      </c>
      <c r="AB83" s="280" t="n">
        <f aca="false">AB44</f>
        <v>36856</v>
      </c>
      <c r="AC83" s="280" t="n">
        <f aca="false">AC44</f>
        <v>36857</v>
      </c>
      <c r="AD83" s="280" t="n">
        <f aca="false">AD44</f>
        <v>36858</v>
      </c>
      <c r="AE83" s="280" t="n">
        <f aca="false">AE44</f>
        <v>36859</v>
      </c>
      <c r="AF83" s="280" t="n">
        <f aca="false">AF44</f>
        <v>36860</v>
      </c>
      <c r="AG83" s="280" t="n">
        <f aca="false">AG44</f>
        <v>36861</v>
      </c>
      <c r="AH83" s="281"/>
      <c r="AI83" s="76"/>
      <c r="AJ83" s="309"/>
      <c r="AK83" s="281"/>
      <c r="AL83" s="284"/>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c r="DM83" s="281"/>
      <c r="DN83" s="281"/>
      <c r="DO83" s="281"/>
      <c r="DP83" s="281"/>
      <c r="DQ83" s="281"/>
      <c r="DR83" s="281"/>
      <c r="DS83" s="281"/>
      <c r="DT83" s="281"/>
      <c r="DU83" s="281"/>
      <c r="DV83" s="281"/>
      <c r="DW83" s="281"/>
      <c r="DX83" s="281"/>
      <c r="DY83" s="281"/>
      <c r="DZ83" s="281"/>
      <c r="EA83" s="281"/>
      <c r="EB83" s="281"/>
      <c r="EC83" s="281"/>
      <c r="ED83" s="281"/>
      <c r="EE83" s="281"/>
      <c r="EF83" s="281"/>
      <c r="EG83" s="281"/>
      <c r="EH83" s="281"/>
      <c r="EI83" s="281"/>
      <c r="EJ83" s="281"/>
      <c r="EK83" s="281"/>
      <c r="EL83" s="281"/>
      <c r="EM83" s="281"/>
      <c r="EN83" s="281"/>
      <c r="EO83" s="281"/>
      <c r="EP83" s="281"/>
      <c r="EQ83" s="281"/>
      <c r="ER83" s="281"/>
      <c r="ES83" s="281"/>
      <c r="ET83" s="281"/>
      <c r="EU83" s="281"/>
      <c r="EV83" s="281"/>
      <c r="EW83" s="281"/>
      <c r="EX83" s="281"/>
      <c r="EY83" s="281"/>
      <c r="EZ83" s="281"/>
      <c r="FA83" s="281"/>
      <c r="FB83" s="281"/>
      <c r="FC83" s="281"/>
      <c r="FD83" s="281"/>
      <c r="FE83" s="281"/>
      <c r="FF83" s="281"/>
      <c r="FG83" s="281"/>
      <c r="FH83" s="281"/>
      <c r="FI83" s="281"/>
      <c r="FJ83" s="281"/>
      <c r="FK83" s="281"/>
      <c r="FL83" s="281"/>
      <c r="FM83" s="281"/>
      <c r="FN83" s="281"/>
      <c r="FO83" s="281"/>
      <c r="FP83" s="281"/>
      <c r="FQ83" s="281"/>
      <c r="FR83" s="281"/>
      <c r="FS83" s="281"/>
      <c r="FT83" s="281"/>
      <c r="FU83" s="281"/>
      <c r="FV83" s="281"/>
      <c r="FW83" s="281"/>
      <c r="FX83" s="281"/>
      <c r="FY83" s="281"/>
      <c r="FZ83" s="281"/>
      <c r="GA83" s="281"/>
      <c r="GB83" s="281"/>
      <c r="GC83" s="281"/>
      <c r="GD83" s="281"/>
      <c r="GE83" s="281"/>
      <c r="GF83" s="281"/>
      <c r="GG83" s="281"/>
      <c r="GH83" s="281"/>
      <c r="GI83" s="281"/>
      <c r="GJ83" s="281"/>
      <c r="GK83" s="281"/>
      <c r="GL83" s="281"/>
      <c r="GM83" s="281"/>
      <c r="GN83" s="281"/>
      <c r="GO83" s="281"/>
      <c r="GP83" s="281"/>
      <c r="GQ83" s="281"/>
      <c r="GR83" s="281"/>
      <c r="GS83" s="281"/>
      <c r="GT83" s="281"/>
      <c r="GU83" s="281"/>
      <c r="GV83" s="281"/>
      <c r="GW83" s="281"/>
      <c r="GX83" s="281"/>
      <c r="GY83" s="281"/>
      <c r="GZ83" s="281"/>
      <c r="HA83" s="281"/>
      <c r="HB83" s="281"/>
      <c r="HC83" s="281"/>
      <c r="HD83" s="281"/>
      <c r="HE83" s="281"/>
      <c r="HF83" s="281"/>
      <c r="HG83" s="281"/>
      <c r="HH83" s="281"/>
      <c r="HI83" s="281"/>
      <c r="HJ83" s="281"/>
      <c r="HK83" s="281"/>
      <c r="HL83" s="281"/>
      <c r="HM83" s="281"/>
      <c r="HN83" s="281"/>
      <c r="HO83" s="281"/>
      <c r="HP83" s="281"/>
      <c r="HQ83" s="281"/>
      <c r="HR83" s="281"/>
      <c r="HS83" s="281"/>
      <c r="HT83" s="281"/>
      <c r="HU83" s="281"/>
      <c r="HV83" s="281"/>
      <c r="HW83" s="281"/>
      <c r="HX83" s="281"/>
      <c r="HY83" s="281"/>
      <c r="HZ83" s="281"/>
      <c r="IA83" s="281"/>
      <c r="IB83" s="281"/>
      <c r="IC83" s="281"/>
      <c r="ID83" s="281"/>
      <c r="IE83" s="281"/>
      <c r="IF83" s="281"/>
      <c r="IG83" s="281"/>
      <c r="IH83" s="281"/>
      <c r="II83" s="281"/>
      <c r="IJ83" s="281"/>
      <c r="IK83" s="281"/>
      <c r="IL83" s="281"/>
      <c r="IM83" s="281"/>
      <c r="IN83" s="281"/>
      <c r="IO83" s="281"/>
      <c r="IP83" s="281"/>
      <c r="IQ83" s="281"/>
      <c r="IR83" s="281"/>
      <c r="IS83" s="281"/>
      <c r="IT83" s="281"/>
      <c r="IU83" s="281"/>
      <c r="IV83" s="281"/>
      <c r="IW83" s="281"/>
    </row>
    <row r="84" customFormat="false" ht="12.75" hidden="false" customHeight="true" outlineLevel="0" collapsed="false">
      <c r="A84" s="285"/>
      <c r="B84" s="285"/>
      <c r="C84" s="286" t="str">
        <f aca="false">C45</f>
        <v>W</v>
      </c>
      <c r="D84" s="286" t="str">
        <f aca="false">D45</f>
        <v>R</v>
      </c>
      <c r="E84" s="286" t="str">
        <f aca="false">E45</f>
        <v>F</v>
      </c>
      <c r="F84" s="286" t="str">
        <f aca="false">F45</f>
        <v>S</v>
      </c>
      <c r="G84" s="286" t="str">
        <f aca="false">G45</f>
        <v>S</v>
      </c>
      <c r="H84" s="286" t="str">
        <f aca="false">H45</f>
        <v>M</v>
      </c>
      <c r="I84" s="286" t="str">
        <f aca="false">I45</f>
        <v>T</v>
      </c>
      <c r="J84" s="286" t="str">
        <f aca="false">J45</f>
        <v>W</v>
      </c>
      <c r="K84" s="286" t="str">
        <f aca="false">K45</f>
        <v>R</v>
      </c>
      <c r="L84" s="286" t="str">
        <f aca="false">L45</f>
        <v>F</v>
      </c>
      <c r="M84" s="286" t="str">
        <f aca="false">M45</f>
        <v>S</v>
      </c>
      <c r="N84" s="286" t="str">
        <f aca="false">N45</f>
        <v>S</v>
      </c>
      <c r="O84" s="286" t="str">
        <f aca="false">O45</f>
        <v>M</v>
      </c>
      <c r="P84" s="286" t="str">
        <f aca="false">P45</f>
        <v>T</v>
      </c>
      <c r="Q84" s="286" t="str">
        <f aca="false">Q45</f>
        <v>W</v>
      </c>
      <c r="R84" s="286" t="str">
        <f aca="false">R45</f>
        <v>R</v>
      </c>
      <c r="S84" s="286" t="str">
        <f aca="false">S45</f>
        <v>F</v>
      </c>
      <c r="T84" s="286" t="str">
        <f aca="false">T45</f>
        <v>S</v>
      </c>
      <c r="U84" s="286" t="str">
        <f aca="false">U45</f>
        <v>S</v>
      </c>
      <c r="V84" s="286" t="str">
        <f aca="false">V45</f>
        <v>M</v>
      </c>
      <c r="W84" s="286" t="str">
        <f aca="false">W45</f>
        <v>T</v>
      </c>
      <c r="X84" s="286" t="str">
        <f aca="false">X45</f>
        <v>W</v>
      </c>
      <c r="Y84" s="286" t="str">
        <f aca="false">Y45</f>
        <v>R</v>
      </c>
      <c r="Z84" s="286" t="str">
        <f aca="false">Z45</f>
        <v>F</v>
      </c>
      <c r="AA84" s="286" t="str">
        <f aca="false">AA45</f>
        <v>S</v>
      </c>
      <c r="AB84" s="286" t="str">
        <f aca="false">AB45</f>
        <v>S</v>
      </c>
      <c r="AC84" s="286" t="str">
        <f aca="false">AC45</f>
        <v>M</v>
      </c>
      <c r="AD84" s="286" t="str">
        <f aca="false">AD45</f>
        <v>T</v>
      </c>
      <c r="AE84" s="286" t="str">
        <f aca="false">AE45</f>
        <v>W</v>
      </c>
      <c r="AF84" s="286" t="str">
        <f aca="false">AF45</f>
        <v>R</v>
      </c>
      <c r="AG84" s="286" t="str">
        <f aca="false">AG45</f>
        <v>F</v>
      </c>
      <c r="AH84" s="59"/>
      <c r="AI84" s="76"/>
      <c r="AJ84" s="85"/>
      <c r="AK84" s="59"/>
      <c r="AL84" s="153"/>
      <c r="AN84" s="59"/>
      <c r="AO84" s="59"/>
      <c r="AP84" s="59"/>
      <c r="AQ84" s="59"/>
      <c r="AR84" s="59"/>
      <c r="AS84" s="59"/>
    </row>
    <row r="85" customFormat="false" ht="12.75" hidden="false" customHeight="true" outlineLevel="0" collapsed="false">
      <c r="A85" s="289"/>
      <c r="B85" s="290" t="s">
        <v>216</v>
      </c>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0"/>
      <c r="AF85" s="310"/>
      <c r="AG85" s="311"/>
      <c r="AH85" s="153"/>
      <c r="AI85" s="199"/>
      <c r="AJ85" s="312"/>
      <c r="AK85" s="226"/>
      <c r="AL85" s="61"/>
      <c r="AM85" s="60"/>
    </row>
    <row r="86" customFormat="false" ht="12.75" hidden="false" customHeight="true" outlineLevel="0" collapsed="false">
      <c r="A86" s="231" t="s">
        <v>249</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250</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251</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252</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253</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254</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255</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256</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257</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258</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259</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260</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t="s">
        <v>261</v>
      </c>
      <c r="B98" s="294" t="n">
        <f aca="false">SUM(C98:AG98)</f>
        <v>0</v>
      </c>
      <c r="C98" s="226" t="n">
        <v>0</v>
      </c>
      <c r="D98" s="226" t="n">
        <v>0</v>
      </c>
      <c r="E98" s="226" t="n">
        <v>0</v>
      </c>
      <c r="F98" s="226" t="n">
        <v>0</v>
      </c>
      <c r="G98" s="226" t="n">
        <v>0</v>
      </c>
      <c r="H98" s="226" t="n">
        <v>0</v>
      </c>
      <c r="I98" s="226" t="n">
        <v>0</v>
      </c>
      <c r="J98" s="226" t="n">
        <v>0</v>
      </c>
      <c r="K98" s="226" t="n">
        <v>0</v>
      </c>
      <c r="L98" s="226" t="n">
        <v>0</v>
      </c>
      <c r="M98" s="226" t="n">
        <v>0</v>
      </c>
      <c r="N98" s="226" t="n">
        <v>0</v>
      </c>
      <c r="O98" s="226" t="n">
        <v>0</v>
      </c>
      <c r="P98" s="226" t="n">
        <v>0</v>
      </c>
      <c r="Q98" s="226" t="n">
        <v>0</v>
      </c>
      <c r="R98" s="226" t="n">
        <v>0</v>
      </c>
      <c r="S98" s="226" t="n">
        <v>0</v>
      </c>
      <c r="T98" s="226" t="n">
        <v>0</v>
      </c>
      <c r="U98" s="226" t="n">
        <v>0</v>
      </c>
      <c r="V98" s="226" t="n">
        <v>0</v>
      </c>
      <c r="W98" s="226" t="n">
        <v>0</v>
      </c>
      <c r="X98" s="226" t="n">
        <v>0</v>
      </c>
      <c r="Y98" s="226" t="n">
        <v>0</v>
      </c>
      <c r="Z98" s="226" t="n">
        <v>0</v>
      </c>
      <c r="AA98" s="226" t="n">
        <v>0</v>
      </c>
      <c r="AB98" s="226" t="n">
        <v>0</v>
      </c>
      <c r="AC98" s="226" t="n">
        <v>0</v>
      </c>
      <c r="AD98" s="226" t="n">
        <v>0</v>
      </c>
      <c r="AE98" s="226" t="n">
        <v>0</v>
      </c>
      <c r="AF98" s="226" t="n">
        <v>0</v>
      </c>
      <c r="AG98" s="300" t="n">
        <v>0</v>
      </c>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SUM(B88:B101)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3" t="s">
        <v>271</v>
      </c>
      <c r="B126" s="153" t="s">
        <v>272</v>
      </c>
      <c r="C126" s="153"/>
      <c r="D126" s="324"/>
      <c r="E126" s="325"/>
      <c r="G126" s="326"/>
      <c r="H126" s="327"/>
      <c r="I126" s="153"/>
      <c r="J126" s="59"/>
      <c r="K126" s="328"/>
      <c r="L126" s="325"/>
      <c r="M126" s="59"/>
      <c r="N126" s="59"/>
      <c r="O126" s="59"/>
      <c r="P126" s="59"/>
    </row>
    <row r="127" customFormat="false" ht="12.75" hidden="false" customHeight="true" outlineLevel="0" collapsed="false">
      <c r="A127" s="329" t="n">
        <v>36800</v>
      </c>
      <c r="B127" s="153" t="s">
        <v>304</v>
      </c>
      <c r="C127" s="153"/>
      <c r="D127" s="301"/>
      <c r="E127" s="325" t="n">
        <v>3731</v>
      </c>
      <c r="G127" s="326" t="s">
        <v>277</v>
      </c>
      <c r="H127" s="62" t="s">
        <v>352</v>
      </c>
      <c r="I127" s="153"/>
      <c r="J127" s="59"/>
      <c r="K127" s="328"/>
      <c r="L127" s="325" t="n">
        <v>19119</v>
      </c>
      <c r="M127" s="59"/>
      <c r="N127" s="59"/>
      <c r="O127" s="59"/>
      <c r="P127" s="59"/>
    </row>
    <row r="128" customFormat="false" ht="12.75" hidden="false" customHeight="true" outlineLevel="0" collapsed="false">
      <c r="A128" s="329"/>
      <c r="B128" s="153"/>
      <c r="C128" s="153"/>
      <c r="D128" s="301"/>
      <c r="E128" s="325"/>
      <c r="G128" s="326"/>
      <c r="H128" s="153"/>
      <c r="I128" s="59"/>
      <c r="J128" s="59"/>
      <c r="K128" s="328"/>
      <c r="L128" s="325"/>
      <c r="M128" s="59"/>
      <c r="N128" s="59"/>
      <c r="O128" s="59"/>
      <c r="P128" s="59"/>
    </row>
    <row r="129" customFormat="false" ht="12.75" hidden="false" customHeight="true" outlineLevel="0" collapsed="false">
      <c r="A129" s="329"/>
      <c r="B129" s="153"/>
      <c r="C129" s="153"/>
      <c r="D129" s="324"/>
      <c r="E129" s="325"/>
      <c r="G129" s="326"/>
      <c r="H129" s="153"/>
      <c r="I129" s="59"/>
      <c r="J129" s="59"/>
      <c r="K129" s="324"/>
      <c r="L129" s="330"/>
      <c r="M129" s="59"/>
      <c r="N129" s="59"/>
      <c r="O129" s="59"/>
      <c r="P129" s="59"/>
    </row>
    <row r="130" customFormat="false" ht="12.75" hidden="false" customHeight="true" outlineLevel="0" collapsed="false">
      <c r="A130" s="329"/>
      <c r="B130" s="153"/>
      <c r="C130" s="153"/>
      <c r="D130" s="324"/>
      <c r="E130" s="325"/>
      <c r="G130" s="326"/>
      <c r="H130" s="153"/>
      <c r="I130" s="59"/>
      <c r="J130" s="59"/>
      <c r="K130" s="324"/>
      <c r="L130" s="325"/>
      <c r="M130" s="59"/>
      <c r="N130" s="59"/>
      <c r="O130" s="59"/>
      <c r="P130" s="59"/>
    </row>
    <row r="131" customFormat="false" ht="12.75" hidden="false" customHeight="true" outlineLevel="0" collapsed="false">
      <c r="A131" s="329"/>
      <c r="B131" s="153"/>
      <c r="C131" s="153"/>
      <c r="D131" s="324"/>
      <c r="E131" s="325"/>
      <c r="G131" s="331"/>
      <c r="H131" s="153"/>
      <c r="I131" s="59"/>
      <c r="J131" s="59"/>
      <c r="K131" s="324"/>
      <c r="L131" s="325"/>
      <c r="M131" s="59"/>
      <c r="N131" s="59"/>
      <c r="O131" s="59"/>
      <c r="P131" s="59"/>
    </row>
    <row r="132" customFormat="false" ht="12.75" hidden="false" customHeight="true" outlineLevel="0" collapsed="false">
      <c r="A132" s="329"/>
      <c r="B132" s="153"/>
      <c r="C132" s="153"/>
      <c r="D132" s="324"/>
      <c r="E132" s="325"/>
      <c r="G132" s="326"/>
      <c r="H132" s="59"/>
      <c r="I132" s="59"/>
      <c r="J132" s="59"/>
      <c r="K132" s="328"/>
      <c r="L132" s="330"/>
      <c r="M132" s="59"/>
      <c r="N132" s="59"/>
      <c r="O132" s="59"/>
      <c r="P132" s="59"/>
    </row>
    <row r="133" customFormat="false" ht="12.75" hidden="false" customHeight="true" outlineLevel="0" collapsed="false">
      <c r="A133" s="329"/>
      <c r="B133" s="153"/>
      <c r="C133" s="153"/>
      <c r="D133" s="324"/>
      <c r="E133" s="325"/>
      <c r="G133" s="326"/>
      <c r="H133" s="153"/>
      <c r="I133" s="59"/>
      <c r="J133" s="59"/>
      <c r="K133" s="324"/>
      <c r="L133" s="330"/>
      <c r="M133" s="59"/>
      <c r="N133" s="59"/>
      <c r="O133" s="59"/>
      <c r="P133" s="59"/>
    </row>
    <row r="134" customFormat="false" ht="12.75" hidden="false" customHeight="true" outlineLevel="0" collapsed="false">
      <c r="A134" s="329"/>
      <c r="B134" s="153"/>
      <c r="C134" s="332"/>
      <c r="D134" s="324"/>
      <c r="E134" s="325"/>
      <c r="G134" s="326"/>
      <c r="H134" s="153"/>
      <c r="I134" s="59"/>
      <c r="J134" s="59"/>
      <c r="K134" s="324"/>
      <c r="L134" s="325"/>
      <c r="M134" s="98"/>
      <c r="N134" s="60"/>
      <c r="O134" s="59"/>
      <c r="P134" s="59"/>
    </row>
    <row r="135" customFormat="false" ht="12.75" hidden="false" customHeight="true" outlineLevel="0" collapsed="false">
      <c r="A135" s="329"/>
      <c r="B135" s="153"/>
      <c r="C135" s="332"/>
      <c r="D135" s="324"/>
      <c r="E135" s="325"/>
      <c r="G135" s="326"/>
      <c r="H135" s="153"/>
      <c r="I135" s="59"/>
      <c r="J135" s="59"/>
      <c r="K135" s="324"/>
      <c r="L135" s="325"/>
      <c r="M135" s="98"/>
      <c r="N135" s="59"/>
      <c r="O135" s="59"/>
      <c r="P135" s="59"/>
    </row>
    <row r="136" customFormat="false" ht="12.75" hidden="false" customHeight="true" outlineLevel="0" collapsed="false">
      <c r="A136" s="329"/>
      <c r="B136" s="153"/>
      <c r="C136" s="332"/>
      <c r="D136" s="324"/>
      <c r="E136" s="325"/>
      <c r="G136" s="326"/>
      <c r="H136" s="153"/>
      <c r="I136" s="59"/>
      <c r="J136" s="59"/>
      <c r="K136" s="324"/>
      <c r="L136" s="325"/>
      <c r="M136" s="59"/>
      <c r="N136" s="98"/>
      <c r="O136" s="59"/>
      <c r="P136" s="59"/>
    </row>
    <row r="137" customFormat="false" ht="12.75" hidden="false" customHeight="true" outlineLevel="0" collapsed="false">
      <c r="A137" s="329"/>
      <c r="B137" s="153"/>
      <c r="C137" s="153"/>
      <c r="D137" s="324"/>
      <c r="E137" s="325"/>
      <c r="G137" s="326"/>
      <c r="H137" s="153"/>
      <c r="I137" s="59"/>
      <c r="J137" s="59"/>
      <c r="K137" s="324"/>
      <c r="L137" s="325"/>
      <c r="M137" s="59"/>
      <c r="N137" s="98"/>
      <c r="O137" s="59"/>
      <c r="P137" s="59"/>
    </row>
    <row r="138" customFormat="false" ht="12.75" hidden="false" customHeight="true" outlineLevel="0" collapsed="false">
      <c r="A138" s="329"/>
      <c r="B138" s="153"/>
      <c r="C138" s="153"/>
      <c r="D138" s="324"/>
      <c r="E138" s="325"/>
      <c r="G138" s="326"/>
      <c r="H138" s="153"/>
      <c r="I138" s="59"/>
      <c r="J138" s="59"/>
      <c r="K138" s="324"/>
      <c r="L138" s="325"/>
      <c r="M138" s="59"/>
      <c r="N138" s="59"/>
      <c r="O138" s="59"/>
      <c r="P138" s="59"/>
    </row>
    <row r="139" customFormat="false" ht="12.75" hidden="false" customHeight="true" outlineLevel="0" collapsed="false">
      <c r="A139" s="329"/>
      <c r="B139" s="153"/>
      <c r="C139" s="153"/>
      <c r="D139" s="324"/>
      <c r="E139" s="325"/>
      <c r="G139" s="326"/>
      <c r="H139" s="153"/>
      <c r="I139" s="59"/>
      <c r="J139" s="59"/>
      <c r="K139" s="324"/>
      <c r="L139" s="325"/>
      <c r="M139" s="59"/>
      <c r="N139" s="59"/>
      <c r="O139" s="59"/>
      <c r="P139" s="59"/>
    </row>
    <row r="140" customFormat="false" ht="12.75" hidden="false" customHeight="true" outlineLevel="0" collapsed="false">
      <c r="A140" s="329"/>
      <c r="B140" s="153"/>
      <c r="C140" s="333"/>
      <c r="D140" s="324"/>
      <c r="E140" s="325"/>
      <c r="G140" s="326"/>
      <c r="H140" s="153"/>
      <c r="I140" s="59"/>
      <c r="J140" s="59"/>
      <c r="K140" s="324"/>
      <c r="L140" s="325"/>
      <c r="M140" s="59"/>
      <c r="N140" s="59"/>
      <c r="O140" s="59"/>
      <c r="P140" s="59"/>
    </row>
    <row r="141" customFormat="false" ht="12.75" hidden="false" customHeight="true" outlineLevel="0" collapsed="false">
      <c r="A141" s="329"/>
      <c r="B141" s="153"/>
      <c r="C141" s="0"/>
      <c r="D141" s="324"/>
      <c r="E141" s="325"/>
      <c r="G141" s="326"/>
      <c r="H141" s="153"/>
      <c r="I141" s="59"/>
      <c r="J141" s="59"/>
      <c r="K141" s="324"/>
      <c r="L141" s="325"/>
      <c r="M141" s="59"/>
      <c r="N141" s="59"/>
      <c r="O141" s="59"/>
      <c r="P141" s="59"/>
    </row>
    <row r="142" customFormat="false" ht="12.75" hidden="false" customHeight="true" outlineLevel="0" collapsed="false">
      <c r="A142" s="329"/>
      <c r="B142" s="153"/>
      <c r="C142" s="0"/>
      <c r="D142" s="324"/>
      <c r="E142" s="325"/>
      <c r="G142" s="326"/>
      <c r="H142" s="153"/>
      <c r="I142" s="59"/>
      <c r="J142" s="59"/>
      <c r="K142" s="324"/>
      <c r="L142" s="325"/>
      <c r="M142" s="59"/>
      <c r="N142" s="59"/>
      <c r="O142" s="59"/>
      <c r="P142" s="59"/>
    </row>
    <row r="143" customFormat="false" ht="12.75" hidden="false" customHeight="true" outlineLevel="0" collapsed="false">
      <c r="A143" s="329"/>
      <c r="B143" s="153"/>
      <c r="C143" s="0"/>
      <c r="D143" s="324"/>
      <c r="E143" s="325"/>
      <c r="G143" s="326"/>
      <c r="H143" s="153"/>
      <c r="I143" s="59"/>
      <c r="J143" s="59"/>
      <c r="K143" s="324"/>
      <c r="L143" s="325"/>
      <c r="M143" s="59"/>
      <c r="N143" s="59"/>
      <c r="O143" s="59"/>
      <c r="P143" s="59"/>
    </row>
    <row r="144" customFormat="false" ht="12.75" hidden="false" customHeight="true" outlineLevel="0" collapsed="false">
      <c r="A144" s="329"/>
      <c r="B144" s="153"/>
      <c r="C144" s="0"/>
      <c r="D144" s="324"/>
      <c r="E144" s="325"/>
      <c r="G144" s="326"/>
      <c r="H144" s="153"/>
      <c r="I144" s="59"/>
      <c r="J144" s="59"/>
      <c r="K144" s="324"/>
      <c r="L144" s="325"/>
      <c r="M144" s="59"/>
      <c r="N144" s="59"/>
      <c r="O144" s="59"/>
      <c r="P144" s="59"/>
    </row>
    <row r="145" customFormat="false" ht="12.75" hidden="false" customHeight="true" outlineLevel="0" collapsed="false">
      <c r="A145" s="329"/>
      <c r="B145" s="0"/>
      <c r="C145" s="0"/>
      <c r="D145" s="324"/>
      <c r="E145" s="325"/>
      <c r="G145" s="326"/>
      <c r="H145" s="153"/>
      <c r="I145" s="59"/>
      <c r="J145" s="59"/>
      <c r="K145" s="324"/>
      <c r="L145" s="325"/>
      <c r="M145" s="59"/>
      <c r="N145" s="59"/>
      <c r="O145" s="59"/>
      <c r="P145" s="59"/>
    </row>
    <row r="146" customFormat="false" ht="12.75" hidden="false" customHeight="true" outlineLevel="0" collapsed="false">
      <c r="A146" s="329"/>
      <c r="B146" s="153"/>
      <c r="C146" s="0"/>
      <c r="D146" s="324"/>
      <c r="E146" s="325"/>
      <c r="G146" s="326"/>
      <c r="H146" s="153"/>
      <c r="I146" s="59"/>
      <c r="J146" s="59"/>
      <c r="K146" s="324"/>
      <c r="L146" s="325"/>
      <c r="M146" s="59"/>
      <c r="N146" s="59"/>
      <c r="O146" s="59"/>
      <c r="P146" s="59"/>
    </row>
    <row r="147" customFormat="false" ht="12.75" hidden="false" customHeight="true" outlineLevel="0" collapsed="false">
      <c r="A147" s="329"/>
      <c r="B147" s="153"/>
      <c r="C147" s="0"/>
      <c r="D147" s="324"/>
      <c r="E147" s="325"/>
      <c r="G147" s="326"/>
      <c r="H147" s="153"/>
      <c r="I147" s="59"/>
      <c r="J147" s="59"/>
      <c r="K147" s="324"/>
      <c r="L147" s="325"/>
      <c r="M147" s="59"/>
      <c r="N147" s="59"/>
      <c r="O147" s="59"/>
      <c r="P147" s="59"/>
    </row>
    <row r="148" customFormat="false" ht="12.75" hidden="false" customHeight="true" outlineLevel="0" collapsed="false">
      <c r="A148" s="329"/>
      <c r="B148" s="0"/>
      <c r="C148" s="0"/>
      <c r="D148" s="324"/>
      <c r="E148" s="325"/>
      <c r="G148" s="326"/>
      <c r="H148" s="153"/>
      <c r="I148" s="59"/>
      <c r="J148" s="59"/>
      <c r="K148" s="324"/>
      <c r="L148" s="325"/>
      <c r="M148" s="59"/>
      <c r="N148" s="59"/>
      <c r="O148" s="59"/>
      <c r="P148" s="59"/>
    </row>
    <row r="149" customFormat="false" ht="12.75" hidden="false" customHeight="true" outlineLevel="0" collapsed="false">
      <c r="A149" s="329"/>
      <c r="B149" s="153"/>
      <c r="C149" s="0"/>
      <c r="D149" s="324"/>
      <c r="E149" s="325"/>
      <c r="G149" s="326"/>
      <c r="H149" s="153"/>
      <c r="I149" s="59"/>
      <c r="J149" s="59"/>
      <c r="K149" s="324"/>
      <c r="L149" s="325"/>
      <c r="M149" s="59"/>
      <c r="N149" s="59"/>
      <c r="O149" s="59"/>
      <c r="P149" s="59"/>
    </row>
    <row r="150" customFormat="false" ht="12.75" hidden="false" customHeight="true" outlineLevel="0" collapsed="false">
      <c r="A150" s="329"/>
      <c r="B150" s="153"/>
      <c r="C150" s="0"/>
      <c r="D150" s="324"/>
      <c r="E150" s="325"/>
      <c r="G150" s="326"/>
      <c r="H150" s="153"/>
      <c r="I150" s="59"/>
      <c r="J150" s="59"/>
      <c r="K150" s="324"/>
      <c r="L150" s="325"/>
      <c r="M150" s="59"/>
      <c r="N150" s="59"/>
      <c r="O150" s="59"/>
      <c r="P150" s="59"/>
    </row>
    <row r="151" customFormat="false" ht="12.75" hidden="false" customHeight="true" outlineLevel="0" collapsed="false">
      <c r="A151" s="329"/>
      <c r="B151" s="153"/>
      <c r="C151" s="153"/>
      <c r="D151" s="324"/>
      <c r="E151" s="325"/>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34"/>
      <c r="M157" s="59"/>
      <c r="N157" s="59"/>
      <c r="O157" s="59"/>
      <c r="P157" s="59"/>
    </row>
    <row r="158" customFormat="false" ht="12.75" hidden="false" customHeight="true" outlineLevel="0" collapsed="false">
      <c r="A158" s="329"/>
      <c r="B158" s="153"/>
      <c r="C158" s="153"/>
      <c r="D158" s="324"/>
      <c r="E158" s="334"/>
      <c r="G158" s="335"/>
      <c r="H158" s="153"/>
      <c r="I158" s="59"/>
      <c r="J158" s="59"/>
      <c r="K158" s="336" t="s">
        <v>305</v>
      </c>
      <c r="L158" s="337" t="n">
        <f aca="false">SUM(L126:L157)</f>
        <v>19119</v>
      </c>
      <c r="M158" s="59"/>
      <c r="N158" s="59"/>
      <c r="O158" s="59"/>
      <c r="P158" s="59"/>
    </row>
    <row r="159" customFormat="false" ht="12.75" hidden="false" customHeight="true" outlineLevel="0" collapsed="false">
      <c r="A159" s="335"/>
      <c r="B159" s="153"/>
      <c r="C159" s="153"/>
      <c r="D159" s="336" t="s">
        <v>306</v>
      </c>
      <c r="E159" s="338" t="n">
        <f aca="false">SUM(E126:E158)</f>
        <v>3731</v>
      </c>
      <c r="G159" s="339"/>
      <c r="H159" s="340"/>
      <c r="I159" s="340"/>
      <c r="J159" s="340"/>
      <c r="K159" s="340"/>
      <c r="L159" s="341"/>
      <c r="M159" s="59"/>
      <c r="N159" s="59"/>
      <c r="O159" s="59"/>
      <c r="P159" s="59"/>
    </row>
    <row r="160" customFormat="false" ht="12.75" hidden="false" customHeight="true" outlineLevel="0" collapsed="false">
      <c r="A160" s="339"/>
      <c r="B160" s="340"/>
      <c r="C160" s="340"/>
      <c r="D160" s="340"/>
      <c r="E160" s="341"/>
      <c r="AJ160" s="59"/>
      <c r="AK160" s="59"/>
      <c r="AL160" s="59"/>
      <c r="AM160" s="59"/>
    </row>
    <row r="161" customFormat="false" ht="12.75" hidden="false" customHeight="true" outlineLevel="0" collapsed="false">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t="n">
        <v>36830</v>
      </c>
      <c r="B165" s="153" t="s">
        <v>353</v>
      </c>
      <c r="C165" s="153"/>
      <c r="D165" s="324"/>
      <c r="E165" s="345" t="n">
        <v>-1500000</v>
      </c>
      <c r="G165" s="344"/>
      <c r="AJ165" s="59"/>
      <c r="AK165" s="59"/>
      <c r="AL165" s="59"/>
      <c r="AM165" s="59"/>
    </row>
    <row r="166" customFormat="false" ht="12.75" hidden="false" customHeight="true" outlineLevel="0" collapsed="false">
      <c r="A166" s="342"/>
      <c r="B166" s="153" t="s">
        <v>354</v>
      </c>
      <c r="C166" s="153"/>
      <c r="D166" s="324"/>
      <c r="E166" s="345"/>
      <c r="G166" s="344"/>
      <c r="AJ166" s="59"/>
      <c r="AK166" s="59"/>
      <c r="AL166" s="59"/>
      <c r="AM166" s="59"/>
    </row>
    <row r="167" customFormat="false" ht="12.75" hidden="false" customHeight="true" outlineLevel="0" collapsed="false">
      <c r="A167" s="342"/>
      <c r="B167" s="153"/>
      <c r="C167" s="153"/>
      <c r="D167" s="324"/>
      <c r="E167" s="345"/>
      <c r="G167" s="344"/>
      <c r="AJ167" s="59"/>
      <c r="AK167" s="59"/>
      <c r="AL167" s="59"/>
      <c r="AM167" s="59"/>
    </row>
    <row r="168" customFormat="false" ht="12.75" hidden="false" customHeight="true" outlineLevel="0" collapsed="false">
      <c r="A168" s="342"/>
      <c r="B168" s="153"/>
      <c r="C168" s="153"/>
      <c r="D168" s="324"/>
      <c r="E168" s="330"/>
      <c r="AJ168" s="59"/>
      <c r="AK168" s="59"/>
      <c r="AL168" s="59"/>
      <c r="AM168" s="59"/>
    </row>
    <row r="169" customFormat="false" ht="12.75" hidden="false" customHeight="true" outlineLevel="0" collapsed="false">
      <c r="A169" s="342"/>
      <c r="B169" s="153"/>
      <c r="C169" s="153"/>
      <c r="D169" s="324"/>
      <c r="E169" s="345"/>
      <c r="AJ169" s="59"/>
      <c r="AK169" s="59"/>
      <c r="AL169" s="59"/>
      <c r="AM169" s="59"/>
    </row>
    <row r="170" customFormat="false" ht="12.75" hidden="false" customHeight="true" outlineLevel="0" collapsed="false">
      <c r="A170" s="342"/>
      <c r="B170" s="327"/>
      <c r="C170" s="332"/>
      <c r="D170" s="346"/>
      <c r="E170" s="330"/>
      <c r="AJ170" s="59"/>
      <c r="AK170" s="59"/>
      <c r="AL170" s="59"/>
      <c r="AM170" s="59"/>
    </row>
    <row r="171" customFormat="false" ht="12.75" hidden="false" customHeight="true" outlineLevel="0" collapsed="false">
      <c r="A171" s="342"/>
      <c r="B171" s="327"/>
      <c r="C171" s="332"/>
      <c r="D171" s="346"/>
      <c r="E171" s="330"/>
      <c r="AJ171" s="59"/>
      <c r="AK171" s="59"/>
      <c r="AL171" s="59"/>
      <c r="AM171" s="59"/>
    </row>
    <row r="172" customFormat="false" ht="12.75" hidden="false" customHeight="true" outlineLevel="0" collapsed="false">
      <c r="A172" s="218"/>
      <c r="E172" s="330"/>
      <c r="AJ172" s="59"/>
      <c r="AK172" s="59"/>
      <c r="AL172" s="59"/>
      <c r="AM172" s="59"/>
    </row>
    <row r="173" customFormat="false" ht="12.75" hidden="false" customHeight="true" outlineLevel="0" collapsed="false">
      <c r="A173" s="342"/>
      <c r="B173" s="327"/>
      <c r="C173" s="153"/>
      <c r="D173" s="324"/>
      <c r="E173" s="330"/>
      <c r="AJ173" s="59"/>
      <c r="AK173" s="59"/>
      <c r="AL173" s="59"/>
      <c r="AM173" s="59"/>
    </row>
    <row r="174" customFormat="false" ht="12.75" hidden="false" customHeight="true" outlineLevel="0" collapsed="false">
      <c r="A174" s="342"/>
      <c r="B174" s="153"/>
      <c r="C174" s="153"/>
      <c r="D174" s="324"/>
      <c r="E174" s="34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45"/>
      <c r="AJ176" s="59"/>
      <c r="AK176" s="59"/>
      <c r="AL176" s="59"/>
      <c r="AM176" s="59"/>
    </row>
    <row r="177" customFormat="false" ht="12.75" hidden="false" customHeight="true" outlineLevel="0" collapsed="false">
      <c r="A177" s="342"/>
      <c r="B177" s="153"/>
      <c r="C177" s="153"/>
      <c r="D177" s="324"/>
      <c r="E177" s="345"/>
      <c r="AJ177" s="59"/>
      <c r="AK177" s="59"/>
      <c r="AL177" s="59"/>
      <c r="AM177" s="59"/>
    </row>
    <row r="178" customFormat="false" ht="12.75" hidden="false" customHeight="true" outlineLevel="0" collapsed="false">
      <c r="A178" s="342"/>
      <c r="B178" s="153"/>
      <c r="C178" s="153"/>
      <c r="D178" s="324"/>
      <c r="E178" s="345"/>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4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-1500000</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F188" s="350"/>
      <c r="G188" s="350"/>
      <c r="H188" s="350"/>
      <c r="I188" s="350"/>
      <c r="J188" s="350"/>
      <c r="K188" s="350"/>
      <c r="L188" s="350"/>
      <c r="M188" s="351"/>
      <c r="O188" s="59"/>
      <c r="P188" s="59"/>
      <c r="Q188" s="59"/>
      <c r="R188" s="59"/>
    </row>
    <row r="189" customFormat="false" ht="12.75" hidden="false" customHeight="true" outlineLevel="0" collapsed="false">
      <c r="A189" s="352" t="s">
        <v>331</v>
      </c>
      <c r="B189" s="350"/>
      <c r="C189" s="350"/>
      <c r="D189" s="350"/>
      <c r="E189" s="350"/>
      <c r="F189" s="353"/>
      <c r="G189" s="353"/>
      <c r="H189" s="353"/>
      <c r="I189" s="353"/>
      <c r="J189" s="353"/>
      <c r="K189" s="353"/>
      <c r="L189" s="353"/>
      <c r="M189" s="354" t="s">
        <v>270</v>
      </c>
      <c r="O189" s="59"/>
      <c r="P189" s="59"/>
      <c r="Q189" s="59"/>
      <c r="R189" s="59"/>
    </row>
    <row r="190" customFormat="false" ht="12.75" hidden="false" customHeight="true" outlineLevel="0" collapsed="false">
      <c r="A190" s="355" t="s">
        <v>332</v>
      </c>
      <c r="B190" s="356" t="s">
        <v>268</v>
      </c>
      <c r="C190" s="357" t="s">
        <v>333</v>
      </c>
      <c r="D190" s="358" t="s">
        <v>334</v>
      </c>
      <c r="E190" s="356" t="s">
        <v>269</v>
      </c>
      <c r="F190" s="153"/>
      <c r="G190" s="153"/>
      <c r="H190" s="153"/>
      <c r="I190" s="153"/>
      <c r="J190" s="153"/>
      <c r="K190" s="153"/>
      <c r="L190" s="153"/>
      <c r="M190" s="359"/>
      <c r="O190" s="59"/>
      <c r="P190" s="59"/>
      <c r="Q190" s="59"/>
      <c r="R190" s="59"/>
    </row>
    <row r="191" customFormat="false" ht="12.75" hidden="false" customHeight="true" outlineLevel="0" collapsed="false">
      <c r="A191" s="360"/>
      <c r="B191" s="361"/>
      <c r="C191" s="362"/>
      <c r="D191" s="324"/>
      <c r="E191" s="153"/>
      <c r="F191" s="153"/>
      <c r="G191" s="153"/>
      <c r="H191" s="153"/>
      <c r="I191" s="153"/>
      <c r="J191" s="153"/>
      <c r="K191" s="153"/>
      <c r="L191" s="1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336" t="s">
        <v>335</v>
      </c>
      <c r="M213" s="366" t="n">
        <f aca="false">SUM(M190:M212)</f>
        <v>0</v>
      </c>
    </row>
    <row r="214" customFormat="false" ht="12.75" hidden="false" customHeight="true" outlineLevel="0" collapsed="false">
      <c r="A214" s="363"/>
      <c r="B214" s="361"/>
      <c r="C214" s="367"/>
      <c r="D214" s="324"/>
      <c r="E214" s="153"/>
      <c r="F214" s="340"/>
      <c r="G214" s="340"/>
      <c r="H214" s="340"/>
      <c r="I214" s="340"/>
      <c r="J214" s="340"/>
      <c r="K214" s="340"/>
      <c r="L214" s="340"/>
      <c r="M214" s="341"/>
    </row>
    <row r="215" customFormat="false" ht="12.75" hidden="false" customHeight="true" outlineLevel="0" collapsed="false">
      <c r="A215" s="368"/>
      <c r="B215" s="369"/>
      <c r="C215" s="340"/>
      <c r="D215" s="340"/>
      <c r="E215" s="340"/>
    </row>
    <row r="216" customFormat="false" ht="12.75" hidden="false" customHeight="true" outlineLevel="0" collapsed="false"/>
    <row r="217" customFormat="false" ht="12.75" hidden="false" customHeight="true" outlineLevel="0" collapsed="false">
      <c r="G217" s="370"/>
      <c r="H217" s="370"/>
      <c r="I217" s="370"/>
      <c r="J217" s="370"/>
      <c r="K217" s="370"/>
      <c r="L217" s="370"/>
      <c r="M217" s="370"/>
      <c r="N217" s="370"/>
    </row>
    <row r="218" customFormat="false" ht="12.75" hidden="false" customHeight="true" outlineLevel="0" collapsed="false">
      <c r="A218" s="371" t="s">
        <v>336</v>
      </c>
      <c r="B218" s="372"/>
      <c r="C218" s="372"/>
      <c r="D218" s="372"/>
      <c r="E218" s="372"/>
      <c r="F218" s="373"/>
      <c r="G218" s="370"/>
      <c r="H218" s="370"/>
      <c r="I218" s="370"/>
      <c r="J218" s="370"/>
      <c r="K218" s="370"/>
      <c r="L218" s="370"/>
      <c r="M218" s="370"/>
      <c r="N218" s="370"/>
    </row>
    <row r="219" customFormat="false" ht="12.75" hidden="false" customHeight="true" outlineLevel="0" collapsed="false">
      <c r="A219" s="374" t="s">
        <v>332</v>
      </c>
      <c r="B219" s="375" t="s">
        <v>268</v>
      </c>
      <c r="C219" s="376" t="s">
        <v>333</v>
      </c>
      <c r="D219" s="377" t="s">
        <v>334</v>
      </c>
      <c r="E219" s="377"/>
      <c r="F219" s="378" t="s">
        <v>270</v>
      </c>
      <c r="G219" s="379"/>
      <c r="H219" s="379"/>
      <c r="I219" s="379"/>
      <c r="J219" s="379"/>
      <c r="K219" s="379"/>
      <c r="L219" s="379"/>
      <c r="M219" s="379"/>
      <c r="N219" s="379"/>
    </row>
    <row r="220" customFormat="false" ht="12.75" hidden="false" customHeight="true" outlineLevel="0" collapsed="false">
      <c r="A220" s="380"/>
      <c r="B220" s="361"/>
      <c r="C220" s="381"/>
      <c r="D220" s="153"/>
      <c r="E220" s="382"/>
      <c r="F220" s="383"/>
      <c r="G220" s="379"/>
      <c r="H220" s="379"/>
      <c r="I220" s="379"/>
      <c r="J220" s="379"/>
      <c r="K220" s="379"/>
      <c r="L220" s="379"/>
      <c r="M220" s="379"/>
      <c r="N220" s="379"/>
    </row>
    <row r="221" customFormat="false" ht="12.75" hidden="false" customHeight="true" outlineLevel="0" collapsed="false">
      <c r="A221" s="380"/>
      <c r="B221" s="361"/>
      <c r="C221" s="362"/>
      <c r="D221" s="324"/>
      <c r="E221" s="153"/>
      <c r="F221" s="359"/>
      <c r="G221" s="370"/>
      <c r="H221" s="370"/>
      <c r="I221" s="370"/>
      <c r="J221" s="370"/>
      <c r="K221" s="370"/>
      <c r="L221" s="370"/>
      <c r="M221" s="370"/>
      <c r="N221" s="370"/>
    </row>
    <row r="222" customFormat="false" ht="12.75" hidden="false" customHeight="true" outlineLevel="0" collapsed="false">
      <c r="A222" s="380"/>
      <c r="B222" s="361"/>
      <c r="C222" s="362"/>
      <c r="D222" s="324"/>
      <c r="E222" s="153"/>
      <c r="F222" s="359"/>
      <c r="G222" s="370"/>
      <c r="H222" s="370"/>
      <c r="I222" s="370"/>
      <c r="J222" s="370"/>
      <c r="K222" s="370"/>
      <c r="L222" s="370"/>
      <c r="M222" s="370"/>
      <c r="N222" s="370"/>
    </row>
    <row r="223" customFormat="false" ht="12.75" hidden="false" customHeight="true" outlineLevel="0" collapsed="false">
      <c r="A223" s="380"/>
      <c r="B223" s="361"/>
      <c r="C223" s="362"/>
      <c r="D223" s="324"/>
      <c r="E223" s="153"/>
      <c r="F223" s="359"/>
      <c r="G223" s="370"/>
      <c r="H223" s="370"/>
      <c r="I223" s="370"/>
      <c r="J223" s="370"/>
      <c r="K223" s="370"/>
      <c r="L223" s="370"/>
      <c r="M223" s="370"/>
      <c r="N223" s="370"/>
    </row>
    <row r="224" customFormat="false" ht="12.75" hidden="false" customHeight="true" outlineLevel="0" collapsed="false">
      <c r="A224" s="380"/>
      <c r="B224" s="361"/>
      <c r="C224" s="362"/>
      <c r="D224" s="324"/>
      <c r="E224" s="153"/>
      <c r="F224" s="359"/>
      <c r="G224" s="370"/>
      <c r="H224" s="370"/>
      <c r="I224" s="370"/>
      <c r="J224" s="370"/>
      <c r="K224" s="370"/>
      <c r="L224" s="370"/>
      <c r="M224" s="370"/>
      <c r="N224" s="370"/>
    </row>
    <row r="225" customFormat="false" ht="12.75" hidden="false" customHeight="true" outlineLevel="0" collapsed="false">
      <c r="A225" s="380"/>
      <c r="B225" s="361"/>
      <c r="C225" s="362"/>
      <c r="D225" s="324"/>
      <c r="E225" s="153"/>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6" t="n">
        <f aca="false">SUM(F219:F236)</f>
        <v>0</v>
      </c>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7"/>
      <c r="G238" s="370"/>
      <c r="H238" s="370"/>
      <c r="I238" s="370"/>
      <c r="J238" s="370"/>
      <c r="K238" s="370"/>
      <c r="L238" s="370"/>
      <c r="M238" s="370"/>
      <c r="N238" s="370"/>
    </row>
    <row r="239" customFormat="false" ht="12.75" hidden="false" customHeight="true" outlineLevel="0" collapsed="false">
      <c r="A239" s="388"/>
      <c r="B239" s="389"/>
      <c r="C239" s="390"/>
      <c r="D239" s="390"/>
      <c r="E239" s="391"/>
    </row>
    <row r="240" customFormat="false" ht="13.5" hidden="false" customHeight="false" outlineLevel="0" collapsed="false"/>
  </sheetData>
  <mergeCells count="9">
    <mergeCell ref="S6:T6"/>
    <mergeCell ref="K28:L28"/>
    <mergeCell ref="A41:B41"/>
    <mergeCell ref="AI42:AJ42"/>
    <mergeCell ref="A121:B121"/>
    <mergeCell ref="B125:D125"/>
    <mergeCell ref="G125:K125"/>
    <mergeCell ref="B164:D164"/>
    <mergeCell ref="D219:E219"/>
  </mergeCells>
  <printOptions headings="false" gridLines="false" gridLinesSet="true" horizontalCentered="true" verticalCentered="false"/>
  <pageMargins left="0.25" right="0.25" top="0.25" bottom="0.25"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Roman,Italic"&amp;F/&amp;A&amp;R&amp;"Times New Roman,Italic"&amp;D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2">
              <controlPr defaultSize="0" print="false" autoFill="0" autoPict="0">
                <anchor moveWithCells="true" sizeWithCells="false">
                  <from>
                    <xdr:col>7</xdr:col>
                    <xdr:colOff>50040</xdr:colOff>
                    <xdr:row>0</xdr:row>
                    <xdr:rowOff>105120</xdr:rowOff>
                  </from>
                  <to>
                    <xdr:col>9</xdr:col>
                    <xdr:colOff>816480</xdr:colOff>
                    <xdr:row>7</xdr:row>
                    <xdr:rowOff>37800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6" topLeftCell="C41" activePane="bottomRight" state="frozen"/>
      <selection pane="topLeft" activeCell="A1" activeCellId="0" sqref="A1"/>
      <selection pane="topRight" activeCell="C1" activeCellId="0" sqref="C1"/>
      <selection pane="bottomLeft" activeCell="A41" activeCellId="0" sqref="A41"/>
      <selection pane="bottomRight" activeCell="S72" activeCellId="0" sqref="S72"/>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14.85"/>
    <col collapsed="false" customWidth="true" hidden="false" outlineLevel="0" max="3" min="3" style="193" width="12.42"/>
    <col collapsed="false" customWidth="true" hidden="false" outlineLevel="0" max="4" min="4" style="193" width="14.85"/>
    <col collapsed="false" customWidth="true" hidden="false" outlineLevel="0" max="5" min="5" style="193" width="15.99"/>
    <col collapsed="false" customWidth="true" hidden="false" outlineLevel="0" max="11" min="6"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false" hidden="false" outlineLevel="0" max="38" min="38" style="193" width="9.14"/>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392" t="n">
        <f aca="false">M38</f>
        <v>0</v>
      </c>
      <c r="D1" s="195"/>
      <c r="E1" s="195"/>
      <c r="F1" s="196"/>
      <c r="G1" s="393"/>
      <c r="H1" s="59"/>
      <c r="I1" s="59"/>
      <c r="J1" s="59"/>
      <c r="K1" s="59"/>
      <c r="L1" s="59"/>
      <c r="M1" s="59"/>
      <c r="N1" s="59"/>
      <c r="O1" s="59"/>
    </row>
    <row r="2" customFormat="false" ht="12.75" hidden="false" customHeight="true" outlineLevel="0" collapsed="false">
      <c r="A2" s="198" t="s">
        <v>127</v>
      </c>
      <c r="D2" s="59"/>
      <c r="E2" s="195"/>
      <c r="F2" s="196"/>
      <c r="G2" s="59"/>
      <c r="H2" s="59"/>
      <c r="I2" s="59"/>
      <c r="J2" s="59"/>
      <c r="K2" s="59"/>
      <c r="L2" s="59"/>
      <c r="M2" s="59"/>
      <c r="N2" s="59"/>
      <c r="O2" s="59"/>
    </row>
    <row r="3" customFormat="false" ht="12.75" hidden="false" customHeight="true" outlineLevel="0" collapsed="false">
      <c r="A3" s="201" t="s">
        <v>128</v>
      </c>
      <c r="B3" s="202" t="s">
        <v>36</v>
      </c>
      <c r="C3" s="202" t="s">
        <v>42</v>
      </c>
      <c r="D3" s="59"/>
      <c r="E3" s="406"/>
      <c r="F3" s="196"/>
      <c r="G3" s="59"/>
      <c r="H3" s="59"/>
      <c r="I3" s="59"/>
      <c r="J3" s="59"/>
      <c r="K3" s="59"/>
      <c r="L3" s="59"/>
      <c r="M3" s="59"/>
      <c r="N3" s="59"/>
      <c r="O3" s="59"/>
    </row>
    <row r="4" customFormat="false" ht="12.75" hidden="false" customHeight="true" outlineLevel="0" collapsed="false">
      <c r="A4" s="201" t="s">
        <v>1</v>
      </c>
      <c r="B4" s="207" t="n">
        <f aca="false">Front!B4</f>
        <v>36831</v>
      </c>
      <c r="D4" s="59"/>
      <c r="E4" s="195"/>
      <c r="F4" s="59"/>
      <c r="G4" s="59"/>
      <c r="H4" s="59"/>
      <c r="I4" s="59"/>
      <c r="J4" s="59"/>
      <c r="K4" s="59"/>
      <c r="L4" s="59"/>
      <c r="M4" s="59"/>
      <c r="N4" s="59"/>
      <c r="O4" s="59"/>
    </row>
    <row r="5" customFormat="false" ht="12.75" hidden="false" customHeight="true" outlineLevel="0" collapsed="false">
      <c r="A5" s="201" t="s">
        <v>2</v>
      </c>
      <c r="B5" s="208" t="n">
        <f aca="false">Front!B5</f>
        <v>36847</v>
      </c>
      <c r="C5" s="394"/>
      <c r="V5" s="153"/>
      <c r="W5" s="153"/>
      <c r="X5" s="153"/>
      <c r="Y5" s="153"/>
      <c r="Z5" s="153"/>
      <c r="AA5" s="153"/>
    </row>
    <row r="6" customFormat="false" ht="12.75" hidden="false" customHeight="true" outlineLevel="0" collapsed="false">
      <c r="A6" s="201" t="s">
        <v>130</v>
      </c>
      <c r="B6" s="210" t="n">
        <f aca="false">Front!$E$12</f>
        <v>949838</v>
      </c>
      <c r="C6" s="394"/>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D7" s="218" t="s">
        <v>142</v>
      </c>
      <c r="E7" s="218" t="s">
        <v>143</v>
      </c>
      <c r="K7" s="214"/>
      <c r="L7" s="215" t="s">
        <v>339</v>
      </c>
      <c r="M7" s="215" t="s">
        <v>137</v>
      </c>
      <c r="N7" s="215" t="s">
        <v>137</v>
      </c>
      <c r="O7" s="215" t="s">
        <v>137</v>
      </c>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D8" s="395"/>
      <c r="E8" s="1"/>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D9" s="395" t="n">
        <v>2434415</v>
      </c>
      <c r="E9" s="395" t="n">
        <v>2441837</v>
      </c>
      <c r="F9" s="59" t="s">
        <v>148</v>
      </c>
      <c r="G9" s="193" t="s">
        <v>149</v>
      </c>
      <c r="I9" s="193" t="n">
        <v>16839621</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D10" s="396"/>
      <c r="E10" s="396"/>
      <c r="F10" s="59" t="s">
        <v>148</v>
      </c>
      <c r="G10" s="193" t="s">
        <v>149</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154</v>
      </c>
      <c r="D11" s="396" t="n">
        <v>0</v>
      </c>
      <c r="E11" s="396" t="n">
        <v>0</v>
      </c>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396" t="n">
        <v>0</v>
      </c>
      <c r="E12" s="396"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396" t="n">
        <v>0</v>
      </c>
      <c r="E13" s="396" t="n">
        <v>0</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D14" s="2"/>
      <c r="E14" s="397" t="n">
        <f aca="false">+E159</f>
        <v>-5136</v>
      </c>
      <c r="F14" s="193" t="s">
        <v>165</v>
      </c>
      <c r="K14" s="219" t="s">
        <v>166</v>
      </c>
      <c r="L14" s="232" t="n">
        <f aca="false">SUM(L9:L13)/1000000</f>
        <v>0</v>
      </c>
      <c r="M14" s="232" t="n">
        <f aca="false">SUM(M9:M13)/1000000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D15" s="2"/>
      <c r="E15" s="397" t="n">
        <f aca="false">+L159</f>
        <v>0</v>
      </c>
      <c r="F15" s="193" t="s">
        <v>165</v>
      </c>
      <c r="K15" s="219" t="s">
        <v>169</v>
      </c>
      <c r="L15" s="94" t="n">
        <v>1</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D16" s="2"/>
      <c r="E16" s="397" t="n">
        <f aca="false">+E185</f>
        <v>0</v>
      </c>
      <c r="F16" s="193" t="s">
        <v>165</v>
      </c>
      <c r="I16" s="238"/>
      <c r="J16" s="238"/>
      <c r="K16" s="219" t="s">
        <v>174</v>
      </c>
      <c r="L16" s="241" t="n">
        <v>0</v>
      </c>
      <c r="M16" s="241" t="n">
        <v>0</v>
      </c>
      <c r="N16" s="241" t="n">
        <v>0</v>
      </c>
      <c r="O16" s="241" t="n">
        <v>0</v>
      </c>
      <c r="P16" s="241" t="n">
        <v>0</v>
      </c>
      <c r="Q16" s="241" t="n">
        <v>0</v>
      </c>
      <c r="R16" s="398"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E19" s="248" t="n">
        <f aca="false">SUM(E9:E16)</f>
        <v>2436701</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153"/>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SUM(E19)-SUM(B58+B59+B64+B65)</f>
        <v>2431462</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6" hidden="false" customHeight="true" outlineLevel="0" collapsed="false">
      <c r="A22" s="193" t="s">
        <v>181</v>
      </c>
      <c r="E22" s="262" t="n">
        <v>0</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6" hidden="false" customHeight="true" outlineLevel="0" collapsed="false">
      <c r="A23" s="193" t="s">
        <v>182</v>
      </c>
      <c r="E23" s="225" t="n">
        <f aca="false">B63</f>
        <v>0</v>
      </c>
      <c r="F23" s="193" t="s">
        <v>165</v>
      </c>
      <c r="G23" s="153"/>
      <c r="I23" s="153"/>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62"/>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-M214</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0</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0</v>
      </c>
      <c r="F30" s="193" t="s">
        <v>193</v>
      </c>
      <c r="I30" s="153"/>
      <c r="J30" s="153"/>
      <c r="K30" s="219" t="s">
        <v>194</v>
      </c>
      <c r="L30" s="153"/>
      <c r="M30" s="226" t="n">
        <v>2373199</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v>
      </c>
      <c r="N31" s="60" t="n">
        <f aca="false">M31</f>
        <v>0</v>
      </c>
      <c r="O31" s="153" t="s">
        <v>191</v>
      </c>
      <c r="P31" s="153"/>
      <c r="Q31" s="153"/>
      <c r="R31" s="220"/>
      <c r="S31" s="153"/>
      <c r="T31" s="153"/>
      <c r="U31" s="153"/>
      <c r="V31" s="153"/>
      <c r="W31" s="153"/>
      <c r="X31" s="153"/>
      <c r="Y31" s="153"/>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226" t="n">
        <v>0</v>
      </c>
      <c r="N32" s="60"/>
      <c r="O32" s="153" t="s">
        <v>191</v>
      </c>
      <c r="P32" s="153"/>
      <c r="Q32" s="153"/>
      <c r="R32" s="220"/>
      <c r="AI32" s="59"/>
    </row>
    <row r="33" customFormat="false" ht="12.75" hidden="false" customHeight="true" outlineLevel="0" collapsed="false">
      <c r="A33" s="193" t="s">
        <v>199</v>
      </c>
      <c r="E33" s="231" t="n">
        <f aca="false">+B67</f>
        <v>0</v>
      </c>
      <c r="F33" s="193" t="s">
        <v>193</v>
      </c>
      <c r="K33" s="219"/>
      <c r="L33" s="62"/>
      <c r="M33" s="60"/>
      <c r="N33" s="60"/>
      <c r="O33" s="153"/>
      <c r="P33" s="153"/>
      <c r="Q33" s="153"/>
      <c r="R33" s="220"/>
    </row>
    <row r="34" customFormat="false" ht="12.75" hidden="false" customHeight="true" outlineLevel="0" collapsed="false">
      <c r="A34" s="193" t="s">
        <v>200</v>
      </c>
      <c r="E34" s="231" t="n">
        <f aca="false">B69</f>
        <v>0</v>
      </c>
      <c r="F34" s="193" t="s">
        <v>193</v>
      </c>
      <c r="K34" s="219" t="s">
        <v>201</v>
      </c>
      <c r="L34" s="153"/>
      <c r="M34" s="60" t="n">
        <f aca="false">B76</f>
        <v>63502</v>
      </c>
      <c r="N34" s="60" t="n">
        <f aca="false">B63</f>
        <v>0</v>
      </c>
      <c r="O34" s="153" t="s">
        <v>202</v>
      </c>
      <c r="P34" s="153"/>
      <c r="Q34" s="153"/>
      <c r="R34" s="220"/>
    </row>
    <row r="35" customFormat="false" ht="12.75" hidden="false" customHeight="true" outlineLevel="0" collapsed="false">
      <c r="A35" s="193" t="s">
        <v>203</v>
      </c>
      <c r="E35" s="231" t="n">
        <f aca="false">F238</f>
        <v>0</v>
      </c>
      <c r="F35" s="193" t="s">
        <v>193</v>
      </c>
      <c r="K35" s="219"/>
      <c r="L35" s="153"/>
      <c r="M35" s="60"/>
      <c r="N35" s="60"/>
      <c r="O35" s="153"/>
      <c r="P35" s="153"/>
      <c r="Q35" s="153"/>
      <c r="R35" s="220"/>
    </row>
    <row r="36" customFormat="false" ht="12.75" hidden="false" customHeight="true" outlineLevel="0" collapsed="false">
      <c r="A36" s="223" t="s">
        <v>204</v>
      </c>
      <c r="E36" s="248" t="n">
        <f aca="false">SUM(E29:E35)</f>
        <v>0</v>
      </c>
      <c r="K36" s="219" t="s">
        <v>205</v>
      </c>
      <c r="L36" s="62"/>
      <c r="M36" s="60" t="n">
        <f aca="false">SUM(M30:M34)</f>
        <v>2436701</v>
      </c>
      <c r="N36" s="60" t="n">
        <f aca="false">SUM(N30:N34)</f>
        <v>0</v>
      </c>
      <c r="O36" s="153"/>
      <c r="P36" s="153"/>
      <c r="Q36" s="153"/>
      <c r="R36" s="220"/>
    </row>
    <row r="37" customFormat="false" ht="12.75" hidden="false" customHeight="true" outlineLevel="0" collapsed="false">
      <c r="C37" s="199"/>
      <c r="D37" s="199"/>
      <c r="K37" s="265"/>
      <c r="L37" s="62"/>
      <c r="M37" s="62"/>
      <c r="N37" s="62"/>
      <c r="O37" s="153"/>
      <c r="P37" s="153"/>
      <c r="Q37" s="153"/>
      <c r="R37" s="220"/>
    </row>
    <row r="38" customFormat="false" ht="12.75" hidden="false" customHeight="true" outlineLevel="0" collapsed="false">
      <c r="A38" s="221" t="s">
        <v>206</v>
      </c>
      <c r="C38" s="226"/>
      <c r="D38" s="199"/>
      <c r="E38" s="248" t="n">
        <f aca="false">+E36+E26+E19</f>
        <v>2436701</v>
      </c>
      <c r="K38" s="219"/>
      <c r="L38" s="266" t="s">
        <v>207</v>
      </c>
      <c r="M38" s="124" t="n">
        <f aca="false">M36-E38</f>
        <v>0</v>
      </c>
      <c r="N38" s="124" t="n">
        <f aca="false">+N36-E26</f>
        <v>0</v>
      </c>
      <c r="O38" s="153"/>
      <c r="P38" s="153"/>
      <c r="Q38" s="153"/>
      <c r="R38" s="220"/>
      <c r="AN38" s="59"/>
      <c r="AO38" s="59"/>
      <c r="AP38" s="59"/>
      <c r="AQ38" s="59"/>
      <c r="AR38" s="59"/>
      <c r="AS38" s="59"/>
    </row>
    <row r="39" customFormat="false" ht="12.75" hidden="false" customHeight="true" outlineLevel="0" collapsed="false">
      <c r="C39" s="199"/>
      <c r="D39" s="199"/>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A40" s="399"/>
      <c r="B40" s="400"/>
      <c r="C40" s="401"/>
      <c r="D40" s="401"/>
      <c r="E40" s="400"/>
      <c r="F40" s="400"/>
      <c r="G40" s="400"/>
      <c r="H40" s="400"/>
      <c r="I40" s="400"/>
      <c r="J40" s="400"/>
      <c r="K40" s="402"/>
      <c r="L40" s="402"/>
      <c r="M40" s="402"/>
      <c r="N40" s="402"/>
      <c r="O40" s="402"/>
      <c r="P40" s="402"/>
      <c r="Q40" s="400"/>
      <c r="R40" s="400"/>
      <c r="S40" s="400"/>
      <c r="T40" s="400"/>
      <c r="U40" s="400"/>
      <c r="V40" s="400"/>
      <c r="W40" s="400"/>
      <c r="X40" s="400"/>
      <c r="Y40" s="400"/>
      <c r="Z40" s="400"/>
      <c r="AA40" s="400"/>
      <c r="AB40" s="400"/>
      <c r="AC40" s="400"/>
      <c r="AD40" s="400"/>
      <c r="AE40" s="400"/>
      <c r="AF40" s="400"/>
      <c r="AG40" s="400"/>
      <c r="AJ40" s="59"/>
      <c r="AK40" s="59"/>
      <c r="AN40" s="59"/>
      <c r="AO40" s="59"/>
      <c r="AP40" s="59"/>
      <c r="AQ40" s="59"/>
      <c r="AR40" s="59"/>
      <c r="AS40" s="59"/>
    </row>
    <row r="41" customFormat="false" ht="12.75" hidden="false" customHeight="true" outlineLevel="0" collapsed="false">
      <c r="A41" s="271" t="s">
        <v>208</v>
      </c>
      <c r="B41" s="271"/>
      <c r="C41" s="199"/>
      <c r="D41" s="199"/>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SUM(C47:C76)-C61-C68-C69</f>
        <v>17956</v>
      </c>
      <c r="D43" s="275" t="n">
        <f aca="false">SUM(D47:D76)-D61-D68-D69</f>
        <v>-3039</v>
      </c>
      <c r="E43" s="275" t="n">
        <f aca="false">SUM(E47:E76)-E61-E68-E69</f>
        <v>1913</v>
      </c>
      <c r="F43" s="275" t="n">
        <f aca="false">SUM(F47:F76)-F61-F68-F69</f>
        <v>0</v>
      </c>
      <c r="G43" s="275" t="n">
        <f aca="false">SUM(G47:G76)-G61-G68-G69</f>
        <v>0</v>
      </c>
      <c r="H43" s="275" t="n">
        <f aca="false">SUM(H47:H76)-H61-H68-H69</f>
        <v>-2092</v>
      </c>
      <c r="I43" s="275" t="n">
        <f aca="false">SUM(I47:I76)-I61-I68-I69</f>
        <v>5358</v>
      </c>
      <c r="J43" s="275" t="n">
        <f aca="false">SUM(J47:J76)-J61-J68-J69</f>
        <v>10991</v>
      </c>
      <c r="K43" s="275" t="n">
        <f aca="false">SUM(K47:K76)-K61-K68-K69</f>
        <v>12910</v>
      </c>
      <c r="L43" s="275" t="n">
        <f aca="false">SUM(L47:L76)-L61-L68-L69</f>
        <v>-10280</v>
      </c>
      <c r="M43" s="275" t="n">
        <f aca="false">SUM(M47:M76)-M61-M68-M69</f>
        <v>0</v>
      </c>
      <c r="N43" s="275" t="n">
        <f aca="false">SUM(N47:N76)-N61-N68-N69</f>
        <v>0</v>
      </c>
      <c r="O43" s="275" t="n">
        <f aca="false">SUM(O47:O76)-O61-O68-O69</f>
        <v>3873</v>
      </c>
      <c r="P43" s="275" t="n">
        <f aca="false">SUM(P47:P76)-P61-P68-P69</f>
        <v>2859</v>
      </c>
      <c r="Q43" s="275" t="n">
        <f aca="false">SUM(Q47:Q76)-R61-Q68-Q69</f>
        <v>13667</v>
      </c>
      <c r="R43" s="275" t="n">
        <f aca="false">SUM(R47:R76)-S61-R68-R69</f>
        <v>1964</v>
      </c>
      <c r="S43" s="275" t="n">
        <f aca="false">SUM(S47:S76)-S61-S68-S69</f>
        <v>7422</v>
      </c>
      <c r="T43" s="275" t="n">
        <f aca="false">SUM(T47:T76)-T61-T68-T69</f>
        <v>0</v>
      </c>
      <c r="U43" s="275" t="n">
        <f aca="false">SUM(U47:U76)-U61-U68-U69</f>
        <v>0</v>
      </c>
      <c r="V43" s="275" t="n">
        <f aca="false">SUM(V47:V76)-V61-V68-V69</f>
        <v>0</v>
      </c>
      <c r="W43" s="275" t="n">
        <f aca="false">SUM(W47:W76)-W61-W68-W69</f>
        <v>0</v>
      </c>
      <c r="X43" s="275" t="n">
        <f aca="false">SUM(X47:X76)-X61-X68-X69</f>
        <v>0</v>
      </c>
      <c r="Y43" s="275" t="n">
        <f aca="false">SUM(Y47:Y76)-Y61-Y68-Y69</f>
        <v>0</v>
      </c>
      <c r="Z43" s="275" t="n">
        <f aca="false">SUM(Z47:Z76)-Z61-Z68-Z69</f>
        <v>0</v>
      </c>
      <c r="AA43" s="275" t="n">
        <f aca="false">SUM(AA47:AA76)-AA61-AA68-AA69</f>
        <v>0</v>
      </c>
      <c r="AB43" s="275" t="n">
        <f aca="false">SUM(AB47:AB76)-AB61-AB68-AB69</f>
        <v>0</v>
      </c>
      <c r="AC43" s="275" t="n">
        <f aca="false">SUM(AC47:AC76)-AC61-AC68-AC69</f>
        <v>0</v>
      </c>
      <c r="AD43" s="275" t="n">
        <f aca="false">SUM(AD47:AD76)-AD61-AD68-AD69</f>
        <v>0</v>
      </c>
      <c r="AE43" s="275" t="n">
        <f aca="false">SUM(AE47:AE76)-AE61-AE68-AE69</f>
        <v>0</v>
      </c>
      <c r="AF43" s="275" t="n">
        <f aca="false">SUM(AF47:AF76)-AF61-AF68-AF69</f>
        <v>0</v>
      </c>
      <c r="AG43" s="275" t="n">
        <f aca="false">SUM(AG47:AG76)-AG61-AG68-AG69</f>
        <v>0</v>
      </c>
      <c r="AH43" s="59"/>
      <c r="AI43" s="276" t="s">
        <v>211</v>
      </c>
      <c r="AJ43" s="277" t="s">
        <v>212</v>
      </c>
      <c r="AK43" s="59"/>
      <c r="AL43" s="77"/>
      <c r="AN43" s="59"/>
      <c r="AO43" s="59"/>
      <c r="AP43" s="59"/>
      <c r="AQ43" s="59"/>
      <c r="AR43" s="59"/>
      <c r="AS43" s="59"/>
    </row>
    <row r="44" customFormat="false" ht="12.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true" customHeight="true" outlineLevel="0" collapsed="false">
      <c r="A46" s="289"/>
      <c r="B46" s="290" t="s">
        <v>216</v>
      </c>
      <c r="C46" s="310"/>
      <c r="D46" s="310"/>
      <c r="E46" s="310"/>
      <c r="F46" s="310"/>
      <c r="G46" s="310"/>
      <c r="H46" s="310"/>
      <c r="I46" s="310"/>
      <c r="J46" s="310"/>
      <c r="K46" s="310"/>
      <c r="L46" s="310"/>
      <c r="M46" s="310"/>
      <c r="N46" s="310"/>
      <c r="O46" s="310"/>
      <c r="P46" s="292"/>
      <c r="Q46" s="310"/>
      <c r="R46" s="292"/>
      <c r="S46" s="310"/>
      <c r="T46" s="292"/>
      <c r="U46" s="310"/>
      <c r="V46" s="310"/>
      <c r="W46" s="292"/>
      <c r="X46" s="310"/>
      <c r="Y46" s="310"/>
      <c r="Z46" s="310"/>
      <c r="AA46" s="310"/>
      <c r="AB46" s="292"/>
      <c r="AC46" s="310"/>
      <c r="AD46" s="310"/>
      <c r="AE46" s="292"/>
      <c r="AF46" s="310"/>
      <c r="AG46" s="311"/>
      <c r="AH46" s="59"/>
      <c r="AI46" s="287" t="n">
        <v>3</v>
      </c>
      <c r="AJ46" s="288" t="s">
        <v>217</v>
      </c>
      <c r="AK46" s="59"/>
      <c r="AL46" s="153"/>
      <c r="AN46" s="59"/>
      <c r="AO46" s="59"/>
      <c r="AP46" s="59"/>
      <c r="AQ46" s="59"/>
      <c r="AR46" s="59"/>
      <c r="AS46" s="59"/>
    </row>
    <row r="47" customFormat="false" ht="12.75" hidden="true" customHeight="true" outlineLevel="0" collapsed="false">
      <c r="A47" s="231" t="s">
        <v>218</v>
      </c>
      <c r="B47" s="294" t="n">
        <f aca="false">SUM(C47:AG47)</f>
        <v>0</v>
      </c>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59"/>
      <c r="AI47" s="287" t="n">
        <v>4</v>
      </c>
      <c r="AJ47" s="288" t="s">
        <v>219</v>
      </c>
      <c r="AK47" s="59"/>
      <c r="AL47" s="61"/>
      <c r="AM47" s="60"/>
      <c r="AN47" s="98"/>
      <c r="AO47" s="59"/>
      <c r="AP47" s="59"/>
      <c r="AQ47" s="59"/>
      <c r="AR47" s="59"/>
      <c r="AS47" s="59"/>
    </row>
    <row r="48" customFormat="false" ht="12.75" hidden="true" customHeight="true" outlineLevel="0" collapsed="false">
      <c r="A48" s="295" t="s">
        <v>220</v>
      </c>
      <c r="B48" s="294" t="n">
        <f aca="false">SUM(C48:AG48)</f>
        <v>0</v>
      </c>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59"/>
      <c r="AI48" s="287" t="n">
        <v>5</v>
      </c>
      <c r="AJ48" s="288" t="s">
        <v>221</v>
      </c>
      <c r="AK48" s="59"/>
      <c r="AL48" s="61"/>
      <c r="AM48" s="226"/>
      <c r="AN48" s="296"/>
      <c r="AO48" s="61"/>
      <c r="AP48" s="61"/>
      <c r="AQ48" s="61"/>
      <c r="AR48" s="61"/>
      <c r="AS48" s="61"/>
      <c r="AT48" s="199"/>
      <c r="AU48" s="199"/>
    </row>
    <row r="49" customFormat="false" ht="12.75" hidden="true" customHeight="true" outlineLevel="0" collapsed="false">
      <c r="A49" s="295" t="s">
        <v>222</v>
      </c>
      <c r="B49" s="294" t="n">
        <f aca="false">SUM(C49:AG49)</f>
        <v>0</v>
      </c>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59"/>
      <c r="AI49" s="287" t="n">
        <v>6</v>
      </c>
      <c r="AJ49" s="288" t="s">
        <v>223</v>
      </c>
      <c r="AK49" s="59"/>
      <c r="AL49" s="61"/>
      <c r="AM49" s="226"/>
      <c r="AN49" s="296"/>
      <c r="AO49" s="61"/>
      <c r="AP49" s="61"/>
      <c r="AQ49" s="61"/>
      <c r="AR49" s="61"/>
      <c r="AS49" s="61"/>
      <c r="AT49" s="199"/>
      <c r="AU49" s="199"/>
    </row>
    <row r="50" customFormat="false" ht="12.75" hidden="true" customHeight="true" outlineLevel="0" collapsed="false">
      <c r="A50" s="295" t="s">
        <v>224</v>
      </c>
      <c r="B50" s="294" t="n">
        <f aca="false">SUM(C50:AG50)</f>
        <v>0</v>
      </c>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59"/>
      <c r="AI50" s="297" t="n">
        <v>7</v>
      </c>
      <c r="AJ50" s="298" t="s">
        <v>214</v>
      </c>
      <c r="AK50" s="59"/>
      <c r="AL50" s="60"/>
      <c r="AM50" s="60"/>
      <c r="AN50" s="296"/>
      <c r="AO50" s="61"/>
      <c r="AP50" s="61"/>
      <c r="AQ50" s="61"/>
      <c r="AR50" s="61"/>
      <c r="AS50" s="61"/>
      <c r="AT50" s="199"/>
      <c r="AU50" s="199"/>
    </row>
    <row r="51" customFormat="false" ht="12.75" hidden="false" customHeight="true" outlineLevel="0" collapsed="false">
      <c r="A51" s="295" t="s">
        <v>225</v>
      </c>
      <c r="B51" s="294" t="n">
        <f aca="false">SUM(C51:AG51)</f>
        <v>61409</v>
      </c>
      <c r="C51" s="226" t="n">
        <v>17503</v>
      </c>
      <c r="D51" s="226"/>
      <c r="E51" s="226" t="n">
        <v>1631</v>
      </c>
      <c r="F51" s="226"/>
      <c r="G51" s="226"/>
      <c r="H51" s="226" t="n">
        <v>-2983</v>
      </c>
      <c r="I51" s="226" t="n">
        <v>5005</v>
      </c>
      <c r="J51" s="226" t="n">
        <v>10726</v>
      </c>
      <c r="K51" s="226" t="n">
        <v>12603</v>
      </c>
      <c r="L51" s="226" t="n">
        <v>-10560</v>
      </c>
      <c r="M51" s="226"/>
      <c r="N51" s="226"/>
      <c r="O51" s="226" t="n">
        <v>2941</v>
      </c>
      <c r="P51" s="226" t="n">
        <v>2403</v>
      </c>
      <c r="Q51" s="226" t="n">
        <v>13339</v>
      </c>
      <c r="R51" s="226" t="n">
        <v>1658</v>
      </c>
      <c r="S51" s="226" t="n">
        <v>7143</v>
      </c>
      <c r="T51" s="226"/>
      <c r="U51" s="226"/>
      <c r="V51" s="226"/>
      <c r="W51" s="226"/>
      <c r="X51" s="226"/>
      <c r="Y51" s="226"/>
      <c r="Z51" s="226"/>
      <c r="AA51" s="226"/>
      <c r="AB51" s="226"/>
      <c r="AC51" s="226"/>
      <c r="AD51" s="226"/>
      <c r="AE51" s="226"/>
      <c r="AF51" s="226"/>
      <c r="AG51" s="226"/>
      <c r="AH51" s="59"/>
      <c r="AI51" s="199"/>
      <c r="AJ51" s="59"/>
      <c r="AK51" s="59"/>
      <c r="AL51" s="60"/>
      <c r="AM51" s="60"/>
      <c r="AN51" s="98"/>
      <c r="AO51" s="59"/>
      <c r="AP51" s="59"/>
      <c r="AQ51" s="59"/>
      <c r="AR51" s="59"/>
      <c r="AS51" s="59"/>
    </row>
    <row r="52" customFormat="false" ht="12.75" hidden="true" customHeight="true" outlineLevel="0" collapsed="false">
      <c r="A52" s="295" t="s">
        <v>226</v>
      </c>
      <c r="B52" s="294" t="n">
        <f aca="false">SUM(C52:AG52)</f>
        <v>0</v>
      </c>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226"/>
      <c r="AH52" s="59"/>
      <c r="AI52" s="199"/>
      <c r="AJ52" s="59"/>
      <c r="AK52" s="59"/>
      <c r="AL52" s="60"/>
      <c r="AM52" s="60"/>
      <c r="AN52" s="98"/>
      <c r="AO52" s="59"/>
      <c r="AP52" s="59"/>
      <c r="AQ52" s="59"/>
      <c r="AR52" s="59"/>
      <c r="AS52" s="59"/>
    </row>
    <row r="53" customFormat="false" ht="12.75" hidden="false" customHeight="true" outlineLevel="0" collapsed="false">
      <c r="A53" s="231" t="s">
        <v>227</v>
      </c>
      <c r="B53" s="294" t="n">
        <f aca="false">SUM(C53:AG53)</f>
        <v>138</v>
      </c>
      <c r="C53" s="226"/>
      <c r="D53" s="226"/>
      <c r="E53" s="226"/>
      <c r="F53" s="226"/>
      <c r="G53" s="226"/>
      <c r="H53" s="226"/>
      <c r="I53" s="226"/>
      <c r="J53" s="226"/>
      <c r="K53" s="226"/>
      <c r="L53" s="226"/>
      <c r="M53" s="226"/>
      <c r="N53" s="226"/>
      <c r="O53" s="226"/>
      <c r="P53" s="226" t="n">
        <v>138</v>
      </c>
      <c r="Q53" s="226"/>
      <c r="R53" s="226"/>
      <c r="S53" s="226"/>
      <c r="T53" s="226"/>
      <c r="U53" s="226"/>
      <c r="V53" s="226"/>
      <c r="W53" s="226"/>
      <c r="X53" s="226"/>
      <c r="Y53" s="226"/>
      <c r="Z53" s="226"/>
      <c r="AA53" s="226"/>
      <c r="AB53" s="226"/>
      <c r="AC53" s="226"/>
      <c r="AD53" s="226"/>
      <c r="AE53" s="226"/>
      <c r="AF53" s="226"/>
      <c r="AG53" s="226"/>
      <c r="AH53" s="59"/>
      <c r="AJ53" s="59"/>
      <c r="AK53" s="59"/>
      <c r="AL53" s="61"/>
      <c r="AM53" s="60"/>
      <c r="AN53" s="98"/>
      <c r="AO53" s="59"/>
      <c r="AP53" s="59"/>
      <c r="AQ53" s="59"/>
      <c r="AR53" s="59"/>
      <c r="AS53" s="59"/>
    </row>
    <row r="54" customFormat="false" ht="12.75" hidden="false" customHeight="true" outlineLevel="0" collapsed="false">
      <c r="A54" s="231" t="s">
        <v>228</v>
      </c>
      <c r="B54" s="294" t="n">
        <f aca="false">SUM(C54:AG54)</f>
        <v>-3291</v>
      </c>
      <c r="C54" s="226"/>
      <c r="D54" s="226" t="n">
        <v>-3291</v>
      </c>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59"/>
      <c r="AJ54" s="59"/>
      <c r="AK54" s="59"/>
      <c r="AL54" s="61"/>
      <c r="AM54" s="60"/>
      <c r="AN54" s="98"/>
      <c r="AO54" s="59"/>
      <c r="AP54" s="59"/>
      <c r="AQ54" s="59"/>
      <c r="AR54" s="59"/>
      <c r="AS54" s="59"/>
    </row>
    <row r="55" customFormat="false" ht="12.75" hidden="false" customHeight="true" outlineLevel="0" collapsed="false">
      <c r="A55" s="231" t="s">
        <v>229</v>
      </c>
      <c r="B55" s="294" t="n">
        <f aca="false">SUM(C55:AG55)</f>
        <v>0</v>
      </c>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226"/>
      <c r="AH55" s="59"/>
      <c r="AJ55" s="59"/>
      <c r="AK55" s="59"/>
      <c r="AL55" s="61"/>
      <c r="AM55" s="60"/>
      <c r="AN55" s="98"/>
      <c r="AO55" s="59"/>
      <c r="AP55" s="59"/>
      <c r="AQ55" s="59"/>
      <c r="AR55" s="59"/>
      <c r="AS55" s="59"/>
    </row>
    <row r="56" customFormat="false" ht="12.75" hidden="false" customHeight="true" outlineLevel="0" collapsed="false">
      <c r="A56" s="231" t="s">
        <v>230</v>
      </c>
      <c r="B56" s="294" t="n">
        <f aca="false">SUM(C56:AG56)</f>
        <v>0</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59"/>
      <c r="AI56" s="199"/>
      <c r="AJ56" s="59"/>
      <c r="AK56" s="59"/>
      <c r="AL56" s="61"/>
      <c r="AM56" s="60"/>
      <c r="AN56" s="98"/>
      <c r="AO56" s="59"/>
      <c r="AP56" s="59"/>
      <c r="AQ56" s="59"/>
      <c r="AR56" s="59"/>
      <c r="AS56" s="59"/>
    </row>
    <row r="57" customFormat="false" ht="12.75" hidden="false" customHeight="true" outlineLevel="0" collapsed="false">
      <c r="A57" s="295" t="s">
        <v>231</v>
      </c>
      <c r="B57" s="294" t="n">
        <f aca="false">SUM(C57:AG57)</f>
        <v>0</v>
      </c>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59"/>
      <c r="AI57" s="199"/>
      <c r="AJ57" s="59"/>
      <c r="AK57" s="59"/>
      <c r="AL57" s="61"/>
      <c r="AM57" s="60"/>
      <c r="AN57" s="98"/>
      <c r="AO57" s="59"/>
      <c r="AP57" s="59"/>
      <c r="AQ57" s="59"/>
      <c r="AR57" s="59"/>
      <c r="AS57" s="59"/>
    </row>
    <row r="58" customFormat="false" ht="12.75" hidden="false" customHeight="true" outlineLevel="0" collapsed="false">
      <c r="A58" s="295" t="s">
        <v>232</v>
      </c>
      <c r="B58" s="294" t="n">
        <f aca="false">SUM(C58:AG58)</f>
        <v>-60</v>
      </c>
      <c r="C58" s="226" t="n">
        <v>70</v>
      </c>
      <c r="D58" s="226" t="n">
        <v>-52</v>
      </c>
      <c r="E58" s="226" t="n">
        <v>-24</v>
      </c>
      <c r="F58" s="226"/>
      <c r="G58" s="226"/>
      <c r="H58" s="226" t="n">
        <v>-25</v>
      </c>
      <c r="I58" s="226" t="n">
        <v>47</v>
      </c>
      <c r="J58" s="226" t="n">
        <v>-42</v>
      </c>
      <c r="K58" s="226" t="n">
        <v>-1</v>
      </c>
      <c r="L58" s="226" t="n">
        <v>-29</v>
      </c>
      <c r="M58" s="226"/>
      <c r="N58" s="226"/>
      <c r="O58" s="226" t="n">
        <v>7</v>
      </c>
      <c r="P58" s="226" t="n">
        <v>9</v>
      </c>
      <c r="Q58" s="226" t="n">
        <v>17</v>
      </c>
      <c r="R58" s="226" t="n">
        <v>-4</v>
      </c>
      <c r="S58" s="226" t="n">
        <v>-33</v>
      </c>
      <c r="T58" s="226"/>
      <c r="U58" s="226"/>
      <c r="V58" s="226"/>
      <c r="W58" s="226"/>
      <c r="X58" s="226"/>
      <c r="Y58" s="226"/>
      <c r="Z58" s="226"/>
      <c r="AA58" s="226"/>
      <c r="AB58" s="226"/>
      <c r="AC58" s="226"/>
      <c r="AD58" s="226"/>
      <c r="AE58" s="226"/>
      <c r="AF58" s="226"/>
      <c r="AG58" s="226"/>
      <c r="AH58" s="59"/>
      <c r="AI58" s="199"/>
      <c r="AJ58" s="59"/>
      <c r="AK58" s="59"/>
      <c r="AL58" s="61"/>
      <c r="AM58" s="60"/>
      <c r="AN58" s="296"/>
      <c r="AO58" s="61"/>
      <c r="AP58" s="61"/>
      <c r="AQ58" s="61"/>
      <c r="AR58" s="61"/>
      <c r="AS58" s="61"/>
      <c r="AT58" s="199"/>
      <c r="AU58" s="199"/>
      <c r="AV58" s="199"/>
      <c r="AW58" s="199"/>
      <c r="AX58" s="199"/>
    </row>
    <row r="59" customFormat="false" ht="12.75" hidden="false" customHeight="true" outlineLevel="0" collapsed="false">
      <c r="A59" s="295" t="s">
        <v>233</v>
      </c>
      <c r="B59" s="294" t="n">
        <f aca="false">SUM(C59:AG59)</f>
        <v>5299</v>
      </c>
      <c r="C59" s="226" t="n">
        <v>380</v>
      </c>
      <c r="D59" s="226" t="n">
        <v>305</v>
      </c>
      <c r="E59" s="226" t="n">
        <v>305</v>
      </c>
      <c r="F59" s="226"/>
      <c r="G59" s="226"/>
      <c r="H59" s="226" t="n">
        <v>917</v>
      </c>
      <c r="I59" s="226" t="n">
        <v>306</v>
      </c>
      <c r="J59" s="226" t="n">
        <v>306</v>
      </c>
      <c r="K59" s="226" t="n">
        <v>307</v>
      </c>
      <c r="L59" s="226" t="n">
        <v>309</v>
      </c>
      <c r="M59" s="226"/>
      <c r="N59" s="226"/>
      <c r="O59" s="226" t="n">
        <v>925</v>
      </c>
      <c r="P59" s="226" t="n">
        <v>309</v>
      </c>
      <c r="Q59" s="226" t="n">
        <v>309</v>
      </c>
      <c r="R59" s="226" t="n">
        <v>310</v>
      </c>
      <c r="S59" s="226" t="n">
        <v>311</v>
      </c>
      <c r="T59" s="226"/>
      <c r="U59" s="226"/>
      <c r="V59" s="226"/>
      <c r="W59" s="226"/>
      <c r="X59" s="226"/>
      <c r="Y59" s="226"/>
      <c r="Z59" s="226"/>
      <c r="AA59" s="226"/>
      <c r="AB59" s="226"/>
      <c r="AC59" s="226"/>
      <c r="AD59" s="226"/>
      <c r="AE59" s="226"/>
      <c r="AF59" s="226"/>
      <c r="AG59" s="226"/>
      <c r="AH59" s="59"/>
      <c r="AI59" s="199"/>
      <c r="AJ59" s="59"/>
      <c r="AK59" s="59"/>
      <c r="AL59" s="61"/>
      <c r="AM59" s="60"/>
      <c r="AN59" s="296"/>
      <c r="AO59" s="61"/>
      <c r="AP59" s="61"/>
      <c r="AQ59" s="61"/>
      <c r="AR59" s="61"/>
      <c r="AS59" s="61"/>
      <c r="AT59" s="199"/>
      <c r="AU59" s="199"/>
      <c r="AV59" s="199"/>
      <c r="AW59" s="199"/>
      <c r="AX59" s="199"/>
    </row>
    <row r="60" customFormat="false" ht="12.75" hidden="false" customHeight="true" outlineLevel="0" collapsed="false">
      <c r="A60" s="295" t="s">
        <v>234</v>
      </c>
      <c r="B60" s="294" t="n">
        <f aca="false">SUM(C60:AG60)</f>
        <v>0</v>
      </c>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59"/>
      <c r="AI60" s="199"/>
      <c r="AJ60" s="59"/>
      <c r="AK60" s="59"/>
      <c r="AL60" s="61"/>
      <c r="AM60" s="60"/>
      <c r="AN60" s="296"/>
      <c r="AO60" s="61"/>
      <c r="AP60" s="61"/>
      <c r="AQ60" s="61"/>
      <c r="AR60" s="61"/>
      <c r="AS60" s="61"/>
      <c r="AT60" s="199"/>
      <c r="AU60" s="199"/>
      <c r="AV60" s="199"/>
      <c r="AW60" s="199"/>
      <c r="AX60" s="199"/>
    </row>
    <row r="61" customFormat="false" ht="12.75" hidden="false" customHeight="true" outlineLevel="0" collapsed="false">
      <c r="A61" s="295" t="s">
        <v>235</v>
      </c>
      <c r="B61" s="294" t="n">
        <f aca="false">SUM(C61:AG61)</f>
        <v>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59"/>
      <c r="AJ61" s="59"/>
      <c r="AK61" s="59"/>
      <c r="AL61" s="61"/>
      <c r="AM61" s="60"/>
      <c r="AN61" s="98"/>
      <c r="AO61" s="59"/>
      <c r="AP61" s="59"/>
      <c r="AQ61" s="59"/>
      <c r="AR61" s="59"/>
      <c r="AS61" s="59"/>
    </row>
    <row r="62" customFormat="false" ht="12.75" hidden="false" customHeight="true" outlineLevel="0" collapsed="false">
      <c r="A62" s="295" t="s">
        <v>236</v>
      </c>
      <c r="B62" s="294" t="n">
        <f aca="false">SUM(C62:AG62)</f>
        <v>7</v>
      </c>
      <c r="C62" s="226" t="n">
        <f aca="false">2+1</f>
        <v>3</v>
      </c>
      <c r="D62" s="226" t="n">
        <f aca="false">-1</f>
        <v>-1</v>
      </c>
      <c r="E62" s="226" t="n">
        <v>1</v>
      </c>
      <c r="F62" s="226"/>
      <c r="G62" s="226"/>
      <c r="H62" s="226" t="n">
        <f aca="false">-1</f>
        <v>-1</v>
      </c>
      <c r="I62" s="226"/>
      <c r="J62" s="226" t="n">
        <f aca="false">2-1</f>
        <v>1</v>
      </c>
      <c r="K62" s="226" t="n">
        <f aca="false">2-1</f>
        <v>1</v>
      </c>
      <c r="L62" s="226" t="n">
        <f aca="false">-1+1</f>
        <v>0</v>
      </c>
      <c r="M62" s="226"/>
      <c r="N62" s="226"/>
      <c r="O62" s="226" t="n">
        <f aca="false">1-1</f>
        <v>0</v>
      </c>
      <c r="P62" s="226"/>
      <c r="Q62" s="226" t="n">
        <f aca="false">2</f>
        <v>2</v>
      </c>
      <c r="R62" s="226"/>
      <c r="S62" s="226" t="n">
        <f aca="false">1</f>
        <v>1</v>
      </c>
      <c r="T62" s="226"/>
      <c r="U62" s="226"/>
      <c r="V62" s="226"/>
      <c r="W62" s="226"/>
      <c r="X62" s="226"/>
      <c r="Y62" s="226"/>
      <c r="Z62" s="226"/>
      <c r="AA62" s="226"/>
      <c r="AB62" s="226"/>
      <c r="AC62" s="226"/>
      <c r="AD62" s="226"/>
      <c r="AE62" s="226"/>
      <c r="AF62" s="226"/>
      <c r="AG62" s="226"/>
      <c r="AH62" s="59"/>
      <c r="AJ62" s="59"/>
      <c r="AK62" s="59"/>
      <c r="AL62" s="61"/>
      <c r="AM62" s="60"/>
      <c r="AN62" s="98"/>
      <c r="AO62" s="98"/>
      <c r="AP62" s="59"/>
      <c r="AQ62" s="59"/>
      <c r="AR62" s="59"/>
      <c r="AS62" s="59"/>
    </row>
    <row r="63" customFormat="false" ht="12.75" hidden="true" customHeight="true" outlineLevel="0" collapsed="false">
      <c r="A63" s="295" t="s">
        <v>189</v>
      </c>
      <c r="B63" s="294" t="n">
        <f aca="false">SUM(C63:AG63)</f>
        <v>0</v>
      </c>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59"/>
      <c r="AI63" s="199"/>
      <c r="AJ63" s="59"/>
      <c r="AK63" s="59"/>
      <c r="AL63" s="61"/>
      <c r="AM63" s="60"/>
      <c r="AN63" s="98"/>
      <c r="AO63" s="59"/>
      <c r="AP63" s="59"/>
      <c r="AQ63" s="59"/>
      <c r="AR63" s="59"/>
      <c r="AS63" s="59"/>
    </row>
    <row r="64" customFormat="false" ht="12.75" hidden="true" customHeight="true" outlineLevel="0" collapsed="false">
      <c r="A64" s="295" t="s">
        <v>237</v>
      </c>
      <c r="B64" s="294" t="n">
        <f aca="false">SUM(C64:AG64)</f>
        <v>0</v>
      </c>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59"/>
      <c r="AI64" s="199"/>
      <c r="AJ64" s="59"/>
      <c r="AK64" s="59"/>
      <c r="AL64" s="60"/>
      <c r="AM64" s="60"/>
      <c r="AN64" s="59"/>
      <c r="AO64" s="59"/>
      <c r="AP64" s="59"/>
      <c r="AQ64" s="59"/>
      <c r="AR64" s="59"/>
      <c r="AS64" s="59"/>
    </row>
    <row r="65" customFormat="false" ht="12.75" hidden="true" customHeight="true" outlineLevel="0" collapsed="false">
      <c r="A65" s="231" t="s">
        <v>238</v>
      </c>
      <c r="B65" s="294" t="n">
        <f aca="false">SUM(C65:AG65)</f>
        <v>0</v>
      </c>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59"/>
      <c r="AJ65" s="59"/>
      <c r="AK65" s="59"/>
      <c r="AL65" s="61"/>
      <c r="AM65" s="60"/>
      <c r="AN65" s="59"/>
      <c r="AO65" s="59"/>
      <c r="AP65" s="59"/>
      <c r="AQ65" s="59"/>
      <c r="AR65" s="59"/>
      <c r="AS65" s="59"/>
    </row>
    <row r="66" customFormat="false" ht="12.75" hidden="true" customHeight="true" outlineLevel="0" collapsed="false">
      <c r="A66" s="231" t="s">
        <v>239</v>
      </c>
      <c r="B66" s="294" t="n">
        <f aca="false">SUM(C66:AG66)</f>
        <v>0</v>
      </c>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59"/>
      <c r="AI66" s="199"/>
      <c r="AJ66" s="59"/>
      <c r="AK66" s="59"/>
      <c r="AL66" s="61"/>
      <c r="AM66" s="60"/>
      <c r="AN66" s="59"/>
      <c r="AO66" s="59"/>
      <c r="AP66" s="59"/>
      <c r="AQ66" s="59"/>
      <c r="AR66" s="59"/>
      <c r="AS66" s="59"/>
    </row>
    <row r="67" customFormat="false" ht="12.75" hidden="true" customHeight="true" outlineLevel="0" collapsed="false">
      <c r="A67" s="231" t="s">
        <v>240</v>
      </c>
      <c r="B67" s="294" t="n">
        <f aca="false">SUM(C67:AG67)</f>
        <v>0</v>
      </c>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59"/>
      <c r="AI67" s="199"/>
      <c r="AJ67" s="59"/>
      <c r="AK67" s="59"/>
      <c r="AL67" s="61"/>
      <c r="AM67" s="60"/>
      <c r="AN67" s="59"/>
      <c r="AO67" s="59"/>
      <c r="AP67" s="59"/>
      <c r="AQ67" s="59"/>
      <c r="AR67" s="59"/>
      <c r="AS67" s="59"/>
    </row>
    <row r="68" customFormat="false" ht="12.75" hidden="true" customHeight="true" outlineLevel="0" collapsed="false">
      <c r="A68" s="231" t="s">
        <v>241</v>
      </c>
      <c r="B68" s="294" t="n">
        <f aca="false">SUM(C68:AG68)</f>
        <v>0</v>
      </c>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59"/>
      <c r="AJ68" s="59"/>
      <c r="AK68" s="59"/>
      <c r="AL68" s="61"/>
      <c r="AM68" s="60"/>
      <c r="AN68" s="59"/>
      <c r="AO68" s="59"/>
      <c r="AP68" s="59"/>
      <c r="AQ68" s="59"/>
      <c r="AR68" s="59"/>
      <c r="AS68" s="59"/>
    </row>
    <row r="69" customFormat="false" ht="12.75" hidden="true" customHeight="true" outlineLevel="0" collapsed="false">
      <c r="A69" s="295" t="s">
        <v>242</v>
      </c>
      <c r="B69" s="294" t="n">
        <f aca="false">SUM(C69:AG69)</f>
        <v>0</v>
      </c>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59"/>
      <c r="AI69" s="199"/>
      <c r="AJ69" s="59"/>
      <c r="AK69" s="59"/>
      <c r="AL69" s="61"/>
      <c r="AM69" s="60"/>
      <c r="AN69" s="59"/>
      <c r="AO69" s="59"/>
      <c r="AP69" s="59"/>
      <c r="AQ69" s="59"/>
      <c r="AR69" s="59"/>
      <c r="AS69" s="59"/>
    </row>
    <row r="70" customFormat="false" ht="12.75" hidden="true" customHeight="true" outlineLevel="0" collapsed="false">
      <c r="A70" s="231" t="s">
        <v>243</v>
      </c>
      <c r="B70" s="294" t="n">
        <f aca="false">SUM(C70:AG70)</f>
        <v>0</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59"/>
      <c r="AJ70" s="59"/>
      <c r="AK70" s="59"/>
      <c r="AL70" s="61"/>
      <c r="AM70" s="60"/>
      <c r="AN70" s="59"/>
      <c r="AO70" s="59"/>
      <c r="AP70" s="59"/>
      <c r="AQ70" s="59"/>
      <c r="AR70" s="59"/>
      <c r="AS70" s="59"/>
    </row>
    <row r="71" customFormat="false" ht="12.75" hidden="tru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300"/>
      <c r="AH71" s="59"/>
      <c r="AJ71" s="59"/>
      <c r="AK71" s="59"/>
      <c r="AL71" s="61"/>
      <c r="AM71" s="60"/>
    </row>
    <row r="72" customFormat="false" ht="12.75" hidden="false" customHeight="true" outlineLevel="0" collapsed="false">
      <c r="A72" s="231"/>
      <c r="B72" s="294"/>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301"/>
      <c r="AH72" s="59"/>
      <c r="AJ72" s="59"/>
      <c r="AK72" s="59"/>
      <c r="AL72" s="61"/>
      <c r="AM72" s="60"/>
    </row>
    <row r="73" customFormat="false" ht="12.75" hidden="false" customHeight="true" outlineLevel="0" collapsed="false">
      <c r="A73" s="231"/>
      <c r="B73" s="294"/>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301"/>
      <c r="AH73" s="59"/>
      <c r="AJ73" s="59"/>
      <c r="AK73" s="59"/>
      <c r="AL73" s="61"/>
      <c r="AM73" s="60"/>
    </row>
    <row r="74" customFormat="false" ht="12.75" hidden="false" customHeight="true" outlineLevel="0" collapsed="false">
      <c r="A74" s="231"/>
      <c r="B74" s="294"/>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301"/>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SUM(B47:B75)-B61-B68-B69</f>
        <v>63502</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C78" s="193" t="n">
        <f aca="false">(+B58+B59)*-1</f>
        <v>-5239</v>
      </c>
      <c r="AH78" s="153"/>
      <c r="AJ78" s="153"/>
      <c r="AK78" s="226"/>
      <c r="AL78" s="61"/>
      <c r="AM78" s="60"/>
    </row>
    <row r="79" customFormat="false" ht="12.75" hidden="false" customHeight="true" outlineLevel="0" collapsed="false">
      <c r="A79" s="271" t="s">
        <v>340</v>
      </c>
      <c r="B79" s="271"/>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t="s">
        <v>210</v>
      </c>
      <c r="C81" s="275" t="n">
        <f aca="false">SUM(C85:C101)</f>
        <v>0</v>
      </c>
      <c r="D81" s="275" t="n">
        <f aca="false">SUM(D85:D101)</f>
        <v>0</v>
      </c>
      <c r="E81" s="275" t="n">
        <f aca="false">SUM(E85:E101)</f>
        <v>0</v>
      </c>
      <c r="F81" s="275" t="n">
        <f aca="false">SUM(F85:F101)</f>
        <v>0</v>
      </c>
      <c r="G81" s="275" t="n">
        <f aca="false">SUM(G85:G101)</f>
        <v>0</v>
      </c>
      <c r="H81" s="275" t="n">
        <f aca="false">SUM(H85:H101)</f>
        <v>0</v>
      </c>
      <c r="I81" s="275" t="n">
        <f aca="false">SUM(I85:I101)</f>
        <v>0</v>
      </c>
      <c r="J81" s="275" t="n">
        <f aca="false">SUM(J85:J101)</f>
        <v>0</v>
      </c>
      <c r="K81" s="275" t="n">
        <f aca="false">SUM(K85:K101)</f>
        <v>0</v>
      </c>
      <c r="L81" s="275" t="n">
        <f aca="false">SUM(L85:L101)</f>
        <v>0</v>
      </c>
      <c r="M81" s="275" t="n">
        <f aca="false">SUM(M85:M101)</f>
        <v>0</v>
      </c>
      <c r="N81" s="275" t="n">
        <f aca="false">SUM(N85:N101)</f>
        <v>0</v>
      </c>
      <c r="O81" s="275" t="n">
        <f aca="false">SUM(O85:O101)</f>
        <v>0</v>
      </c>
      <c r="P81" s="275" t="n">
        <f aca="false">SUM(P85:P101)</f>
        <v>0</v>
      </c>
      <c r="Q81" s="275" t="n">
        <f aca="false">SUM(Q85:Q101)</f>
        <v>0</v>
      </c>
      <c r="R81" s="275" t="n">
        <f aca="false">SUM(R85:R101)</f>
        <v>0</v>
      </c>
      <c r="S81" s="275" t="n">
        <f aca="false">SUM(S85:S101)</f>
        <v>0</v>
      </c>
      <c r="T81" s="275" t="n">
        <f aca="false">SUM(T85:T101)</f>
        <v>0</v>
      </c>
      <c r="U81" s="275" t="n">
        <f aca="false">SUM(U85:U101)</f>
        <v>0</v>
      </c>
      <c r="V81" s="275" t="n">
        <f aca="false">SUM(V85:V101)</f>
        <v>0</v>
      </c>
      <c r="W81" s="275" t="n">
        <f aca="false">SUM(W85:W101)</f>
        <v>0</v>
      </c>
      <c r="X81" s="275" t="n">
        <f aca="false">SUM(X85:X101)</f>
        <v>0</v>
      </c>
      <c r="Y81" s="275" t="n">
        <f aca="false">SUM(Y85:Y101)</f>
        <v>0</v>
      </c>
      <c r="Z81" s="275" t="n">
        <f aca="false">SUM(Z85:Z101)</f>
        <v>0</v>
      </c>
      <c r="AA81" s="275" t="n">
        <f aca="false">SUM(AA85:AA101)</f>
        <v>0</v>
      </c>
      <c r="AB81" s="275" t="n">
        <f aca="false">SUM(AB85:AB101)</f>
        <v>0</v>
      </c>
      <c r="AC81" s="275" t="n">
        <f aca="false">SUM(AC85:AC101)</f>
        <v>0</v>
      </c>
      <c r="AD81" s="275" t="n">
        <f aca="false">SUM(AD85:AD101)</f>
        <v>0</v>
      </c>
      <c r="AE81" s="275" t="n">
        <f aca="false">SUM(AE85:AE101)</f>
        <v>0</v>
      </c>
      <c r="AF81" s="275" t="n">
        <f aca="false">SUM(AF85:AF101)</f>
        <v>0</v>
      </c>
      <c r="AG81" s="275" t="n">
        <f aca="false">SUM(AG85:AG101)</f>
        <v>0</v>
      </c>
      <c r="AH81" s="59"/>
      <c r="AI81" s="76"/>
      <c r="AJ81" s="85"/>
      <c r="AK81" s="59"/>
      <c r="AL81" s="77"/>
      <c r="AN81" s="59"/>
      <c r="AO81" s="59"/>
      <c r="AP81" s="59"/>
      <c r="AQ81" s="59"/>
      <c r="AR81" s="59"/>
      <c r="AS81" s="59"/>
    </row>
    <row r="82" customFormat="false" ht="12.75" hidden="false" customHeight="true" outlineLevel="0" collapsed="false">
      <c r="A82" s="278" t="s">
        <v>248</v>
      </c>
      <c r="B82" s="279" t="n">
        <f aca="false">B44</f>
        <v>36831</v>
      </c>
      <c r="C82" s="280" t="n">
        <f aca="false">C44</f>
        <v>36831</v>
      </c>
      <c r="D82" s="280" t="n">
        <f aca="false">D44</f>
        <v>36832</v>
      </c>
      <c r="E82" s="280" t="n">
        <f aca="false">E44</f>
        <v>36833</v>
      </c>
      <c r="F82" s="280" t="n">
        <f aca="false">F44</f>
        <v>36834</v>
      </c>
      <c r="G82" s="280" t="n">
        <f aca="false">G44</f>
        <v>36835</v>
      </c>
      <c r="H82" s="280" t="n">
        <f aca="false">H44</f>
        <v>36836</v>
      </c>
      <c r="I82" s="280" t="n">
        <f aca="false">I44</f>
        <v>36837</v>
      </c>
      <c r="J82" s="280" t="n">
        <f aca="false">J44</f>
        <v>36838</v>
      </c>
      <c r="K82" s="280" t="n">
        <f aca="false">K44</f>
        <v>36839</v>
      </c>
      <c r="L82" s="280" t="n">
        <f aca="false">L44</f>
        <v>36840</v>
      </c>
      <c r="M82" s="280" t="n">
        <f aca="false">M44</f>
        <v>36841</v>
      </c>
      <c r="N82" s="280" t="n">
        <f aca="false">N44</f>
        <v>36842</v>
      </c>
      <c r="O82" s="280" t="n">
        <f aca="false">O44</f>
        <v>36843</v>
      </c>
      <c r="P82" s="280" t="n">
        <f aca="false">P44</f>
        <v>36844</v>
      </c>
      <c r="Q82" s="280" t="n">
        <f aca="false">Q44</f>
        <v>36845</v>
      </c>
      <c r="R82" s="280" t="n">
        <f aca="false">R44</f>
        <v>36846</v>
      </c>
      <c r="S82" s="280" t="n">
        <f aca="false">S44</f>
        <v>36847</v>
      </c>
      <c r="T82" s="280" t="n">
        <f aca="false">T44</f>
        <v>36848</v>
      </c>
      <c r="U82" s="280" t="n">
        <f aca="false">U44</f>
        <v>36849</v>
      </c>
      <c r="V82" s="280" t="n">
        <f aca="false">V44</f>
        <v>36850</v>
      </c>
      <c r="W82" s="280" t="n">
        <f aca="false">W44</f>
        <v>36851</v>
      </c>
      <c r="X82" s="280" t="n">
        <f aca="false">X44</f>
        <v>36852</v>
      </c>
      <c r="Y82" s="280" t="n">
        <f aca="false">Y44</f>
        <v>36853</v>
      </c>
      <c r="Z82" s="280" t="n">
        <f aca="false">Z44</f>
        <v>36854</v>
      </c>
      <c r="AA82" s="280" t="n">
        <f aca="false">AA44</f>
        <v>36855</v>
      </c>
      <c r="AB82" s="280" t="n">
        <f aca="false">AB44</f>
        <v>36856</v>
      </c>
      <c r="AC82" s="280" t="n">
        <f aca="false">AC44</f>
        <v>36857</v>
      </c>
      <c r="AD82" s="280" t="n">
        <f aca="false">AD44</f>
        <v>36858</v>
      </c>
      <c r="AE82" s="280" t="n">
        <f aca="false">AE44</f>
        <v>36859</v>
      </c>
      <c r="AF82" s="280" t="n">
        <f aca="false">AF44</f>
        <v>36860</v>
      </c>
      <c r="AG82" s="280" t="n">
        <f aca="false">AG44</f>
        <v>36861</v>
      </c>
      <c r="AH82" s="281"/>
      <c r="AI82" s="76"/>
      <c r="AJ82" s="309"/>
      <c r="AK82" s="281"/>
      <c r="AL82" s="284"/>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c r="DM82" s="281"/>
      <c r="DN82" s="281"/>
      <c r="DO82" s="281"/>
      <c r="DP82" s="281"/>
      <c r="DQ82" s="281"/>
      <c r="DR82" s="281"/>
      <c r="DS82" s="281"/>
      <c r="DT82" s="281"/>
      <c r="DU82" s="281"/>
      <c r="DV82" s="281"/>
      <c r="DW82" s="281"/>
      <c r="DX82" s="281"/>
      <c r="DY82" s="281"/>
      <c r="DZ82" s="281"/>
      <c r="EA82" s="281"/>
      <c r="EB82" s="281"/>
      <c r="EC82" s="281"/>
      <c r="ED82" s="281"/>
      <c r="EE82" s="281"/>
      <c r="EF82" s="281"/>
      <c r="EG82" s="281"/>
      <c r="EH82" s="281"/>
      <c r="EI82" s="281"/>
      <c r="EJ82" s="281"/>
      <c r="EK82" s="281"/>
      <c r="EL82" s="281"/>
      <c r="EM82" s="281"/>
      <c r="EN82" s="281"/>
      <c r="EO82" s="281"/>
      <c r="EP82" s="281"/>
      <c r="EQ82" s="281"/>
      <c r="ER82" s="281"/>
      <c r="ES82" s="281"/>
      <c r="ET82" s="281"/>
      <c r="EU82" s="281"/>
      <c r="EV82" s="281"/>
      <c r="EW82" s="281"/>
      <c r="EX82" s="281"/>
      <c r="EY82" s="281"/>
      <c r="EZ82" s="281"/>
      <c r="FA82" s="281"/>
      <c r="FB82" s="281"/>
      <c r="FC82" s="281"/>
      <c r="FD82" s="281"/>
      <c r="FE82" s="281"/>
      <c r="FF82" s="281"/>
      <c r="FG82" s="281"/>
      <c r="FH82" s="281"/>
      <c r="FI82" s="281"/>
      <c r="FJ82" s="281"/>
      <c r="FK82" s="281"/>
      <c r="FL82" s="281"/>
      <c r="FM82" s="281"/>
      <c r="FN82" s="281"/>
      <c r="FO82" s="281"/>
      <c r="FP82" s="281"/>
      <c r="FQ82" s="281"/>
      <c r="FR82" s="281"/>
      <c r="FS82" s="281"/>
      <c r="FT82" s="281"/>
      <c r="FU82" s="281"/>
      <c r="FV82" s="281"/>
      <c r="FW82" s="281"/>
      <c r="FX82" s="281"/>
      <c r="FY82" s="281"/>
      <c r="FZ82" s="281"/>
      <c r="GA82" s="281"/>
      <c r="GB82" s="281"/>
      <c r="GC82" s="281"/>
      <c r="GD82" s="281"/>
      <c r="GE82" s="281"/>
      <c r="GF82" s="281"/>
      <c r="GG82" s="281"/>
      <c r="GH82" s="281"/>
      <c r="GI82" s="281"/>
      <c r="GJ82" s="281"/>
      <c r="GK82" s="281"/>
      <c r="GL82" s="281"/>
      <c r="GM82" s="281"/>
      <c r="GN82" s="281"/>
      <c r="GO82" s="281"/>
      <c r="GP82" s="281"/>
      <c r="GQ82" s="281"/>
      <c r="GR82" s="281"/>
      <c r="GS82" s="281"/>
      <c r="GT82" s="281"/>
      <c r="GU82" s="281"/>
      <c r="GV82" s="281"/>
      <c r="GW82" s="281"/>
      <c r="GX82" s="281"/>
      <c r="GY82" s="281"/>
      <c r="GZ82" s="281"/>
      <c r="HA82" s="281"/>
      <c r="HB82" s="281"/>
      <c r="HC82" s="281"/>
      <c r="HD82" s="281"/>
      <c r="HE82" s="281"/>
      <c r="HF82" s="281"/>
      <c r="HG82" s="281"/>
      <c r="HH82" s="281"/>
      <c r="HI82" s="281"/>
      <c r="HJ82" s="281"/>
      <c r="HK82" s="281"/>
      <c r="HL82" s="281"/>
      <c r="HM82" s="281"/>
      <c r="HN82" s="281"/>
      <c r="HO82" s="281"/>
      <c r="HP82" s="281"/>
      <c r="HQ82" s="281"/>
      <c r="HR82" s="281"/>
      <c r="HS82" s="281"/>
      <c r="HT82" s="281"/>
      <c r="HU82" s="281"/>
      <c r="HV82" s="281"/>
      <c r="HW82" s="281"/>
      <c r="HX82" s="281"/>
      <c r="HY82" s="281"/>
      <c r="HZ82" s="281"/>
      <c r="IA82" s="281"/>
      <c r="IB82" s="281"/>
      <c r="IC82" s="281"/>
      <c r="ID82" s="281"/>
      <c r="IE82" s="281"/>
      <c r="IF82" s="281"/>
      <c r="IG82" s="281"/>
      <c r="IH82" s="281"/>
      <c r="II82" s="281"/>
      <c r="IJ82" s="281"/>
      <c r="IK82" s="281"/>
      <c r="IL82" s="281"/>
      <c r="IM82" s="281"/>
      <c r="IN82" s="281"/>
      <c r="IO82" s="281"/>
      <c r="IP82" s="281"/>
      <c r="IQ82" s="281"/>
      <c r="IR82" s="281"/>
      <c r="IS82" s="281"/>
      <c r="IT82" s="281"/>
      <c r="IU82" s="281"/>
      <c r="IV82" s="281"/>
      <c r="IW82" s="281"/>
    </row>
    <row r="83" customFormat="false" ht="12.75" hidden="false" customHeight="true" outlineLevel="0" collapsed="false">
      <c r="A83" s="285"/>
      <c r="B83" s="285"/>
      <c r="C83" s="286" t="str">
        <f aca="false">C45</f>
        <v>W</v>
      </c>
      <c r="D83" s="286" t="str">
        <f aca="false">D45</f>
        <v>R</v>
      </c>
      <c r="E83" s="286" t="str">
        <f aca="false">E45</f>
        <v>F</v>
      </c>
      <c r="F83" s="286" t="str">
        <f aca="false">F45</f>
        <v>S</v>
      </c>
      <c r="G83" s="286" t="str">
        <f aca="false">G45</f>
        <v>S</v>
      </c>
      <c r="H83" s="286" t="str">
        <f aca="false">H45</f>
        <v>M</v>
      </c>
      <c r="I83" s="286" t="str">
        <f aca="false">I45</f>
        <v>T</v>
      </c>
      <c r="J83" s="286" t="str">
        <f aca="false">J45</f>
        <v>W</v>
      </c>
      <c r="K83" s="286" t="str">
        <f aca="false">K45</f>
        <v>R</v>
      </c>
      <c r="L83" s="286" t="str">
        <f aca="false">L45</f>
        <v>F</v>
      </c>
      <c r="M83" s="286" t="str">
        <f aca="false">M45</f>
        <v>S</v>
      </c>
      <c r="N83" s="286" t="str">
        <f aca="false">N45</f>
        <v>S</v>
      </c>
      <c r="O83" s="286" t="str">
        <f aca="false">O45</f>
        <v>M</v>
      </c>
      <c r="P83" s="286" t="str">
        <f aca="false">P45</f>
        <v>T</v>
      </c>
      <c r="Q83" s="286" t="str">
        <f aca="false">Q45</f>
        <v>W</v>
      </c>
      <c r="R83" s="286" t="str">
        <f aca="false">R45</f>
        <v>R</v>
      </c>
      <c r="S83" s="286" t="str">
        <f aca="false">S45</f>
        <v>F</v>
      </c>
      <c r="T83" s="286" t="str">
        <f aca="false">T45</f>
        <v>S</v>
      </c>
      <c r="U83" s="286" t="str">
        <f aca="false">U45</f>
        <v>S</v>
      </c>
      <c r="V83" s="286" t="str">
        <f aca="false">V45</f>
        <v>M</v>
      </c>
      <c r="W83" s="286" t="str">
        <f aca="false">W45</f>
        <v>T</v>
      </c>
      <c r="X83" s="286" t="str">
        <f aca="false">X45</f>
        <v>W</v>
      </c>
      <c r="Y83" s="286" t="str">
        <f aca="false">Y45</f>
        <v>R</v>
      </c>
      <c r="Z83" s="286" t="str">
        <f aca="false">Z45</f>
        <v>F</v>
      </c>
      <c r="AA83" s="286" t="str">
        <f aca="false">AA45</f>
        <v>S</v>
      </c>
      <c r="AB83" s="286" t="str">
        <f aca="false">AB45</f>
        <v>S</v>
      </c>
      <c r="AC83" s="286" t="str">
        <f aca="false">AC45</f>
        <v>M</v>
      </c>
      <c r="AD83" s="286" t="str">
        <f aca="false">AD45</f>
        <v>T</v>
      </c>
      <c r="AE83" s="286" t="str">
        <f aca="false">AE45</f>
        <v>W</v>
      </c>
      <c r="AF83" s="286" t="str">
        <f aca="false">AF45</f>
        <v>R</v>
      </c>
      <c r="AG83" s="286" t="str">
        <f aca="false">AG45</f>
        <v>F</v>
      </c>
      <c r="AH83" s="59"/>
      <c r="AI83" s="76"/>
      <c r="AJ83" s="85"/>
      <c r="AK83" s="59"/>
      <c r="AL83" s="153"/>
      <c r="AN83" s="59"/>
      <c r="AO83" s="59"/>
      <c r="AP83" s="59"/>
      <c r="AQ83" s="59"/>
      <c r="AR83" s="59"/>
      <c r="AS83" s="59"/>
    </row>
    <row r="84" customFormat="false" ht="12.75" hidden="false" customHeight="true" outlineLevel="0" collapsed="false">
      <c r="A84" s="289"/>
      <c r="B84" s="290" t="s">
        <v>216</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1"/>
      <c r="AH84" s="153"/>
      <c r="AI84" s="199"/>
      <c r="AJ84" s="312"/>
      <c r="AK84" s="226"/>
      <c r="AL84" s="61"/>
      <c r="AM84" s="60"/>
    </row>
    <row r="85" customFormat="false" ht="12.75" hidden="false" customHeight="true" outlineLevel="0" collapsed="false">
      <c r="A85" s="231" t="s">
        <v>249</v>
      </c>
      <c r="B85" s="294" t="n">
        <f aca="false">SUM(C85:AG85)</f>
        <v>0</v>
      </c>
      <c r="C85" s="226" t="n">
        <v>0</v>
      </c>
      <c r="D85" s="226" t="n">
        <v>0</v>
      </c>
      <c r="E85" s="226" t="n">
        <v>0</v>
      </c>
      <c r="F85" s="226" t="n">
        <v>0</v>
      </c>
      <c r="G85" s="226" t="n">
        <v>0</v>
      </c>
      <c r="H85" s="226" t="n">
        <v>0</v>
      </c>
      <c r="I85" s="226" t="n">
        <v>0</v>
      </c>
      <c r="J85" s="226" t="n">
        <v>0</v>
      </c>
      <c r="K85" s="226" t="n">
        <v>0</v>
      </c>
      <c r="L85" s="226" t="n">
        <v>0</v>
      </c>
      <c r="M85" s="226" t="n">
        <v>0</v>
      </c>
      <c r="N85" s="226" t="n">
        <v>0</v>
      </c>
      <c r="O85" s="226" t="n">
        <v>0</v>
      </c>
      <c r="P85" s="226" t="n">
        <v>0</v>
      </c>
      <c r="Q85" s="226" t="n">
        <v>0</v>
      </c>
      <c r="R85" s="226" t="n">
        <v>0</v>
      </c>
      <c r="S85" s="226" t="n">
        <v>0</v>
      </c>
      <c r="T85" s="226" t="n">
        <v>0</v>
      </c>
      <c r="U85" s="226" t="n">
        <v>0</v>
      </c>
      <c r="V85" s="226" t="n">
        <v>0</v>
      </c>
      <c r="W85" s="226" t="n">
        <v>0</v>
      </c>
      <c r="X85" s="226" t="n">
        <v>0</v>
      </c>
      <c r="Y85" s="226" t="n">
        <v>0</v>
      </c>
      <c r="Z85" s="226" t="n">
        <v>0</v>
      </c>
      <c r="AA85" s="226" t="n">
        <v>0</v>
      </c>
      <c r="AB85" s="226" t="n">
        <v>0</v>
      </c>
      <c r="AC85" s="226" t="n">
        <v>0</v>
      </c>
      <c r="AD85" s="226" t="n">
        <v>0</v>
      </c>
      <c r="AE85" s="226" t="n">
        <v>0</v>
      </c>
      <c r="AF85" s="226" t="n">
        <v>0</v>
      </c>
      <c r="AG85" s="300" t="n">
        <v>0</v>
      </c>
      <c r="AH85" s="153"/>
      <c r="AJ85" s="153"/>
      <c r="AK85" s="226"/>
      <c r="AL85" s="61"/>
      <c r="AM85" s="60"/>
    </row>
    <row r="86" customFormat="false" ht="12.75" hidden="false" customHeight="true" outlineLevel="0" collapsed="false">
      <c r="A86" s="231" t="s">
        <v>250</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251</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252</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253</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254</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255</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256</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257</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258</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259</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260</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261</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c r="B98" s="294"/>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300"/>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SUM(B87:B101)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9" t="n">
        <v>36800</v>
      </c>
      <c r="B126" s="153" t="s">
        <v>304</v>
      </c>
      <c r="C126" s="153"/>
      <c r="D126" s="324"/>
      <c r="E126" s="325" t="n">
        <v>-5136</v>
      </c>
      <c r="G126" s="403"/>
      <c r="H126" s="327"/>
      <c r="I126" s="153"/>
      <c r="J126" s="59"/>
      <c r="K126" s="328"/>
      <c r="L126" s="325"/>
      <c r="M126" s="59"/>
      <c r="N126" s="59"/>
      <c r="O126" s="59"/>
      <c r="P126" s="59"/>
    </row>
    <row r="127" customFormat="false" ht="12.75" hidden="false" customHeight="true" outlineLevel="0" collapsed="false">
      <c r="A127" s="329"/>
      <c r="B127" s="153"/>
      <c r="C127" s="59"/>
      <c r="D127" s="301"/>
      <c r="E127" s="325"/>
      <c r="G127" s="326"/>
      <c r="H127" s="62"/>
      <c r="I127" s="332"/>
      <c r="J127" s="59"/>
      <c r="K127" s="328"/>
      <c r="L127" s="325"/>
      <c r="M127" s="59"/>
      <c r="N127" s="59"/>
      <c r="O127" s="59"/>
      <c r="P127" s="59"/>
    </row>
    <row r="128" customFormat="false" ht="12.75" hidden="false" customHeight="true" outlineLevel="0" collapsed="false">
      <c r="A128" s="329"/>
      <c r="B128" s="153"/>
      <c r="C128" s="59"/>
      <c r="D128" s="301"/>
      <c r="E128" s="325"/>
      <c r="G128" s="326"/>
      <c r="H128" s="153"/>
      <c r="I128" s="59"/>
      <c r="J128" s="59"/>
      <c r="K128" s="328"/>
      <c r="L128" s="325"/>
      <c r="M128" s="59"/>
      <c r="N128" s="59"/>
      <c r="O128" s="59"/>
      <c r="P128" s="59"/>
    </row>
    <row r="129" customFormat="false" ht="12.75" hidden="false" customHeight="true" outlineLevel="0" collapsed="false">
      <c r="A129" s="329"/>
      <c r="B129" s="153"/>
      <c r="C129" s="59"/>
      <c r="D129" s="324"/>
      <c r="E129" s="325"/>
      <c r="G129" s="326"/>
      <c r="H129" s="153"/>
      <c r="I129" s="59"/>
      <c r="J129" s="59"/>
      <c r="K129" s="324"/>
      <c r="L129" s="330"/>
      <c r="M129" s="59"/>
      <c r="N129" s="59"/>
      <c r="O129" s="59"/>
      <c r="P129" s="59"/>
    </row>
    <row r="130" customFormat="false" ht="12.75" hidden="false" customHeight="true" outlineLevel="0" collapsed="false">
      <c r="A130" s="329"/>
      <c r="B130" s="153"/>
      <c r="C130" s="59"/>
      <c r="D130" s="324"/>
      <c r="E130" s="325"/>
      <c r="G130" s="326"/>
      <c r="H130" s="153"/>
      <c r="I130" s="59"/>
      <c r="J130" s="59"/>
      <c r="K130" s="324"/>
      <c r="L130" s="325"/>
      <c r="M130" s="59"/>
      <c r="N130" s="59"/>
      <c r="O130" s="59"/>
      <c r="P130" s="59"/>
    </row>
    <row r="131" customFormat="false" ht="12.75" hidden="false" customHeight="true" outlineLevel="0" collapsed="false">
      <c r="A131" s="329"/>
      <c r="B131" s="153"/>
      <c r="C131" s="153"/>
      <c r="D131" s="324"/>
      <c r="E131" s="325"/>
      <c r="G131" s="326"/>
      <c r="H131" s="153"/>
      <c r="I131" s="59"/>
      <c r="J131" s="59"/>
      <c r="K131" s="324"/>
      <c r="L131" s="325"/>
      <c r="M131" s="59"/>
      <c r="N131" s="59"/>
      <c r="O131" s="59"/>
      <c r="P131" s="59"/>
    </row>
    <row r="132" customFormat="false" ht="12.75" hidden="false" customHeight="true" outlineLevel="0" collapsed="false">
      <c r="A132" s="329"/>
      <c r="B132" s="153"/>
      <c r="C132" s="153"/>
      <c r="D132" s="324"/>
      <c r="E132" s="325"/>
      <c r="G132" s="326"/>
      <c r="H132" s="59"/>
      <c r="I132" s="59"/>
      <c r="J132" s="59"/>
      <c r="K132" s="328"/>
      <c r="L132" s="330"/>
      <c r="M132" s="59"/>
      <c r="N132" s="59"/>
      <c r="O132" s="59"/>
      <c r="P132" s="59"/>
    </row>
    <row r="133" customFormat="false" ht="12.75" hidden="false" customHeight="true" outlineLevel="0" collapsed="false">
      <c r="A133" s="329"/>
      <c r="B133" s="153"/>
      <c r="C133" s="153"/>
      <c r="D133" s="324"/>
      <c r="E133" s="325"/>
      <c r="G133" s="326"/>
      <c r="H133" s="153"/>
      <c r="I133" s="59"/>
      <c r="J133" s="59"/>
      <c r="K133" s="324"/>
      <c r="L133" s="330"/>
      <c r="M133" s="59"/>
      <c r="N133" s="59"/>
      <c r="O133" s="59"/>
      <c r="P133" s="59"/>
    </row>
    <row r="134" customFormat="false" ht="12.75" hidden="false" customHeight="true" outlineLevel="0" collapsed="false">
      <c r="A134" s="329"/>
      <c r="B134" s="153"/>
      <c r="C134" s="153"/>
      <c r="D134" s="324"/>
      <c r="E134" s="325"/>
      <c r="G134" s="326"/>
      <c r="H134" s="153"/>
      <c r="I134" s="59"/>
      <c r="J134" s="59"/>
      <c r="K134" s="324"/>
      <c r="L134" s="325"/>
      <c r="M134" s="98"/>
      <c r="N134" s="60"/>
      <c r="O134" s="59"/>
      <c r="P134" s="59"/>
    </row>
    <row r="135" customFormat="false" ht="12.75" hidden="false" customHeight="true" outlineLevel="0" collapsed="false">
      <c r="A135" s="329"/>
      <c r="B135" s="153"/>
      <c r="C135" s="153"/>
      <c r="D135" s="324"/>
      <c r="E135" s="325"/>
      <c r="G135" s="326"/>
      <c r="H135" s="153"/>
      <c r="I135" s="59"/>
      <c r="J135" s="59"/>
      <c r="K135" s="324"/>
      <c r="L135" s="325"/>
      <c r="M135" s="98"/>
      <c r="N135" s="59"/>
      <c r="O135" s="59"/>
      <c r="P135" s="59"/>
    </row>
    <row r="136" customFormat="false" ht="12.75" hidden="false" customHeight="true" outlineLevel="0" collapsed="false">
      <c r="A136" s="329"/>
      <c r="B136" s="153"/>
      <c r="C136" s="153"/>
      <c r="D136" s="324"/>
      <c r="E136" s="325"/>
      <c r="G136" s="326"/>
      <c r="H136" s="153"/>
      <c r="I136" s="59"/>
      <c r="J136" s="59"/>
      <c r="K136" s="324"/>
      <c r="L136" s="325"/>
      <c r="M136" s="59"/>
      <c r="N136" s="98"/>
      <c r="O136" s="59"/>
      <c r="P136" s="59"/>
    </row>
    <row r="137" customFormat="false" ht="12.75" hidden="false" customHeight="true" outlineLevel="0" collapsed="false">
      <c r="A137" s="329"/>
      <c r="B137" s="153"/>
      <c r="C137" s="153"/>
      <c r="D137" s="324"/>
      <c r="E137" s="325"/>
      <c r="G137" s="326"/>
      <c r="H137" s="153"/>
      <c r="I137" s="59"/>
      <c r="J137" s="59"/>
      <c r="K137" s="324"/>
      <c r="L137" s="325"/>
      <c r="M137" s="59"/>
      <c r="N137" s="98"/>
      <c r="O137" s="59"/>
      <c r="P137" s="59"/>
    </row>
    <row r="138" customFormat="false" ht="12.75" hidden="false" customHeight="true" outlineLevel="0" collapsed="false">
      <c r="A138" s="329"/>
      <c r="B138" s="153"/>
      <c r="C138" s="153"/>
      <c r="D138" s="324"/>
      <c r="E138" s="325"/>
      <c r="G138" s="326"/>
      <c r="H138" s="153"/>
      <c r="I138" s="59"/>
      <c r="J138" s="59"/>
      <c r="K138" s="324"/>
      <c r="L138" s="325"/>
      <c r="M138" s="59"/>
      <c r="N138" s="59"/>
      <c r="O138" s="59"/>
      <c r="P138" s="59"/>
    </row>
    <row r="139" customFormat="false" ht="12.75" hidden="false" customHeight="true" outlineLevel="0" collapsed="false">
      <c r="A139" s="329"/>
      <c r="B139" s="153"/>
      <c r="C139" s="153"/>
      <c r="D139" s="324"/>
      <c r="E139" s="325"/>
      <c r="G139" s="326"/>
      <c r="H139" s="153"/>
      <c r="I139" s="59"/>
      <c r="J139" s="59"/>
      <c r="K139" s="324"/>
      <c r="L139" s="325"/>
      <c r="M139" s="59"/>
      <c r="N139" s="59"/>
      <c r="O139" s="59"/>
      <c r="P139" s="59"/>
    </row>
    <row r="140" customFormat="false" ht="12.75" hidden="false" customHeight="true" outlineLevel="0" collapsed="false">
      <c r="A140" s="329"/>
      <c r="B140" s="153"/>
      <c r="C140" s="153"/>
      <c r="D140" s="324"/>
      <c r="E140" s="325"/>
      <c r="G140" s="326"/>
      <c r="H140" s="153"/>
      <c r="I140" s="59"/>
      <c r="J140" s="59"/>
      <c r="K140" s="324"/>
      <c r="L140" s="325"/>
      <c r="M140" s="59"/>
      <c r="N140" s="59"/>
      <c r="O140" s="59"/>
      <c r="P140" s="59"/>
    </row>
    <row r="141" customFormat="false" ht="12.75" hidden="false" customHeight="true" outlineLevel="0" collapsed="false">
      <c r="A141" s="329"/>
      <c r="B141" s="153"/>
      <c r="C141" s="153"/>
      <c r="D141" s="324"/>
      <c r="E141" s="325"/>
      <c r="G141" s="326"/>
      <c r="H141" s="153"/>
      <c r="I141" s="59"/>
      <c r="J141" s="59"/>
      <c r="K141" s="324"/>
      <c r="L141" s="325"/>
      <c r="M141" s="59"/>
      <c r="N141" s="59"/>
      <c r="O141" s="59"/>
      <c r="P141" s="59"/>
    </row>
    <row r="142" customFormat="false" ht="12.75" hidden="false" customHeight="true" outlineLevel="0" collapsed="false">
      <c r="A142" s="329"/>
      <c r="B142" s="153"/>
      <c r="C142" s="153"/>
      <c r="D142" s="324"/>
      <c r="E142" s="325"/>
      <c r="G142" s="326"/>
      <c r="H142" s="153"/>
      <c r="I142" s="59"/>
      <c r="J142" s="59"/>
      <c r="K142" s="324"/>
      <c r="L142" s="325"/>
      <c r="M142" s="59"/>
      <c r="N142" s="59"/>
      <c r="O142" s="59"/>
      <c r="P142" s="59"/>
    </row>
    <row r="143" customFormat="false" ht="12.75" hidden="false" customHeight="true" outlineLevel="0" collapsed="false">
      <c r="A143" s="329"/>
      <c r="B143" s="153"/>
      <c r="C143" s="153"/>
      <c r="D143" s="324"/>
      <c r="E143" s="325"/>
      <c r="G143" s="326"/>
      <c r="H143" s="153"/>
      <c r="I143" s="59"/>
      <c r="J143" s="59"/>
      <c r="K143" s="324"/>
      <c r="L143" s="325"/>
      <c r="M143" s="59"/>
      <c r="N143" s="59"/>
      <c r="O143" s="59"/>
      <c r="P143" s="59"/>
    </row>
    <row r="144" customFormat="false" ht="12.75" hidden="false" customHeight="true" outlineLevel="0" collapsed="false">
      <c r="A144" s="329"/>
      <c r="B144" s="153"/>
      <c r="C144" s="153"/>
      <c r="D144" s="324"/>
      <c r="E144" s="325"/>
      <c r="G144" s="326"/>
      <c r="H144" s="153"/>
      <c r="I144" s="59"/>
      <c r="J144" s="59"/>
      <c r="K144" s="324"/>
      <c r="L144" s="325"/>
      <c r="M144" s="59"/>
      <c r="N144" s="59"/>
      <c r="O144" s="59"/>
      <c r="P144" s="59"/>
    </row>
    <row r="145" customFormat="false" ht="12.75" hidden="false" customHeight="true" outlineLevel="0" collapsed="false">
      <c r="A145" s="329"/>
      <c r="B145" s="153"/>
      <c r="C145" s="153"/>
      <c r="D145" s="324"/>
      <c r="E145" s="325"/>
      <c r="G145" s="326"/>
      <c r="H145" s="153"/>
      <c r="I145" s="59"/>
      <c r="J145" s="59"/>
      <c r="K145" s="324"/>
      <c r="L145" s="325"/>
      <c r="M145" s="59"/>
      <c r="N145" s="59"/>
      <c r="O145" s="59"/>
      <c r="P145" s="59"/>
    </row>
    <row r="146" customFormat="false" ht="12.75" hidden="false" customHeight="true" outlineLevel="0" collapsed="false">
      <c r="A146" s="329"/>
      <c r="B146" s="153"/>
      <c r="C146" s="153"/>
      <c r="D146" s="324"/>
      <c r="E146" s="325"/>
      <c r="G146" s="326"/>
      <c r="H146" s="153"/>
      <c r="I146" s="59"/>
      <c r="J146" s="59"/>
      <c r="K146" s="324"/>
      <c r="L146" s="325"/>
      <c r="M146" s="59"/>
      <c r="N146" s="59"/>
      <c r="O146" s="59"/>
      <c r="P146" s="59"/>
    </row>
    <row r="147" customFormat="false" ht="12.75" hidden="false" customHeight="true" outlineLevel="0" collapsed="false">
      <c r="A147" s="329"/>
      <c r="B147" s="153"/>
      <c r="C147" s="153"/>
      <c r="D147" s="324"/>
      <c r="E147" s="325"/>
      <c r="G147" s="326"/>
      <c r="H147" s="153"/>
      <c r="I147" s="59"/>
      <c r="J147" s="59"/>
      <c r="K147" s="324"/>
      <c r="L147" s="325"/>
      <c r="M147" s="59"/>
      <c r="N147" s="59"/>
      <c r="O147" s="59"/>
      <c r="P147" s="59"/>
    </row>
    <row r="148" customFormat="false" ht="12.75" hidden="false" customHeight="true" outlineLevel="0" collapsed="false">
      <c r="A148" s="329"/>
      <c r="B148" s="153"/>
      <c r="C148" s="153"/>
      <c r="D148" s="324"/>
      <c r="E148" s="325"/>
      <c r="G148" s="326"/>
      <c r="H148" s="153"/>
      <c r="I148" s="59"/>
      <c r="J148" s="59"/>
      <c r="K148" s="324"/>
      <c r="L148" s="325"/>
      <c r="M148" s="59"/>
      <c r="N148" s="59"/>
      <c r="O148" s="59"/>
      <c r="P148" s="59"/>
    </row>
    <row r="149" customFormat="false" ht="12.75" hidden="false" customHeight="true" outlineLevel="0" collapsed="false">
      <c r="A149" s="329"/>
      <c r="B149" s="153"/>
      <c r="C149" s="153"/>
      <c r="D149" s="324"/>
      <c r="E149" s="325"/>
      <c r="G149" s="326"/>
      <c r="H149" s="153"/>
      <c r="I149" s="59"/>
      <c r="J149" s="59"/>
      <c r="K149" s="324"/>
      <c r="L149" s="325"/>
      <c r="M149" s="59"/>
      <c r="N149" s="59"/>
      <c r="O149" s="59"/>
      <c r="P149" s="59"/>
    </row>
    <row r="150" customFormat="false" ht="12.75" hidden="false" customHeight="true" outlineLevel="0" collapsed="false">
      <c r="A150" s="329"/>
      <c r="B150" s="153"/>
      <c r="C150" s="153"/>
      <c r="D150" s="324"/>
      <c r="E150" s="325"/>
      <c r="G150" s="326"/>
      <c r="H150" s="153"/>
      <c r="I150" s="59"/>
      <c r="J150" s="59"/>
      <c r="K150" s="324"/>
      <c r="L150" s="325"/>
      <c r="M150" s="59"/>
      <c r="N150" s="59"/>
      <c r="O150" s="59"/>
      <c r="P150" s="59"/>
    </row>
    <row r="151" customFormat="false" ht="12.75" hidden="false" customHeight="true" outlineLevel="0" collapsed="false">
      <c r="A151" s="329"/>
      <c r="B151" s="153"/>
      <c r="C151" s="153"/>
      <c r="D151" s="324"/>
      <c r="E151" s="325"/>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25"/>
      <c r="M157" s="59"/>
      <c r="N157" s="59"/>
      <c r="O157" s="59"/>
      <c r="P157" s="59"/>
    </row>
    <row r="158" customFormat="false" ht="12.75" hidden="false" customHeight="true" outlineLevel="0" collapsed="false">
      <c r="A158" s="329"/>
      <c r="B158" s="153"/>
      <c r="C158" s="153"/>
      <c r="D158" s="324"/>
      <c r="E158" s="334"/>
      <c r="G158" s="326"/>
      <c r="H158" s="153"/>
      <c r="I158" s="59"/>
      <c r="J158" s="59"/>
      <c r="K158" s="324"/>
      <c r="L158" s="334"/>
      <c r="M158" s="59"/>
      <c r="N158" s="59"/>
      <c r="O158" s="59"/>
      <c r="P158" s="59"/>
    </row>
    <row r="159" customFormat="false" ht="12.75" hidden="false" customHeight="true" outlineLevel="0" collapsed="false">
      <c r="A159" s="335"/>
      <c r="B159" s="153"/>
      <c r="C159" s="153"/>
      <c r="D159" s="336" t="s">
        <v>306</v>
      </c>
      <c r="E159" s="338" t="n">
        <f aca="false">SUM(E126:E158)</f>
        <v>-5136</v>
      </c>
      <c r="G159" s="335"/>
      <c r="H159" s="153"/>
      <c r="I159" s="59"/>
      <c r="J159" s="59"/>
      <c r="K159" s="336" t="s">
        <v>305</v>
      </c>
      <c r="L159" s="338" t="n">
        <f aca="false">SUM(L126:L158)</f>
        <v>0</v>
      </c>
      <c r="M159" s="59"/>
      <c r="N159" s="59"/>
      <c r="O159" s="59"/>
      <c r="P159" s="59"/>
    </row>
    <row r="160" customFormat="false" ht="12.75" hidden="false" customHeight="true" outlineLevel="0" collapsed="false">
      <c r="A160" s="339"/>
      <c r="B160" s="340"/>
      <c r="C160" s="340"/>
      <c r="D160" s="340"/>
      <c r="E160" s="341"/>
      <c r="G160" s="339"/>
      <c r="H160" s="340"/>
      <c r="I160" s="340"/>
      <c r="J160" s="340"/>
      <c r="K160" s="340"/>
      <c r="L160" s="341"/>
      <c r="M160" s="59"/>
      <c r="N160" s="59"/>
      <c r="O160" s="59"/>
      <c r="P160" s="59"/>
    </row>
    <row r="161" customFormat="false" ht="12.75" hidden="false" customHeight="true" outlineLevel="0" collapsed="false">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c r="B165" s="153"/>
      <c r="C165" s="153"/>
      <c r="D165" s="324"/>
      <c r="E165" s="325"/>
      <c r="AJ165" s="59"/>
      <c r="AK165" s="59"/>
      <c r="AL165" s="59"/>
      <c r="AM165" s="59"/>
    </row>
    <row r="166" customFormat="false" ht="12.75" hidden="false" customHeight="true" outlineLevel="0" collapsed="false">
      <c r="A166" s="342"/>
      <c r="B166" s="153"/>
      <c r="C166" s="153"/>
      <c r="D166" s="324"/>
      <c r="E166" s="325"/>
      <c r="AJ166" s="59"/>
      <c r="AK166" s="59"/>
      <c r="AL166" s="59"/>
      <c r="AM166" s="59"/>
    </row>
    <row r="167" customFormat="false" ht="12.75" hidden="false" customHeight="true" outlineLevel="0" collapsed="false">
      <c r="A167" s="342"/>
      <c r="B167" s="153"/>
      <c r="C167" s="153"/>
      <c r="D167" s="324"/>
      <c r="E167" s="325"/>
      <c r="AJ167" s="59"/>
      <c r="AK167" s="59"/>
      <c r="AL167" s="59"/>
      <c r="AM167" s="59"/>
    </row>
    <row r="168" customFormat="false" ht="12.75" hidden="false" customHeight="true" outlineLevel="0" collapsed="false">
      <c r="A168" s="342"/>
      <c r="B168" s="153"/>
      <c r="C168" s="153"/>
      <c r="D168" s="324"/>
      <c r="E168" s="330"/>
      <c r="AJ168" s="59"/>
      <c r="AK168" s="59"/>
      <c r="AL168" s="59"/>
      <c r="AM168" s="59"/>
    </row>
    <row r="169" customFormat="false" ht="12.75" hidden="false" customHeight="true" outlineLevel="0" collapsed="false">
      <c r="A169" s="342"/>
      <c r="B169" s="153"/>
      <c r="C169" s="153"/>
      <c r="D169" s="324"/>
      <c r="E169" s="325"/>
      <c r="AJ169" s="59"/>
      <c r="AK169" s="59"/>
      <c r="AL169" s="59"/>
      <c r="AM169" s="59"/>
    </row>
    <row r="170" customFormat="false" ht="12.75" hidden="false" customHeight="true" outlineLevel="0" collapsed="false">
      <c r="A170" s="342"/>
      <c r="B170" s="153"/>
      <c r="C170" s="153"/>
      <c r="D170" s="324"/>
      <c r="E170" s="325"/>
      <c r="AJ170" s="59"/>
      <c r="AK170" s="59"/>
      <c r="AL170" s="59"/>
      <c r="AM170" s="59"/>
    </row>
    <row r="171" customFormat="false" ht="12.75" hidden="false" customHeight="true" outlineLevel="0" collapsed="false">
      <c r="A171" s="342"/>
      <c r="B171" s="153"/>
      <c r="C171" s="332"/>
      <c r="D171" s="346"/>
      <c r="E171" s="330"/>
      <c r="AJ171" s="59"/>
      <c r="AK171" s="59"/>
      <c r="AL171" s="59"/>
      <c r="AM171" s="59"/>
    </row>
    <row r="172" customFormat="false" ht="12.75" hidden="false" customHeight="true" outlineLevel="0" collapsed="false">
      <c r="A172" s="342"/>
      <c r="B172" s="327"/>
      <c r="C172" s="332"/>
      <c r="D172" s="346"/>
      <c r="E172" s="330"/>
      <c r="AJ172" s="59"/>
      <c r="AK172" s="59"/>
      <c r="AL172" s="59"/>
      <c r="AM172" s="59"/>
    </row>
    <row r="173" customFormat="false" ht="12.75" hidden="false" customHeight="true" outlineLevel="0" collapsed="false">
      <c r="A173" s="342"/>
      <c r="B173" s="327"/>
      <c r="C173" s="153"/>
      <c r="D173" s="324"/>
      <c r="E173" s="325"/>
      <c r="AJ173" s="59"/>
      <c r="AK173" s="59"/>
      <c r="AL173" s="59"/>
      <c r="AM173" s="59"/>
    </row>
    <row r="174" customFormat="false" ht="12.75" hidden="false" customHeight="true" outlineLevel="0" collapsed="false">
      <c r="A174" s="342"/>
      <c r="B174" s="153"/>
      <c r="C174" s="153"/>
      <c r="D174" s="324"/>
      <c r="E174" s="32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25"/>
      <c r="AJ176" s="59"/>
      <c r="AK176" s="59"/>
      <c r="AL176" s="59"/>
      <c r="AM176" s="59"/>
    </row>
    <row r="177" customFormat="false" ht="12.75" hidden="false" customHeight="true" outlineLevel="0" collapsed="false">
      <c r="A177" s="342"/>
      <c r="B177" s="153"/>
      <c r="C177" s="153"/>
      <c r="D177" s="324"/>
      <c r="E177" s="325"/>
      <c r="AJ177" s="59"/>
      <c r="AK177" s="59"/>
      <c r="AL177" s="59"/>
      <c r="AM177" s="59"/>
    </row>
    <row r="178" customFormat="false" ht="12.75" hidden="false" customHeight="true" outlineLevel="0" collapsed="false">
      <c r="A178" s="342"/>
      <c r="B178" s="62"/>
      <c r="C178" s="332"/>
      <c r="D178" s="346"/>
      <c r="E178" s="330"/>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0</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AJ188" s="59"/>
      <c r="AK188" s="59"/>
      <c r="AL188" s="59"/>
      <c r="AM188" s="59"/>
    </row>
    <row r="189" customFormat="false" ht="12.75" hidden="false" customHeight="true" outlineLevel="0" collapsed="false">
      <c r="A189" s="352" t="s">
        <v>331</v>
      </c>
      <c r="B189" s="350"/>
      <c r="C189" s="350"/>
      <c r="D189" s="350"/>
      <c r="E189" s="350"/>
      <c r="F189" s="350"/>
      <c r="G189" s="350"/>
      <c r="H189" s="350"/>
      <c r="I189" s="350"/>
      <c r="J189" s="350"/>
      <c r="K189" s="350"/>
      <c r="L189" s="350"/>
      <c r="M189" s="351"/>
      <c r="O189" s="59"/>
      <c r="P189" s="59"/>
      <c r="Q189" s="59"/>
      <c r="R189" s="59"/>
    </row>
    <row r="190" customFormat="false" ht="12.75" hidden="false" customHeight="true" outlineLevel="0" collapsed="false">
      <c r="A190" s="355" t="s">
        <v>332</v>
      </c>
      <c r="B190" s="356" t="s">
        <v>268</v>
      </c>
      <c r="C190" s="357" t="s">
        <v>333</v>
      </c>
      <c r="D190" s="358" t="s">
        <v>334</v>
      </c>
      <c r="E190" s="404" t="s">
        <v>269</v>
      </c>
      <c r="F190" s="404"/>
      <c r="G190" s="404"/>
      <c r="H190" s="404"/>
      <c r="I190" s="404"/>
      <c r="J190" s="404"/>
      <c r="K190" s="404"/>
      <c r="L190" s="404"/>
      <c r="M190" s="354" t="s">
        <v>270</v>
      </c>
      <c r="O190" s="59"/>
      <c r="P190" s="59"/>
      <c r="Q190" s="59"/>
      <c r="R190" s="59"/>
    </row>
    <row r="191" customFormat="false" ht="12.75" hidden="false" customHeight="true" outlineLevel="0" collapsed="false">
      <c r="A191" s="360"/>
      <c r="B191" s="361"/>
      <c r="C191" s="362"/>
      <c r="D191" s="324"/>
      <c r="E191" s="153"/>
      <c r="F191" s="153"/>
      <c r="G191" s="153"/>
      <c r="H191" s="153"/>
      <c r="I191" s="153"/>
      <c r="J191" s="153"/>
      <c r="K191" s="153"/>
      <c r="L191" s="1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c r="O195" s="59"/>
      <c r="P195" s="59"/>
      <c r="Q195" s="59"/>
      <c r="R195" s="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153"/>
      <c r="M213" s="359"/>
    </row>
    <row r="214" customFormat="false" ht="12.75" hidden="false" customHeight="true" outlineLevel="0" collapsed="false">
      <c r="A214" s="363"/>
      <c r="B214" s="361"/>
      <c r="C214" s="367"/>
      <c r="D214" s="324"/>
      <c r="E214" s="153"/>
      <c r="F214" s="153"/>
      <c r="G214" s="153"/>
      <c r="H214" s="153"/>
      <c r="I214" s="153"/>
      <c r="J214" s="153"/>
      <c r="K214" s="153"/>
      <c r="L214" s="336" t="s">
        <v>335</v>
      </c>
      <c r="M214" s="366" t="n">
        <f aca="false">SUM(M191:M213)</f>
        <v>0</v>
      </c>
    </row>
    <row r="215" customFormat="false" ht="12.75" hidden="false" customHeight="true" outlineLevel="0" collapsed="false">
      <c r="A215" s="368"/>
      <c r="B215" s="369"/>
      <c r="C215" s="340"/>
      <c r="D215" s="340"/>
      <c r="E215" s="340"/>
      <c r="F215" s="340"/>
      <c r="G215" s="340"/>
      <c r="H215" s="340"/>
      <c r="I215" s="340"/>
      <c r="J215" s="340"/>
      <c r="K215" s="340"/>
      <c r="L215" s="340"/>
      <c r="M215" s="341"/>
    </row>
    <row r="216" customFormat="false" ht="12.75" hidden="false" customHeight="true" outlineLevel="0" collapsed="false"/>
    <row r="217" customFormat="false" ht="12.75" hidden="false" customHeight="true" outlineLevel="0" collapsed="false"/>
    <row r="218" customFormat="false" ht="12.75" hidden="false" customHeight="true" outlineLevel="0" collapsed="false">
      <c r="A218" s="371" t="s">
        <v>336</v>
      </c>
      <c r="B218" s="372"/>
      <c r="C218" s="372"/>
      <c r="D218" s="372"/>
      <c r="E218" s="372"/>
      <c r="F218" s="373"/>
      <c r="G218" s="370"/>
      <c r="H218" s="370"/>
      <c r="I218" s="370"/>
      <c r="J218" s="370"/>
      <c r="K218" s="370"/>
      <c r="L218" s="370"/>
      <c r="M218" s="370"/>
      <c r="N218" s="370"/>
    </row>
    <row r="219" customFormat="false" ht="12.75" hidden="false" customHeight="true" outlineLevel="0" collapsed="false">
      <c r="A219" s="374" t="s">
        <v>332</v>
      </c>
      <c r="B219" s="375" t="s">
        <v>268</v>
      </c>
      <c r="C219" s="376" t="s">
        <v>333</v>
      </c>
      <c r="D219" s="377" t="s">
        <v>334</v>
      </c>
      <c r="E219" s="377"/>
      <c r="F219" s="378" t="s">
        <v>270</v>
      </c>
      <c r="G219" s="370"/>
      <c r="H219" s="370"/>
      <c r="I219" s="370"/>
      <c r="J219" s="370"/>
      <c r="K219" s="370"/>
      <c r="L219" s="370"/>
      <c r="M219" s="370"/>
      <c r="N219" s="370"/>
    </row>
    <row r="220" customFormat="false" ht="12.75" hidden="false" customHeight="true" outlineLevel="0" collapsed="false">
      <c r="A220" s="380"/>
      <c r="B220" s="361"/>
      <c r="C220" s="381"/>
      <c r="D220" s="153"/>
      <c r="E220" s="382"/>
      <c r="F220" s="383"/>
      <c r="G220" s="379"/>
      <c r="H220" s="379"/>
      <c r="I220" s="379"/>
      <c r="J220" s="379"/>
      <c r="K220" s="379"/>
      <c r="L220" s="379"/>
      <c r="M220" s="379"/>
      <c r="N220" s="379"/>
    </row>
    <row r="221" customFormat="false" ht="12.75" hidden="false" customHeight="true" outlineLevel="0" collapsed="false">
      <c r="A221" s="380"/>
      <c r="B221" s="361"/>
      <c r="C221" s="370"/>
      <c r="D221" s="385"/>
      <c r="E221" s="382"/>
      <c r="F221" s="405"/>
      <c r="G221" s="379"/>
      <c r="H221" s="379"/>
      <c r="I221" s="379"/>
      <c r="J221" s="379"/>
      <c r="K221" s="379"/>
      <c r="L221" s="379"/>
      <c r="M221" s="379"/>
      <c r="N221" s="379"/>
    </row>
    <row r="222" customFormat="false" ht="12.75" hidden="false" customHeight="true" outlineLevel="0" collapsed="false">
      <c r="A222" s="380"/>
      <c r="B222" s="361"/>
      <c r="C222" s="370"/>
      <c r="D222" s="385"/>
      <c r="E222" s="382"/>
      <c r="F222" s="384"/>
      <c r="G222" s="370"/>
      <c r="H222" s="370"/>
      <c r="I222" s="370"/>
      <c r="J222" s="370"/>
      <c r="K222" s="370"/>
      <c r="L222" s="370"/>
      <c r="M222" s="370"/>
      <c r="N222" s="370"/>
    </row>
    <row r="223" customFormat="false" ht="12.75" hidden="false" customHeight="true" outlineLevel="0" collapsed="false">
      <c r="A223" s="380"/>
      <c r="B223" s="361"/>
      <c r="C223" s="370"/>
      <c r="D223" s="385"/>
      <c r="E223" s="382"/>
      <c r="F223" s="384"/>
      <c r="G223" s="370"/>
      <c r="H223" s="370"/>
      <c r="I223" s="370"/>
      <c r="J223" s="370"/>
      <c r="K223" s="370"/>
      <c r="L223" s="370"/>
      <c r="M223" s="370"/>
      <c r="N223" s="370"/>
    </row>
    <row r="224" customFormat="false" ht="12.75" hidden="false" customHeight="true" outlineLevel="0" collapsed="false">
      <c r="A224" s="380"/>
      <c r="B224" s="361"/>
      <c r="C224" s="370"/>
      <c r="D224" s="385"/>
      <c r="E224" s="382"/>
      <c r="F224" s="384"/>
      <c r="G224" s="370"/>
      <c r="H224" s="370"/>
      <c r="I224" s="370"/>
      <c r="J224" s="370"/>
      <c r="K224" s="370"/>
      <c r="L224" s="370"/>
      <c r="M224" s="370"/>
      <c r="N224" s="370"/>
    </row>
    <row r="225" customFormat="false" ht="12.75" hidden="false" customHeight="true" outlineLevel="0" collapsed="false">
      <c r="A225" s="380"/>
      <c r="B225" s="361"/>
      <c r="C225" s="370"/>
      <c r="D225" s="385"/>
      <c r="E225" s="382"/>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4"/>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6" t="n">
        <f aca="false">SUM(F219:F237)</f>
        <v>0</v>
      </c>
      <c r="G238" s="370"/>
      <c r="H238" s="370"/>
      <c r="I238" s="370"/>
      <c r="J238" s="370"/>
      <c r="K238" s="370"/>
      <c r="L238" s="370"/>
      <c r="M238" s="370"/>
      <c r="N238" s="370"/>
    </row>
    <row r="239" customFormat="false" ht="12.75" hidden="false" customHeight="true" outlineLevel="0" collapsed="false">
      <c r="A239" s="388"/>
      <c r="B239" s="389"/>
      <c r="C239" s="390"/>
      <c r="D239" s="390"/>
      <c r="E239" s="391"/>
      <c r="F239" s="387"/>
      <c r="G239" s="370"/>
      <c r="H239" s="370"/>
      <c r="I239" s="370"/>
      <c r="J239" s="370"/>
      <c r="K239" s="370"/>
      <c r="L239" s="370"/>
      <c r="M239" s="370"/>
      <c r="N239" s="370"/>
    </row>
    <row r="240" customFormat="false" ht="12.75" hidden="false" customHeight="true" outlineLevel="0" collapsed="false"/>
  </sheetData>
  <mergeCells count="11">
    <mergeCell ref="S6:T6"/>
    <mergeCell ref="K28:L28"/>
    <mergeCell ref="A41:B41"/>
    <mergeCell ref="AI42:AJ42"/>
    <mergeCell ref="A79:B79"/>
    <mergeCell ref="A121:B121"/>
    <mergeCell ref="B125:D125"/>
    <mergeCell ref="G125:K125"/>
    <mergeCell ref="B164:D164"/>
    <mergeCell ref="E190:L190"/>
    <mergeCell ref="D219:E219"/>
  </mergeCells>
  <printOptions headings="false" gridLines="false" gridLinesSet="true" horizontalCentered="true" verticalCentered="false"/>
  <pageMargins left="0.25" right="0.25" top="0.25" bottom="0.25"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Roman,Italic"&amp;F/&amp;A&amp;R&amp;"Times New Roman,Italic"&amp;D &amp;T</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2" ySplit="6" topLeftCell="C41" activePane="bottomRight" state="frozen"/>
      <selection pane="topLeft" activeCell="A1" activeCellId="0" sqref="A1"/>
      <selection pane="topRight" activeCell="C1" activeCellId="0" sqref="C1"/>
      <selection pane="bottomLeft" activeCell="A41" activeCellId="0" sqref="A41"/>
      <selection pane="bottomRight" activeCell="S63" activeCellId="0" sqref="S63"/>
    </sheetView>
  </sheetViews>
  <sheetFormatPr defaultColWidth="9.13671875" defaultRowHeight="12.75" customHeight="true" zeroHeight="false" outlineLevelRow="0" outlineLevelCol="0"/>
  <cols>
    <col collapsed="false" customWidth="true" hidden="false" outlineLevel="0" max="1" min="1" style="193" width="23.85"/>
    <col collapsed="false" customWidth="true" hidden="false" outlineLevel="0" max="2" min="2" style="193" width="20.41"/>
    <col collapsed="false" customWidth="true" hidden="false" outlineLevel="0" max="4" min="3" style="193" width="14.85"/>
    <col collapsed="false" customWidth="true" hidden="false" outlineLevel="0" max="5" min="5" style="193" width="17.28"/>
    <col collapsed="false" customWidth="true" hidden="false" outlineLevel="0" max="11" min="6" style="193" width="14.85"/>
    <col collapsed="false" customWidth="true" hidden="false" outlineLevel="0" max="12" min="12" style="193" width="15.28"/>
    <col collapsed="false" customWidth="true" hidden="false" outlineLevel="0" max="17" min="13" style="193" width="14.85"/>
    <col collapsed="false" customWidth="true" hidden="false" outlineLevel="0" max="18" min="18" style="193" width="15.56"/>
    <col collapsed="false" customWidth="true" hidden="false" outlineLevel="0" max="23" min="19" style="193" width="14.85"/>
    <col collapsed="false" customWidth="true" hidden="false" outlineLevel="0" max="24" min="24" style="193" width="15.41"/>
    <col collapsed="false" customWidth="true" hidden="false" outlineLevel="0" max="33" min="25" style="193" width="14.85"/>
    <col collapsed="false" customWidth="true" hidden="false" outlineLevel="0" max="34" min="34" style="193" width="2.7"/>
    <col collapsed="false" customWidth="true" hidden="false" outlineLevel="0" max="35" min="35" style="193" width="15.13"/>
    <col collapsed="false" customWidth="true" hidden="false" outlineLevel="0" max="36" min="36" style="193" width="16.13"/>
    <col collapsed="false" customWidth="true" hidden="false" outlineLevel="0" max="37" min="37" style="193" width="14.56"/>
    <col collapsed="false" customWidth="false" hidden="false" outlineLevel="0" max="38" min="38" style="193" width="9.14"/>
    <col collapsed="false" customWidth="true" hidden="false" outlineLevel="0" max="39" min="39" style="193" width="13.28"/>
    <col collapsed="false" customWidth="true" hidden="false" outlineLevel="0" max="40" min="40" style="193" width="11.56"/>
    <col collapsed="false" customWidth="true" hidden="false" outlineLevel="0" max="41" min="41" style="193" width="14.56"/>
    <col collapsed="false" customWidth="false" hidden="false" outlineLevel="0" max="257" min="42" style="193" width="9.14"/>
  </cols>
  <sheetData>
    <row r="1" customFormat="false" ht="12.75" hidden="false" customHeight="true" outlineLevel="0" collapsed="false">
      <c r="B1" s="392" t="n">
        <f aca="false">M38</f>
        <v>0</v>
      </c>
      <c r="D1" s="59"/>
      <c r="E1" s="59"/>
      <c r="F1" s="59"/>
      <c r="G1" s="59"/>
      <c r="H1" s="59"/>
      <c r="I1" s="59"/>
      <c r="J1" s="59"/>
      <c r="K1" s="59"/>
      <c r="L1" s="59"/>
      <c r="M1" s="59"/>
      <c r="N1" s="59"/>
      <c r="O1" s="59"/>
    </row>
    <row r="2" customFormat="false" ht="12.75" hidden="false" customHeight="true" outlineLevel="0" collapsed="false">
      <c r="A2" s="198" t="s">
        <v>127</v>
      </c>
      <c r="D2" s="59"/>
      <c r="E2" s="59"/>
      <c r="F2" s="59"/>
      <c r="G2" s="59"/>
      <c r="H2" s="59"/>
      <c r="I2" s="59"/>
      <c r="J2" s="59"/>
      <c r="K2" s="59"/>
      <c r="L2" s="59"/>
      <c r="M2" s="59"/>
      <c r="N2" s="59"/>
      <c r="O2" s="59"/>
    </row>
    <row r="3" customFormat="false" ht="12.75" hidden="false" customHeight="true" outlineLevel="0" collapsed="false">
      <c r="A3" s="201" t="s">
        <v>128</v>
      </c>
      <c r="B3" s="202" t="s">
        <v>355</v>
      </c>
      <c r="C3" s="202" t="s">
        <v>42</v>
      </c>
      <c r="D3" s="59"/>
      <c r="E3" s="59"/>
      <c r="F3" s="59"/>
      <c r="G3" s="59"/>
      <c r="H3" s="59"/>
      <c r="I3" s="59"/>
      <c r="J3" s="59"/>
      <c r="K3" s="59"/>
      <c r="L3" s="59"/>
      <c r="M3" s="59"/>
      <c r="N3" s="59"/>
      <c r="O3" s="59"/>
    </row>
    <row r="4" customFormat="false" ht="12.75" hidden="false" customHeight="true" outlineLevel="0" collapsed="false">
      <c r="A4" s="201" t="s">
        <v>1</v>
      </c>
      <c r="B4" s="207" t="n">
        <f aca="false">Front!B4</f>
        <v>36831</v>
      </c>
      <c r="D4" s="59"/>
      <c r="E4" s="59"/>
      <c r="F4" s="59"/>
      <c r="G4" s="59"/>
      <c r="H4" s="59"/>
      <c r="I4" s="59"/>
      <c r="J4" s="59"/>
      <c r="K4" s="59"/>
      <c r="L4" s="59"/>
      <c r="M4" s="59"/>
      <c r="N4" s="59"/>
      <c r="O4" s="59"/>
    </row>
    <row r="5" customFormat="false" ht="12.75" hidden="false" customHeight="true" outlineLevel="0" collapsed="false">
      <c r="A5" s="201" t="s">
        <v>2</v>
      </c>
      <c r="B5" s="208" t="n">
        <f aca="false">Front!B5</f>
        <v>36847</v>
      </c>
      <c r="C5" s="394"/>
      <c r="V5" s="153"/>
      <c r="W5" s="153"/>
      <c r="X5" s="153"/>
      <c r="Y5" s="153"/>
      <c r="Z5" s="153"/>
      <c r="AA5" s="153"/>
    </row>
    <row r="6" customFormat="false" ht="12.75" hidden="false" customHeight="true" outlineLevel="0" collapsed="false">
      <c r="A6" s="201" t="s">
        <v>130</v>
      </c>
      <c r="B6" s="210" t="n">
        <f aca="false">Front!$D$12</f>
        <v>949837</v>
      </c>
      <c r="C6" s="394"/>
      <c r="K6" s="211" t="s">
        <v>131</v>
      </c>
      <c r="L6" s="212"/>
      <c r="M6" s="212"/>
      <c r="N6" s="212"/>
      <c r="O6" s="212"/>
      <c r="P6" s="212"/>
      <c r="Q6" s="212"/>
      <c r="R6" s="213"/>
      <c r="S6" s="77" t="s">
        <v>132</v>
      </c>
      <c r="T6" s="77"/>
      <c r="V6" s="211" t="s">
        <v>133</v>
      </c>
      <c r="W6" s="212"/>
      <c r="X6" s="212"/>
      <c r="Y6" s="212"/>
      <c r="Z6" s="212"/>
      <c r="AA6" s="213"/>
    </row>
    <row r="7" customFormat="false" ht="12.75" hidden="false" customHeight="true" outlineLevel="0" collapsed="false">
      <c r="B7" s="407"/>
      <c r="K7" s="214"/>
      <c r="L7" s="215" t="s">
        <v>137</v>
      </c>
      <c r="M7" s="215" t="s">
        <v>137</v>
      </c>
      <c r="N7" s="215" t="s">
        <v>137</v>
      </c>
      <c r="O7" s="215" t="s">
        <v>137</v>
      </c>
      <c r="P7" s="215" t="s">
        <v>137</v>
      </c>
      <c r="Q7" s="215" t="s">
        <v>137</v>
      </c>
      <c r="R7" s="217" t="s">
        <v>40</v>
      </c>
      <c r="S7" s="218" t="s">
        <v>138</v>
      </c>
      <c r="T7" s="218" t="s">
        <v>139</v>
      </c>
      <c r="V7" s="219" t="s">
        <v>140</v>
      </c>
      <c r="W7" s="153"/>
      <c r="X7" s="153"/>
      <c r="Y7" s="153"/>
      <c r="Z7" s="153"/>
      <c r="AA7" s="220"/>
    </row>
    <row r="8" customFormat="false" ht="12.75" hidden="false" customHeight="true" outlineLevel="0" collapsed="false">
      <c r="A8" s="221" t="s">
        <v>141</v>
      </c>
      <c r="D8" s="218" t="s">
        <v>142</v>
      </c>
      <c r="E8" s="218" t="s">
        <v>143</v>
      </c>
      <c r="G8" s="223" t="s">
        <v>144</v>
      </c>
      <c r="H8" s="223"/>
      <c r="K8" s="224" t="s">
        <v>145</v>
      </c>
      <c r="L8" s="153"/>
      <c r="M8" s="153"/>
      <c r="N8" s="153"/>
      <c r="O8" s="153"/>
      <c r="P8" s="153"/>
      <c r="Q8" s="62"/>
      <c r="R8" s="220"/>
      <c r="V8" s="219" t="s">
        <v>146</v>
      </c>
      <c r="W8" s="153"/>
      <c r="X8" s="153"/>
      <c r="Y8" s="153"/>
      <c r="Z8" s="153"/>
      <c r="AA8" s="220"/>
    </row>
    <row r="9" customFormat="false" ht="12.75" hidden="false" customHeight="true" outlineLevel="0" collapsed="false">
      <c r="A9" s="193" t="s">
        <v>147</v>
      </c>
      <c r="D9" s="262" t="n">
        <v>32191381</v>
      </c>
      <c r="E9" s="262" t="n">
        <v>35284348</v>
      </c>
      <c r="F9" s="59" t="s">
        <v>148</v>
      </c>
      <c r="G9" s="193" t="s">
        <v>149</v>
      </c>
      <c r="K9" s="219" t="s">
        <v>150</v>
      </c>
      <c r="L9" s="226" t="n">
        <v>0</v>
      </c>
      <c r="M9" s="226" t="n">
        <v>0</v>
      </c>
      <c r="N9" s="226" t="n">
        <v>0</v>
      </c>
      <c r="O9" s="226" t="n">
        <v>0</v>
      </c>
      <c r="P9" s="226" t="n">
        <v>0</v>
      </c>
      <c r="Q9" s="226" t="n">
        <v>0</v>
      </c>
      <c r="R9" s="227" t="n">
        <f aca="false">SUM(L9:Q9)</f>
        <v>0</v>
      </c>
      <c r="S9" s="228" t="n">
        <f aca="false">IF(R9&gt;=0,R9/1000000,0)</f>
        <v>0</v>
      </c>
      <c r="T9" s="228" t="n">
        <f aca="false">IF(R9&gt;=0,0,R9/1000000)</f>
        <v>0</v>
      </c>
      <c r="V9" s="219"/>
      <c r="W9" s="153"/>
      <c r="X9" s="153"/>
      <c r="Y9" s="153"/>
      <c r="Z9" s="153"/>
      <c r="AA9" s="220"/>
      <c r="AI9" s="226"/>
    </row>
    <row r="10" customFormat="false" ht="12.75" hidden="false" customHeight="true" outlineLevel="0" collapsed="false">
      <c r="A10" s="193" t="s">
        <v>151</v>
      </c>
      <c r="D10" s="225" t="n">
        <v>0</v>
      </c>
      <c r="E10" s="225" t="n">
        <v>0</v>
      </c>
      <c r="F10" s="59" t="s">
        <v>148</v>
      </c>
      <c r="G10" s="193" t="s">
        <v>149</v>
      </c>
      <c r="K10" s="219" t="s">
        <v>152</v>
      </c>
      <c r="L10" s="226" t="n">
        <v>0</v>
      </c>
      <c r="M10" s="226" t="n">
        <v>0</v>
      </c>
      <c r="N10" s="226" t="n">
        <v>0</v>
      </c>
      <c r="O10" s="226" t="n">
        <v>0</v>
      </c>
      <c r="P10" s="226" t="n">
        <v>0</v>
      </c>
      <c r="Q10" s="226" t="n">
        <v>0</v>
      </c>
      <c r="R10" s="227" t="n">
        <f aca="false">SUM(L10:Q10)</f>
        <v>0</v>
      </c>
      <c r="S10" s="228" t="n">
        <f aca="false">IF(R10&gt;=0,R10/1000000,0)</f>
        <v>0</v>
      </c>
      <c r="T10" s="228" t="n">
        <f aca="false">IF(R10&gt;=0,0,R10/1000000)</f>
        <v>0</v>
      </c>
      <c r="V10" s="219" t="s">
        <v>153</v>
      </c>
      <c r="W10" s="153"/>
      <c r="X10" s="153"/>
      <c r="Y10" s="153"/>
      <c r="Z10" s="153"/>
      <c r="AA10" s="220"/>
    </row>
    <row r="11" customFormat="false" ht="12.75" hidden="false" customHeight="true" outlineLevel="0" collapsed="false">
      <c r="A11" s="193" t="s">
        <v>356</v>
      </c>
      <c r="D11" s="225" t="n">
        <v>0</v>
      </c>
      <c r="E11" s="225" t="n">
        <v>0</v>
      </c>
      <c r="F11" s="59" t="s">
        <v>148</v>
      </c>
      <c r="G11" s="193" t="s">
        <v>155</v>
      </c>
      <c r="K11" s="219" t="s">
        <v>156</v>
      </c>
      <c r="L11" s="226" t="n">
        <v>0</v>
      </c>
      <c r="M11" s="226" t="n">
        <v>0</v>
      </c>
      <c r="N11" s="226" t="n">
        <v>0</v>
      </c>
      <c r="O11" s="226" t="n">
        <v>0</v>
      </c>
      <c r="P11" s="226" t="n">
        <v>0</v>
      </c>
      <c r="Q11" s="226" t="n">
        <v>0</v>
      </c>
      <c r="R11" s="227" t="n">
        <f aca="false">SUM(L11:Q11)</f>
        <v>0</v>
      </c>
      <c r="S11" s="228" t="n">
        <f aca="false">IF(R11&gt;=0,R11/1000000,0)</f>
        <v>0</v>
      </c>
      <c r="T11" s="228" t="n">
        <f aca="false">IF(R11&gt;=0,0,R11/1000000)</f>
        <v>0</v>
      </c>
      <c r="V11" s="219" t="s">
        <v>157</v>
      </c>
      <c r="W11" s="153"/>
      <c r="X11" s="153"/>
      <c r="Y11" s="153"/>
      <c r="Z11" s="153"/>
      <c r="AA11" s="220"/>
    </row>
    <row r="12" customFormat="false" ht="12.75" hidden="false" customHeight="true" outlineLevel="0" collapsed="false">
      <c r="A12" s="193" t="s">
        <v>158</v>
      </c>
      <c r="D12" s="225" t="n">
        <v>0</v>
      </c>
      <c r="E12" s="225" t="n">
        <v>0</v>
      </c>
      <c r="F12" s="59" t="s">
        <v>148</v>
      </c>
      <c r="G12" s="193" t="s">
        <v>159</v>
      </c>
      <c r="K12" s="219" t="s">
        <v>160</v>
      </c>
      <c r="L12" s="226" t="n">
        <v>0</v>
      </c>
      <c r="M12" s="226" t="n">
        <v>0</v>
      </c>
      <c r="N12" s="226" t="n">
        <v>0</v>
      </c>
      <c r="O12" s="226" t="n">
        <v>0</v>
      </c>
      <c r="P12" s="226" t="n">
        <v>0</v>
      </c>
      <c r="Q12" s="226" t="n">
        <v>0</v>
      </c>
      <c r="R12" s="227" t="n">
        <f aca="false">SUM(L12:Q12)</f>
        <v>0</v>
      </c>
      <c r="S12" s="228" t="n">
        <f aca="false">IF(R12&gt;=0,R12/1000000,0)</f>
        <v>0</v>
      </c>
      <c r="T12" s="228" t="n">
        <f aca="false">IF(R12&gt;=0,0,R12/1000000)</f>
        <v>0</v>
      </c>
      <c r="V12" s="219"/>
      <c r="W12" s="153"/>
      <c r="X12" s="153"/>
      <c r="Y12" s="153"/>
      <c r="Z12" s="153"/>
      <c r="AA12" s="220"/>
      <c r="AK12" s="226"/>
    </row>
    <row r="13" customFormat="false" ht="12.75" hidden="false" customHeight="true" outlineLevel="0" collapsed="false">
      <c r="A13" s="193" t="s">
        <v>161</v>
      </c>
      <c r="D13" s="225" t="n">
        <v>-32866215</v>
      </c>
      <c r="E13" s="225" t="n">
        <v>-34825257</v>
      </c>
      <c r="F13" s="59" t="s">
        <v>148</v>
      </c>
      <c r="K13" s="219"/>
      <c r="L13" s="153"/>
      <c r="M13" s="153"/>
      <c r="N13" s="153"/>
      <c r="O13" s="153"/>
      <c r="P13" s="153"/>
      <c r="Q13" s="153"/>
      <c r="R13" s="220"/>
      <c r="S13" s="230"/>
      <c r="T13" s="230"/>
      <c r="V13" s="219" t="s">
        <v>162</v>
      </c>
      <c r="W13" s="153"/>
      <c r="X13" s="153"/>
      <c r="Y13" s="77" t="s">
        <v>163</v>
      </c>
      <c r="Z13" s="153"/>
      <c r="AA13" s="220"/>
      <c r="AK13" s="226"/>
    </row>
    <row r="14" customFormat="false" ht="12.75" hidden="false" customHeight="true" outlineLevel="0" collapsed="false">
      <c r="A14" s="193" t="s">
        <v>164</v>
      </c>
      <c r="E14" s="231" t="n">
        <f aca="false">+E159</f>
        <v>-119544</v>
      </c>
      <c r="F14" s="193" t="s">
        <v>165</v>
      </c>
      <c r="K14" s="219" t="s">
        <v>166</v>
      </c>
      <c r="L14" s="232" t="n">
        <f aca="false">SUM(L9:L13)/1000000</f>
        <v>0</v>
      </c>
      <c r="M14" s="232" t="n">
        <f aca="false">SUM(M9:M13)/1000000</f>
        <v>0</v>
      </c>
      <c r="N14" s="232" t="n">
        <f aca="false">SUM(N9:N13)/1000000</f>
        <v>0</v>
      </c>
      <c r="O14" s="232" t="n">
        <f aca="false">SUM(O9:O13)/1000000</f>
        <v>0</v>
      </c>
      <c r="P14" s="232" t="n">
        <f aca="false">SUM(P9:P13)/1000000</f>
        <v>0</v>
      </c>
      <c r="Q14" s="232" t="n">
        <f aca="false">SUM(Q9:Q13)/1000000</f>
        <v>0</v>
      </c>
      <c r="R14" s="233" t="n">
        <f aca="false">SUM(R9:R12)/1000000</f>
        <v>0</v>
      </c>
      <c r="S14" s="232" t="n">
        <f aca="false">SUM(S9:S13)</f>
        <v>0</v>
      </c>
      <c r="T14" s="232" t="n">
        <f aca="false">SUM(T9:T13)</f>
        <v>0</v>
      </c>
      <c r="V14" s="219"/>
      <c r="W14" s="153"/>
      <c r="X14" s="153"/>
      <c r="Y14" s="77" t="s">
        <v>167</v>
      </c>
      <c r="Z14" s="153"/>
      <c r="AA14" s="220"/>
    </row>
    <row r="15" customFormat="false" ht="12.75" hidden="false" customHeight="true" outlineLevel="0" collapsed="false">
      <c r="A15" s="193" t="s">
        <v>168</v>
      </c>
      <c r="E15" s="231" t="n">
        <f aca="false">+L159</f>
        <v>0</v>
      </c>
      <c r="F15" s="193" t="s">
        <v>165</v>
      </c>
      <c r="K15" s="219" t="s">
        <v>169</v>
      </c>
      <c r="L15" s="94" t="n">
        <v>0</v>
      </c>
      <c r="M15" s="94" t="n">
        <v>0</v>
      </c>
      <c r="N15" s="94" t="n">
        <v>0</v>
      </c>
      <c r="O15" s="94" t="n">
        <v>0</v>
      </c>
      <c r="P15" s="94" t="n">
        <v>0</v>
      </c>
      <c r="Q15" s="94" t="n">
        <v>0</v>
      </c>
      <c r="R15" s="235" t="n">
        <f aca="false">IF(R16=0,0,R17/R16)</f>
        <v>0</v>
      </c>
      <c r="S15" s="236" t="str">
        <f aca="false">IF(SUM(S14:T14)-R14=0,"-",SUM(S14:T14)-R14)</f>
        <v>-</v>
      </c>
      <c r="T15" s="230"/>
      <c r="V15" s="219"/>
      <c r="W15" s="77" t="s">
        <v>170</v>
      </c>
      <c r="X15" s="77" t="s">
        <v>171</v>
      </c>
      <c r="Y15" s="86" t="s">
        <v>172</v>
      </c>
      <c r="Z15" s="153"/>
      <c r="AA15" s="220"/>
    </row>
    <row r="16" customFormat="false" ht="12.75" hidden="false" customHeight="true" outlineLevel="0" collapsed="false">
      <c r="A16" s="193" t="s">
        <v>173</v>
      </c>
      <c r="E16" s="231" t="n">
        <f aca="false">+E185</f>
        <v>0</v>
      </c>
      <c r="F16" s="193" t="s">
        <v>165</v>
      </c>
      <c r="I16" s="238"/>
      <c r="J16" s="238"/>
      <c r="K16" s="219" t="s">
        <v>174</v>
      </c>
      <c r="L16" s="241" t="n">
        <v>0</v>
      </c>
      <c r="M16" s="241" t="n">
        <v>0</v>
      </c>
      <c r="N16" s="241" t="n">
        <v>0</v>
      </c>
      <c r="O16" s="241" t="n">
        <v>0</v>
      </c>
      <c r="P16" s="241" t="n">
        <v>0</v>
      </c>
      <c r="Q16" s="241" t="n">
        <v>0</v>
      </c>
      <c r="R16" s="398" t="n">
        <f aca="false">SUM(L16:Q16)</f>
        <v>0</v>
      </c>
      <c r="S16" s="243"/>
      <c r="T16" s="230"/>
      <c r="U16" s="153"/>
      <c r="V16" s="219" t="s">
        <v>175</v>
      </c>
      <c r="W16" s="153" t="n">
        <v>0</v>
      </c>
      <c r="X16" s="153" t="n">
        <v>0</v>
      </c>
      <c r="Y16" s="153" t="n">
        <f aca="false">(X16-W16)/1000000</f>
        <v>0</v>
      </c>
      <c r="Z16" s="153"/>
      <c r="AA16" s="220"/>
      <c r="AB16" s="153"/>
      <c r="AC16" s="153"/>
      <c r="AD16" s="153"/>
      <c r="AE16" s="153"/>
      <c r="AF16" s="153"/>
      <c r="AG16" s="153"/>
      <c r="AH16" s="153"/>
      <c r="AI16" s="153"/>
      <c r="AJ16" s="153"/>
      <c r="AK16" s="153"/>
    </row>
    <row r="17" customFormat="false" ht="12.75" hidden="false" customHeight="true" outlineLevel="0" collapsed="false">
      <c r="E17" s="231"/>
      <c r="I17" s="238"/>
      <c r="J17" s="238"/>
      <c r="K17" s="245"/>
      <c r="L17" s="246" t="n">
        <f aca="false">SUM(L15*L16)</f>
        <v>0</v>
      </c>
      <c r="M17" s="246" t="n">
        <f aca="false">SUM(M15*M16)</f>
        <v>0</v>
      </c>
      <c r="N17" s="246" t="n">
        <f aca="false">SUM(N15*N16)</f>
        <v>0</v>
      </c>
      <c r="O17" s="246" t="n">
        <f aca="false">SUM(O15*O16)</f>
        <v>0</v>
      </c>
      <c r="P17" s="246" t="n">
        <f aca="false">SUM(P15*P16)</f>
        <v>0</v>
      </c>
      <c r="Q17" s="246" t="n">
        <f aca="false">SUM(Q15*Q16)</f>
        <v>0</v>
      </c>
      <c r="R17" s="247" t="n">
        <f aca="false">SUM(L17:Q17)</f>
        <v>0</v>
      </c>
      <c r="S17" s="0"/>
      <c r="T17" s="0"/>
      <c r="U17" s="153"/>
      <c r="V17" s="219" t="s">
        <v>176</v>
      </c>
      <c r="W17" s="153" t="n">
        <v>0</v>
      </c>
      <c r="X17" s="153" t="n">
        <v>0</v>
      </c>
      <c r="Y17" s="153" t="n">
        <f aca="false">(X17-W17)/1000000</f>
        <v>0</v>
      </c>
      <c r="Z17" s="153"/>
      <c r="AA17" s="220"/>
      <c r="AB17" s="153"/>
      <c r="AC17" s="153"/>
      <c r="AD17" s="153"/>
      <c r="AE17" s="153"/>
      <c r="AF17" s="153"/>
      <c r="AG17" s="153"/>
      <c r="AH17" s="153"/>
      <c r="AI17" s="153"/>
      <c r="AJ17" s="153"/>
      <c r="AK17" s="153"/>
    </row>
    <row r="18" customFormat="false" ht="12.75" hidden="false" customHeight="true" outlineLevel="0" collapsed="false">
      <c r="E18" s="231"/>
      <c r="I18" s="238"/>
      <c r="J18" s="238"/>
      <c r="K18" s="224" t="s">
        <v>177</v>
      </c>
      <c r="L18" s="153"/>
      <c r="M18" s="153"/>
      <c r="N18" s="153"/>
      <c r="O18" s="153"/>
      <c r="P18" s="153"/>
      <c r="Q18" s="62"/>
      <c r="R18" s="220"/>
      <c r="S18" s="228"/>
      <c r="T18" s="228"/>
      <c r="U18" s="153"/>
      <c r="V18" s="219" t="s">
        <v>178</v>
      </c>
      <c r="W18" s="153" t="n">
        <f aca="false">W16+W17</f>
        <v>0</v>
      </c>
      <c r="X18" s="153" t="n">
        <f aca="false">X16+X17</f>
        <v>0</v>
      </c>
      <c r="Y18" s="153" t="n">
        <f aca="false">Y16+Y17</f>
        <v>0</v>
      </c>
      <c r="Z18" s="153"/>
      <c r="AA18" s="220"/>
      <c r="AB18" s="153"/>
      <c r="AC18" s="153"/>
      <c r="AD18" s="153"/>
      <c r="AE18" s="153"/>
      <c r="AF18" s="153"/>
      <c r="AG18" s="153"/>
      <c r="AH18" s="153"/>
      <c r="AI18" s="153"/>
      <c r="AJ18" s="153"/>
      <c r="AK18" s="153"/>
    </row>
    <row r="19" customFormat="false" ht="12.75" hidden="false" customHeight="true" outlineLevel="0" collapsed="false">
      <c r="A19" s="223" t="s">
        <v>58</v>
      </c>
      <c r="E19" s="248" t="n">
        <f aca="false">SUM(E9:E16)</f>
        <v>339547</v>
      </c>
      <c r="I19" s="153"/>
      <c r="J19" s="153"/>
      <c r="K19" s="219" t="s">
        <v>150</v>
      </c>
      <c r="L19" s="226" t="n">
        <v>0</v>
      </c>
      <c r="M19" s="226" t="n">
        <v>0</v>
      </c>
      <c r="N19" s="226" t="n">
        <v>0</v>
      </c>
      <c r="O19" s="226" t="n">
        <v>0</v>
      </c>
      <c r="P19" s="226" t="n">
        <v>0</v>
      </c>
      <c r="Q19" s="226" t="n">
        <v>0</v>
      </c>
      <c r="R19" s="227" t="n">
        <f aca="false">SUM(L19:Q19)</f>
        <v>0</v>
      </c>
      <c r="S19" s="228" t="n">
        <f aca="false">IF(R19&gt;=0,R19/1000000,0)</f>
        <v>0</v>
      </c>
      <c r="T19" s="228" t="n">
        <f aca="false">IF(R19&gt;=0,0,R19/1000000)</f>
        <v>0</v>
      </c>
      <c r="U19" s="153"/>
      <c r="V19" s="219"/>
      <c r="W19" s="153"/>
      <c r="X19" s="153"/>
      <c r="Y19" s="153"/>
      <c r="Z19" s="153"/>
      <c r="AA19" s="220"/>
      <c r="AB19" s="153"/>
      <c r="AC19" s="153"/>
      <c r="AD19" s="153"/>
      <c r="AE19" s="153"/>
      <c r="AF19" s="153"/>
      <c r="AG19" s="153"/>
      <c r="AH19" s="153"/>
      <c r="AI19" s="226"/>
      <c r="AJ19" s="153"/>
      <c r="AK19" s="153"/>
    </row>
    <row r="20" customFormat="false" ht="12.75" hidden="false" customHeight="true" outlineLevel="0" collapsed="false">
      <c r="I20" s="153"/>
      <c r="J20" s="153"/>
      <c r="K20" s="219" t="s">
        <v>152</v>
      </c>
      <c r="L20" s="226" t="n">
        <v>0</v>
      </c>
      <c r="M20" s="226" t="n">
        <v>0</v>
      </c>
      <c r="N20" s="226" t="n">
        <v>0</v>
      </c>
      <c r="O20" s="226" t="n">
        <v>0</v>
      </c>
      <c r="P20" s="226" t="n">
        <v>0</v>
      </c>
      <c r="Q20" s="226" t="n">
        <v>0</v>
      </c>
      <c r="R20" s="227" t="n">
        <f aca="false">SUM(L20:Q20)</f>
        <v>0</v>
      </c>
      <c r="S20" s="228" t="n">
        <f aca="false">IF(R20&gt;=0,R20/1000000,0)</f>
        <v>0</v>
      </c>
      <c r="T20" s="228" t="n">
        <f aca="false">IF(R20&gt;=0,0,R20/1000000)</f>
        <v>0</v>
      </c>
      <c r="U20" s="153"/>
      <c r="V20" s="219" t="s">
        <v>179</v>
      </c>
      <c r="W20" s="153"/>
      <c r="X20" s="153"/>
      <c r="Y20" s="153"/>
      <c r="Z20" s="153" t="n">
        <f aca="false">SUM(E19)-SUM(B58+B59)-SUM(B64:B65)</f>
        <v>349032</v>
      </c>
      <c r="AA20" s="220"/>
      <c r="AB20" s="153"/>
      <c r="AC20" s="153"/>
      <c r="AD20" s="153"/>
      <c r="AE20" s="153"/>
      <c r="AF20" s="153"/>
      <c r="AG20" s="153"/>
      <c r="AH20" s="153"/>
      <c r="AI20" s="226"/>
      <c r="AJ20" s="153"/>
      <c r="AK20" s="153"/>
    </row>
    <row r="21" customFormat="false" ht="12.75" hidden="false" customHeight="true" outlineLevel="0" collapsed="false">
      <c r="A21" s="221" t="s">
        <v>180</v>
      </c>
      <c r="I21" s="153"/>
      <c r="J21" s="153"/>
      <c r="K21" s="219" t="s">
        <v>156</v>
      </c>
      <c r="L21" s="226" t="n">
        <v>0</v>
      </c>
      <c r="M21" s="226" t="n">
        <v>0</v>
      </c>
      <c r="N21" s="226" t="n">
        <v>0</v>
      </c>
      <c r="O21" s="226" t="n">
        <v>0</v>
      </c>
      <c r="P21" s="226" t="n">
        <v>0</v>
      </c>
      <c r="Q21" s="226" t="n">
        <v>0</v>
      </c>
      <c r="R21" s="227" t="n">
        <f aca="false">SUM(L21:Q21)</f>
        <v>0</v>
      </c>
      <c r="S21" s="228" t="n">
        <f aca="false">IF(R21&gt;=0,R21/1000000,0)</f>
        <v>0</v>
      </c>
      <c r="T21" s="228" t="n">
        <f aca="false">IF(R21&gt;=0,0,R21/1000000)</f>
        <v>0</v>
      </c>
      <c r="U21" s="62"/>
      <c r="V21" s="250"/>
      <c r="W21" s="251"/>
      <c r="X21" s="251"/>
      <c r="Y21" s="251"/>
      <c r="Z21" s="251"/>
      <c r="AA21" s="252"/>
      <c r="AB21" s="62"/>
      <c r="AC21" s="62"/>
      <c r="AD21" s="62"/>
      <c r="AE21" s="62"/>
      <c r="AF21" s="62"/>
      <c r="AG21" s="62"/>
      <c r="AH21" s="62"/>
      <c r="AI21" s="60"/>
      <c r="AJ21" s="153"/>
      <c r="AK21" s="153"/>
    </row>
    <row r="22" customFormat="false" ht="12.75" hidden="false" customHeight="true" outlineLevel="0" collapsed="false">
      <c r="A22" s="193" t="s">
        <v>181</v>
      </c>
      <c r="E22" s="262" t="n">
        <v>0</v>
      </c>
      <c r="F22" s="59" t="s">
        <v>148</v>
      </c>
      <c r="G22" s="153"/>
      <c r="I22" s="153"/>
      <c r="J22" s="153"/>
      <c r="K22" s="219" t="s">
        <v>160</v>
      </c>
      <c r="L22" s="226" t="n">
        <v>0</v>
      </c>
      <c r="M22" s="226" t="n">
        <v>0</v>
      </c>
      <c r="N22" s="226" t="n">
        <v>0</v>
      </c>
      <c r="O22" s="226" t="n">
        <v>0</v>
      </c>
      <c r="P22" s="226" t="n">
        <v>0</v>
      </c>
      <c r="Q22" s="226" t="n">
        <v>0</v>
      </c>
      <c r="R22" s="227" t="n">
        <f aca="false">SUM(L22:Q22)</f>
        <v>0</v>
      </c>
      <c r="S22" s="228" t="n">
        <f aca="false">IF(R22&gt;=0,R22/1000000,0)</f>
        <v>0</v>
      </c>
      <c r="T22" s="228" t="n">
        <f aca="false">IF(R22&gt;=0,0,R22/1000000)</f>
        <v>0</v>
      </c>
      <c r="U22" s="153"/>
      <c r="V22" s="153"/>
      <c r="W22" s="153"/>
      <c r="X22" s="153"/>
      <c r="Y22" s="153"/>
      <c r="Z22" s="153"/>
      <c r="AA22" s="153"/>
      <c r="AB22" s="153"/>
      <c r="AC22" s="153"/>
      <c r="AD22" s="153"/>
      <c r="AE22" s="153"/>
      <c r="AF22" s="153"/>
      <c r="AG22" s="153"/>
      <c r="AH22" s="153"/>
      <c r="AI22" s="60"/>
      <c r="AJ22" s="153"/>
      <c r="AK22" s="153"/>
    </row>
    <row r="23" customFormat="false" ht="12.75" hidden="false" customHeight="true" outlineLevel="0" collapsed="false">
      <c r="A23" s="193" t="s">
        <v>182</v>
      </c>
      <c r="E23" s="225" t="n">
        <f aca="false">B63</f>
        <v>0</v>
      </c>
      <c r="F23" s="59" t="s">
        <v>148</v>
      </c>
      <c r="G23" s="153"/>
      <c r="I23" s="153"/>
      <c r="J23" s="153"/>
      <c r="K23" s="219"/>
      <c r="L23" s="153"/>
      <c r="M23" s="153"/>
      <c r="N23" s="153"/>
      <c r="O23" s="153"/>
      <c r="P23" s="153"/>
      <c r="Q23" s="153"/>
      <c r="R23" s="220"/>
      <c r="S23" s="230"/>
      <c r="T23" s="230"/>
      <c r="U23" s="153"/>
      <c r="V23" s="153"/>
      <c r="W23" s="153"/>
      <c r="X23" s="153"/>
      <c r="Y23" s="153"/>
      <c r="Z23" s="153"/>
      <c r="AA23" s="153"/>
      <c r="AB23" s="153"/>
      <c r="AC23" s="153"/>
      <c r="AD23" s="153"/>
      <c r="AE23" s="153"/>
      <c r="AF23" s="153"/>
      <c r="AG23" s="153"/>
      <c r="AH23" s="153"/>
      <c r="AI23" s="60"/>
      <c r="AJ23" s="153"/>
      <c r="AK23" s="153"/>
    </row>
    <row r="24" customFormat="false" ht="12.75" hidden="false" customHeight="true" outlineLevel="0" collapsed="false">
      <c r="A24" s="193" t="s">
        <v>183</v>
      </c>
      <c r="E24" s="255" t="n">
        <f aca="false">E22+E23</f>
        <v>0</v>
      </c>
      <c r="F24" s="193" t="s">
        <v>165</v>
      </c>
      <c r="I24" s="153"/>
      <c r="J24" s="153"/>
      <c r="K24" s="219" t="s">
        <v>166</v>
      </c>
      <c r="L24" s="232" t="n">
        <f aca="false">SUM(L19:L23)/1000000</f>
        <v>0</v>
      </c>
      <c r="M24" s="232" t="n">
        <f aca="false">SUM(M19:M23)/1000000</f>
        <v>0</v>
      </c>
      <c r="N24" s="232" t="n">
        <f aca="false">SUM(N19:N23)/1000000</f>
        <v>0</v>
      </c>
      <c r="O24" s="232" t="n">
        <f aca="false">SUM(O19:O23)/1000000</f>
        <v>0</v>
      </c>
      <c r="P24" s="232" t="n">
        <f aca="false">SUM(P19:P23)/1000000</f>
        <v>0</v>
      </c>
      <c r="Q24" s="232" t="n">
        <f aca="false">SUM(Q19:Q23)/1000000</f>
        <v>0</v>
      </c>
      <c r="R24" s="233" t="n">
        <f aca="false">SUM(R19:R22)/1000000</f>
        <v>0</v>
      </c>
      <c r="S24" s="232" t="n">
        <f aca="false">SUM(S19:S23)</f>
        <v>0</v>
      </c>
      <c r="T24" s="232" t="n">
        <f aca="false">SUM(T19:T23)</f>
        <v>0</v>
      </c>
      <c r="U24" s="62"/>
      <c r="V24" s="62"/>
      <c r="W24" s="62"/>
      <c r="X24" s="62"/>
      <c r="Y24" s="62"/>
      <c r="Z24" s="62"/>
      <c r="AA24" s="62"/>
      <c r="AB24" s="62"/>
      <c r="AC24" s="62"/>
      <c r="AD24" s="62"/>
      <c r="AE24" s="62"/>
      <c r="AF24" s="62"/>
      <c r="AG24" s="62"/>
      <c r="AH24" s="62"/>
      <c r="AI24" s="60"/>
      <c r="AJ24" s="153"/>
      <c r="AK24" s="153"/>
    </row>
    <row r="25" customFormat="false" ht="12.75" hidden="false" customHeight="true" outlineLevel="0" collapsed="false">
      <c r="A25" s="193" t="s">
        <v>184</v>
      </c>
      <c r="E25" s="231" t="n">
        <f aca="false">-M214</f>
        <v>-0</v>
      </c>
      <c r="I25" s="153"/>
      <c r="J25" s="153"/>
      <c r="K25" s="250"/>
      <c r="L25" s="251"/>
      <c r="M25" s="251"/>
      <c r="N25" s="251"/>
      <c r="O25" s="251"/>
      <c r="P25" s="251"/>
      <c r="Q25" s="251"/>
      <c r="R25" s="252"/>
      <c r="S25" s="62"/>
      <c r="T25" s="62"/>
      <c r="U25" s="153"/>
      <c r="V25" s="153"/>
      <c r="W25" s="153"/>
      <c r="X25" s="153"/>
      <c r="Y25" s="153"/>
      <c r="Z25" s="153"/>
      <c r="AA25" s="153"/>
      <c r="AB25" s="153"/>
      <c r="AC25" s="153"/>
      <c r="AD25" s="153"/>
      <c r="AE25" s="153"/>
      <c r="AF25" s="153"/>
      <c r="AG25" s="153"/>
      <c r="AH25" s="153"/>
      <c r="AI25" s="60"/>
      <c r="AJ25" s="153"/>
      <c r="AK25" s="153"/>
    </row>
    <row r="26" customFormat="false" ht="12.75" hidden="false" customHeight="true" outlineLevel="0" collapsed="false">
      <c r="A26" s="223" t="s">
        <v>185</v>
      </c>
      <c r="E26" s="256" t="n">
        <f aca="false">E24+E25</f>
        <v>0</v>
      </c>
      <c r="I26" s="153"/>
      <c r="J26" s="153"/>
      <c r="K26" s="59"/>
      <c r="L26" s="59"/>
      <c r="M26" s="59"/>
      <c r="N26" s="59"/>
      <c r="O26" s="59"/>
      <c r="P26" s="59"/>
      <c r="Q26" s="59"/>
      <c r="R26" s="59"/>
      <c r="S26" s="153"/>
      <c r="T26" s="153"/>
      <c r="U26" s="153"/>
      <c r="V26" s="153"/>
      <c r="W26" s="153"/>
      <c r="X26" s="153"/>
      <c r="Y26" s="153"/>
      <c r="Z26" s="153"/>
      <c r="AA26" s="153"/>
      <c r="AB26" s="153"/>
      <c r="AC26" s="153"/>
      <c r="AD26" s="153"/>
      <c r="AE26" s="153"/>
      <c r="AF26" s="153"/>
      <c r="AG26" s="153"/>
      <c r="AH26" s="153"/>
      <c r="AI26" s="60"/>
      <c r="AJ26" s="153"/>
      <c r="AK26" s="153"/>
    </row>
    <row r="27" customFormat="false" ht="12.75" hidden="false" customHeight="true" outlineLevel="0" collapsed="false">
      <c r="G27" s="153"/>
      <c r="I27" s="153"/>
      <c r="J27" s="153"/>
      <c r="K27" s="257"/>
      <c r="L27" s="212"/>
      <c r="M27" s="212"/>
      <c r="N27" s="212"/>
      <c r="O27" s="212"/>
      <c r="P27" s="212"/>
      <c r="Q27" s="258"/>
      <c r="R27" s="259"/>
      <c r="S27" s="153"/>
      <c r="T27" s="153"/>
      <c r="U27" s="153"/>
      <c r="V27" s="153"/>
      <c r="W27" s="153"/>
      <c r="X27" s="153"/>
      <c r="Y27" s="153"/>
      <c r="Z27" s="153"/>
      <c r="AA27" s="153"/>
      <c r="AB27" s="153"/>
      <c r="AC27" s="153"/>
      <c r="AD27" s="153"/>
      <c r="AE27" s="153"/>
      <c r="AF27" s="153"/>
      <c r="AG27" s="153"/>
      <c r="AH27" s="153"/>
      <c r="AI27" s="153"/>
      <c r="AJ27" s="153"/>
      <c r="AK27" s="153"/>
    </row>
    <row r="28" customFormat="false" ht="12.75" hidden="false" customHeight="true" outlineLevel="0" collapsed="false">
      <c r="A28" s="221" t="s">
        <v>186</v>
      </c>
      <c r="E28" s="153"/>
      <c r="I28" s="153"/>
      <c r="J28" s="153"/>
      <c r="K28" s="260" t="s">
        <v>187</v>
      </c>
      <c r="L28" s="260"/>
      <c r="M28" s="261" t="s">
        <v>188</v>
      </c>
      <c r="N28" s="261" t="s">
        <v>189</v>
      </c>
      <c r="O28" s="153"/>
      <c r="P28" s="153"/>
      <c r="Q28" s="153"/>
      <c r="R28" s="220"/>
      <c r="S28" s="153"/>
      <c r="T28" s="153"/>
      <c r="U28" s="153"/>
      <c r="V28" s="153"/>
      <c r="W28" s="153"/>
      <c r="X28" s="153"/>
      <c r="Y28" s="153"/>
      <c r="Z28" s="153"/>
      <c r="AA28" s="153"/>
      <c r="AB28" s="153"/>
      <c r="AC28" s="153"/>
      <c r="AD28" s="153"/>
      <c r="AE28" s="153"/>
      <c r="AF28" s="153"/>
      <c r="AG28" s="153"/>
      <c r="AH28" s="153"/>
      <c r="AI28" s="153"/>
      <c r="AJ28" s="153"/>
      <c r="AK28" s="153"/>
    </row>
    <row r="29" customFormat="false" ht="12.75" hidden="false" customHeight="true" outlineLevel="0" collapsed="false">
      <c r="A29" s="193" t="s">
        <v>190</v>
      </c>
      <c r="E29" s="262" t="n">
        <v>2431713</v>
      </c>
      <c r="F29" s="193" t="s">
        <v>191</v>
      </c>
      <c r="I29" s="153"/>
      <c r="J29" s="153"/>
      <c r="K29" s="219" t="s">
        <v>177</v>
      </c>
      <c r="L29" s="153"/>
      <c r="M29" s="153"/>
      <c r="N29" s="153"/>
      <c r="O29" s="153"/>
      <c r="P29" s="153"/>
      <c r="Q29" s="62"/>
      <c r="R29" s="263"/>
      <c r="S29" s="153"/>
      <c r="T29" s="153"/>
      <c r="U29" s="153"/>
      <c r="V29" s="153"/>
      <c r="W29" s="153"/>
      <c r="X29" s="153"/>
      <c r="Y29" s="153"/>
      <c r="Z29" s="153"/>
      <c r="AA29" s="153"/>
      <c r="AB29" s="153"/>
      <c r="AC29" s="153"/>
      <c r="AD29" s="153"/>
      <c r="AE29" s="153"/>
      <c r="AF29" s="153"/>
      <c r="AG29" s="153"/>
      <c r="AH29" s="153"/>
      <c r="AI29" s="153"/>
      <c r="AJ29" s="153"/>
      <c r="AK29" s="153"/>
    </row>
    <row r="30" customFormat="false" ht="12.75" hidden="false" customHeight="true" outlineLevel="0" collapsed="false">
      <c r="A30" s="193" t="s">
        <v>192</v>
      </c>
      <c r="E30" s="264" t="n">
        <f aca="false">B61</f>
        <v>-283140</v>
      </c>
      <c r="F30" s="193" t="s">
        <v>193</v>
      </c>
      <c r="I30" s="153"/>
      <c r="J30" s="153"/>
      <c r="K30" s="219" t="s">
        <v>194</v>
      </c>
      <c r="L30" s="153"/>
      <c r="M30" s="226" t="n">
        <v>582322</v>
      </c>
      <c r="N30" s="226"/>
      <c r="O30" s="153" t="s">
        <v>191</v>
      </c>
      <c r="P30" s="153"/>
      <c r="Q30" s="153"/>
      <c r="R30" s="220"/>
      <c r="S30" s="153"/>
      <c r="T30" s="153"/>
      <c r="U30" s="153"/>
      <c r="V30" s="153"/>
      <c r="W30" s="153"/>
      <c r="X30" s="153"/>
      <c r="Y30" s="153"/>
      <c r="Z30" s="153"/>
      <c r="AA30" s="153"/>
      <c r="AB30" s="153"/>
      <c r="AC30" s="153"/>
      <c r="AD30" s="153"/>
      <c r="AE30" s="153"/>
      <c r="AF30" s="153"/>
      <c r="AG30" s="153"/>
      <c r="AH30" s="153"/>
      <c r="AI30" s="153"/>
      <c r="AJ30" s="153"/>
      <c r="AK30" s="153"/>
    </row>
    <row r="31" customFormat="false" ht="12.75" hidden="false" customHeight="true" outlineLevel="0" collapsed="false">
      <c r="A31" s="193" t="s">
        <v>195</v>
      </c>
      <c r="E31" s="231" t="n">
        <f aca="false">B102</f>
        <v>0</v>
      </c>
      <c r="F31" s="193" t="s">
        <v>193</v>
      </c>
      <c r="I31" s="153"/>
      <c r="J31" s="153"/>
      <c r="K31" s="219" t="s">
        <v>196</v>
      </c>
      <c r="L31" s="153"/>
      <c r="M31" s="226" t="n">
        <v>0</v>
      </c>
      <c r="N31" s="60" t="n">
        <f aca="false">M31</f>
        <v>0</v>
      </c>
      <c r="O31" s="153" t="s">
        <v>191</v>
      </c>
      <c r="P31" s="153"/>
      <c r="Q31" s="153"/>
      <c r="R31" s="220"/>
      <c r="S31" s="153"/>
      <c r="T31" s="153"/>
      <c r="U31" s="153"/>
      <c r="V31" s="153"/>
      <c r="W31" s="153"/>
      <c r="X31" s="153"/>
      <c r="Y31" s="408"/>
      <c r="Z31" s="153"/>
      <c r="AA31" s="153"/>
      <c r="AB31" s="153"/>
      <c r="AC31" s="153"/>
      <c r="AD31" s="153"/>
      <c r="AE31" s="153"/>
      <c r="AF31" s="153"/>
      <c r="AG31" s="153"/>
      <c r="AH31" s="153"/>
      <c r="AI31" s="62"/>
      <c r="AJ31" s="153"/>
      <c r="AK31" s="153"/>
    </row>
    <row r="32" customFormat="false" ht="12.75" hidden="false" customHeight="true" outlineLevel="0" collapsed="false">
      <c r="A32" s="193" t="s">
        <v>197</v>
      </c>
      <c r="E32" s="264" t="n">
        <f aca="false">B118</f>
        <v>0</v>
      </c>
      <c r="F32" s="193" t="s">
        <v>193</v>
      </c>
      <c r="K32" s="219" t="s">
        <v>198</v>
      </c>
      <c r="L32" s="153"/>
      <c r="M32" s="226" t="n">
        <v>2431713</v>
      </c>
      <c r="N32" s="60"/>
      <c r="O32" s="153" t="s">
        <v>191</v>
      </c>
      <c r="P32" s="153"/>
      <c r="Q32" s="153"/>
      <c r="R32" s="220"/>
      <c r="Y32" s="409"/>
      <c r="AI32" s="59"/>
    </row>
    <row r="33" customFormat="false" ht="12.75" hidden="false" customHeight="true" outlineLevel="0" collapsed="false">
      <c r="A33" s="193" t="s">
        <v>357</v>
      </c>
      <c r="E33" s="231" t="n">
        <f aca="false">B68</f>
        <v>0</v>
      </c>
      <c r="F33" s="193" t="s">
        <v>193</v>
      </c>
      <c r="K33" s="219"/>
      <c r="L33" s="62"/>
      <c r="M33" s="60"/>
      <c r="N33" s="60"/>
      <c r="O33" s="153"/>
      <c r="P33" s="153"/>
      <c r="Q33" s="153"/>
      <c r="R33" s="220"/>
      <c r="Y33" s="409"/>
    </row>
    <row r="34" customFormat="false" ht="12.75" hidden="false" customHeight="true" outlineLevel="0" collapsed="false">
      <c r="A34" s="193" t="s">
        <v>200</v>
      </c>
      <c r="E34" s="231" t="n">
        <f aca="false">B69</f>
        <v>0</v>
      </c>
      <c r="F34" s="193" t="s">
        <v>193</v>
      </c>
      <c r="K34" s="219" t="s">
        <v>201</v>
      </c>
      <c r="L34" s="153"/>
      <c r="M34" s="60" t="n">
        <f aca="false">B76</f>
        <v>-525915</v>
      </c>
      <c r="N34" s="60" t="n">
        <f aca="false">B63</f>
        <v>0</v>
      </c>
      <c r="O34" s="153" t="s">
        <v>202</v>
      </c>
      <c r="P34" s="153"/>
      <c r="Q34" s="153"/>
      <c r="R34" s="220"/>
    </row>
    <row r="35" customFormat="false" ht="12.75" hidden="false" customHeight="true" outlineLevel="0" collapsed="false">
      <c r="A35" s="193" t="s">
        <v>203</v>
      </c>
      <c r="E35" s="231" t="n">
        <f aca="false">F238</f>
        <v>0</v>
      </c>
      <c r="F35" s="193" t="s">
        <v>193</v>
      </c>
      <c r="K35" s="219"/>
      <c r="L35" s="153"/>
      <c r="M35" s="60"/>
      <c r="N35" s="60"/>
      <c r="O35" s="153"/>
      <c r="P35" s="153"/>
      <c r="Q35" s="153"/>
      <c r="R35" s="220"/>
    </row>
    <row r="36" customFormat="false" ht="12.75" hidden="false" customHeight="true" outlineLevel="0" collapsed="false">
      <c r="A36" s="223" t="s">
        <v>204</v>
      </c>
      <c r="E36" s="248" t="n">
        <f aca="false">SUM(E29:E35)</f>
        <v>2148573</v>
      </c>
      <c r="K36" s="219" t="s">
        <v>205</v>
      </c>
      <c r="L36" s="62"/>
      <c r="M36" s="60" t="n">
        <f aca="false">SUM(M30:M34)</f>
        <v>2488120</v>
      </c>
      <c r="N36" s="60" t="n">
        <f aca="false">SUM(N30:N34)</f>
        <v>0</v>
      </c>
      <c r="O36" s="153"/>
      <c r="P36" s="153"/>
      <c r="Q36" s="153"/>
      <c r="R36" s="220"/>
    </row>
    <row r="37" customFormat="false" ht="12.75" hidden="false" customHeight="true" outlineLevel="0" collapsed="false">
      <c r="K37" s="265"/>
      <c r="L37" s="62"/>
      <c r="M37" s="62"/>
      <c r="N37" s="62"/>
      <c r="O37" s="153"/>
      <c r="P37" s="153"/>
      <c r="Q37" s="153"/>
      <c r="R37" s="220"/>
    </row>
    <row r="38" customFormat="false" ht="12.75" hidden="false" customHeight="true" outlineLevel="0" collapsed="false">
      <c r="A38" s="221" t="s">
        <v>206</v>
      </c>
      <c r="C38" s="226"/>
      <c r="E38" s="248" t="n">
        <f aca="false">+E36+E26+E19</f>
        <v>2488120</v>
      </c>
      <c r="K38" s="219"/>
      <c r="L38" s="266" t="s">
        <v>207</v>
      </c>
      <c r="M38" s="124" t="n">
        <f aca="false">M36-E38</f>
        <v>0</v>
      </c>
      <c r="N38" s="124" t="n">
        <f aca="false">+N36-E26</f>
        <v>0</v>
      </c>
      <c r="O38" s="153"/>
      <c r="P38" s="153"/>
      <c r="Q38" s="153"/>
      <c r="R38" s="220"/>
      <c r="AN38" s="59"/>
      <c r="AO38" s="59"/>
      <c r="AP38" s="59"/>
      <c r="AQ38" s="59"/>
      <c r="AR38" s="59"/>
      <c r="AS38" s="59"/>
    </row>
    <row r="39" customFormat="false" ht="12.75" hidden="false" customHeight="true" outlineLevel="0" collapsed="false">
      <c r="K39" s="267"/>
      <c r="L39" s="268"/>
      <c r="M39" s="268"/>
      <c r="N39" s="269"/>
      <c r="O39" s="268"/>
      <c r="P39" s="268"/>
      <c r="Q39" s="268"/>
      <c r="R39" s="270"/>
      <c r="AJ39" s="59"/>
      <c r="AK39" s="59"/>
      <c r="AN39" s="59"/>
      <c r="AO39" s="59"/>
      <c r="AP39" s="59"/>
      <c r="AQ39" s="59"/>
      <c r="AR39" s="59"/>
      <c r="AS39" s="59"/>
    </row>
    <row r="40" customFormat="false" ht="12.75" hidden="false" customHeight="true" outlineLevel="0" collapsed="false">
      <c r="K40" s="153"/>
      <c r="L40" s="153"/>
      <c r="M40" s="153"/>
      <c r="N40" s="153"/>
      <c r="O40" s="153"/>
      <c r="P40" s="153"/>
      <c r="AJ40" s="59"/>
      <c r="AK40" s="59"/>
      <c r="AN40" s="59"/>
      <c r="AO40" s="59"/>
      <c r="AP40" s="59"/>
      <c r="AQ40" s="59"/>
      <c r="AR40" s="59"/>
      <c r="AS40" s="59"/>
    </row>
    <row r="41" customFormat="false" ht="12.75" hidden="false" customHeight="true" outlineLevel="0" collapsed="false">
      <c r="A41" s="271" t="s">
        <v>208</v>
      </c>
      <c r="B41" s="271"/>
      <c r="K41" s="59"/>
      <c r="L41" s="59"/>
      <c r="M41" s="98"/>
      <c r="N41" s="59"/>
      <c r="O41" s="59"/>
      <c r="P41" s="59"/>
      <c r="AJ41" s="59"/>
      <c r="AK41" s="59"/>
      <c r="AN41" s="59"/>
      <c r="AO41" s="59"/>
      <c r="AP41" s="59"/>
      <c r="AQ41" s="59"/>
      <c r="AR41" s="59"/>
      <c r="AS41" s="59"/>
    </row>
    <row r="42" customFormat="false" ht="12.75" hidden="false" customHeight="true" outlineLevel="0" collapsed="false">
      <c r="B42" s="59"/>
      <c r="AI42" s="272" t="s">
        <v>209</v>
      </c>
      <c r="AJ42" s="272"/>
      <c r="AK42" s="59"/>
      <c r="AN42" s="59"/>
      <c r="AO42" s="59"/>
      <c r="AP42" s="59"/>
      <c r="AQ42" s="59"/>
      <c r="AR42" s="59"/>
      <c r="AS42" s="59"/>
    </row>
    <row r="43" customFormat="false" ht="12.75" hidden="false" customHeight="true" outlineLevel="0" collapsed="false">
      <c r="A43" s="273"/>
      <c r="B43" s="274" t="s">
        <v>210</v>
      </c>
      <c r="C43" s="275" t="n">
        <f aca="false">SUM(C47:C76)-C61-C68-C69</f>
        <v>403339</v>
      </c>
      <c r="D43" s="275" t="n">
        <f aca="false">SUM(D47:D76)-D61-D68-D69</f>
        <v>-8675</v>
      </c>
      <c r="E43" s="275" t="n">
        <f aca="false">SUM(E47:E76)-E61-E68-E69</f>
        <v>-677357</v>
      </c>
      <c r="F43" s="275" t="n">
        <f aca="false">SUM(F47:F76)-F61-F68-F69</f>
        <v>0</v>
      </c>
      <c r="G43" s="275" t="n">
        <f aca="false">SUM(G47:G76)-G61-G68-G69</f>
        <v>0</v>
      </c>
      <c r="H43" s="275" t="n">
        <f aca="false">SUM(H47:H76)-H61-H68-H69</f>
        <v>365244</v>
      </c>
      <c r="I43" s="275" t="n">
        <f aca="false">SUM(I47:I76)-I61-I68-I69</f>
        <v>514093</v>
      </c>
      <c r="J43" s="275" t="n">
        <f aca="false">SUM(J47:J76)-J61-J68-J69</f>
        <v>-27370</v>
      </c>
      <c r="K43" s="275" t="n">
        <f aca="false">SUM(K47:K76)-K61-K68-K69</f>
        <v>-1227804</v>
      </c>
      <c r="L43" s="275" t="n">
        <f aca="false">SUM(L47:L76)-L61-L68-L69</f>
        <v>105474</v>
      </c>
      <c r="M43" s="275" t="n">
        <f aca="false">SUM(M47:M76)-M61-M68-M69</f>
        <v>0</v>
      </c>
      <c r="N43" s="275" t="n">
        <f aca="false">SUM(N47:N76)-N61-N68-N69</f>
        <v>0</v>
      </c>
      <c r="O43" s="275" t="n">
        <f aca="false">SUM(O47:O76)-O61-O68-O69</f>
        <v>1448531</v>
      </c>
      <c r="P43" s="275" t="n">
        <f aca="false">SUM(P47:P76)-P61-P68-P69</f>
        <v>145906</v>
      </c>
      <c r="Q43" s="275" t="n">
        <f aca="false">SUM(Q47:Q76)-Q61-Q68-Q69</f>
        <v>999035</v>
      </c>
      <c r="R43" s="275" t="n">
        <f aca="false">SUM(R47:R76)-R61-R68-R69</f>
        <v>-3700256</v>
      </c>
      <c r="S43" s="275" t="n">
        <f aca="false">SUM(S47:S76)-S61-S68-S69</f>
        <v>1133925</v>
      </c>
      <c r="T43" s="275" t="n">
        <f aca="false">SUM(T47:T76)-T61-T68-T69</f>
        <v>0</v>
      </c>
      <c r="U43" s="275" t="n">
        <f aca="false">SUM(U47:U76)-U61-U68-U69</f>
        <v>0</v>
      </c>
      <c r="V43" s="275" t="n">
        <f aca="false">SUM(V47:V76)-V61-V68-V69</f>
        <v>0</v>
      </c>
      <c r="W43" s="275" t="n">
        <f aca="false">SUM(W47:W76)-Y61-W68-W69</f>
        <v>0</v>
      </c>
      <c r="X43" s="275" t="n">
        <f aca="false">SUM(X47:X76)-X61-X68-X69</f>
        <v>0</v>
      </c>
      <c r="Y43" s="275" t="n">
        <f aca="false">SUM(Y47:Y76)-Y61-Y68-Y69</f>
        <v>0</v>
      </c>
      <c r="Z43" s="275" t="n">
        <f aca="false">SUM(Z47:Z76)-Z61-Z68-Z69</f>
        <v>0</v>
      </c>
      <c r="AA43" s="275" t="n">
        <f aca="false">SUM(AA47:AA76)-AA61-AA68-AA69</f>
        <v>0</v>
      </c>
      <c r="AB43" s="275" t="n">
        <f aca="false">SUM(AB47:AB76)-AB61-AB68-AB69</f>
        <v>0</v>
      </c>
      <c r="AC43" s="275" t="n">
        <f aca="false">SUM(AC47:AC76)-AC61-AC68-AC69</f>
        <v>0</v>
      </c>
      <c r="AD43" s="275" t="n">
        <f aca="false">SUM(AD47:AD76)-AD61-AD68-AD69</f>
        <v>0</v>
      </c>
      <c r="AE43" s="275" t="n">
        <f aca="false">SUM(AE47:AE76)-AE61-AE68-AE69</f>
        <v>0</v>
      </c>
      <c r="AF43" s="275" t="n">
        <f aca="false">SUM(AF47:AF76)-AF61-AF68-AF69</f>
        <v>0</v>
      </c>
      <c r="AG43" s="275" t="n">
        <f aca="false">SUM(AG47:AG76)-AG61-AG68-AG69</f>
        <v>0</v>
      </c>
      <c r="AH43" s="59"/>
      <c r="AI43" s="276" t="s">
        <v>211</v>
      </c>
      <c r="AJ43" s="277" t="s">
        <v>212</v>
      </c>
      <c r="AK43" s="59"/>
      <c r="AL43" s="77"/>
      <c r="AN43" s="59"/>
      <c r="AO43" s="59"/>
      <c r="AP43" s="59"/>
      <c r="AQ43" s="59"/>
      <c r="AR43" s="59"/>
      <c r="AS43" s="59"/>
    </row>
    <row r="44" customFormat="false" ht="12.75" hidden="false" customHeight="true" outlineLevel="0" collapsed="false">
      <c r="A44" s="278" t="s">
        <v>213</v>
      </c>
      <c r="B44" s="279" t="n">
        <f aca="false">B4</f>
        <v>36831</v>
      </c>
      <c r="C44" s="280" t="n">
        <f aca="false">B44</f>
        <v>36831</v>
      </c>
      <c r="D44" s="280" t="n">
        <f aca="false">C44+1</f>
        <v>36832</v>
      </c>
      <c r="E44" s="280" t="n">
        <f aca="false">D44+1</f>
        <v>36833</v>
      </c>
      <c r="F44" s="280" t="n">
        <f aca="false">E44+1</f>
        <v>36834</v>
      </c>
      <c r="G44" s="280" t="n">
        <f aca="false">F44+1</f>
        <v>36835</v>
      </c>
      <c r="H44" s="280" t="n">
        <f aca="false">G44+1</f>
        <v>36836</v>
      </c>
      <c r="I44" s="280" t="n">
        <f aca="false">H44+1</f>
        <v>36837</v>
      </c>
      <c r="J44" s="280" t="n">
        <f aca="false">I44+1</f>
        <v>36838</v>
      </c>
      <c r="K44" s="280" t="n">
        <f aca="false">J44+1</f>
        <v>36839</v>
      </c>
      <c r="L44" s="280" t="n">
        <f aca="false">K44+1</f>
        <v>36840</v>
      </c>
      <c r="M44" s="280" t="n">
        <f aca="false">L44+1</f>
        <v>36841</v>
      </c>
      <c r="N44" s="280" t="n">
        <f aca="false">M44+1</f>
        <v>36842</v>
      </c>
      <c r="O44" s="280" t="n">
        <f aca="false">N44+1</f>
        <v>36843</v>
      </c>
      <c r="P44" s="280" t="n">
        <f aca="false">O44+1</f>
        <v>36844</v>
      </c>
      <c r="Q44" s="280" t="n">
        <f aca="false">P44+1</f>
        <v>36845</v>
      </c>
      <c r="R44" s="280" t="n">
        <f aca="false">Q44+1</f>
        <v>36846</v>
      </c>
      <c r="S44" s="280" t="n">
        <f aca="false">R44+1</f>
        <v>36847</v>
      </c>
      <c r="T44" s="280" t="n">
        <f aca="false">S44+1</f>
        <v>36848</v>
      </c>
      <c r="U44" s="280" t="n">
        <f aca="false">T44+1</f>
        <v>36849</v>
      </c>
      <c r="V44" s="280" t="n">
        <f aca="false">U44+1</f>
        <v>36850</v>
      </c>
      <c r="W44" s="280" t="n">
        <f aca="false">V44+1</f>
        <v>36851</v>
      </c>
      <c r="X44" s="280" t="n">
        <f aca="false">W44+1</f>
        <v>36852</v>
      </c>
      <c r="Y44" s="280" t="n">
        <f aca="false">X44+1</f>
        <v>36853</v>
      </c>
      <c r="Z44" s="280" t="n">
        <f aca="false">Y44+1</f>
        <v>36854</v>
      </c>
      <c r="AA44" s="280" t="n">
        <f aca="false">Z44+1</f>
        <v>36855</v>
      </c>
      <c r="AB44" s="280" t="n">
        <f aca="false">AA44+1</f>
        <v>36856</v>
      </c>
      <c r="AC44" s="280" t="n">
        <f aca="false">AB44+1</f>
        <v>36857</v>
      </c>
      <c r="AD44" s="280" t="n">
        <f aca="false">AC44+1</f>
        <v>36858</v>
      </c>
      <c r="AE44" s="280" t="n">
        <f aca="false">AD44+1</f>
        <v>36859</v>
      </c>
      <c r="AF44" s="280" t="n">
        <f aca="false">AE44+1</f>
        <v>36860</v>
      </c>
      <c r="AG44" s="280" t="n">
        <f aca="false">AF44+1</f>
        <v>36861</v>
      </c>
      <c r="AH44" s="281"/>
      <c r="AI44" s="282" t="n">
        <v>1</v>
      </c>
      <c r="AJ44" s="283" t="s">
        <v>214</v>
      </c>
      <c r="AK44" s="281"/>
      <c r="AL44" s="284"/>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c r="IS44" s="281"/>
      <c r="IT44" s="281"/>
      <c r="IU44" s="281"/>
      <c r="IV44" s="281"/>
      <c r="IW44" s="281"/>
    </row>
    <row r="45" customFormat="false" ht="12.75" hidden="false" customHeight="true" outlineLevel="0" collapsed="false">
      <c r="A45" s="285"/>
      <c r="B45" s="285"/>
      <c r="C45" s="286" t="str">
        <f aca="false">LOOKUP((WEEKDAY(C44,1)),$AI$44:$AI$50,$AJ$44:$AJ$50)</f>
        <v>W</v>
      </c>
      <c r="D45" s="286" t="str">
        <f aca="false">LOOKUP((WEEKDAY(D44,1)),$AI$44:$AI$50,$AJ$44:$AJ$50)</f>
        <v>R</v>
      </c>
      <c r="E45" s="286" t="str">
        <f aca="false">LOOKUP((WEEKDAY(E44,1)),$AI$44:$AI$50,$AJ$44:$AJ$50)</f>
        <v>F</v>
      </c>
      <c r="F45" s="286" t="str">
        <f aca="false">LOOKUP((WEEKDAY(F44,1)),$AI$44:$AI$50,$AJ$44:$AJ$50)</f>
        <v>S</v>
      </c>
      <c r="G45" s="286" t="str">
        <f aca="false">LOOKUP((WEEKDAY(G44,1)),$AI$44:$AI$50,$AJ$44:$AJ$50)</f>
        <v>S</v>
      </c>
      <c r="H45" s="286" t="str">
        <f aca="false">LOOKUP((WEEKDAY(H44,1)),$AI$44:$AI$50,$AJ$44:$AJ$50)</f>
        <v>M</v>
      </c>
      <c r="I45" s="286" t="str">
        <f aca="false">LOOKUP((WEEKDAY(I44,1)),$AI$44:$AI$50,$AJ$44:$AJ$50)</f>
        <v>T</v>
      </c>
      <c r="J45" s="286" t="str">
        <f aca="false">LOOKUP((WEEKDAY(J44,1)),$AI$44:$AI$50,$AJ$44:$AJ$50)</f>
        <v>W</v>
      </c>
      <c r="K45" s="286" t="str">
        <f aca="false">LOOKUP((WEEKDAY(K44,1)),$AI$44:$AI$50,$AJ$44:$AJ$50)</f>
        <v>R</v>
      </c>
      <c r="L45" s="286" t="str">
        <f aca="false">LOOKUP((WEEKDAY(L44,1)),$AI$44:$AI$50,$AJ$44:$AJ$50)</f>
        <v>F</v>
      </c>
      <c r="M45" s="286" t="str">
        <f aca="false">LOOKUP((WEEKDAY(M44,1)),$AI$44:$AI$50,$AJ$44:$AJ$50)</f>
        <v>S</v>
      </c>
      <c r="N45" s="286" t="str">
        <f aca="false">LOOKUP((WEEKDAY(N44,1)),$AI$44:$AI$50,$AJ$44:$AJ$50)</f>
        <v>S</v>
      </c>
      <c r="O45" s="286" t="str">
        <f aca="false">LOOKUP((WEEKDAY(O44,1)),$AI$44:$AI$50,$AJ$44:$AJ$50)</f>
        <v>M</v>
      </c>
      <c r="P45" s="286" t="str">
        <f aca="false">LOOKUP((WEEKDAY(P44,1)),$AI$44:$AI$50,$AJ$44:$AJ$50)</f>
        <v>T</v>
      </c>
      <c r="Q45" s="286" t="str">
        <f aca="false">LOOKUP((WEEKDAY(Q44,1)),$AI$44:$AI$50,$AJ$44:$AJ$50)</f>
        <v>W</v>
      </c>
      <c r="R45" s="286" t="str">
        <f aca="false">LOOKUP((WEEKDAY(R44,1)),$AI$44:$AI$50,$AJ$44:$AJ$50)</f>
        <v>R</v>
      </c>
      <c r="S45" s="286" t="str">
        <f aca="false">LOOKUP((WEEKDAY(S44,1)),$AI$44:$AI$50,$AJ$44:$AJ$50)</f>
        <v>F</v>
      </c>
      <c r="T45" s="286" t="str">
        <f aca="false">LOOKUP((WEEKDAY(T44,1)),$AI$44:$AI$50,$AJ$44:$AJ$50)</f>
        <v>S</v>
      </c>
      <c r="U45" s="286" t="str">
        <f aca="false">LOOKUP((WEEKDAY(U44,1)),$AI$44:$AI$50,$AJ$44:$AJ$50)</f>
        <v>S</v>
      </c>
      <c r="V45" s="286" t="str">
        <f aca="false">LOOKUP((WEEKDAY(V44,1)),$AI$44:$AI$50,$AJ$44:$AJ$50)</f>
        <v>M</v>
      </c>
      <c r="W45" s="286" t="str">
        <f aca="false">LOOKUP((WEEKDAY(W44,1)),$AI$44:$AI$50,$AJ$44:$AJ$50)</f>
        <v>T</v>
      </c>
      <c r="X45" s="286" t="str">
        <f aca="false">LOOKUP((WEEKDAY(X44,1)),$AI$44:$AI$50,$AJ$44:$AJ$50)</f>
        <v>W</v>
      </c>
      <c r="Y45" s="286" t="str">
        <f aca="false">LOOKUP((WEEKDAY(Y44,1)),$AI$44:$AI$50,$AJ$44:$AJ$50)</f>
        <v>R</v>
      </c>
      <c r="Z45" s="286" t="str">
        <f aca="false">LOOKUP((WEEKDAY(Z44,1)),$AI$44:$AI$50,$AJ$44:$AJ$50)</f>
        <v>F</v>
      </c>
      <c r="AA45" s="286" t="str">
        <f aca="false">LOOKUP((WEEKDAY(AA44,1)),$AI$44:$AI$50,$AJ$44:$AJ$50)</f>
        <v>S</v>
      </c>
      <c r="AB45" s="286" t="str">
        <f aca="false">LOOKUP((WEEKDAY(AB44,1)),$AI$44:$AI$50,$AJ$44:$AJ$50)</f>
        <v>S</v>
      </c>
      <c r="AC45" s="286" t="str">
        <f aca="false">LOOKUP((WEEKDAY(AC44,1)),$AI$44:$AI$50,$AJ$44:$AJ$50)</f>
        <v>M</v>
      </c>
      <c r="AD45" s="286" t="str">
        <f aca="false">LOOKUP((WEEKDAY(AD44,1)),$AI$44:$AI$50,$AJ$44:$AJ$50)</f>
        <v>T</v>
      </c>
      <c r="AE45" s="286" t="str">
        <f aca="false">LOOKUP((WEEKDAY(AE44,1)),$AI$44:$AI$50,$AJ$44:$AJ$50)</f>
        <v>W</v>
      </c>
      <c r="AF45" s="286" t="str">
        <f aca="false">LOOKUP((WEEKDAY(AF44,1)),$AI$44:$AI$50,$AJ$44:$AJ$50)</f>
        <v>R</v>
      </c>
      <c r="AG45" s="286" t="str">
        <f aca="false">LOOKUP((WEEKDAY(AG44,1)),$AI$44:$AI$50,$AJ$44:$AJ$50)</f>
        <v>F</v>
      </c>
      <c r="AH45" s="59"/>
      <c r="AI45" s="287" t="n">
        <v>2</v>
      </c>
      <c r="AJ45" s="288" t="s">
        <v>215</v>
      </c>
      <c r="AK45" s="59"/>
      <c r="AL45" s="153"/>
      <c r="AN45" s="59"/>
      <c r="AO45" s="59"/>
      <c r="AP45" s="59"/>
      <c r="AQ45" s="59"/>
      <c r="AR45" s="59"/>
      <c r="AS45" s="59"/>
    </row>
    <row r="46" customFormat="false" ht="12.75" hidden="false" customHeight="true" outlineLevel="0" collapsed="false">
      <c r="A46" s="289"/>
      <c r="B46" s="290" t="s">
        <v>216</v>
      </c>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1"/>
      <c r="AH46" s="59"/>
      <c r="AI46" s="287" t="n">
        <v>3</v>
      </c>
      <c r="AJ46" s="288" t="s">
        <v>217</v>
      </c>
      <c r="AK46" s="59"/>
      <c r="AL46" s="153"/>
      <c r="AN46" s="59"/>
      <c r="AO46" s="59"/>
      <c r="AP46" s="59"/>
      <c r="AQ46" s="59"/>
      <c r="AR46" s="59"/>
      <c r="AS46" s="59"/>
    </row>
    <row r="47" customFormat="false" ht="12.75" hidden="false" customHeight="true" outlineLevel="0" collapsed="false">
      <c r="A47" s="231" t="s">
        <v>218</v>
      </c>
      <c r="B47" s="294" t="n">
        <f aca="false">SUM(C47:AG47)</f>
        <v>-1608325</v>
      </c>
      <c r="C47" s="226" t="n">
        <v>-94884</v>
      </c>
      <c r="D47" s="226" t="n">
        <f aca="false">592079-632425</f>
        <v>-40346</v>
      </c>
      <c r="E47" s="226" t="n">
        <v>-282342</v>
      </c>
      <c r="F47" s="226"/>
      <c r="G47" s="226"/>
      <c r="H47" s="226" t="n">
        <v>-7124</v>
      </c>
      <c r="I47" s="226" t="n">
        <v>868634</v>
      </c>
      <c r="J47" s="226" t="n">
        <v>-1657410</v>
      </c>
      <c r="K47" s="226" t="n">
        <v>-160466</v>
      </c>
      <c r="L47" s="226" t="n">
        <v>-108631</v>
      </c>
      <c r="M47" s="226"/>
      <c r="N47" s="226"/>
      <c r="O47" s="226" t="n">
        <v>1351214</v>
      </c>
      <c r="P47" s="226" t="n">
        <f aca="false">1524698-23</f>
        <v>1524675</v>
      </c>
      <c r="Q47" s="226" t="n">
        <f aca="false">960346+26873</f>
        <v>987219</v>
      </c>
      <c r="R47" s="226" t="n">
        <v>-4046578</v>
      </c>
      <c r="S47" s="226" t="n">
        <v>57714</v>
      </c>
      <c r="T47" s="226"/>
      <c r="U47" s="226"/>
      <c r="V47" s="226"/>
      <c r="X47" s="226"/>
      <c r="Y47" s="226"/>
      <c r="Z47" s="226"/>
      <c r="AA47" s="226"/>
      <c r="AB47" s="226"/>
      <c r="AC47" s="226"/>
      <c r="AD47" s="226"/>
      <c r="AE47" s="226"/>
      <c r="AF47" s="226"/>
      <c r="AG47" s="226"/>
      <c r="AH47" s="59"/>
      <c r="AI47" s="287" t="n">
        <v>4</v>
      </c>
      <c r="AJ47" s="288" t="s">
        <v>219</v>
      </c>
      <c r="AK47" s="59"/>
      <c r="AL47" s="61"/>
      <c r="AM47" s="60"/>
      <c r="AN47" s="98"/>
      <c r="AO47" s="59"/>
      <c r="AP47" s="59"/>
      <c r="AQ47" s="59"/>
      <c r="AR47" s="59"/>
      <c r="AS47" s="59"/>
    </row>
    <row r="48" customFormat="false" ht="12.75" hidden="false" customHeight="true" outlineLevel="0" collapsed="false">
      <c r="A48" s="295" t="s">
        <v>220</v>
      </c>
      <c r="B48" s="294" t="n">
        <f aca="false">SUM(C48:AG48)</f>
        <v>-249238</v>
      </c>
      <c r="C48" s="226" t="n">
        <v>-156453</v>
      </c>
      <c r="D48" s="226" t="n">
        <v>124887</v>
      </c>
      <c r="E48" s="226" t="n">
        <v>4987</v>
      </c>
      <c r="F48" s="226"/>
      <c r="G48" s="226"/>
      <c r="H48" s="226" t="n">
        <v>227345</v>
      </c>
      <c r="I48" s="226" t="n">
        <v>33901</v>
      </c>
      <c r="J48" s="226" t="n">
        <v>-36384</v>
      </c>
      <c r="K48" s="226" t="n">
        <v>86023</v>
      </c>
      <c r="L48" s="226" t="n">
        <v>59406</v>
      </c>
      <c r="M48" s="226"/>
      <c r="N48" s="226"/>
      <c r="O48" s="226" t="n">
        <v>-37523</v>
      </c>
      <c r="P48" s="226" t="n">
        <f aca="false">-342241+142508</f>
        <v>-199733</v>
      </c>
      <c r="Q48" s="226" t="n">
        <v>-136337</v>
      </c>
      <c r="R48" s="226" t="n">
        <v>-28292</v>
      </c>
      <c r="S48" s="226" t="n">
        <v>-191065</v>
      </c>
      <c r="T48" s="226"/>
      <c r="U48" s="226"/>
      <c r="V48" s="226"/>
      <c r="X48" s="226"/>
      <c r="Y48" s="226"/>
      <c r="Z48" s="226"/>
      <c r="AA48" s="226"/>
      <c r="AB48" s="226"/>
      <c r="AC48" s="226"/>
      <c r="AD48" s="226"/>
      <c r="AE48" s="226"/>
      <c r="AF48" s="226"/>
      <c r="AG48" s="226"/>
      <c r="AH48" s="59"/>
      <c r="AI48" s="287" t="n">
        <v>5</v>
      </c>
      <c r="AJ48" s="288" t="s">
        <v>221</v>
      </c>
      <c r="AK48" s="59"/>
      <c r="AL48" s="61"/>
      <c r="AM48" s="226"/>
      <c r="AN48" s="296"/>
      <c r="AO48" s="61"/>
      <c r="AP48" s="61"/>
      <c r="AQ48" s="61"/>
      <c r="AR48" s="61"/>
      <c r="AS48" s="61"/>
      <c r="AT48" s="199"/>
      <c r="AU48" s="199"/>
    </row>
    <row r="49" customFormat="false" ht="12.75" hidden="true" customHeight="true" outlineLevel="0" collapsed="false">
      <c r="A49" s="295" t="s">
        <v>222</v>
      </c>
      <c r="B49" s="294" t="n">
        <f aca="false">SUM(C49:AG49)</f>
        <v>0</v>
      </c>
      <c r="C49" s="226"/>
      <c r="D49" s="226"/>
      <c r="E49" s="226"/>
      <c r="F49" s="226"/>
      <c r="G49" s="226"/>
      <c r="H49" s="226"/>
      <c r="I49" s="226"/>
      <c r="J49" s="226"/>
      <c r="K49" s="226"/>
      <c r="L49" s="226"/>
      <c r="M49" s="226"/>
      <c r="N49" s="226"/>
      <c r="O49" s="226"/>
      <c r="P49" s="226"/>
      <c r="Q49" s="226"/>
      <c r="R49" s="226"/>
      <c r="S49" s="226"/>
      <c r="T49" s="226"/>
      <c r="U49" s="226"/>
      <c r="V49" s="226"/>
      <c r="X49" s="226"/>
      <c r="Y49" s="226"/>
      <c r="Z49" s="226"/>
      <c r="AA49" s="226"/>
      <c r="AB49" s="226"/>
      <c r="AC49" s="226"/>
      <c r="AD49" s="226"/>
      <c r="AE49" s="226"/>
      <c r="AF49" s="226"/>
      <c r="AG49" s="226"/>
      <c r="AH49" s="59"/>
      <c r="AI49" s="287" t="n">
        <v>6</v>
      </c>
      <c r="AJ49" s="288" t="s">
        <v>223</v>
      </c>
      <c r="AK49" s="59"/>
      <c r="AL49" s="61"/>
      <c r="AM49" s="226"/>
      <c r="AN49" s="296"/>
      <c r="AO49" s="61"/>
      <c r="AP49" s="61"/>
      <c r="AQ49" s="61"/>
      <c r="AR49" s="61"/>
      <c r="AS49" s="61"/>
      <c r="AT49" s="199"/>
      <c r="AU49" s="199"/>
    </row>
    <row r="50" customFormat="false" ht="12.75" hidden="true" customHeight="true" outlineLevel="0" collapsed="false">
      <c r="A50" s="295" t="s">
        <v>224</v>
      </c>
      <c r="B50" s="294" t="n">
        <f aca="false">SUM(C50:AG50)</f>
        <v>0</v>
      </c>
      <c r="C50" s="226"/>
      <c r="D50" s="226"/>
      <c r="E50" s="226"/>
      <c r="F50" s="226"/>
      <c r="G50" s="226"/>
      <c r="H50" s="226"/>
      <c r="I50" s="226"/>
      <c r="J50" s="226"/>
      <c r="K50" s="226"/>
      <c r="L50" s="226"/>
      <c r="M50" s="226"/>
      <c r="N50" s="226"/>
      <c r="O50" s="226"/>
      <c r="P50" s="226"/>
      <c r="Q50" s="226"/>
      <c r="R50" s="226"/>
      <c r="S50" s="226"/>
      <c r="T50" s="226"/>
      <c r="U50" s="226"/>
      <c r="V50" s="226"/>
      <c r="X50" s="226"/>
      <c r="Y50" s="226"/>
      <c r="Z50" s="226"/>
      <c r="AA50" s="226"/>
      <c r="AB50" s="226"/>
      <c r="AC50" s="226"/>
      <c r="AD50" s="226"/>
      <c r="AE50" s="226"/>
      <c r="AF50" s="226"/>
      <c r="AG50" s="226"/>
      <c r="AH50" s="59"/>
      <c r="AI50" s="297" t="n">
        <v>7</v>
      </c>
      <c r="AJ50" s="298" t="s">
        <v>214</v>
      </c>
      <c r="AK50" s="59"/>
      <c r="AL50" s="60"/>
      <c r="AM50" s="60"/>
      <c r="AN50" s="296"/>
      <c r="AO50" s="61"/>
      <c r="AP50" s="61"/>
      <c r="AQ50" s="61"/>
      <c r="AR50" s="61"/>
      <c r="AS50" s="61"/>
      <c r="AT50" s="199"/>
      <c r="AU50" s="199"/>
    </row>
    <row r="51" customFormat="false" ht="12.75" hidden="false" customHeight="true" outlineLevel="0" collapsed="false">
      <c r="A51" s="295" t="s">
        <v>225</v>
      </c>
      <c r="B51" s="294" t="n">
        <f aca="false">SUM(C51:AG51)</f>
        <v>15908431</v>
      </c>
      <c r="C51" s="226" t="n">
        <v>5603463</v>
      </c>
      <c r="D51" s="226" t="n">
        <v>-871609</v>
      </c>
      <c r="E51" s="226" t="n">
        <v>412984</v>
      </c>
      <c r="F51" s="226"/>
      <c r="G51" s="226"/>
      <c r="H51" s="226" t="n">
        <v>-759430</v>
      </c>
      <c r="I51" s="226" t="n">
        <v>1245990</v>
      </c>
      <c r="J51" s="226" t="n">
        <v>2655709</v>
      </c>
      <c r="K51" s="226" t="n">
        <v>2920177</v>
      </c>
      <c r="L51" s="226" t="n">
        <v>-2540439</v>
      </c>
      <c r="M51" s="226"/>
      <c r="N51" s="226"/>
      <c r="O51" s="226" t="n">
        <v>738543</v>
      </c>
      <c r="P51" s="226" t="n">
        <v>623486</v>
      </c>
      <c r="Q51" s="226" t="n">
        <v>3504860</v>
      </c>
      <c r="R51" s="226" t="n">
        <v>440906</v>
      </c>
      <c r="S51" s="226" t="n">
        <v>1933791</v>
      </c>
      <c r="T51" s="226"/>
      <c r="U51" s="226"/>
      <c r="V51" s="226"/>
      <c r="X51" s="226"/>
      <c r="Y51" s="226"/>
      <c r="Z51" s="226"/>
      <c r="AA51" s="226"/>
      <c r="AB51" s="226"/>
      <c r="AC51" s="226"/>
      <c r="AD51" s="226"/>
      <c r="AE51" s="226"/>
      <c r="AF51" s="226"/>
      <c r="AG51" s="226"/>
      <c r="AH51" s="59"/>
      <c r="AI51" s="199"/>
      <c r="AJ51" s="59"/>
      <c r="AK51" s="59"/>
      <c r="AL51" s="60"/>
      <c r="AM51" s="60"/>
      <c r="AN51" s="98"/>
      <c r="AO51" s="59"/>
      <c r="AP51" s="59"/>
      <c r="AQ51" s="59"/>
      <c r="AR51" s="59"/>
      <c r="AS51" s="59"/>
    </row>
    <row r="52" customFormat="false" ht="12.75" hidden="true" customHeight="true" outlineLevel="0" collapsed="false">
      <c r="A52" s="295" t="s">
        <v>226</v>
      </c>
      <c r="B52" s="294" t="n">
        <f aca="false">SUM(C52:AG52)</f>
        <v>0</v>
      </c>
      <c r="C52" s="226"/>
      <c r="D52" s="226"/>
      <c r="E52" s="226"/>
      <c r="F52" s="226"/>
      <c r="G52" s="226"/>
      <c r="H52" s="226"/>
      <c r="I52" s="226"/>
      <c r="J52" s="226"/>
      <c r="K52" s="226"/>
      <c r="L52" s="226"/>
      <c r="M52" s="226"/>
      <c r="N52" s="226"/>
      <c r="O52" s="226"/>
      <c r="P52" s="226"/>
      <c r="Q52" s="226"/>
      <c r="R52" s="226"/>
      <c r="S52" s="226"/>
      <c r="T52" s="226"/>
      <c r="U52" s="226"/>
      <c r="V52" s="226"/>
      <c r="X52" s="226"/>
      <c r="Y52" s="226"/>
      <c r="Z52" s="226"/>
      <c r="AA52" s="226"/>
      <c r="AB52" s="226"/>
      <c r="AC52" s="226"/>
      <c r="AD52" s="226"/>
      <c r="AE52" s="226"/>
      <c r="AF52" s="226"/>
      <c r="AG52" s="226"/>
      <c r="AH52" s="59"/>
      <c r="AI52" s="199"/>
      <c r="AJ52" s="59"/>
      <c r="AK52" s="59"/>
      <c r="AL52" s="60"/>
      <c r="AM52" s="60"/>
      <c r="AN52" s="98"/>
      <c r="AO52" s="59"/>
      <c r="AP52" s="59"/>
      <c r="AQ52" s="59"/>
      <c r="AR52" s="59"/>
      <c r="AS52" s="59"/>
    </row>
    <row r="53" customFormat="false" ht="12.75" hidden="false" customHeight="true" outlineLevel="0" collapsed="false">
      <c r="A53" s="231" t="s">
        <v>227</v>
      </c>
      <c r="B53" s="294" t="n">
        <f aca="false">SUM(C53:AG53)</f>
        <v>1550840</v>
      </c>
      <c r="C53" s="226" t="n">
        <f aca="false">542372-12297</f>
        <v>530075</v>
      </c>
      <c r="D53" s="226" t="n">
        <f aca="false">-13595-24907</f>
        <v>-38502</v>
      </c>
      <c r="E53" s="226" t="n">
        <v>-399750</v>
      </c>
      <c r="F53" s="226"/>
      <c r="G53" s="226"/>
      <c r="H53" s="226" t="n">
        <f aca="false">174000-4191</f>
        <v>169809</v>
      </c>
      <c r="I53" s="226" t="n">
        <v>-393038</v>
      </c>
      <c r="J53" s="226" t="n">
        <v>1706564</v>
      </c>
      <c r="K53" s="226" t="n">
        <f aca="false">-1071525+154178</f>
        <v>-917347</v>
      </c>
      <c r="L53" s="226" t="n">
        <f aca="false">161502+11508</f>
        <v>173010</v>
      </c>
      <c r="M53" s="226"/>
      <c r="N53" s="226"/>
      <c r="O53" s="226" t="n">
        <v>136887</v>
      </c>
      <c r="P53" s="226" t="n">
        <f aca="false">-1207004-7252</f>
        <v>-1214256</v>
      </c>
      <c r="Q53" s="226" t="n">
        <f aca="false">-65823+184030</f>
        <v>118207</v>
      </c>
      <c r="R53" s="226" t="n">
        <v>389989</v>
      </c>
      <c r="S53" s="226" t="n">
        <v>1289192</v>
      </c>
      <c r="T53" s="226"/>
      <c r="U53" s="226"/>
      <c r="V53" s="226"/>
      <c r="X53" s="226"/>
      <c r="Y53" s="226"/>
      <c r="Z53" s="226"/>
      <c r="AA53" s="226"/>
      <c r="AB53" s="226"/>
      <c r="AC53" s="226"/>
      <c r="AD53" s="226"/>
      <c r="AE53" s="226"/>
      <c r="AF53" s="226"/>
      <c r="AG53" s="226"/>
      <c r="AH53" s="59"/>
      <c r="AJ53" s="59"/>
      <c r="AK53" s="59"/>
      <c r="AL53" s="61"/>
      <c r="AM53" s="60"/>
      <c r="AN53" s="98"/>
      <c r="AO53" s="59"/>
      <c r="AP53" s="59"/>
      <c r="AQ53" s="59"/>
      <c r="AR53" s="59"/>
      <c r="AS53" s="59"/>
    </row>
    <row r="54" customFormat="false" ht="12.75" hidden="false" customHeight="true" outlineLevel="0" collapsed="false">
      <c r="A54" s="231" t="s">
        <v>228</v>
      </c>
      <c r="B54" s="294" t="n">
        <f aca="false">SUM(C54:AG54)</f>
        <v>-16113491</v>
      </c>
      <c r="C54" s="226" t="n">
        <v>-5476887</v>
      </c>
      <c r="D54" s="226" t="n">
        <v>818000</v>
      </c>
      <c r="E54" s="226" t="n">
        <v>-412715</v>
      </c>
      <c r="F54" s="226"/>
      <c r="G54" s="226"/>
      <c r="H54" s="226" t="n">
        <v>737022</v>
      </c>
      <c r="I54" s="226" t="n">
        <v>-1242611</v>
      </c>
      <c r="J54" s="226" t="n">
        <v>-2688061</v>
      </c>
      <c r="K54" s="226" t="n">
        <v>-3155387</v>
      </c>
      <c r="L54" s="226" t="n">
        <v>2522513</v>
      </c>
      <c r="M54" s="226"/>
      <c r="N54" s="226"/>
      <c r="O54" s="226" t="n">
        <v>-740395</v>
      </c>
      <c r="P54" s="226" t="n">
        <v>-588695</v>
      </c>
      <c r="Q54" s="226" t="n">
        <v>-3479023</v>
      </c>
      <c r="R54" s="226" t="n">
        <v>-452215</v>
      </c>
      <c r="S54" s="226" t="n">
        <v>-1955037</v>
      </c>
      <c r="T54" s="226"/>
      <c r="U54" s="226"/>
      <c r="V54" s="226"/>
      <c r="X54" s="226"/>
      <c r="Y54" s="226"/>
      <c r="Z54" s="226"/>
      <c r="AA54" s="226"/>
      <c r="AB54" s="226"/>
      <c r="AC54" s="226"/>
      <c r="AD54" s="226"/>
      <c r="AE54" s="226"/>
      <c r="AF54" s="226"/>
      <c r="AG54" s="226"/>
      <c r="AH54" s="59"/>
      <c r="AJ54" s="59"/>
      <c r="AK54" s="59"/>
      <c r="AL54" s="61"/>
      <c r="AM54" s="60"/>
      <c r="AN54" s="98"/>
      <c r="AO54" s="59"/>
      <c r="AP54" s="59"/>
      <c r="AQ54" s="59"/>
      <c r="AR54" s="59"/>
      <c r="AS54" s="59"/>
    </row>
    <row r="55" customFormat="false" ht="12.75" hidden="false" customHeight="true" outlineLevel="0" collapsed="false">
      <c r="A55" s="231" t="s">
        <v>229</v>
      </c>
      <c r="B55" s="294" t="n">
        <f aca="false">SUM(C55:AG55)</f>
        <v>0</v>
      </c>
      <c r="C55" s="226"/>
      <c r="D55" s="226"/>
      <c r="E55" s="226"/>
      <c r="F55" s="226"/>
      <c r="G55" s="226"/>
      <c r="H55" s="226"/>
      <c r="I55" s="226"/>
      <c r="J55" s="226"/>
      <c r="K55" s="226"/>
      <c r="L55" s="226"/>
      <c r="M55" s="226"/>
      <c r="N55" s="226"/>
      <c r="O55" s="226"/>
      <c r="P55" s="226"/>
      <c r="Q55" s="226"/>
      <c r="R55" s="226"/>
      <c r="S55" s="226"/>
      <c r="T55" s="226"/>
      <c r="U55" s="226"/>
      <c r="V55" s="226"/>
      <c r="X55" s="226"/>
      <c r="Y55" s="226"/>
      <c r="Z55" s="226"/>
      <c r="AA55" s="226"/>
      <c r="AB55" s="226"/>
      <c r="AC55" s="226"/>
      <c r="AD55" s="226"/>
      <c r="AE55" s="226"/>
      <c r="AF55" s="226"/>
      <c r="AG55" s="226"/>
      <c r="AH55" s="59"/>
      <c r="AJ55" s="59"/>
      <c r="AK55" s="59"/>
      <c r="AL55" s="61"/>
      <c r="AM55" s="60"/>
      <c r="AN55" s="98"/>
      <c r="AO55" s="59"/>
      <c r="AP55" s="59"/>
      <c r="AQ55" s="59"/>
      <c r="AR55" s="59"/>
      <c r="AS55" s="59"/>
    </row>
    <row r="56" customFormat="false" ht="12.75" hidden="false" customHeight="true" outlineLevel="0" collapsed="false">
      <c r="A56" s="231" t="s">
        <v>230</v>
      </c>
      <c r="B56" s="294" t="n">
        <f aca="false">SUM(C56:AG56)</f>
        <v>0</v>
      </c>
      <c r="C56" s="226"/>
      <c r="D56" s="226"/>
      <c r="E56" s="226"/>
      <c r="F56" s="226"/>
      <c r="G56" s="226"/>
      <c r="H56" s="226"/>
      <c r="I56" s="226"/>
      <c r="J56" s="226"/>
      <c r="K56" s="226"/>
      <c r="L56" s="226"/>
      <c r="M56" s="226"/>
      <c r="N56" s="226"/>
      <c r="O56" s="226"/>
      <c r="P56" s="226"/>
      <c r="Q56" s="226"/>
      <c r="R56" s="226"/>
      <c r="S56" s="226"/>
      <c r="T56" s="226"/>
      <c r="U56" s="226"/>
      <c r="V56" s="226"/>
      <c r="X56" s="226"/>
      <c r="Y56" s="226"/>
      <c r="Z56" s="226"/>
      <c r="AA56" s="226"/>
      <c r="AB56" s="226"/>
      <c r="AC56" s="226"/>
      <c r="AD56" s="226"/>
      <c r="AE56" s="226"/>
      <c r="AF56" s="226"/>
      <c r="AG56" s="226"/>
      <c r="AH56" s="59"/>
      <c r="AI56" s="199"/>
      <c r="AJ56" s="59"/>
      <c r="AK56" s="59"/>
      <c r="AL56" s="61"/>
      <c r="AM56" s="60"/>
      <c r="AN56" s="98"/>
      <c r="AO56" s="59"/>
      <c r="AP56" s="59"/>
      <c r="AQ56" s="59"/>
      <c r="AR56" s="59"/>
      <c r="AS56" s="59"/>
    </row>
    <row r="57" customFormat="false" ht="12.75" hidden="false" customHeight="true" outlineLevel="0" collapsed="false">
      <c r="A57" s="295" t="s">
        <v>231</v>
      </c>
      <c r="B57" s="294" t="n">
        <f aca="false">SUM(C57:AG57)</f>
        <v>0</v>
      </c>
      <c r="C57" s="226"/>
      <c r="D57" s="226"/>
      <c r="E57" s="226"/>
      <c r="F57" s="226"/>
      <c r="G57" s="226"/>
      <c r="H57" s="226"/>
      <c r="I57" s="226"/>
      <c r="J57" s="226"/>
      <c r="K57" s="226"/>
      <c r="L57" s="226"/>
      <c r="M57" s="226"/>
      <c r="N57" s="226"/>
      <c r="O57" s="226"/>
      <c r="P57" s="226"/>
      <c r="Q57" s="226"/>
      <c r="R57" s="226"/>
      <c r="S57" s="226"/>
      <c r="T57" s="226"/>
      <c r="U57" s="226"/>
      <c r="V57" s="226"/>
      <c r="X57" s="226"/>
      <c r="Y57" s="226"/>
      <c r="Z57" s="226"/>
      <c r="AA57" s="226"/>
      <c r="AB57" s="226"/>
      <c r="AC57" s="226"/>
      <c r="AD57" s="226"/>
      <c r="AE57" s="226"/>
      <c r="AF57" s="226"/>
      <c r="AG57" s="226"/>
      <c r="AH57" s="59"/>
      <c r="AI57" s="199"/>
      <c r="AJ57" s="59"/>
      <c r="AK57" s="59"/>
      <c r="AL57" s="61"/>
      <c r="AM57" s="60"/>
      <c r="AN57" s="98"/>
      <c r="AO57" s="59"/>
      <c r="AP57" s="59"/>
      <c r="AQ57" s="59"/>
      <c r="AR57" s="59"/>
      <c r="AS57" s="59"/>
    </row>
    <row r="58" customFormat="false" ht="12.75" hidden="false" customHeight="true" outlineLevel="0" collapsed="false">
      <c r="A58" s="295" t="s">
        <v>232</v>
      </c>
      <c r="B58" s="294" t="n">
        <f aca="false">SUM(C58:AG58)</f>
        <v>-666</v>
      </c>
      <c r="C58" s="226" t="n">
        <v>511</v>
      </c>
      <c r="D58" s="226" t="n">
        <v>-423</v>
      </c>
      <c r="E58" s="226" t="n">
        <v>-162</v>
      </c>
      <c r="F58" s="226"/>
      <c r="G58" s="226"/>
      <c r="H58" s="226" t="n">
        <v>-251</v>
      </c>
      <c r="I58" s="226" t="n">
        <v>457</v>
      </c>
      <c r="J58" s="226" t="n">
        <v>-356</v>
      </c>
      <c r="K58" s="226" t="n">
        <v>38</v>
      </c>
      <c r="L58" s="226" t="n">
        <v>-328</v>
      </c>
      <c r="M58" s="226"/>
      <c r="N58" s="226"/>
      <c r="O58" s="226" t="n">
        <v>72</v>
      </c>
      <c r="P58" s="226" t="n">
        <v>222</v>
      </c>
      <c r="Q58" s="226" t="n">
        <v>201</v>
      </c>
      <c r="R58" s="226" t="n">
        <v>84</v>
      </c>
      <c r="S58" s="226" t="n">
        <v>-731</v>
      </c>
      <c r="T58" s="226"/>
      <c r="U58" s="226"/>
      <c r="V58" s="226"/>
      <c r="X58" s="226"/>
      <c r="Y58" s="226"/>
      <c r="Z58" s="226"/>
      <c r="AA58" s="226"/>
      <c r="AB58" s="226"/>
      <c r="AC58" s="226"/>
      <c r="AD58" s="226"/>
      <c r="AE58" s="226"/>
      <c r="AF58" s="226"/>
      <c r="AG58" s="226"/>
      <c r="AH58" s="59"/>
      <c r="AI58" s="199"/>
      <c r="AJ58" s="59"/>
      <c r="AK58" s="59"/>
      <c r="AL58" s="61"/>
      <c r="AM58" s="60"/>
      <c r="AN58" s="296"/>
      <c r="AO58" s="61"/>
      <c r="AP58" s="61"/>
      <c r="AQ58" s="61"/>
      <c r="AR58" s="61"/>
      <c r="AS58" s="61"/>
      <c r="AT58" s="199"/>
      <c r="AU58" s="199"/>
      <c r="AV58" s="199"/>
      <c r="AW58" s="199"/>
      <c r="AX58" s="199"/>
    </row>
    <row r="59" customFormat="false" ht="12.75" hidden="false" customHeight="true" outlineLevel="0" collapsed="false">
      <c r="A59" s="295" t="s">
        <v>233</v>
      </c>
      <c r="B59" s="294" t="n">
        <f aca="false">SUM(C59:AG59)</f>
        <v>60185</v>
      </c>
      <c r="C59" s="226" t="n">
        <v>3146</v>
      </c>
      <c r="D59" s="226" t="n">
        <v>3122</v>
      </c>
      <c r="E59" s="226" t="n">
        <v>3107</v>
      </c>
      <c r="F59" s="226"/>
      <c r="G59" s="226"/>
      <c r="H59" s="226" t="n">
        <v>9195</v>
      </c>
      <c r="I59" s="226" t="n">
        <v>3015</v>
      </c>
      <c r="J59" s="226" t="n">
        <v>3285</v>
      </c>
      <c r="K59" s="226" t="n">
        <v>3707</v>
      </c>
      <c r="L59" s="226" t="n">
        <v>3955</v>
      </c>
      <c r="M59" s="226"/>
      <c r="N59" s="226"/>
      <c r="O59" s="226" t="n">
        <v>10752</v>
      </c>
      <c r="P59" s="226" t="n">
        <v>3947</v>
      </c>
      <c r="Q59" s="226" t="n">
        <v>4028</v>
      </c>
      <c r="R59" s="226" t="n">
        <v>4722</v>
      </c>
      <c r="S59" s="226" t="n">
        <v>4204</v>
      </c>
      <c r="T59" s="226"/>
      <c r="U59" s="226"/>
      <c r="V59" s="226"/>
      <c r="X59" s="226"/>
      <c r="Y59" s="226"/>
      <c r="Z59" s="226"/>
      <c r="AA59" s="226"/>
      <c r="AB59" s="226"/>
      <c r="AC59" s="226"/>
      <c r="AD59" s="226"/>
      <c r="AE59" s="226"/>
      <c r="AF59" s="226"/>
      <c r="AG59" s="226"/>
      <c r="AH59" s="59"/>
      <c r="AI59" s="199"/>
      <c r="AJ59" s="59"/>
      <c r="AK59" s="59"/>
      <c r="AL59" s="61"/>
      <c r="AM59" s="60"/>
      <c r="AN59" s="296"/>
      <c r="AO59" s="61"/>
      <c r="AP59" s="61"/>
      <c r="AQ59" s="61"/>
      <c r="AR59" s="61"/>
      <c r="AS59" s="61"/>
      <c r="AT59" s="199"/>
      <c r="AU59" s="199"/>
      <c r="AV59" s="199"/>
      <c r="AW59" s="199"/>
      <c r="AX59" s="199"/>
    </row>
    <row r="60" customFormat="false" ht="12.75" hidden="false" customHeight="true" outlineLevel="0" collapsed="false">
      <c r="A60" s="295" t="s">
        <v>234</v>
      </c>
      <c r="B60" s="294" t="n">
        <f aca="false">SUM(C60:AG60)</f>
        <v>0</v>
      </c>
      <c r="C60" s="226"/>
      <c r="D60" s="226"/>
      <c r="E60" s="226"/>
      <c r="F60" s="226"/>
      <c r="G60" s="226"/>
      <c r="H60" s="226"/>
      <c r="I60" s="226"/>
      <c r="J60" s="226"/>
      <c r="K60" s="226"/>
      <c r="L60" s="226"/>
      <c r="M60" s="226"/>
      <c r="N60" s="226"/>
      <c r="O60" s="226"/>
      <c r="P60" s="226"/>
      <c r="Q60" s="226"/>
      <c r="R60" s="226"/>
      <c r="S60" s="226"/>
      <c r="T60" s="226"/>
      <c r="U60" s="226"/>
      <c r="V60" s="226"/>
      <c r="X60" s="226"/>
      <c r="Y60" s="226"/>
      <c r="Z60" s="226"/>
      <c r="AA60" s="226"/>
      <c r="AB60" s="226"/>
      <c r="AC60" s="226"/>
      <c r="AD60" s="226"/>
      <c r="AE60" s="226"/>
      <c r="AF60" s="226"/>
      <c r="AG60" s="226"/>
      <c r="AH60" s="59"/>
      <c r="AI60" s="199"/>
      <c r="AJ60" s="59"/>
      <c r="AK60" s="59"/>
      <c r="AL60" s="61"/>
      <c r="AM60" s="60"/>
      <c r="AN60" s="296"/>
      <c r="AO60" s="61"/>
      <c r="AP60" s="61"/>
      <c r="AQ60" s="61"/>
      <c r="AR60" s="61"/>
      <c r="AS60" s="61"/>
      <c r="AT60" s="199"/>
      <c r="AU60" s="199"/>
      <c r="AV60" s="199"/>
      <c r="AW60" s="199"/>
      <c r="AX60" s="199"/>
    </row>
    <row r="61" customFormat="false" ht="12.75" hidden="false" customHeight="true" outlineLevel="0" collapsed="false">
      <c r="A61" s="295" t="s">
        <v>235</v>
      </c>
      <c r="B61" s="294" t="n">
        <f aca="false">SUM(C61:AG61)</f>
        <v>-283140</v>
      </c>
      <c r="C61" s="226" t="n">
        <f aca="false">-283140</f>
        <v>-283140</v>
      </c>
      <c r="D61" s="226"/>
      <c r="E61" s="226"/>
      <c r="F61" s="226"/>
      <c r="G61" s="226"/>
      <c r="H61" s="226"/>
      <c r="I61" s="226"/>
      <c r="J61" s="226"/>
      <c r="K61" s="226"/>
      <c r="L61" s="226"/>
      <c r="M61" s="226"/>
      <c r="N61" s="226"/>
      <c r="O61" s="226"/>
      <c r="P61" s="226"/>
      <c r="Q61" s="226"/>
      <c r="R61" s="226"/>
      <c r="S61" s="226"/>
      <c r="T61" s="226"/>
      <c r="U61" s="226"/>
      <c r="V61" s="226"/>
      <c r="X61" s="226"/>
      <c r="Y61" s="226"/>
      <c r="Z61" s="226"/>
      <c r="AA61" s="226"/>
      <c r="AB61" s="226"/>
      <c r="AC61" s="226"/>
      <c r="AD61" s="226"/>
      <c r="AE61" s="226"/>
      <c r="AF61" s="226"/>
      <c r="AG61" s="226"/>
      <c r="AH61" s="59"/>
      <c r="AJ61" s="59"/>
      <c r="AK61" s="59"/>
      <c r="AL61" s="61"/>
      <c r="AM61" s="60"/>
      <c r="AN61" s="98"/>
      <c r="AO61" s="59"/>
      <c r="AP61" s="59"/>
      <c r="AQ61" s="59"/>
      <c r="AR61" s="59"/>
      <c r="AS61" s="59"/>
    </row>
    <row r="62" customFormat="false" ht="12.75" hidden="false" customHeight="true" outlineLevel="0" collapsed="false">
      <c r="A62" s="295" t="s">
        <v>236</v>
      </c>
      <c r="B62" s="294" t="n">
        <f aca="false">SUM(C62:AG62)</f>
        <v>-4647</v>
      </c>
      <c r="C62" s="226" t="n">
        <f aca="false">999-1849+1-1041</f>
        <v>-1890</v>
      </c>
      <c r="D62" s="226" t="n">
        <f aca="false">-10-979+2+85</f>
        <v>-902</v>
      </c>
      <c r="E62" s="226" t="n">
        <f aca="false">22-194-59-2</f>
        <v>-233</v>
      </c>
      <c r="F62" s="226"/>
      <c r="G62" s="226"/>
      <c r="H62" s="226" t="n">
        <f aca="false">-227-259+2+340</f>
        <v>-144</v>
      </c>
      <c r="I62" s="226" t="n">
        <f aca="false">374+1892-1-228-1</f>
        <v>2036</v>
      </c>
      <c r="J62" s="226" t="n">
        <f aca="false">124-7595-310</f>
        <v>-7781</v>
      </c>
      <c r="K62" s="226" t="n">
        <f aca="false">431-391+1-477+1</f>
        <v>-435</v>
      </c>
      <c r="L62" s="226" t="n">
        <f aca="false">-351+214+342-1</f>
        <v>204</v>
      </c>
      <c r="M62" s="226"/>
      <c r="N62" s="226"/>
      <c r="O62" s="226" t="n">
        <f aca="false">975+1630-1-355</f>
        <v>2249</v>
      </c>
      <c r="P62" s="226" t="n">
        <f aca="false">331+1118+1-103</f>
        <v>1347</v>
      </c>
      <c r="Q62" s="226" t="n">
        <f aca="false">-581+690+4559-1</f>
        <v>4667</v>
      </c>
      <c r="R62" s="226" t="n">
        <f aca="false">-77-585-2742+1</f>
        <v>-3403</v>
      </c>
      <c r="S62" s="226" t="n">
        <f aca="false">253-390-1-224</f>
        <v>-362</v>
      </c>
      <c r="T62" s="226"/>
      <c r="U62" s="226"/>
      <c r="V62" s="226"/>
      <c r="X62" s="226"/>
      <c r="Y62" s="226"/>
      <c r="Z62" s="226"/>
      <c r="AA62" s="226"/>
      <c r="AB62" s="226"/>
      <c r="AC62" s="226"/>
      <c r="AD62" s="226"/>
      <c r="AE62" s="226"/>
      <c r="AF62" s="226"/>
      <c r="AG62" s="226"/>
      <c r="AH62" s="59"/>
      <c r="AJ62" s="59"/>
      <c r="AK62" s="59"/>
      <c r="AL62" s="61"/>
      <c r="AM62" s="60"/>
      <c r="AN62" s="98"/>
      <c r="AO62" s="98"/>
      <c r="AP62" s="59"/>
      <c r="AQ62" s="59"/>
      <c r="AR62" s="59"/>
      <c r="AS62" s="59"/>
    </row>
    <row r="63" customFormat="false" ht="12.75" hidden="false" customHeight="true" outlineLevel="0" collapsed="false">
      <c r="A63" s="295" t="s">
        <v>189</v>
      </c>
      <c r="B63" s="294" t="n">
        <f aca="false">SUM(C63:AG63)</f>
        <v>0</v>
      </c>
      <c r="C63" s="226"/>
      <c r="D63" s="226"/>
      <c r="E63" s="226"/>
      <c r="F63" s="226"/>
      <c r="G63" s="226"/>
      <c r="H63" s="226"/>
      <c r="I63" s="226"/>
      <c r="J63" s="226"/>
      <c r="K63" s="226"/>
      <c r="L63" s="226"/>
      <c r="M63" s="226"/>
      <c r="N63" s="226"/>
      <c r="O63" s="226"/>
      <c r="P63" s="226"/>
      <c r="Q63" s="226"/>
      <c r="R63" s="226"/>
      <c r="S63" s="226"/>
      <c r="U63" s="226"/>
      <c r="V63" s="226"/>
      <c r="X63" s="226"/>
      <c r="Y63" s="226"/>
      <c r="Z63" s="226"/>
      <c r="AA63" s="226"/>
      <c r="AB63" s="226"/>
      <c r="AC63" s="226"/>
      <c r="AD63" s="226"/>
      <c r="AE63" s="226"/>
      <c r="AF63" s="226"/>
      <c r="AG63" s="226"/>
      <c r="AH63" s="59"/>
      <c r="AI63" s="199"/>
      <c r="AJ63" s="59"/>
      <c r="AK63" s="59"/>
      <c r="AL63" s="61"/>
      <c r="AM63" s="60"/>
      <c r="AN63" s="98"/>
      <c r="AO63" s="59"/>
      <c r="AP63" s="59"/>
      <c r="AQ63" s="59"/>
      <c r="AR63" s="59"/>
      <c r="AS63" s="59"/>
    </row>
    <row r="64" customFormat="false" ht="12.75" hidden="false" customHeight="true" outlineLevel="0" collapsed="false">
      <c r="A64" s="295" t="s">
        <v>237</v>
      </c>
      <c r="B64" s="294" t="n">
        <f aca="false">SUM(C64:AG64)</f>
        <v>2533</v>
      </c>
      <c r="C64" s="226" t="n">
        <v>-709</v>
      </c>
      <c r="D64" s="226" t="n">
        <v>952</v>
      </c>
      <c r="E64" s="226" t="n">
        <v>502</v>
      </c>
      <c r="F64" s="226"/>
      <c r="G64" s="226"/>
      <c r="H64" s="226" t="n">
        <v>241</v>
      </c>
      <c r="I64" s="226" t="n">
        <v>-600</v>
      </c>
      <c r="J64" s="226" t="n">
        <v>947</v>
      </c>
      <c r="K64" s="226" t="n">
        <v>207</v>
      </c>
      <c r="L64" s="226" t="n">
        <v>588</v>
      </c>
      <c r="M64" s="226"/>
      <c r="N64" s="226"/>
      <c r="O64" s="226" t="n">
        <v>-52</v>
      </c>
      <c r="P64" s="226" t="n">
        <v>-562</v>
      </c>
      <c r="Q64" s="226" t="n">
        <v>-170</v>
      </c>
      <c r="R64" s="226" t="n">
        <v>-286</v>
      </c>
      <c r="S64" s="226" t="n">
        <v>1475</v>
      </c>
      <c r="T64" s="226"/>
      <c r="U64" s="226"/>
      <c r="V64" s="226"/>
      <c r="X64" s="226"/>
      <c r="Y64" s="226"/>
      <c r="Z64" s="226"/>
      <c r="AA64" s="226"/>
      <c r="AB64" s="226"/>
      <c r="AC64" s="226"/>
      <c r="AD64" s="226"/>
      <c r="AE64" s="226"/>
      <c r="AF64" s="226"/>
      <c r="AG64" s="226"/>
      <c r="AH64" s="59"/>
      <c r="AI64" s="199"/>
      <c r="AJ64" s="59"/>
      <c r="AK64" s="59"/>
      <c r="AL64" s="60"/>
      <c r="AM64" s="60"/>
      <c r="AN64" s="59"/>
      <c r="AO64" s="59"/>
      <c r="AP64" s="59"/>
      <c r="AQ64" s="59"/>
      <c r="AR64" s="59"/>
      <c r="AS64" s="59"/>
    </row>
    <row r="65" customFormat="false" ht="12.75" hidden="false" customHeight="true" outlineLevel="0" collapsed="false">
      <c r="A65" s="231" t="s">
        <v>238</v>
      </c>
      <c r="B65" s="294" t="n">
        <f aca="false">SUM(C65:AG65)</f>
        <v>-71537</v>
      </c>
      <c r="C65" s="226" t="n">
        <v>-3033</v>
      </c>
      <c r="D65" s="226" t="n">
        <v>-3854</v>
      </c>
      <c r="E65" s="226" t="n">
        <v>-3735</v>
      </c>
      <c r="F65" s="226"/>
      <c r="G65" s="226"/>
      <c r="H65" s="226" t="n">
        <v>-11419</v>
      </c>
      <c r="I65" s="226" t="n">
        <v>-3691</v>
      </c>
      <c r="J65" s="226" t="n">
        <v>-3883</v>
      </c>
      <c r="K65" s="226" t="n">
        <v>-4321</v>
      </c>
      <c r="L65" s="226" t="n">
        <v>-4804</v>
      </c>
      <c r="M65" s="226"/>
      <c r="N65" s="226"/>
      <c r="O65" s="226" t="n">
        <v>-13216</v>
      </c>
      <c r="P65" s="226" t="n">
        <v>-4525</v>
      </c>
      <c r="Q65" s="226" t="n">
        <v>-4617</v>
      </c>
      <c r="R65" s="226" t="n">
        <v>-5183</v>
      </c>
      <c r="S65" s="226" t="n">
        <v>-5256</v>
      </c>
      <c r="T65" s="226"/>
      <c r="U65" s="226"/>
      <c r="V65" s="226"/>
      <c r="X65" s="226"/>
      <c r="Y65" s="226"/>
      <c r="Z65" s="226"/>
      <c r="AA65" s="226"/>
      <c r="AB65" s="226"/>
      <c r="AC65" s="226"/>
      <c r="AD65" s="226"/>
      <c r="AE65" s="226"/>
      <c r="AF65" s="226"/>
      <c r="AG65" s="226"/>
      <c r="AH65" s="59"/>
      <c r="AJ65" s="59"/>
      <c r="AK65" s="59"/>
      <c r="AL65" s="61"/>
      <c r="AM65" s="60"/>
      <c r="AN65" s="59"/>
      <c r="AO65" s="59"/>
      <c r="AP65" s="59"/>
      <c r="AQ65" s="59"/>
      <c r="AR65" s="59"/>
      <c r="AS65" s="59"/>
    </row>
    <row r="66" customFormat="false" ht="12.75" hidden="false" customHeight="true" outlineLevel="0" collapsed="false">
      <c r="A66" s="231" t="s">
        <v>239</v>
      </c>
      <c r="B66" s="294" t="n">
        <f aca="false">SUM(C66:AG66)</f>
        <v>0</v>
      </c>
      <c r="C66" s="226"/>
      <c r="D66" s="226"/>
      <c r="E66" s="226"/>
      <c r="F66" s="226"/>
      <c r="G66" s="226"/>
      <c r="H66" s="226"/>
      <c r="I66" s="226"/>
      <c r="J66" s="226"/>
      <c r="K66" s="226"/>
      <c r="L66" s="226"/>
      <c r="M66" s="226"/>
      <c r="N66" s="226"/>
      <c r="O66" s="226"/>
      <c r="P66" s="226"/>
      <c r="Q66" s="226"/>
      <c r="R66" s="226"/>
      <c r="S66" s="226"/>
      <c r="T66" s="226"/>
      <c r="U66" s="226"/>
      <c r="V66" s="226"/>
      <c r="X66" s="226"/>
      <c r="Y66" s="226"/>
      <c r="Z66" s="226"/>
      <c r="AA66" s="226"/>
      <c r="AB66" s="226"/>
      <c r="AC66" s="226"/>
      <c r="AD66" s="226"/>
      <c r="AE66" s="226"/>
      <c r="AF66" s="226"/>
      <c r="AG66" s="226"/>
      <c r="AH66" s="59"/>
      <c r="AI66" s="199"/>
      <c r="AJ66" s="59"/>
      <c r="AK66" s="59"/>
      <c r="AL66" s="61"/>
      <c r="AM66" s="60"/>
      <c r="AN66" s="59"/>
      <c r="AO66" s="59"/>
      <c r="AP66" s="59"/>
      <c r="AQ66" s="59"/>
      <c r="AR66" s="59"/>
      <c r="AS66" s="59"/>
    </row>
    <row r="67" customFormat="false" ht="12.75" hidden="false" customHeight="true" outlineLevel="0" collapsed="false">
      <c r="A67" s="231" t="s">
        <v>240</v>
      </c>
      <c r="B67" s="294" t="n">
        <f aca="false">SUM(C67:AG67)</f>
        <v>0</v>
      </c>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59"/>
      <c r="AI67" s="199"/>
      <c r="AJ67" s="59"/>
      <c r="AK67" s="59"/>
      <c r="AL67" s="61"/>
      <c r="AM67" s="60"/>
      <c r="AN67" s="59"/>
      <c r="AO67" s="59"/>
      <c r="AP67" s="59"/>
      <c r="AQ67" s="59"/>
      <c r="AR67" s="59"/>
      <c r="AS67" s="59"/>
    </row>
    <row r="68" customFormat="false" ht="12.75" hidden="false" customHeight="true" outlineLevel="0" collapsed="false">
      <c r="A68" s="231" t="s">
        <v>241</v>
      </c>
      <c r="B68" s="294" t="n">
        <f aca="false">SUM(C68:AG68)</f>
        <v>0</v>
      </c>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59"/>
      <c r="AJ68" s="59"/>
      <c r="AK68" s="59"/>
      <c r="AL68" s="61"/>
      <c r="AM68" s="60"/>
      <c r="AN68" s="59"/>
      <c r="AO68" s="59"/>
      <c r="AP68" s="59"/>
      <c r="AQ68" s="59"/>
      <c r="AR68" s="59"/>
      <c r="AS68" s="59"/>
    </row>
    <row r="69" customFormat="false" ht="12.75" hidden="false" customHeight="true" outlineLevel="0" collapsed="false">
      <c r="A69" s="295" t="s">
        <v>242</v>
      </c>
      <c r="B69" s="294" t="n">
        <f aca="false">SUM(C69:AG69)</f>
        <v>0</v>
      </c>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59"/>
      <c r="AI69" s="199"/>
      <c r="AJ69" s="59"/>
      <c r="AK69" s="59"/>
      <c r="AL69" s="61"/>
      <c r="AM69" s="60"/>
      <c r="AN69" s="59"/>
      <c r="AO69" s="59"/>
      <c r="AP69" s="59"/>
      <c r="AQ69" s="59"/>
      <c r="AR69" s="59"/>
      <c r="AS69" s="59"/>
    </row>
    <row r="70" customFormat="false" ht="12.75" hidden="false" customHeight="true" outlineLevel="0" collapsed="false">
      <c r="A70" s="231" t="s">
        <v>243</v>
      </c>
      <c r="B70" s="294" t="n">
        <f aca="false">SUM(C70:AG70)</f>
        <v>0</v>
      </c>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59"/>
      <c r="AJ70" s="59"/>
      <c r="AK70" s="59"/>
      <c r="AL70" s="61"/>
      <c r="AM70" s="60"/>
      <c r="AN70" s="59"/>
      <c r="AO70" s="59"/>
      <c r="AP70" s="59"/>
      <c r="AQ70" s="59"/>
      <c r="AR70" s="59"/>
      <c r="AS70" s="59"/>
    </row>
    <row r="71" customFormat="false" ht="12.75" hidden="false" customHeight="true" outlineLevel="0" collapsed="false">
      <c r="A71" s="231" t="s">
        <v>244</v>
      </c>
      <c r="B71" s="294" t="s">
        <v>245</v>
      </c>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300"/>
      <c r="AH71" s="59"/>
      <c r="AJ71" s="59"/>
      <c r="AK71" s="59"/>
      <c r="AL71" s="61"/>
      <c r="AM71" s="60"/>
    </row>
    <row r="72" customFormat="false" ht="12.75" hidden="false" customHeight="true" outlineLevel="0" collapsed="false">
      <c r="A72" s="231"/>
      <c r="B72" s="294"/>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301"/>
      <c r="AH72" s="59"/>
      <c r="AJ72" s="59"/>
      <c r="AK72" s="59"/>
      <c r="AL72" s="61"/>
      <c r="AM72" s="60"/>
    </row>
    <row r="73" customFormat="false" ht="12.75" hidden="false" customHeight="true" outlineLevel="0" collapsed="false">
      <c r="A73" s="231"/>
      <c r="B73" s="294"/>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301"/>
      <c r="AH73" s="59"/>
      <c r="AJ73" s="59"/>
      <c r="AK73" s="59"/>
      <c r="AL73" s="61"/>
      <c r="AM73" s="60"/>
    </row>
    <row r="74" customFormat="false" ht="12.75" hidden="false" customHeight="true" outlineLevel="0" collapsed="false">
      <c r="A74" s="231"/>
      <c r="B74" s="294"/>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301"/>
      <c r="AH74" s="59"/>
      <c r="AJ74" s="59"/>
      <c r="AK74" s="59"/>
      <c r="AL74" s="61"/>
      <c r="AM74" s="60"/>
    </row>
    <row r="75" customFormat="false" ht="12.75" hidden="false" customHeight="true" outlineLevel="0" collapsed="false">
      <c r="A75" s="231"/>
      <c r="B75" s="302"/>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301"/>
      <c r="AH75" s="59"/>
      <c r="AJ75" s="59"/>
      <c r="AK75" s="59"/>
      <c r="AL75" s="61"/>
      <c r="AM75" s="60"/>
    </row>
    <row r="76" customFormat="false" ht="12.75" hidden="false" customHeight="true" outlineLevel="0" collapsed="false">
      <c r="A76" s="303" t="s">
        <v>246</v>
      </c>
      <c r="B76" s="304" t="n">
        <f aca="false">SUM(B47:B75)-B61-B67-B68-B69</f>
        <v>-525915</v>
      </c>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6"/>
      <c r="AH76" s="59"/>
      <c r="AJ76" s="59"/>
      <c r="AK76" s="59"/>
      <c r="AL76" s="61"/>
      <c r="AM76" s="60"/>
    </row>
    <row r="77" customFormat="false" ht="12.75" hidden="false" customHeight="true" outlineLevel="0" collapsed="false">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J77" s="59"/>
      <c r="AK77" s="59"/>
      <c r="AL77" s="61"/>
      <c r="AM77" s="60"/>
    </row>
    <row r="78" customFormat="false" ht="12.75" hidden="false" customHeight="true" outlineLevel="0" collapsed="false">
      <c r="A78" s="153"/>
      <c r="B78" s="307"/>
      <c r="C78" s="193" t="n">
        <f aca="false">(+B58+B59)*-1</f>
        <v>-59519</v>
      </c>
      <c r="AH78" s="153"/>
      <c r="AJ78" s="153"/>
      <c r="AK78" s="226"/>
      <c r="AL78" s="61"/>
      <c r="AM78" s="60"/>
    </row>
    <row r="79" customFormat="false" ht="12.75" hidden="false" customHeight="true" outlineLevel="0" collapsed="false">
      <c r="A79" s="271" t="s">
        <v>340</v>
      </c>
      <c r="B79" s="271"/>
      <c r="AH79" s="153"/>
      <c r="AJ79" s="153"/>
      <c r="AK79" s="226"/>
      <c r="AL79" s="61"/>
      <c r="AM79" s="60"/>
    </row>
    <row r="80" customFormat="false" ht="12.75" hidden="false" customHeight="true" outlineLevel="0" collapsed="false">
      <c r="A80" s="153"/>
      <c r="B80" s="307"/>
      <c r="AH80" s="153"/>
      <c r="AJ80" s="153"/>
      <c r="AK80" s="226"/>
      <c r="AL80" s="61"/>
      <c r="AM80" s="60"/>
    </row>
    <row r="81" customFormat="false" ht="12.75" hidden="false" customHeight="true" outlineLevel="0" collapsed="false">
      <c r="A81" s="273"/>
      <c r="B81" s="274" t="s">
        <v>210</v>
      </c>
      <c r="C81" s="275" t="n">
        <f aca="false">SUM(C85:C101)</f>
        <v>0</v>
      </c>
      <c r="D81" s="275" t="n">
        <f aca="false">SUM(D85:D101)</f>
        <v>0</v>
      </c>
      <c r="E81" s="275" t="n">
        <f aca="false">SUM(E85:E101)</f>
        <v>0</v>
      </c>
      <c r="F81" s="275" t="n">
        <f aca="false">SUM(F85:F101)</f>
        <v>0</v>
      </c>
      <c r="G81" s="275" t="n">
        <f aca="false">SUM(G85:G101)</f>
        <v>0</v>
      </c>
      <c r="H81" s="275" t="n">
        <f aca="false">SUM(H85:H101)</f>
        <v>0</v>
      </c>
      <c r="I81" s="275" t="n">
        <f aca="false">SUM(I85:I101)</f>
        <v>0</v>
      </c>
      <c r="J81" s="275" t="n">
        <f aca="false">SUM(J85:J101)</f>
        <v>0</v>
      </c>
      <c r="K81" s="275" t="n">
        <f aca="false">SUM(K85:K101)</f>
        <v>0</v>
      </c>
      <c r="L81" s="275" t="n">
        <f aca="false">SUM(L85:L101)</f>
        <v>0</v>
      </c>
      <c r="M81" s="275" t="n">
        <f aca="false">SUM(M85:M101)</f>
        <v>0</v>
      </c>
      <c r="N81" s="275" t="n">
        <f aca="false">SUM(N85:N101)</f>
        <v>0</v>
      </c>
      <c r="O81" s="275" t="n">
        <f aca="false">SUM(O85:O101)</f>
        <v>0</v>
      </c>
      <c r="P81" s="275" t="n">
        <f aca="false">SUM(P85:P101)</f>
        <v>0</v>
      </c>
      <c r="Q81" s="275" t="n">
        <f aca="false">SUM(Q85:Q101)</f>
        <v>0</v>
      </c>
      <c r="R81" s="275" t="n">
        <f aca="false">SUM(R85:R101)</f>
        <v>0</v>
      </c>
      <c r="S81" s="275" t="n">
        <f aca="false">SUM(S85:S101)</f>
        <v>0</v>
      </c>
      <c r="T81" s="275" t="n">
        <f aca="false">SUM(T85:T101)</f>
        <v>0</v>
      </c>
      <c r="U81" s="275" t="n">
        <f aca="false">SUM(U85:U101)</f>
        <v>0</v>
      </c>
      <c r="V81" s="275" t="n">
        <f aca="false">SUM(V85:V101)</f>
        <v>0</v>
      </c>
      <c r="W81" s="275" t="n">
        <f aca="false">SUM(W85:W101)</f>
        <v>0</v>
      </c>
      <c r="X81" s="275" t="n">
        <f aca="false">SUM(X85:X101)</f>
        <v>0</v>
      </c>
      <c r="Y81" s="275" t="n">
        <f aca="false">SUM(Y85:Y101)</f>
        <v>0</v>
      </c>
      <c r="Z81" s="275" t="n">
        <f aca="false">SUM(Z85:Z101)</f>
        <v>0</v>
      </c>
      <c r="AA81" s="275" t="n">
        <f aca="false">SUM(AA85:AA101)</f>
        <v>0</v>
      </c>
      <c r="AB81" s="275" t="n">
        <f aca="false">SUM(AB85:AB101)</f>
        <v>0</v>
      </c>
      <c r="AC81" s="275" t="n">
        <f aca="false">SUM(AC85:AC101)</f>
        <v>0</v>
      </c>
      <c r="AD81" s="275" t="n">
        <f aca="false">SUM(AD85:AD101)</f>
        <v>0</v>
      </c>
      <c r="AE81" s="275" t="n">
        <f aca="false">SUM(AE85:AE101)</f>
        <v>0</v>
      </c>
      <c r="AF81" s="275" t="n">
        <f aca="false">SUM(AF85:AF101)</f>
        <v>0</v>
      </c>
      <c r="AG81" s="275" t="n">
        <f aca="false">SUM(AG85:AG101)</f>
        <v>0</v>
      </c>
      <c r="AH81" s="59"/>
      <c r="AI81" s="76"/>
      <c r="AJ81" s="85"/>
      <c r="AK81" s="59"/>
      <c r="AL81" s="77"/>
      <c r="AN81" s="59"/>
      <c r="AO81" s="59"/>
      <c r="AP81" s="59"/>
      <c r="AQ81" s="59"/>
      <c r="AR81" s="59"/>
      <c r="AS81" s="59"/>
    </row>
    <row r="82" customFormat="false" ht="12.75" hidden="false" customHeight="true" outlineLevel="0" collapsed="false">
      <c r="A82" s="278" t="s">
        <v>248</v>
      </c>
      <c r="B82" s="279" t="n">
        <f aca="false">B44</f>
        <v>36831</v>
      </c>
      <c r="C82" s="280" t="n">
        <f aca="false">C44</f>
        <v>36831</v>
      </c>
      <c r="D82" s="280" t="n">
        <f aca="false">D44</f>
        <v>36832</v>
      </c>
      <c r="E82" s="280" t="n">
        <f aca="false">E44</f>
        <v>36833</v>
      </c>
      <c r="F82" s="280" t="n">
        <f aca="false">F44</f>
        <v>36834</v>
      </c>
      <c r="G82" s="280" t="n">
        <f aca="false">G44</f>
        <v>36835</v>
      </c>
      <c r="H82" s="280" t="n">
        <f aca="false">H44</f>
        <v>36836</v>
      </c>
      <c r="I82" s="280" t="n">
        <f aca="false">I44</f>
        <v>36837</v>
      </c>
      <c r="J82" s="280" t="n">
        <f aca="false">J44</f>
        <v>36838</v>
      </c>
      <c r="K82" s="280" t="n">
        <f aca="false">K44</f>
        <v>36839</v>
      </c>
      <c r="L82" s="280" t="n">
        <f aca="false">L44</f>
        <v>36840</v>
      </c>
      <c r="M82" s="280" t="n">
        <f aca="false">M44</f>
        <v>36841</v>
      </c>
      <c r="N82" s="280" t="n">
        <f aca="false">N44</f>
        <v>36842</v>
      </c>
      <c r="O82" s="280" t="n">
        <f aca="false">O44</f>
        <v>36843</v>
      </c>
      <c r="P82" s="280" t="n">
        <f aca="false">P44</f>
        <v>36844</v>
      </c>
      <c r="Q82" s="280" t="n">
        <f aca="false">Q44</f>
        <v>36845</v>
      </c>
      <c r="R82" s="280" t="n">
        <f aca="false">R44</f>
        <v>36846</v>
      </c>
      <c r="S82" s="280" t="n">
        <f aca="false">S44</f>
        <v>36847</v>
      </c>
      <c r="T82" s="280" t="n">
        <f aca="false">T44</f>
        <v>36848</v>
      </c>
      <c r="U82" s="280" t="n">
        <f aca="false">U44</f>
        <v>36849</v>
      </c>
      <c r="V82" s="280" t="n">
        <f aca="false">V44</f>
        <v>36850</v>
      </c>
      <c r="W82" s="280" t="n">
        <f aca="false">W44</f>
        <v>36851</v>
      </c>
      <c r="X82" s="280" t="n">
        <f aca="false">X44</f>
        <v>36852</v>
      </c>
      <c r="Y82" s="280" t="n">
        <f aca="false">Y44</f>
        <v>36853</v>
      </c>
      <c r="Z82" s="280" t="n">
        <f aca="false">Z44</f>
        <v>36854</v>
      </c>
      <c r="AA82" s="280" t="n">
        <f aca="false">AA44</f>
        <v>36855</v>
      </c>
      <c r="AB82" s="280" t="n">
        <f aca="false">AB44</f>
        <v>36856</v>
      </c>
      <c r="AC82" s="280" t="n">
        <f aca="false">AC44</f>
        <v>36857</v>
      </c>
      <c r="AD82" s="280" t="n">
        <f aca="false">AD44</f>
        <v>36858</v>
      </c>
      <c r="AE82" s="280" t="n">
        <f aca="false">AE44</f>
        <v>36859</v>
      </c>
      <c r="AF82" s="280" t="n">
        <f aca="false">AF44</f>
        <v>36860</v>
      </c>
      <c r="AG82" s="280" t="n">
        <f aca="false">AG44</f>
        <v>36861</v>
      </c>
      <c r="AH82" s="281"/>
      <c r="AI82" s="76"/>
      <c r="AJ82" s="309"/>
      <c r="AK82" s="281"/>
      <c r="AL82" s="284"/>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c r="DM82" s="281"/>
      <c r="DN82" s="281"/>
      <c r="DO82" s="281"/>
      <c r="DP82" s="281"/>
      <c r="DQ82" s="281"/>
      <c r="DR82" s="281"/>
      <c r="DS82" s="281"/>
      <c r="DT82" s="281"/>
      <c r="DU82" s="281"/>
      <c r="DV82" s="281"/>
      <c r="DW82" s="281"/>
      <c r="DX82" s="281"/>
      <c r="DY82" s="281"/>
      <c r="DZ82" s="281"/>
      <c r="EA82" s="281"/>
      <c r="EB82" s="281"/>
      <c r="EC82" s="281"/>
      <c r="ED82" s="281"/>
      <c r="EE82" s="281"/>
      <c r="EF82" s="281"/>
      <c r="EG82" s="281"/>
      <c r="EH82" s="281"/>
      <c r="EI82" s="281"/>
      <c r="EJ82" s="281"/>
      <c r="EK82" s="281"/>
      <c r="EL82" s="281"/>
      <c r="EM82" s="281"/>
      <c r="EN82" s="281"/>
      <c r="EO82" s="281"/>
      <c r="EP82" s="281"/>
      <c r="EQ82" s="281"/>
      <c r="ER82" s="281"/>
      <c r="ES82" s="281"/>
      <c r="ET82" s="281"/>
      <c r="EU82" s="281"/>
      <c r="EV82" s="281"/>
      <c r="EW82" s="281"/>
      <c r="EX82" s="281"/>
      <c r="EY82" s="281"/>
      <c r="EZ82" s="281"/>
      <c r="FA82" s="281"/>
      <c r="FB82" s="281"/>
      <c r="FC82" s="281"/>
      <c r="FD82" s="281"/>
      <c r="FE82" s="281"/>
      <c r="FF82" s="281"/>
      <c r="FG82" s="281"/>
      <c r="FH82" s="281"/>
      <c r="FI82" s="281"/>
      <c r="FJ82" s="281"/>
      <c r="FK82" s="281"/>
      <c r="FL82" s="281"/>
      <c r="FM82" s="281"/>
      <c r="FN82" s="281"/>
      <c r="FO82" s="281"/>
      <c r="FP82" s="281"/>
      <c r="FQ82" s="281"/>
      <c r="FR82" s="281"/>
      <c r="FS82" s="281"/>
      <c r="FT82" s="281"/>
      <c r="FU82" s="281"/>
      <c r="FV82" s="281"/>
      <c r="FW82" s="281"/>
      <c r="FX82" s="281"/>
      <c r="FY82" s="281"/>
      <c r="FZ82" s="281"/>
      <c r="GA82" s="281"/>
      <c r="GB82" s="281"/>
      <c r="GC82" s="281"/>
      <c r="GD82" s="281"/>
      <c r="GE82" s="281"/>
      <c r="GF82" s="281"/>
      <c r="GG82" s="281"/>
      <c r="GH82" s="281"/>
      <c r="GI82" s="281"/>
      <c r="GJ82" s="281"/>
      <c r="GK82" s="281"/>
      <c r="GL82" s="281"/>
      <c r="GM82" s="281"/>
      <c r="GN82" s="281"/>
      <c r="GO82" s="281"/>
      <c r="GP82" s="281"/>
      <c r="GQ82" s="281"/>
      <c r="GR82" s="281"/>
      <c r="GS82" s="281"/>
      <c r="GT82" s="281"/>
      <c r="GU82" s="281"/>
      <c r="GV82" s="281"/>
      <c r="GW82" s="281"/>
      <c r="GX82" s="281"/>
      <c r="GY82" s="281"/>
      <c r="GZ82" s="281"/>
      <c r="HA82" s="281"/>
      <c r="HB82" s="281"/>
      <c r="HC82" s="281"/>
      <c r="HD82" s="281"/>
      <c r="HE82" s="281"/>
      <c r="HF82" s="281"/>
      <c r="HG82" s="281"/>
      <c r="HH82" s="281"/>
      <c r="HI82" s="281"/>
      <c r="HJ82" s="281"/>
      <c r="HK82" s="281"/>
      <c r="HL82" s="281"/>
      <c r="HM82" s="281"/>
      <c r="HN82" s="281"/>
      <c r="HO82" s="281"/>
      <c r="HP82" s="281"/>
      <c r="HQ82" s="281"/>
      <c r="HR82" s="281"/>
      <c r="HS82" s="281"/>
      <c r="HT82" s="281"/>
      <c r="HU82" s="281"/>
      <c r="HV82" s="281"/>
      <c r="HW82" s="281"/>
      <c r="HX82" s="281"/>
      <c r="HY82" s="281"/>
      <c r="HZ82" s="281"/>
      <c r="IA82" s="281"/>
      <c r="IB82" s="281"/>
      <c r="IC82" s="281"/>
      <c r="ID82" s="281"/>
      <c r="IE82" s="281"/>
      <c r="IF82" s="281"/>
      <c r="IG82" s="281"/>
      <c r="IH82" s="281"/>
      <c r="II82" s="281"/>
      <c r="IJ82" s="281"/>
      <c r="IK82" s="281"/>
      <c r="IL82" s="281"/>
      <c r="IM82" s="281"/>
      <c r="IN82" s="281"/>
      <c r="IO82" s="281"/>
      <c r="IP82" s="281"/>
      <c r="IQ82" s="281"/>
      <c r="IR82" s="281"/>
      <c r="IS82" s="281"/>
      <c r="IT82" s="281"/>
      <c r="IU82" s="281"/>
      <c r="IV82" s="281"/>
      <c r="IW82" s="281"/>
    </row>
    <row r="83" customFormat="false" ht="12.75" hidden="false" customHeight="true" outlineLevel="0" collapsed="false">
      <c r="A83" s="285"/>
      <c r="B83" s="285"/>
      <c r="C83" s="286" t="str">
        <f aca="false">C45</f>
        <v>W</v>
      </c>
      <c r="D83" s="286" t="str">
        <f aca="false">D45</f>
        <v>R</v>
      </c>
      <c r="E83" s="286" t="str">
        <f aca="false">E45</f>
        <v>F</v>
      </c>
      <c r="F83" s="286" t="str">
        <f aca="false">F45</f>
        <v>S</v>
      </c>
      <c r="G83" s="286" t="str">
        <f aca="false">G45</f>
        <v>S</v>
      </c>
      <c r="H83" s="286" t="str">
        <f aca="false">H45</f>
        <v>M</v>
      </c>
      <c r="I83" s="286" t="str">
        <f aca="false">I45</f>
        <v>T</v>
      </c>
      <c r="J83" s="286" t="str">
        <f aca="false">J45</f>
        <v>W</v>
      </c>
      <c r="K83" s="286" t="str">
        <f aca="false">K45</f>
        <v>R</v>
      </c>
      <c r="L83" s="286" t="str">
        <f aca="false">L45</f>
        <v>F</v>
      </c>
      <c r="M83" s="286" t="str">
        <f aca="false">M45</f>
        <v>S</v>
      </c>
      <c r="N83" s="286" t="str">
        <f aca="false">N45</f>
        <v>S</v>
      </c>
      <c r="O83" s="286" t="str">
        <f aca="false">O45</f>
        <v>M</v>
      </c>
      <c r="P83" s="286" t="str">
        <f aca="false">P45</f>
        <v>T</v>
      </c>
      <c r="Q83" s="286" t="str">
        <f aca="false">Q45</f>
        <v>W</v>
      </c>
      <c r="R83" s="286" t="str">
        <f aca="false">R45</f>
        <v>R</v>
      </c>
      <c r="S83" s="286" t="str">
        <f aca="false">S45</f>
        <v>F</v>
      </c>
      <c r="T83" s="286" t="str">
        <f aca="false">T45</f>
        <v>S</v>
      </c>
      <c r="U83" s="286" t="str">
        <f aca="false">U45</f>
        <v>S</v>
      </c>
      <c r="V83" s="286" t="str">
        <f aca="false">V45</f>
        <v>M</v>
      </c>
      <c r="W83" s="286" t="str">
        <f aca="false">W45</f>
        <v>T</v>
      </c>
      <c r="X83" s="286" t="str">
        <f aca="false">X45</f>
        <v>W</v>
      </c>
      <c r="Y83" s="286" t="str">
        <f aca="false">Y45</f>
        <v>R</v>
      </c>
      <c r="Z83" s="286" t="str">
        <f aca="false">Z45</f>
        <v>F</v>
      </c>
      <c r="AA83" s="286" t="str">
        <f aca="false">AA45</f>
        <v>S</v>
      </c>
      <c r="AB83" s="286" t="str">
        <f aca="false">AB45</f>
        <v>S</v>
      </c>
      <c r="AC83" s="286" t="str">
        <f aca="false">AC45</f>
        <v>M</v>
      </c>
      <c r="AD83" s="286" t="str">
        <f aca="false">AD45</f>
        <v>T</v>
      </c>
      <c r="AE83" s="286" t="str">
        <f aca="false">AE45</f>
        <v>W</v>
      </c>
      <c r="AF83" s="286" t="str">
        <f aca="false">AF45</f>
        <v>R</v>
      </c>
      <c r="AG83" s="286" t="str">
        <f aca="false">AG45</f>
        <v>F</v>
      </c>
      <c r="AH83" s="59"/>
      <c r="AI83" s="76"/>
      <c r="AJ83" s="85"/>
      <c r="AK83" s="59"/>
      <c r="AL83" s="153"/>
      <c r="AN83" s="59"/>
      <c r="AO83" s="59"/>
      <c r="AP83" s="59"/>
      <c r="AQ83" s="59"/>
      <c r="AR83" s="59"/>
      <c r="AS83" s="59"/>
    </row>
    <row r="84" customFormat="false" ht="12.75" hidden="false" customHeight="true" outlineLevel="0" collapsed="false">
      <c r="A84" s="289"/>
      <c r="B84" s="290" t="s">
        <v>216</v>
      </c>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1"/>
      <c r="AH84" s="153"/>
      <c r="AI84" s="199"/>
      <c r="AJ84" s="312"/>
      <c r="AK84" s="226"/>
      <c r="AL84" s="61"/>
      <c r="AM84" s="60"/>
    </row>
    <row r="85" customFormat="false" ht="12.75" hidden="false" customHeight="true" outlineLevel="0" collapsed="false">
      <c r="A85" s="231" t="s">
        <v>249</v>
      </c>
      <c r="B85" s="294" t="n">
        <f aca="false">SUM(C85:AG85)</f>
        <v>0</v>
      </c>
      <c r="C85" s="226" t="n">
        <v>0</v>
      </c>
      <c r="D85" s="226" t="n">
        <v>0</v>
      </c>
      <c r="E85" s="226" t="n">
        <v>0</v>
      </c>
      <c r="F85" s="226" t="n">
        <v>0</v>
      </c>
      <c r="G85" s="226" t="n">
        <v>0</v>
      </c>
      <c r="H85" s="226" t="n">
        <v>0</v>
      </c>
      <c r="I85" s="226" t="n">
        <v>0</v>
      </c>
      <c r="J85" s="226" t="n">
        <v>0</v>
      </c>
      <c r="K85" s="226" t="n">
        <v>0</v>
      </c>
      <c r="L85" s="226" t="n">
        <v>0</v>
      </c>
      <c r="M85" s="226" t="n">
        <v>0</v>
      </c>
      <c r="N85" s="226" t="n">
        <v>0</v>
      </c>
      <c r="O85" s="226" t="n">
        <v>0</v>
      </c>
      <c r="P85" s="226" t="n">
        <v>0</v>
      </c>
      <c r="Q85" s="226" t="n">
        <v>0</v>
      </c>
      <c r="R85" s="226" t="n">
        <v>0</v>
      </c>
      <c r="S85" s="226" t="n">
        <v>0</v>
      </c>
      <c r="T85" s="226" t="n">
        <v>0</v>
      </c>
      <c r="U85" s="226" t="n">
        <v>0</v>
      </c>
      <c r="V85" s="226" t="n">
        <v>0</v>
      </c>
      <c r="W85" s="226" t="n">
        <v>0</v>
      </c>
      <c r="X85" s="226" t="n">
        <v>0</v>
      </c>
      <c r="Y85" s="226" t="n">
        <v>0</v>
      </c>
      <c r="Z85" s="226" t="n">
        <v>0</v>
      </c>
      <c r="AA85" s="226" t="n">
        <v>0</v>
      </c>
      <c r="AB85" s="226" t="n">
        <v>0</v>
      </c>
      <c r="AC85" s="226" t="n">
        <v>0</v>
      </c>
      <c r="AD85" s="226" t="n">
        <v>0</v>
      </c>
      <c r="AE85" s="226" t="n">
        <v>0</v>
      </c>
      <c r="AF85" s="226" t="n">
        <v>0</v>
      </c>
      <c r="AG85" s="300" t="n">
        <v>0</v>
      </c>
      <c r="AH85" s="153"/>
      <c r="AJ85" s="153"/>
      <c r="AK85" s="226"/>
      <c r="AL85" s="61"/>
      <c r="AM85" s="60"/>
    </row>
    <row r="86" customFormat="false" ht="12.75" hidden="false" customHeight="true" outlineLevel="0" collapsed="false">
      <c r="A86" s="231" t="s">
        <v>250</v>
      </c>
      <c r="B86" s="294" t="n">
        <f aca="false">SUM(C86:AG86)</f>
        <v>0</v>
      </c>
      <c r="C86" s="226" t="n">
        <v>0</v>
      </c>
      <c r="D86" s="226" t="n">
        <v>0</v>
      </c>
      <c r="E86" s="226" t="n">
        <v>0</v>
      </c>
      <c r="F86" s="226" t="n">
        <v>0</v>
      </c>
      <c r="G86" s="226" t="n">
        <v>0</v>
      </c>
      <c r="H86" s="226" t="n">
        <v>0</v>
      </c>
      <c r="I86" s="226" t="n">
        <v>0</v>
      </c>
      <c r="J86" s="226" t="n">
        <v>0</v>
      </c>
      <c r="K86" s="226" t="n">
        <v>0</v>
      </c>
      <c r="L86" s="226" t="n">
        <v>0</v>
      </c>
      <c r="M86" s="226" t="n">
        <v>0</v>
      </c>
      <c r="N86" s="226" t="n">
        <v>0</v>
      </c>
      <c r="O86" s="226" t="n">
        <v>0</v>
      </c>
      <c r="P86" s="226" t="n">
        <v>0</v>
      </c>
      <c r="Q86" s="226" t="n">
        <v>0</v>
      </c>
      <c r="R86" s="226" t="n">
        <v>0</v>
      </c>
      <c r="S86" s="226" t="n">
        <v>0</v>
      </c>
      <c r="T86" s="226" t="n">
        <v>0</v>
      </c>
      <c r="U86" s="226" t="n">
        <v>0</v>
      </c>
      <c r="V86" s="226" t="n">
        <v>0</v>
      </c>
      <c r="W86" s="226" t="n">
        <v>0</v>
      </c>
      <c r="X86" s="226" t="n">
        <v>0</v>
      </c>
      <c r="Y86" s="226" t="n">
        <v>0</v>
      </c>
      <c r="Z86" s="226" t="n">
        <v>0</v>
      </c>
      <c r="AA86" s="226" t="n">
        <v>0</v>
      </c>
      <c r="AB86" s="226" t="n">
        <v>0</v>
      </c>
      <c r="AC86" s="226" t="n">
        <v>0</v>
      </c>
      <c r="AD86" s="226" t="n">
        <v>0</v>
      </c>
      <c r="AE86" s="226" t="n">
        <v>0</v>
      </c>
      <c r="AF86" s="226" t="n">
        <v>0</v>
      </c>
      <c r="AG86" s="300" t="n">
        <v>0</v>
      </c>
      <c r="AH86" s="153"/>
      <c r="AJ86" s="153"/>
      <c r="AK86" s="226"/>
      <c r="AL86" s="61"/>
      <c r="AM86" s="60"/>
    </row>
    <row r="87" customFormat="false" ht="12.75" hidden="false" customHeight="true" outlineLevel="0" collapsed="false">
      <c r="A87" s="231" t="s">
        <v>251</v>
      </c>
      <c r="B87" s="294" t="n">
        <f aca="false">SUM(C87:AG87)</f>
        <v>0</v>
      </c>
      <c r="C87" s="226" t="n">
        <v>0</v>
      </c>
      <c r="D87" s="226" t="n">
        <v>0</v>
      </c>
      <c r="E87" s="226" t="n">
        <v>0</v>
      </c>
      <c r="F87" s="226" t="n">
        <v>0</v>
      </c>
      <c r="G87" s="226" t="n">
        <v>0</v>
      </c>
      <c r="H87" s="226" t="n">
        <v>0</v>
      </c>
      <c r="I87" s="226" t="n">
        <v>0</v>
      </c>
      <c r="J87" s="226" t="n">
        <v>0</v>
      </c>
      <c r="K87" s="226" t="n">
        <v>0</v>
      </c>
      <c r="L87" s="226" t="n">
        <v>0</v>
      </c>
      <c r="M87" s="226" t="n">
        <v>0</v>
      </c>
      <c r="N87" s="226" t="n">
        <v>0</v>
      </c>
      <c r="O87" s="226" t="n">
        <v>0</v>
      </c>
      <c r="P87" s="226" t="n">
        <v>0</v>
      </c>
      <c r="Q87" s="226" t="n">
        <v>0</v>
      </c>
      <c r="R87" s="226" t="n">
        <v>0</v>
      </c>
      <c r="S87" s="226" t="n">
        <v>0</v>
      </c>
      <c r="T87" s="226" t="n">
        <v>0</v>
      </c>
      <c r="U87" s="226" t="n">
        <v>0</v>
      </c>
      <c r="V87" s="226" t="n">
        <v>0</v>
      </c>
      <c r="W87" s="226" t="n">
        <v>0</v>
      </c>
      <c r="X87" s="226" t="n">
        <v>0</v>
      </c>
      <c r="Y87" s="226" t="n">
        <v>0</v>
      </c>
      <c r="Z87" s="226" t="n">
        <v>0</v>
      </c>
      <c r="AA87" s="226" t="n">
        <v>0</v>
      </c>
      <c r="AB87" s="226" t="n">
        <v>0</v>
      </c>
      <c r="AC87" s="226" t="n">
        <v>0</v>
      </c>
      <c r="AD87" s="226" t="n">
        <v>0</v>
      </c>
      <c r="AE87" s="226" t="n">
        <v>0</v>
      </c>
      <c r="AF87" s="226" t="n">
        <v>0</v>
      </c>
      <c r="AG87" s="300" t="n">
        <v>0</v>
      </c>
      <c r="AH87" s="153"/>
      <c r="AJ87" s="153"/>
      <c r="AK87" s="226"/>
      <c r="AL87" s="61"/>
      <c r="AM87" s="60"/>
    </row>
    <row r="88" customFormat="false" ht="12.75" hidden="false" customHeight="true" outlineLevel="0" collapsed="false">
      <c r="A88" s="231" t="s">
        <v>252</v>
      </c>
      <c r="B88" s="294" t="n">
        <f aca="false">SUM(C88:AG88)</f>
        <v>0</v>
      </c>
      <c r="C88" s="226" t="n">
        <v>0</v>
      </c>
      <c r="D88" s="226" t="n">
        <v>0</v>
      </c>
      <c r="E88" s="226" t="n">
        <v>0</v>
      </c>
      <c r="F88" s="226" t="n">
        <v>0</v>
      </c>
      <c r="G88" s="226" t="n">
        <v>0</v>
      </c>
      <c r="H88" s="226" t="n">
        <v>0</v>
      </c>
      <c r="I88" s="226" t="n">
        <v>0</v>
      </c>
      <c r="J88" s="226" t="n">
        <v>0</v>
      </c>
      <c r="K88" s="226" t="n">
        <v>0</v>
      </c>
      <c r="L88" s="226" t="n">
        <v>0</v>
      </c>
      <c r="M88" s="226" t="n">
        <v>0</v>
      </c>
      <c r="N88" s="226" t="n">
        <v>0</v>
      </c>
      <c r="O88" s="226" t="n">
        <v>0</v>
      </c>
      <c r="P88" s="226" t="n">
        <v>0</v>
      </c>
      <c r="Q88" s="226" t="n">
        <v>0</v>
      </c>
      <c r="R88" s="226" t="n">
        <v>0</v>
      </c>
      <c r="S88" s="226" t="n">
        <v>0</v>
      </c>
      <c r="T88" s="226" t="n">
        <v>0</v>
      </c>
      <c r="U88" s="226" t="n">
        <v>0</v>
      </c>
      <c r="V88" s="226" t="n">
        <v>0</v>
      </c>
      <c r="W88" s="226" t="n">
        <v>0</v>
      </c>
      <c r="X88" s="226" t="n">
        <v>0</v>
      </c>
      <c r="Y88" s="226" t="n">
        <v>0</v>
      </c>
      <c r="Z88" s="226" t="n">
        <v>0</v>
      </c>
      <c r="AA88" s="226" t="n">
        <v>0</v>
      </c>
      <c r="AB88" s="226" t="n">
        <v>0</v>
      </c>
      <c r="AC88" s="226" t="n">
        <v>0</v>
      </c>
      <c r="AD88" s="226" t="n">
        <v>0</v>
      </c>
      <c r="AE88" s="226" t="n">
        <v>0</v>
      </c>
      <c r="AF88" s="226" t="n">
        <v>0</v>
      </c>
      <c r="AG88" s="300" t="n">
        <v>0</v>
      </c>
      <c r="AH88" s="153"/>
      <c r="AJ88" s="153"/>
      <c r="AK88" s="226"/>
      <c r="AL88" s="61"/>
      <c r="AM88" s="60"/>
    </row>
    <row r="89" customFormat="false" ht="12.75" hidden="false" customHeight="true" outlineLevel="0" collapsed="false">
      <c r="A89" s="231" t="s">
        <v>253</v>
      </c>
      <c r="B89" s="294" t="n">
        <f aca="false">SUM(C89:AG89)</f>
        <v>0</v>
      </c>
      <c r="C89" s="226" t="n">
        <v>0</v>
      </c>
      <c r="D89" s="226" t="n">
        <v>0</v>
      </c>
      <c r="E89" s="226" t="n">
        <v>0</v>
      </c>
      <c r="F89" s="226" t="n">
        <v>0</v>
      </c>
      <c r="G89" s="226" t="n">
        <v>0</v>
      </c>
      <c r="H89" s="226" t="n">
        <v>0</v>
      </c>
      <c r="I89" s="226" t="n">
        <v>0</v>
      </c>
      <c r="J89" s="226" t="n">
        <v>0</v>
      </c>
      <c r="K89" s="226" t="n">
        <v>0</v>
      </c>
      <c r="L89" s="226" t="n">
        <v>0</v>
      </c>
      <c r="M89" s="226" t="n">
        <v>0</v>
      </c>
      <c r="N89" s="226" t="n">
        <v>0</v>
      </c>
      <c r="O89" s="226" t="n">
        <v>0</v>
      </c>
      <c r="P89" s="226" t="n">
        <v>0</v>
      </c>
      <c r="Q89" s="226" t="n">
        <v>0</v>
      </c>
      <c r="R89" s="226" t="n">
        <v>0</v>
      </c>
      <c r="S89" s="226" t="n">
        <v>0</v>
      </c>
      <c r="T89" s="226" t="n">
        <v>0</v>
      </c>
      <c r="U89" s="226" t="n">
        <v>0</v>
      </c>
      <c r="V89" s="226" t="n">
        <v>0</v>
      </c>
      <c r="W89" s="226" t="n">
        <v>0</v>
      </c>
      <c r="X89" s="226" t="n">
        <v>0</v>
      </c>
      <c r="Y89" s="226" t="n">
        <v>0</v>
      </c>
      <c r="Z89" s="226" t="n">
        <v>0</v>
      </c>
      <c r="AA89" s="226" t="n">
        <v>0</v>
      </c>
      <c r="AB89" s="226" t="n">
        <v>0</v>
      </c>
      <c r="AC89" s="226" t="n">
        <v>0</v>
      </c>
      <c r="AD89" s="226" t="n">
        <v>0</v>
      </c>
      <c r="AE89" s="226" t="n">
        <v>0</v>
      </c>
      <c r="AF89" s="226" t="n">
        <v>0</v>
      </c>
      <c r="AG89" s="300" t="n">
        <v>0</v>
      </c>
      <c r="AH89" s="153"/>
      <c r="AJ89" s="153"/>
      <c r="AK89" s="226"/>
      <c r="AL89" s="61"/>
      <c r="AM89" s="60"/>
    </row>
    <row r="90" customFormat="false" ht="12.75" hidden="false" customHeight="true" outlineLevel="0" collapsed="false">
      <c r="A90" s="231" t="s">
        <v>254</v>
      </c>
      <c r="B90" s="294" t="n">
        <f aca="false">SUM(C90:AG90)</f>
        <v>0</v>
      </c>
      <c r="C90" s="226" t="n">
        <v>0</v>
      </c>
      <c r="D90" s="226" t="n">
        <v>0</v>
      </c>
      <c r="E90" s="226" t="n">
        <v>0</v>
      </c>
      <c r="F90" s="226" t="n">
        <v>0</v>
      </c>
      <c r="G90" s="226" t="n">
        <v>0</v>
      </c>
      <c r="H90" s="226" t="n">
        <v>0</v>
      </c>
      <c r="I90" s="226" t="n">
        <v>0</v>
      </c>
      <c r="J90" s="226" t="n">
        <v>0</v>
      </c>
      <c r="K90" s="226" t="n">
        <v>0</v>
      </c>
      <c r="L90" s="226" t="n">
        <v>0</v>
      </c>
      <c r="M90" s="226" t="n">
        <v>0</v>
      </c>
      <c r="N90" s="226" t="n">
        <v>0</v>
      </c>
      <c r="O90" s="226" t="n">
        <v>0</v>
      </c>
      <c r="P90" s="226" t="n">
        <v>0</v>
      </c>
      <c r="Q90" s="226" t="n">
        <v>0</v>
      </c>
      <c r="R90" s="226" t="n">
        <v>0</v>
      </c>
      <c r="S90" s="226" t="n">
        <v>0</v>
      </c>
      <c r="T90" s="226" t="n">
        <v>0</v>
      </c>
      <c r="U90" s="226" t="n">
        <v>0</v>
      </c>
      <c r="V90" s="226" t="n">
        <v>0</v>
      </c>
      <c r="W90" s="226" t="n">
        <v>0</v>
      </c>
      <c r="X90" s="226" t="n">
        <v>0</v>
      </c>
      <c r="Y90" s="226" t="n">
        <v>0</v>
      </c>
      <c r="Z90" s="226" t="n">
        <v>0</v>
      </c>
      <c r="AA90" s="226" t="n">
        <v>0</v>
      </c>
      <c r="AB90" s="226" t="n">
        <v>0</v>
      </c>
      <c r="AC90" s="226" t="n">
        <v>0</v>
      </c>
      <c r="AD90" s="226" t="n">
        <v>0</v>
      </c>
      <c r="AE90" s="226" t="n">
        <v>0</v>
      </c>
      <c r="AF90" s="226" t="n">
        <v>0</v>
      </c>
      <c r="AG90" s="300" t="n">
        <v>0</v>
      </c>
      <c r="AH90" s="153"/>
      <c r="AJ90" s="153"/>
      <c r="AK90" s="226"/>
      <c r="AL90" s="61"/>
      <c r="AM90" s="60"/>
    </row>
    <row r="91" customFormat="false" ht="12.75" hidden="false" customHeight="true" outlineLevel="0" collapsed="false">
      <c r="A91" s="231" t="s">
        <v>255</v>
      </c>
      <c r="B91" s="294" t="n">
        <f aca="false">SUM(C91:AG91)</f>
        <v>0</v>
      </c>
      <c r="C91" s="226" t="n">
        <v>0</v>
      </c>
      <c r="D91" s="226" t="n">
        <v>0</v>
      </c>
      <c r="E91" s="226" t="n">
        <v>0</v>
      </c>
      <c r="F91" s="226" t="n">
        <v>0</v>
      </c>
      <c r="G91" s="226" t="n">
        <v>0</v>
      </c>
      <c r="H91" s="226" t="n">
        <v>0</v>
      </c>
      <c r="I91" s="226" t="n">
        <v>0</v>
      </c>
      <c r="J91" s="226" t="n">
        <v>0</v>
      </c>
      <c r="K91" s="226" t="n">
        <v>0</v>
      </c>
      <c r="L91" s="226" t="n">
        <v>0</v>
      </c>
      <c r="M91" s="226" t="n">
        <v>0</v>
      </c>
      <c r="N91" s="226" t="n">
        <v>0</v>
      </c>
      <c r="O91" s="226" t="n">
        <v>0</v>
      </c>
      <c r="P91" s="226" t="n">
        <v>0</v>
      </c>
      <c r="Q91" s="226" t="n">
        <v>0</v>
      </c>
      <c r="R91" s="226" t="n">
        <v>0</v>
      </c>
      <c r="S91" s="226" t="n">
        <v>0</v>
      </c>
      <c r="T91" s="226" t="n">
        <v>0</v>
      </c>
      <c r="U91" s="226" t="n">
        <v>0</v>
      </c>
      <c r="V91" s="226" t="n">
        <v>0</v>
      </c>
      <c r="W91" s="226" t="n">
        <v>0</v>
      </c>
      <c r="X91" s="226" t="n">
        <v>0</v>
      </c>
      <c r="Y91" s="226" t="n">
        <v>0</v>
      </c>
      <c r="Z91" s="226" t="n">
        <v>0</v>
      </c>
      <c r="AA91" s="226" t="n">
        <v>0</v>
      </c>
      <c r="AB91" s="226" t="n">
        <v>0</v>
      </c>
      <c r="AC91" s="226" t="n">
        <v>0</v>
      </c>
      <c r="AD91" s="226" t="n">
        <v>0</v>
      </c>
      <c r="AE91" s="226" t="n">
        <v>0</v>
      </c>
      <c r="AF91" s="226" t="n">
        <v>0</v>
      </c>
      <c r="AG91" s="300" t="n">
        <v>0</v>
      </c>
      <c r="AH91" s="153"/>
      <c r="AJ91" s="153"/>
      <c r="AK91" s="226"/>
      <c r="AL91" s="61"/>
      <c r="AM91" s="60"/>
    </row>
    <row r="92" customFormat="false" ht="12.75" hidden="false" customHeight="true" outlineLevel="0" collapsed="false">
      <c r="A92" s="231" t="s">
        <v>256</v>
      </c>
      <c r="B92" s="294" t="n">
        <f aca="false">SUM(C92:AG92)</f>
        <v>0</v>
      </c>
      <c r="C92" s="226" t="n">
        <v>0</v>
      </c>
      <c r="D92" s="226" t="n">
        <v>0</v>
      </c>
      <c r="E92" s="226" t="n">
        <v>0</v>
      </c>
      <c r="F92" s="226" t="n">
        <v>0</v>
      </c>
      <c r="G92" s="226" t="n">
        <v>0</v>
      </c>
      <c r="H92" s="226" t="n">
        <v>0</v>
      </c>
      <c r="I92" s="226" t="n">
        <v>0</v>
      </c>
      <c r="J92" s="226" t="n">
        <v>0</v>
      </c>
      <c r="K92" s="226" t="n">
        <v>0</v>
      </c>
      <c r="L92" s="226" t="n">
        <v>0</v>
      </c>
      <c r="M92" s="226" t="n">
        <v>0</v>
      </c>
      <c r="N92" s="226" t="n">
        <v>0</v>
      </c>
      <c r="O92" s="226" t="n">
        <v>0</v>
      </c>
      <c r="P92" s="226" t="n">
        <v>0</v>
      </c>
      <c r="Q92" s="226" t="n">
        <v>0</v>
      </c>
      <c r="R92" s="226" t="n">
        <v>0</v>
      </c>
      <c r="S92" s="226" t="n">
        <v>0</v>
      </c>
      <c r="T92" s="226" t="n">
        <v>0</v>
      </c>
      <c r="U92" s="226" t="n">
        <v>0</v>
      </c>
      <c r="V92" s="226" t="n">
        <v>0</v>
      </c>
      <c r="W92" s="226" t="n">
        <v>0</v>
      </c>
      <c r="X92" s="226" t="n">
        <v>0</v>
      </c>
      <c r="Y92" s="226" t="n">
        <v>0</v>
      </c>
      <c r="Z92" s="226" t="n">
        <v>0</v>
      </c>
      <c r="AA92" s="226" t="n">
        <v>0</v>
      </c>
      <c r="AB92" s="226" t="n">
        <v>0</v>
      </c>
      <c r="AC92" s="226" t="n">
        <v>0</v>
      </c>
      <c r="AD92" s="226" t="n">
        <v>0</v>
      </c>
      <c r="AE92" s="226" t="n">
        <v>0</v>
      </c>
      <c r="AF92" s="226" t="n">
        <v>0</v>
      </c>
      <c r="AG92" s="300" t="n">
        <v>0</v>
      </c>
      <c r="AH92" s="153"/>
      <c r="AJ92" s="153"/>
      <c r="AK92" s="226"/>
      <c r="AL92" s="61"/>
      <c r="AM92" s="60"/>
    </row>
    <row r="93" customFormat="false" ht="12.75" hidden="false" customHeight="true" outlineLevel="0" collapsed="false">
      <c r="A93" s="231" t="s">
        <v>257</v>
      </c>
      <c r="B93" s="294" t="n">
        <f aca="false">SUM(C93:AG93)</f>
        <v>0</v>
      </c>
      <c r="C93" s="226" t="n">
        <v>0</v>
      </c>
      <c r="D93" s="226" t="n">
        <v>0</v>
      </c>
      <c r="E93" s="226" t="n">
        <v>0</v>
      </c>
      <c r="F93" s="226" t="n">
        <v>0</v>
      </c>
      <c r="G93" s="226" t="n">
        <v>0</v>
      </c>
      <c r="H93" s="226" t="n">
        <v>0</v>
      </c>
      <c r="I93" s="226" t="n">
        <v>0</v>
      </c>
      <c r="J93" s="226" t="n">
        <v>0</v>
      </c>
      <c r="K93" s="226" t="n">
        <v>0</v>
      </c>
      <c r="L93" s="226" t="n">
        <v>0</v>
      </c>
      <c r="M93" s="226" t="n">
        <v>0</v>
      </c>
      <c r="N93" s="226" t="n">
        <v>0</v>
      </c>
      <c r="O93" s="226" t="n">
        <v>0</v>
      </c>
      <c r="P93" s="226" t="n">
        <v>0</v>
      </c>
      <c r="Q93" s="226" t="n">
        <v>0</v>
      </c>
      <c r="R93" s="226" t="n">
        <v>0</v>
      </c>
      <c r="S93" s="226" t="n">
        <v>0</v>
      </c>
      <c r="T93" s="226" t="n">
        <v>0</v>
      </c>
      <c r="U93" s="226" t="n">
        <v>0</v>
      </c>
      <c r="V93" s="226" t="n">
        <v>0</v>
      </c>
      <c r="W93" s="226" t="n">
        <v>0</v>
      </c>
      <c r="X93" s="226" t="n">
        <v>0</v>
      </c>
      <c r="Y93" s="226" t="n">
        <v>0</v>
      </c>
      <c r="Z93" s="226" t="n">
        <v>0</v>
      </c>
      <c r="AA93" s="226" t="n">
        <v>0</v>
      </c>
      <c r="AB93" s="226" t="n">
        <v>0</v>
      </c>
      <c r="AC93" s="226" t="n">
        <v>0</v>
      </c>
      <c r="AD93" s="226" t="n">
        <v>0</v>
      </c>
      <c r="AE93" s="226" t="n">
        <v>0</v>
      </c>
      <c r="AF93" s="226" t="n">
        <v>0</v>
      </c>
      <c r="AG93" s="300" t="n">
        <v>0</v>
      </c>
      <c r="AH93" s="153"/>
      <c r="AJ93" s="153"/>
      <c r="AK93" s="226"/>
      <c r="AL93" s="61"/>
      <c r="AM93" s="60"/>
    </row>
    <row r="94" customFormat="false" ht="12.75" hidden="false" customHeight="true" outlineLevel="0" collapsed="false">
      <c r="A94" s="231" t="s">
        <v>258</v>
      </c>
      <c r="B94" s="294" t="n">
        <f aca="false">SUM(C94:AG94)</f>
        <v>0</v>
      </c>
      <c r="C94" s="226" t="n">
        <v>0</v>
      </c>
      <c r="D94" s="226" t="n">
        <v>0</v>
      </c>
      <c r="E94" s="226" t="n">
        <v>0</v>
      </c>
      <c r="F94" s="226" t="n">
        <v>0</v>
      </c>
      <c r="G94" s="226" t="n">
        <v>0</v>
      </c>
      <c r="H94" s="226" t="n">
        <v>0</v>
      </c>
      <c r="I94" s="226" t="n">
        <v>0</v>
      </c>
      <c r="J94" s="226" t="n">
        <v>0</v>
      </c>
      <c r="K94" s="226" t="n">
        <v>0</v>
      </c>
      <c r="L94" s="226" t="n">
        <v>0</v>
      </c>
      <c r="M94" s="226" t="n">
        <v>0</v>
      </c>
      <c r="N94" s="226" t="n">
        <v>0</v>
      </c>
      <c r="O94" s="226" t="n">
        <v>0</v>
      </c>
      <c r="P94" s="226" t="n">
        <v>0</v>
      </c>
      <c r="Q94" s="226" t="n">
        <v>0</v>
      </c>
      <c r="R94" s="226" t="n">
        <v>0</v>
      </c>
      <c r="S94" s="226" t="n">
        <v>0</v>
      </c>
      <c r="T94" s="226" t="n">
        <v>0</v>
      </c>
      <c r="U94" s="226" t="n">
        <v>0</v>
      </c>
      <c r="V94" s="226" t="n">
        <v>0</v>
      </c>
      <c r="W94" s="226" t="n">
        <v>0</v>
      </c>
      <c r="X94" s="226" t="n">
        <v>0</v>
      </c>
      <c r="Y94" s="226" t="n">
        <v>0</v>
      </c>
      <c r="Z94" s="226" t="n">
        <v>0</v>
      </c>
      <c r="AA94" s="226" t="n">
        <v>0</v>
      </c>
      <c r="AB94" s="226" t="n">
        <v>0</v>
      </c>
      <c r="AC94" s="226" t="n">
        <v>0</v>
      </c>
      <c r="AD94" s="226" t="n">
        <v>0</v>
      </c>
      <c r="AE94" s="226" t="n">
        <v>0</v>
      </c>
      <c r="AF94" s="226" t="n">
        <v>0</v>
      </c>
      <c r="AG94" s="300" t="n">
        <v>0</v>
      </c>
      <c r="AH94" s="153"/>
      <c r="AJ94" s="153"/>
      <c r="AK94" s="226"/>
      <c r="AL94" s="61"/>
      <c r="AM94" s="60"/>
    </row>
    <row r="95" customFormat="false" ht="12.75" hidden="false" customHeight="true" outlineLevel="0" collapsed="false">
      <c r="A95" s="231" t="s">
        <v>259</v>
      </c>
      <c r="B95" s="294" t="n">
        <f aca="false">SUM(C95:AG95)</f>
        <v>0</v>
      </c>
      <c r="C95" s="226" t="n">
        <v>0</v>
      </c>
      <c r="D95" s="226" t="n">
        <v>0</v>
      </c>
      <c r="E95" s="226" t="n">
        <v>0</v>
      </c>
      <c r="F95" s="226" t="n">
        <v>0</v>
      </c>
      <c r="G95" s="226" t="n">
        <v>0</v>
      </c>
      <c r="H95" s="226" t="n">
        <v>0</v>
      </c>
      <c r="I95" s="226" t="n">
        <v>0</v>
      </c>
      <c r="J95" s="226" t="n">
        <v>0</v>
      </c>
      <c r="K95" s="226" t="n">
        <v>0</v>
      </c>
      <c r="L95" s="226" t="n">
        <v>0</v>
      </c>
      <c r="M95" s="226" t="n">
        <v>0</v>
      </c>
      <c r="N95" s="226" t="n">
        <v>0</v>
      </c>
      <c r="O95" s="226" t="n">
        <v>0</v>
      </c>
      <c r="P95" s="226" t="n">
        <v>0</v>
      </c>
      <c r="Q95" s="226" t="n">
        <v>0</v>
      </c>
      <c r="R95" s="226" t="n">
        <v>0</v>
      </c>
      <c r="S95" s="226" t="n">
        <v>0</v>
      </c>
      <c r="T95" s="226" t="n">
        <v>0</v>
      </c>
      <c r="U95" s="226" t="n">
        <v>0</v>
      </c>
      <c r="V95" s="226" t="n">
        <v>0</v>
      </c>
      <c r="W95" s="226" t="n">
        <v>0</v>
      </c>
      <c r="X95" s="226" t="n">
        <v>0</v>
      </c>
      <c r="Y95" s="226" t="n">
        <v>0</v>
      </c>
      <c r="Z95" s="226" t="n">
        <v>0</v>
      </c>
      <c r="AA95" s="226" t="n">
        <v>0</v>
      </c>
      <c r="AB95" s="226" t="n">
        <v>0</v>
      </c>
      <c r="AC95" s="226" t="n">
        <v>0</v>
      </c>
      <c r="AD95" s="226" t="n">
        <v>0</v>
      </c>
      <c r="AE95" s="226" t="n">
        <v>0</v>
      </c>
      <c r="AF95" s="226" t="n">
        <v>0</v>
      </c>
      <c r="AG95" s="300" t="n">
        <v>0</v>
      </c>
      <c r="AH95" s="153"/>
      <c r="AJ95" s="153"/>
      <c r="AK95" s="226"/>
      <c r="AL95" s="61"/>
      <c r="AM95" s="60"/>
    </row>
    <row r="96" customFormat="false" ht="12.75" hidden="false" customHeight="true" outlineLevel="0" collapsed="false">
      <c r="A96" s="231" t="s">
        <v>260</v>
      </c>
      <c r="B96" s="294" t="n">
        <f aca="false">SUM(C96:AG96)</f>
        <v>0</v>
      </c>
      <c r="C96" s="226" t="n">
        <v>0</v>
      </c>
      <c r="D96" s="226" t="n">
        <v>0</v>
      </c>
      <c r="E96" s="226" t="n">
        <v>0</v>
      </c>
      <c r="F96" s="226" t="n">
        <v>0</v>
      </c>
      <c r="G96" s="226" t="n">
        <v>0</v>
      </c>
      <c r="H96" s="226" t="n">
        <v>0</v>
      </c>
      <c r="I96" s="226" t="n">
        <v>0</v>
      </c>
      <c r="J96" s="226" t="n">
        <v>0</v>
      </c>
      <c r="K96" s="226" t="n">
        <v>0</v>
      </c>
      <c r="L96" s="226" t="n">
        <v>0</v>
      </c>
      <c r="M96" s="226" t="n">
        <v>0</v>
      </c>
      <c r="N96" s="226" t="n">
        <v>0</v>
      </c>
      <c r="O96" s="226" t="n">
        <v>0</v>
      </c>
      <c r="P96" s="226" t="n">
        <v>0</v>
      </c>
      <c r="Q96" s="226" t="n">
        <v>0</v>
      </c>
      <c r="R96" s="226" t="n">
        <v>0</v>
      </c>
      <c r="S96" s="226" t="n">
        <v>0</v>
      </c>
      <c r="T96" s="226" t="n">
        <v>0</v>
      </c>
      <c r="U96" s="226" t="n">
        <v>0</v>
      </c>
      <c r="V96" s="226" t="n">
        <v>0</v>
      </c>
      <c r="W96" s="226" t="n">
        <v>0</v>
      </c>
      <c r="X96" s="226" t="n">
        <v>0</v>
      </c>
      <c r="Y96" s="226" t="n">
        <v>0</v>
      </c>
      <c r="Z96" s="226" t="n">
        <v>0</v>
      </c>
      <c r="AA96" s="226" t="n">
        <v>0</v>
      </c>
      <c r="AB96" s="226" t="n">
        <v>0</v>
      </c>
      <c r="AC96" s="226" t="n">
        <v>0</v>
      </c>
      <c r="AD96" s="226" t="n">
        <v>0</v>
      </c>
      <c r="AE96" s="226" t="n">
        <v>0</v>
      </c>
      <c r="AF96" s="226" t="n">
        <v>0</v>
      </c>
      <c r="AG96" s="300" t="n">
        <v>0</v>
      </c>
      <c r="AH96" s="153"/>
      <c r="AJ96" s="153"/>
      <c r="AK96" s="226"/>
      <c r="AL96" s="61"/>
      <c r="AM96" s="60"/>
    </row>
    <row r="97" customFormat="false" ht="12.75" hidden="false" customHeight="true" outlineLevel="0" collapsed="false">
      <c r="A97" s="231" t="s">
        <v>261</v>
      </c>
      <c r="B97" s="294" t="n">
        <f aca="false">SUM(C97:AG97)</f>
        <v>0</v>
      </c>
      <c r="C97" s="226" t="n">
        <v>0</v>
      </c>
      <c r="D97" s="226" t="n">
        <v>0</v>
      </c>
      <c r="E97" s="226" t="n">
        <v>0</v>
      </c>
      <c r="F97" s="226" t="n">
        <v>0</v>
      </c>
      <c r="G97" s="226" t="n">
        <v>0</v>
      </c>
      <c r="H97" s="226" t="n">
        <v>0</v>
      </c>
      <c r="I97" s="226" t="n">
        <v>0</v>
      </c>
      <c r="J97" s="226" t="n">
        <v>0</v>
      </c>
      <c r="K97" s="226" t="n">
        <v>0</v>
      </c>
      <c r="L97" s="226" t="n">
        <v>0</v>
      </c>
      <c r="M97" s="226" t="n">
        <v>0</v>
      </c>
      <c r="N97" s="226" t="n">
        <v>0</v>
      </c>
      <c r="O97" s="226" t="n">
        <v>0</v>
      </c>
      <c r="P97" s="226" t="n">
        <v>0</v>
      </c>
      <c r="Q97" s="226" t="n">
        <v>0</v>
      </c>
      <c r="R97" s="226" t="n">
        <v>0</v>
      </c>
      <c r="S97" s="226" t="n">
        <v>0</v>
      </c>
      <c r="T97" s="226" t="n">
        <v>0</v>
      </c>
      <c r="U97" s="226" t="n">
        <v>0</v>
      </c>
      <c r="V97" s="226" t="n">
        <v>0</v>
      </c>
      <c r="W97" s="226" t="n">
        <v>0</v>
      </c>
      <c r="X97" s="226" t="n">
        <v>0</v>
      </c>
      <c r="Y97" s="226" t="n">
        <v>0</v>
      </c>
      <c r="Z97" s="226" t="n">
        <v>0</v>
      </c>
      <c r="AA97" s="226" t="n">
        <v>0</v>
      </c>
      <c r="AB97" s="226" t="n">
        <v>0</v>
      </c>
      <c r="AC97" s="226" t="n">
        <v>0</v>
      </c>
      <c r="AD97" s="226" t="n">
        <v>0</v>
      </c>
      <c r="AE97" s="226" t="n">
        <v>0</v>
      </c>
      <c r="AF97" s="226" t="n">
        <v>0</v>
      </c>
      <c r="AG97" s="300" t="n">
        <v>0</v>
      </c>
      <c r="AH97" s="153"/>
      <c r="AJ97" s="153"/>
      <c r="AK97" s="226"/>
      <c r="AL97" s="61"/>
      <c r="AM97" s="60"/>
    </row>
    <row r="98" customFormat="false" ht="12.75" hidden="false" customHeight="true" outlineLevel="0" collapsed="false">
      <c r="A98" s="231"/>
      <c r="B98" s="294"/>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300"/>
      <c r="AH98" s="153"/>
      <c r="AJ98" s="153"/>
      <c r="AK98" s="226"/>
      <c r="AL98" s="61"/>
      <c r="AM98" s="60"/>
    </row>
    <row r="99" customFormat="false" ht="12.75" hidden="false" customHeight="true" outlineLevel="0" collapsed="false">
      <c r="A99" s="231"/>
      <c r="B99" s="294"/>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300"/>
      <c r="AH99" s="153"/>
      <c r="AJ99" s="153"/>
      <c r="AK99" s="226"/>
      <c r="AL99" s="61"/>
      <c r="AM99" s="60"/>
    </row>
    <row r="100" customFormat="false" ht="12.75" hidden="false" customHeight="true" outlineLevel="0" collapsed="false">
      <c r="A100" s="231"/>
      <c r="B100" s="294"/>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300"/>
      <c r="AH100" s="153"/>
      <c r="AJ100" s="153"/>
      <c r="AK100" s="226"/>
      <c r="AL100" s="61"/>
      <c r="AM100" s="60"/>
    </row>
    <row r="101" customFormat="false" ht="12.75" hidden="false" customHeight="true" outlineLevel="0" collapsed="false">
      <c r="A101" s="231"/>
      <c r="B101" s="294"/>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300"/>
      <c r="AH101" s="153"/>
      <c r="AJ101" s="153"/>
      <c r="AK101" s="226"/>
      <c r="AL101" s="61"/>
      <c r="AM101" s="60"/>
    </row>
    <row r="102" customFormat="false" ht="12.75" hidden="false" customHeight="true" outlineLevel="0" collapsed="false">
      <c r="A102" s="313" t="s">
        <v>262</v>
      </c>
      <c r="B102" s="303" t="n">
        <f aca="false">SUM(B87:B101)</f>
        <v>0</v>
      </c>
      <c r="C102" s="314"/>
      <c r="D102" s="314"/>
      <c r="E102" s="314"/>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5"/>
      <c r="AH102" s="153"/>
      <c r="AJ102" s="153"/>
      <c r="AK102" s="226"/>
      <c r="AL102" s="61"/>
      <c r="AM102" s="60"/>
    </row>
    <row r="103" customFormat="false" ht="12.75" hidden="false" customHeight="true" outlineLevel="0" collapsed="false">
      <c r="A103" s="153"/>
      <c r="B103" s="307"/>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153"/>
      <c r="AJ103" s="153"/>
      <c r="AK103" s="226"/>
      <c r="AL103" s="61"/>
      <c r="AM103" s="60"/>
    </row>
    <row r="104" customFormat="false" ht="12.75" hidden="false" customHeight="true" outlineLevel="0" collapsed="false">
      <c r="A104" s="273"/>
      <c r="B104" s="274" t="s">
        <v>210</v>
      </c>
      <c r="C104" s="275" t="n">
        <f aca="false">SUM(C108:C117)</f>
        <v>0</v>
      </c>
      <c r="D104" s="275" t="n">
        <f aca="false">SUM(D108:D117)</f>
        <v>0</v>
      </c>
      <c r="E104" s="275" t="n">
        <f aca="false">SUM(E108:E117)</f>
        <v>0</v>
      </c>
      <c r="F104" s="275" t="n">
        <f aca="false">SUM(F108:F117)</f>
        <v>0</v>
      </c>
      <c r="G104" s="275" t="n">
        <f aca="false">SUM(G108:G117)</f>
        <v>0</v>
      </c>
      <c r="H104" s="275" t="n">
        <f aca="false">SUM(H108:H117)</f>
        <v>0</v>
      </c>
      <c r="I104" s="275" t="n">
        <f aca="false">SUM(I108:I117)</f>
        <v>0</v>
      </c>
      <c r="J104" s="275" t="n">
        <f aca="false">SUM(J108:J117)</f>
        <v>0</v>
      </c>
      <c r="K104" s="275" t="n">
        <f aca="false">SUM(K108:K117)</f>
        <v>0</v>
      </c>
      <c r="L104" s="275" t="n">
        <f aca="false">SUM(L108:L117)</f>
        <v>0</v>
      </c>
      <c r="M104" s="275" t="n">
        <f aca="false">SUM(M108:M117)</f>
        <v>0</v>
      </c>
      <c r="N104" s="275" t="n">
        <f aca="false">SUM(N108:N117)</f>
        <v>0</v>
      </c>
      <c r="O104" s="275" t="n">
        <f aca="false">SUM(O108:O117)</f>
        <v>0</v>
      </c>
      <c r="P104" s="275" t="n">
        <f aca="false">SUM(P108:P117)</f>
        <v>0</v>
      </c>
      <c r="Q104" s="275" t="n">
        <f aca="false">SUM(Q108:Q117)</f>
        <v>0</v>
      </c>
      <c r="R104" s="275" t="n">
        <f aca="false">SUM(R108:R117)</f>
        <v>0</v>
      </c>
      <c r="S104" s="275" t="n">
        <f aca="false">SUM(S108:S117)</f>
        <v>0</v>
      </c>
      <c r="T104" s="275" t="n">
        <f aca="false">SUM(T108:T117)</f>
        <v>0</v>
      </c>
      <c r="U104" s="275" t="n">
        <f aca="false">SUM(U108:U117)</f>
        <v>0</v>
      </c>
      <c r="V104" s="275" t="n">
        <f aca="false">SUM(V108:V117)</f>
        <v>0</v>
      </c>
      <c r="W104" s="275" t="n">
        <f aca="false">SUM(W108:W117)</f>
        <v>0</v>
      </c>
      <c r="X104" s="275" t="n">
        <f aca="false">SUM(X108:X117)</f>
        <v>0</v>
      </c>
      <c r="Y104" s="275" t="n">
        <f aca="false">SUM(Y108:Y117)</f>
        <v>0</v>
      </c>
      <c r="Z104" s="275" t="n">
        <f aca="false">SUM(Z108:Z117)</f>
        <v>0</v>
      </c>
      <c r="AA104" s="275" t="n">
        <f aca="false">SUM(AA108:AA117)</f>
        <v>0</v>
      </c>
      <c r="AB104" s="275" t="n">
        <f aca="false">SUM(AB108:AB117)</f>
        <v>0</v>
      </c>
      <c r="AC104" s="275" t="n">
        <f aca="false">SUM(AC108:AC117)</f>
        <v>0</v>
      </c>
      <c r="AD104" s="275" t="n">
        <f aca="false">SUM(AD108:AD117)</f>
        <v>0</v>
      </c>
      <c r="AE104" s="275" t="n">
        <f aca="false">SUM(AE108:AE117)</f>
        <v>0</v>
      </c>
      <c r="AF104" s="275" t="n">
        <f aca="false">SUM(AF108:AF117)</f>
        <v>0</v>
      </c>
      <c r="AG104" s="275" t="n">
        <f aca="false">SUM(AG108:AG117)</f>
        <v>0</v>
      </c>
      <c r="AH104" s="59"/>
      <c r="AI104" s="76"/>
      <c r="AJ104" s="85"/>
      <c r="AK104" s="59"/>
      <c r="AL104" s="77"/>
      <c r="AN104" s="59"/>
      <c r="AO104" s="59"/>
      <c r="AP104" s="59"/>
      <c r="AQ104" s="59"/>
      <c r="AR104" s="59"/>
      <c r="AS104" s="59"/>
    </row>
    <row r="105" customFormat="false" ht="12.75" hidden="false" customHeight="true" outlineLevel="0" collapsed="false">
      <c r="A105" s="278" t="s">
        <v>263</v>
      </c>
      <c r="B105" s="279" t="n">
        <f aca="false">B44</f>
        <v>36831</v>
      </c>
      <c r="C105" s="280" t="n">
        <f aca="false">C44</f>
        <v>36831</v>
      </c>
      <c r="D105" s="280" t="n">
        <f aca="false">D44</f>
        <v>36832</v>
      </c>
      <c r="E105" s="280" t="n">
        <f aca="false">E44</f>
        <v>36833</v>
      </c>
      <c r="F105" s="280" t="n">
        <f aca="false">F44</f>
        <v>36834</v>
      </c>
      <c r="G105" s="280" t="n">
        <f aca="false">G44</f>
        <v>36835</v>
      </c>
      <c r="H105" s="280" t="n">
        <f aca="false">H44</f>
        <v>36836</v>
      </c>
      <c r="I105" s="280" t="n">
        <f aca="false">I44</f>
        <v>36837</v>
      </c>
      <c r="J105" s="280" t="n">
        <f aca="false">J44</f>
        <v>36838</v>
      </c>
      <c r="K105" s="280" t="n">
        <f aca="false">K44</f>
        <v>36839</v>
      </c>
      <c r="L105" s="280" t="n">
        <f aca="false">L44</f>
        <v>36840</v>
      </c>
      <c r="M105" s="280" t="n">
        <f aca="false">M44</f>
        <v>36841</v>
      </c>
      <c r="N105" s="280" t="n">
        <f aca="false">N44</f>
        <v>36842</v>
      </c>
      <c r="O105" s="280" t="n">
        <f aca="false">O44</f>
        <v>36843</v>
      </c>
      <c r="P105" s="280" t="n">
        <f aca="false">P44</f>
        <v>36844</v>
      </c>
      <c r="Q105" s="280" t="n">
        <f aca="false">Q44</f>
        <v>36845</v>
      </c>
      <c r="R105" s="280" t="n">
        <f aca="false">R44</f>
        <v>36846</v>
      </c>
      <c r="S105" s="280" t="n">
        <f aca="false">S44</f>
        <v>36847</v>
      </c>
      <c r="T105" s="280" t="n">
        <f aca="false">T44</f>
        <v>36848</v>
      </c>
      <c r="U105" s="280" t="n">
        <f aca="false">U44</f>
        <v>36849</v>
      </c>
      <c r="V105" s="280" t="n">
        <f aca="false">V44</f>
        <v>36850</v>
      </c>
      <c r="W105" s="280" t="n">
        <f aca="false">W44</f>
        <v>36851</v>
      </c>
      <c r="X105" s="280" t="n">
        <f aca="false">X44</f>
        <v>36852</v>
      </c>
      <c r="Y105" s="280" t="n">
        <f aca="false">Y44</f>
        <v>36853</v>
      </c>
      <c r="Z105" s="280" t="n">
        <f aca="false">Z44</f>
        <v>36854</v>
      </c>
      <c r="AA105" s="280" t="n">
        <f aca="false">AA44</f>
        <v>36855</v>
      </c>
      <c r="AB105" s="280" t="n">
        <f aca="false">AB44</f>
        <v>36856</v>
      </c>
      <c r="AC105" s="280" t="n">
        <f aca="false">AC44</f>
        <v>36857</v>
      </c>
      <c r="AD105" s="280" t="n">
        <f aca="false">AD44</f>
        <v>36858</v>
      </c>
      <c r="AE105" s="280" t="n">
        <f aca="false">AE44</f>
        <v>36859</v>
      </c>
      <c r="AF105" s="280" t="n">
        <f aca="false">AF44</f>
        <v>36860</v>
      </c>
      <c r="AG105" s="280" t="n">
        <f aca="false">AG44</f>
        <v>36861</v>
      </c>
      <c r="AH105" s="281"/>
      <c r="AI105" s="76"/>
      <c r="AJ105" s="309"/>
      <c r="AK105" s="281"/>
      <c r="AL105" s="284"/>
      <c r="AM105" s="281"/>
      <c r="AN105" s="281"/>
      <c r="AO105" s="281"/>
      <c r="AP105" s="281"/>
      <c r="AQ105" s="281"/>
      <c r="AR105" s="281"/>
      <c r="AS105" s="281"/>
      <c r="AT105" s="281"/>
      <c r="AU105" s="281"/>
      <c r="AV105" s="281"/>
      <c r="AW105" s="281"/>
      <c r="AX105" s="281"/>
      <c r="AY105" s="281"/>
      <c r="AZ105" s="281"/>
      <c r="BA105" s="281"/>
      <c r="BB105" s="281"/>
      <c r="BC105" s="281"/>
      <c r="BD105" s="281"/>
      <c r="BE105" s="281"/>
      <c r="BF105" s="281"/>
      <c r="BG105" s="281"/>
      <c r="BH105" s="281"/>
      <c r="BI105" s="281"/>
      <c r="BJ105" s="281"/>
      <c r="BK105" s="281"/>
      <c r="BL105" s="281"/>
      <c r="BM105" s="281"/>
      <c r="BN105" s="281"/>
      <c r="BO105" s="281"/>
      <c r="BP105" s="281"/>
      <c r="BQ105" s="281"/>
      <c r="BR105" s="281"/>
      <c r="BS105" s="281"/>
      <c r="BT105" s="281"/>
      <c r="BU105" s="281"/>
      <c r="BV105" s="281"/>
      <c r="BW105" s="281"/>
      <c r="BX105" s="281"/>
      <c r="BY105" s="281"/>
      <c r="BZ105" s="281"/>
      <c r="CA105" s="281"/>
      <c r="CB105" s="281"/>
      <c r="CC105" s="281"/>
      <c r="CD105" s="281"/>
      <c r="CE105" s="281"/>
      <c r="CF105" s="281"/>
      <c r="CG105" s="281"/>
      <c r="CH105" s="281"/>
      <c r="CI105" s="281"/>
      <c r="CJ105" s="281"/>
      <c r="CK105" s="281"/>
      <c r="CL105" s="281"/>
      <c r="CM105" s="281"/>
      <c r="CN105" s="281"/>
      <c r="CO105" s="281"/>
      <c r="CP105" s="281"/>
      <c r="CQ105" s="281"/>
      <c r="CR105" s="281"/>
      <c r="CS105" s="281"/>
      <c r="CT105" s="281"/>
      <c r="CU105" s="281"/>
      <c r="CV105" s="281"/>
      <c r="CW105" s="281"/>
      <c r="CX105" s="281"/>
      <c r="CY105" s="281"/>
      <c r="CZ105" s="281"/>
      <c r="DA105" s="281"/>
      <c r="DB105" s="281"/>
      <c r="DC105" s="281"/>
      <c r="DD105" s="281"/>
      <c r="DE105" s="281"/>
      <c r="DF105" s="281"/>
      <c r="DG105" s="281"/>
      <c r="DH105" s="281"/>
      <c r="DI105" s="281"/>
      <c r="DJ105" s="281"/>
      <c r="DK105" s="281"/>
      <c r="DL105" s="281"/>
      <c r="DM105" s="281"/>
      <c r="DN105" s="281"/>
      <c r="DO105" s="281"/>
      <c r="DP105" s="281"/>
      <c r="DQ105" s="281"/>
      <c r="DR105" s="281"/>
      <c r="DS105" s="281"/>
      <c r="DT105" s="281"/>
      <c r="DU105" s="281"/>
      <c r="DV105" s="281"/>
      <c r="DW105" s="281"/>
      <c r="DX105" s="281"/>
      <c r="DY105" s="281"/>
      <c r="DZ105" s="281"/>
      <c r="EA105" s="281"/>
      <c r="EB105" s="281"/>
      <c r="EC105" s="281"/>
      <c r="ED105" s="281"/>
      <c r="EE105" s="281"/>
      <c r="EF105" s="281"/>
      <c r="EG105" s="281"/>
      <c r="EH105" s="281"/>
      <c r="EI105" s="281"/>
      <c r="EJ105" s="281"/>
      <c r="EK105" s="281"/>
      <c r="EL105" s="281"/>
      <c r="EM105" s="281"/>
      <c r="EN105" s="281"/>
      <c r="EO105" s="281"/>
      <c r="EP105" s="281"/>
      <c r="EQ105" s="281"/>
      <c r="ER105" s="281"/>
      <c r="ES105" s="281"/>
      <c r="ET105" s="281"/>
      <c r="EU105" s="281"/>
      <c r="EV105" s="281"/>
      <c r="EW105" s="281"/>
      <c r="EX105" s="281"/>
      <c r="EY105" s="281"/>
      <c r="EZ105" s="281"/>
      <c r="FA105" s="281"/>
      <c r="FB105" s="281"/>
      <c r="FC105" s="281"/>
      <c r="FD105" s="281"/>
      <c r="FE105" s="281"/>
      <c r="FF105" s="281"/>
      <c r="FG105" s="281"/>
      <c r="FH105" s="281"/>
      <c r="FI105" s="281"/>
      <c r="FJ105" s="281"/>
      <c r="FK105" s="281"/>
      <c r="FL105" s="281"/>
      <c r="FM105" s="281"/>
      <c r="FN105" s="281"/>
      <c r="FO105" s="281"/>
      <c r="FP105" s="281"/>
      <c r="FQ105" s="281"/>
      <c r="FR105" s="281"/>
      <c r="FS105" s="281"/>
      <c r="FT105" s="281"/>
      <c r="FU105" s="281"/>
      <c r="FV105" s="281"/>
      <c r="FW105" s="281"/>
      <c r="FX105" s="281"/>
      <c r="FY105" s="281"/>
      <c r="FZ105" s="281"/>
      <c r="GA105" s="281"/>
      <c r="GB105" s="281"/>
      <c r="GC105" s="281"/>
      <c r="GD105" s="281"/>
      <c r="GE105" s="281"/>
      <c r="GF105" s="281"/>
      <c r="GG105" s="281"/>
      <c r="GH105" s="281"/>
      <c r="GI105" s="281"/>
      <c r="GJ105" s="281"/>
      <c r="GK105" s="281"/>
      <c r="GL105" s="281"/>
      <c r="GM105" s="281"/>
      <c r="GN105" s="281"/>
      <c r="GO105" s="281"/>
      <c r="GP105" s="281"/>
      <c r="GQ105" s="281"/>
      <c r="GR105" s="281"/>
      <c r="GS105" s="281"/>
      <c r="GT105" s="281"/>
      <c r="GU105" s="281"/>
      <c r="GV105" s="281"/>
      <c r="GW105" s="281"/>
      <c r="GX105" s="281"/>
      <c r="GY105" s="281"/>
      <c r="GZ105" s="281"/>
      <c r="HA105" s="281"/>
      <c r="HB105" s="281"/>
      <c r="HC105" s="281"/>
      <c r="HD105" s="281"/>
      <c r="HE105" s="281"/>
      <c r="HF105" s="281"/>
      <c r="HG105" s="281"/>
      <c r="HH105" s="281"/>
      <c r="HI105" s="281"/>
      <c r="HJ105" s="281"/>
      <c r="HK105" s="281"/>
      <c r="HL105" s="281"/>
      <c r="HM105" s="281"/>
      <c r="HN105" s="281"/>
      <c r="HO105" s="281"/>
      <c r="HP105" s="281"/>
      <c r="HQ105" s="281"/>
      <c r="HR105" s="281"/>
      <c r="HS105" s="281"/>
      <c r="HT105" s="281"/>
      <c r="HU105" s="281"/>
      <c r="HV105" s="281"/>
      <c r="HW105" s="281"/>
      <c r="HX105" s="281"/>
      <c r="HY105" s="281"/>
      <c r="HZ105" s="281"/>
      <c r="IA105" s="281"/>
      <c r="IB105" s="281"/>
      <c r="IC105" s="281"/>
      <c r="ID105" s="281"/>
      <c r="IE105" s="281"/>
      <c r="IF105" s="281"/>
      <c r="IG105" s="281"/>
      <c r="IH105" s="281"/>
      <c r="II105" s="281"/>
      <c r="IJ105" s="281"/>
      <c r="IK105" s="281"/>
      <c r="IL105" s="281"/>
      <c r="IM105" s="281"/>
      <c r="IN105" s="281"/>
      <c r="IO105" s="281"/>
      <c r="IP105" s="281"/>
      <c r="IQ105" s="281"/>
      <c r="IR105" s="281"/>
      <c r="IS105" s="281"/>
      <c r="IT105" s="281"/>
      <c r="IU105" s="281"/>
      <c r="IV105" s="281"/>
      <c r="IW105" s="281"/>
    </row>
    <row r="106" customFormat="false" ht="12.75" hidden="false" customHeight="true" outlineLevel="0" collapsed="false">
      <c r="A106" s="285"/>
      <c r="B106" s="285"/>
      <c r="C106" s="286" t="str">
        <f aca="false">C45</f>
        <v>W</v>
      </c>
      <c r="D106" s="286" t="str">
        <f aca="false">D45</f>
        <v>R</v>
      </c>
      <c r="E106" s="286" t="str">
        <f aca="false">E45</f>
        <v>F</v>
      </c>
      <c r="F106" s="286" t="str">
        <f aca="false">F45</f>
        <v>S</v>
      </c>
      <c r="G106" s="286" t="str">
        <f aca="false">G45</f>
        <v>S</v>
      </c>
      <c r="H106" s="286" t="str">
        <f aca="false">H45</f>
        <v>M</v>
      </c>
      <c r="I106" s="286" t="str">
        <f aca="false">I45</f>
        <v>T</v>
      </c>
      <c r="J106" s="286" t="str">
        <f aca="false">J45</f>
        <v>W</v>
      </c>
      <c r="K106" s="286" t="str">
        <f aca="false">K45</f>
        <v>R</v>
      </c>
      <c r="L106" s="286" t="str">
        <f aca="false">L45</f>
        <v>F</v>
      </c>
      <c r="M106" s="286" t="str">
        <f aca="false">M45</f>
        <v>S</v>
      </c>
      <c r="N106" s="286" t="str">
        <f aca="false">N45</f>
        <v>S</v>
      </c>
      <c r="O106" s="286" t="str">
        <f aca="false">O45</f>
        <v>M</v>
      </c>
      <c r="P106" s="286" t="str">
        <f aca="false">P45</f>
        <v>T</v>
      </c>
      <c r="Q106" s="286" t="str">
        <f aca="false">Q45</f>
        <v>W</v>
      </c>
      <c r="R106" s="286" t="str">
        <f aca="false">R45</f>
        <v>R</v>
      </c>
      <c r="S106" s="286" t="str">
        <f aca="false">S45</f>
        <v>F</v>
      </c>
      <c r="T106" s="286" t="str">
        <f aca="false">T45</f>
        <v>S</v>
      </c>
      <c r="U106" s="286" t="str">
        <f aca="false">U45</f>
        <v>S</v>
      </c>
      <c r="V106" s="286" t="str">
        <f aca="false">V45</f>
        <v>M</v>
      </c>
      <c r="W106" s="286" t="str">
        <f aca="false">W45</f>
        <v>T</v>
      </c>
      <c r="X106" s="286" t="str">
        <f aca="false">X45</f>
        <v>W</v>
      </c>
      <c r="Y106" s="286" t="str">
        <f aca="false">Y45</f>
        <v>R</v>
      </c>
      <c r="Z106" s="286" t="str">
        <f aca="false">Z45</f>
        <v>F</v>
      </c>
      <c r="AA106" s="286" t="str">
        <f aca="false">AA45</f>
        <v>S</v>
      </c>
      <c r="AB106" s="286" t="str">
        <f aca="false">AB45</f>
        <v>S</v>
      </c>
      <c r="AC106" s="286" t="str">
        <f aca="false">AC45</f>
        <v>M</v>
      </c>
      <c r="AD106" s="286" t="str">
        <f aca="false">AD45</f>
        <v>T</v>
      </c>
      <c r="AE106" s="286" t="str">
        <f aca="false">AE45</f>
        <v>W</v>
      </c>
      <c r="AF106" s="286" t="str">
        <f aca="false">AF45</f>
        <v>R</v>
      </c>
      <c r="AG106" s="286" t="str">
        <f aca="false">AG45</f>
        <v>F</v>
      </c>
      <c r="AH106" s="59"/>
      <c r="AI106" s="76"/>
      <c r="AJ106" s="85"/>
      <c r="AK106" s="59"/>
      <c r="AL106" s="153"/>
      <c r="AN106" s="59"/>
      <c r="AO106" s="59"/>
      <c r="AP106" s="59"/>
      <c r="AQ106" s="59"/>
      <c r="AR106" s="59"/>
      <c r="AS106" s="59"/>
    </row>
    <row r="107" customFormat="false" ht="12.75" hidden="false" customHeight="true" outlineLevel="0" collapsed="false">
      <c r="A107" s="289"/>
      <c r="B107" s="290" t="s">
        <v>216</v>
      </c>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0"/>
      <c r="AF107" s="310"/>
      <c r="AG107" s="311"/>
      <c r="AH107" s="153"/>
      <c r="AI107" s="199"/>
      <c r="AJ107" s="312"/>
      <c r="AK107" s="226"/>
      <c r="AL107" s="61"/>
      <c r="AM107" s="60"/>
    </row>
    <row r="108" customFormat="false" ht="12.75" hidden="false" customHeight="true" outlineLevel="0" collapsed="false">
      <c r="A108" s="231" t="s">
        <v>254</v>
      </c>
      <c r="B108" s="294" t="n">
        <f aca="false">SUM(C108:AG108)</f>
        <v>0</v>
      </c>
      <c r="C108" s="226" t="n">
        <v>0</v>
      </c>
      <c r="D108" s="226" t="n">
        <v>0</v>
      </c>
      <c r="E108" s="226" t="n">
        <v>0</v>
      </c>
      <c r="F108" s="226" t="n">
        <v>0</v>
      </c>
      <c r="G108" s="226" t="n">
        <v>0</v>
      </c>
      <c r="H108" s="226" t="n">
        <v>0</v>
      </c>
      <c r="I108" s="226" t="n">
        <v>0</v>
      </c>
      <c r="J108" s="226" t="n">
        <v>0</v>
      </c>
      <c r="K108" s="226" t="n">
        <v>0</v>
      </c>
      <c r="L108" s="226" t="n">
        <v>0</v>
      </c>
      <c r="M108" s="226" t="n">
        <v>0</v>
      </c>
      <c r="N108" s="226" t="n">
        <v>0</v>
      </c>
      <c r="O108" s="226" t="n">
        <v>0</v>
      </c>
      <c r="P108" s="226" t="n">
        <v>0</v>
      </c>
      <c r="Q108" s="226" t="n">
        <v>0</v>
      </c>
      <c r="R108" s="226" t="n">
        <v>0</v>
      </c>
      <c r="S108" s="226" t="n">
        <v>0</v>
      </c>
      <c r="T108" s="226" t="n">
        <v>0</v>
      </c>
      <c r="U108" s="226" t="n">
        <v>0</v>
      </c>
      <c r="V108" s="226" t="n">
        <v>0</v>
      </c>
      <c r="W108" s="226" t="n">
        <v>0</v>
      </c>
      <c r="X108" s="226" t="n">
        <v>0</v>
      </c>
      <c r="Y108" s="226" t="n">
        <v>0</v>
      </c>
      <c r="Z108" s="226" t="n">
        <v>0</v>
      </c>
      <c r="AA108" s="226" t="n">
        <v>0</v>
      </c>
      <c r="AB108" s="226" t="n">
        <v>0</v>
      </c>
      <c r="AC108" s="226" t="n">
        <v>0</v>
      </c>
      <c r="AD108" s="226" t="n">
        <v>0</v>
      </c>
      <c r="AE108" s="226" t="n">
        <v>0</v>
      </c>
      <c r="AF108" s="226" t="n">
        <v>0</v>
      </c>
      <c r="AG108" s="300" t="n">
        <v>0</v>
      </c>
      <c r="AH108" s="153"/>
      <c r="AJ108" s="153"/>
      <c r="AK108" s="226"/>
      <c r="AL108" s="61"/>
      <c r="AM108" s="60"/>
    </row>
    <row r="109" customFormat="false" ht="12.75" hidden="false" customHeight="true" outlineLevel="0" collapsed="false">
      <c r="A109" s="231" t="s">
        <v>256</v>
      </c>
      <c r="B109" s="294" t="n">
        <f aca="false">SUM(C109:AG109)</f>
        <v>0</v>
      </c>
      <c r="C109" s="226" t="n">
        <v>0</v>
      </c>
      <c r="D109" s="226" t="n">
        <v>0</v>
      </c>
      <c r="E109" s="226" t="n">
        <v>0</v>
      </c>
      <c r="F109" s="226" t="n">
        <v>0</v>
      </c>
      <c r="G109" s="226" t="n">
        <v>0</v>
      </c>
      <c r="H109" s="226" t="n">
        <v>0</v>
      </c>
      <c r="I109" s="226" t="n">
        <v>0</v>
      </c>
      <c r="J109" s="226" t="n">
        <v>0</v>
      </c>
      <c r="K109" s="226" t="n">
        <v>0</v>
      </c>
      <c r="L109" s="226" t="n">
        <v>0</v>
      </c>
      <c r="M109" s="226" t="n">
        <v>0</v>
      </c>
      <c r="N109" s="226" t="n">
        <v>0</v>
      </c>
      <c r="O109" s="226" t="n">
        <v>0</v>
      </c>
      <c r="P109" s="226" t="n">
        <v>0</v>
      </c>
      <c r="Q109" s="226" t="n">
        <v>0</v>
      </c>
      <c r="R109" s="226" t="n">
        <v>0</v>
      </c>
      <c r="S109" s="226" t="n">
        <v>0</v>
      </c>
      <c r="T109" s="226" t="n">
        <v>0</v>
      </c>
      <c r="U109" s="226" t="n">
        <v>0</v>
      </c>
      <c r="V109" s="226" t="n">
        <v>0</v>
      </c>
      <c r="W109" s="226" t="n">
        <v>0</v>
      </c>
      <c r="X109" s="226" t="n">
        <v>0</v>
      </c>
      <c r="Y109" s="226" t="n">
        <v>0</v>
      </c>
      <c r="Z109" s="226" t="n">
        <v>0</v>
      </c>
      <c r="AA109" s="226" t="n">
        <v>0</v>
      </c>
      <c r="AB109" s="226" t="n">
        <v>0</v>
      </c>
      <c r="AC109" s="226" t="n">
        <v>0</v>
      </c>
      <c r="AD109" s="226" t="n">
        <v>0</v>
      </c>
      <c r="AE109" s="226" t="n">
        <v>0</v>
      </c>
      <c r="AF109" s="226" t="n">
        <v>0</v>
      </c>
      <c r="AG109" s="300" t="n">
        <v>0</v>
      </c>
      <c r="AH109" s="153"/>
      <c r="AJ109" s="153"/>
      <c r="AK109" s="226"/>
      <c r="AL109" s="61"/>
      <c r="AM109" s="60"/>
    </row>
    <row r="110" customFormat="false" ht="12.75" hidden="false" customHeight="true" outlineLevel="0" collapsed="false">
      <c r="A110" s="231" t="s">
        <v>257</v>
      </c>
      <c r="B110" s="294" t="n">
        <f aca="false">SUM(C110:AG110)</f>
        <v>0</v>
      </c>
      <c r="C110" s="226" t="n">
        <v>0</v>
      </c>
      <c r="D110" s="226" t="n">
        <v>0</v>
      </c>
      <c r="E110" s="226" t="n">
        <v>0</v>
      </c>
      <c r="F110" s="226" t="n">
        <v>0</v>
      </c>
      <c r="G110" s="226" t="n">
        <v>0</v>
      </c>
      <c r="H110" s="226" t="n">
        <v>0</v>
      </c>
      <c r="I110" s="226" t="n">
        <v>0</v>
      </c>
      <c r="J110" s="226" t="n">
        <v>0</v>
      </c>
      <c r="K110" s="226" t="n">
        <v>0</v>
      </c>
      <c r="L110" s="226" t="n">
        <v>0</v>
      </c>
      <c r="M110" s="226" t="n">
        <v>0</v>
      </c>
      <c r="N110" s="226" t="n">
        <v>0</v>
      </c>
      <c r="O110" s="226" t="n">
        <v>0</v>
      </c>
      <c r="P110" s="226" t="n">
        <v>0</v>
      </c>
      <c r="Q110" s="226" t="n">
        <v>0</v>
      </c>
      <c r="R110" s="226" t="n">
        <v>0</v>
      </c>
      <c r="S110" s="226" t="n">
        <v>0</v>
      </c>
      <c r="T110" s="226" t="n">
        <v>0</v>
      </c>
      <c r="U110" s="226" t="n">
        <v>0</v>
      </c>
      <c r="V110" s="226" t="n">
        <v>0</v>
      </c>
      <c r="W110" s="226" t="n">
        <v>0</v>
      </c>
      <c r="X110" s="226" t="n">
        <v>0</v>
      </c>
      <c r="Y110" s="226" t="n">
        <v>0</v>
      </c>
      <c r="Z110" s="226" t="n">
        <v>0</v>
      </c>
      <c r="AA110" s="226" t="n">
        <v>0</v>
      </c>
      <c r="AB110" s="226" t="n">
        <v>0</v>
      </c>
      <c r="AC110" s="226" t="n">
        <v>0</v>
      </c>
      <c r="AD110" s="226" t="n">
        <v>0</v>
      </c>
      <c r="AE110" s="226" t="n">
        <v>0</v>
      </c>
      <c r="AF110" s="226" t="n">
        <v>0</v>
      </c>
      <c r="AG110" s="300" t="n">
        <v>0</v>
      </c>
      <c r="AH110" s="153"/>
      <c r="AJ110" s="153"/>
      <c r="AK110" s="226"/>
      <c r="AL110" s="61"/>
      <c r="AM110" s="60"/>
    </row>
    <row r="111" customFormat="false" ht="12.75" hidden="false" customHeight="true" outlineLevel="0" collapsed="false">
      <c r="A111" s="231" t="s">
        <v>258</v>
      </c>
      <c r="B111" s="294" t="n">
        <f aca="false">SUM(C111:AG111)</f>
        <v>0</v>
      </c>
      <c r="C111" s="226" t="n">
        <v>0</v>
      </c>
      <c r="D111" s="226" t="n">
        <v>0</v>
      </c>
      <c r="E111" s="226" t="n">
        <v>0</v>
      </c>
      <c r="F111" s="226" t="n">
        <v>0</v>
      </c>
      <c r="G111" s="226" t="n">
        <v>0</v>
      </c>
      <c r="H111" s="226" t="n">
        <v>0</v>
      </c>
      <c r="I111" s="226" t="n">
        <v>0</v>
      </c>
      <c r="J111" s="226" t="n">
        <v>0</v>
      </c>
      <c r="K111" s="226" t="n">
        <v>0</v>
      </c>
      <c r="L111" s="226" t="n">
        <v>0</v>
      </c>
      <c r="M111" s="226" t="n">
        <v>0</v>
      </c>
      <c r="N111" s="226" t="n">
        <v>0</v>
      </c>
      <c r="O111" s="226" t="n">
        <v>0</v>
      </c>
      <c r="P111" s="226" t="n">
        <v>0</v>
      </c>
      <c r="Q111" s="226" t="n">
        <v>0</v>
      </c>
      <c r="R111" s="226" t="n">
        <v>0</v>
      </c>
      <c r="S111" s="226" t="n">
        <v>0</v>
      </c>
      <c r="T111" s="226" t="n">
        <v>0</v>
      </c>
      <c r="U111" s="226" t="n">
        <v>0</v>
      </c>
      <c r="V111" s="226" t="n">
        <v>0</v>
      </c>
      <c r="W111" s="226" t="n">
        <v>0</v>
      </c>
      <c r="X111" s="226" t="n">
        <v>0</v>
      </c>
      <c r="Y111" s="226" t="n">
        <v>0</v>
      </c>
      <c r="Z111" s="226" t="n">
        <v>0</v>
      </c>
      <c r="AA111" s="226" t="n">
        <v>0</v>
      </c>
      <c r="AB111" s="226" t="n">
        <v>0</v>
      </c>
      <c r="AC111" s="226" t="n">
        <v>0</v>
      </c>
      <c r="AD111" s="226" t="n">
        <v>0</v>
      </c>
      <c r="AE111" s="226" t="n">
        <v>0</v>
      </c>
      <c r="AF111" s="226" t="n">
        <v>0</v>
      </c>
      <c r="AG111" s="300" t="n">
        <v>0</v>
      </c>
      <c r="AH111" s="153"/>
      <c r="AJ111" s="153"/>
      <c r="AK111" s="226"/>
      <c r="AL111" s="61"/>
      <c r="AM111" s="60"/>
    </row>
    <row r="112" customFormat="false" ht="12.75" hidden="false" customHeight="true" outlineLevel="0" collapsed="false">
      <c r="A112" s="231" t="s">
        <v>259</v>
      </c>
      <c r="B112" s="294" t="n">
        <f aca="false">SUM(C112:AG112)</f>
        <v>0</v>
      </c>
      <c r="C112" s="226" t="n">
        <v>0</v>
      </c>
      <c r="D112" s="226" t="n">
        <v>0</v>
      </c>
      <c r="E112" s="226" t="n">
        <v>0</v>
      </c>
      <c r="F112" s="226" t="n">
        <v>0</v>
      </c>
      <c r="G112" s="226" t="n">
        <v>0</v>
      </c>
      <c r="H112" s="226" t="n">
        <v>0</v>
      </c>
      <c r="I112" s="226" t="n">
        <v>0</v>
      </c>
      <c r="J112" s="226" t="n">
        <v>0</v>
      </c>
      <c r="K112" s="226" t="n">
        <v>0</v>
      </c>
      <c r="L112" s="226" t="n">
        <v>0</v>
      </c>
      <c r="M112" s="226" t="n">
        <v>0</v>
      </c>
      <c r="N112" s="226" t="n">
        <v>0</v>
      </c>
      <c r="O112" s="226" t="n">
        <v>0</v>
      </c>
      <c r="P112" s="226" t="n">
        <v>0</v>
      </c>
      <c r="Q112" s="226" t="n">
        <v>0</v>
      </c>
      <c r="R112" s="226" t="n">
        <v>0</v>
      </c>
      <c r="S112" s="226" t="n">
        <v>0</v>
      </c>
      <c r="T112" s="226" t="n">
        <v>0</v>
      </c>
      <c r="U112" s="226" t="n">
        <v>0</v>
      </c>
      <c r="V112" s="226" t="n">
        <v>0</v>
      </c>
      <c r="W112" s="226" t="n">
        <v>0</v>
      </c>
      <c r="X112" s="226" t="n">
        <v>0</v>
      </c>
      <c r="Y112" s="226" t="n">
        <v>0</v>
      </c>
      <c r="Z112" s="226" t="n">
        <v>0</v>
      </c>
      <c r="AA112" s="226" t="n">
        <v>0</v>
      </c>
      <c r="AB112" s="226" t="n">
        <v>0</v>
      </c>
      <c r="AC112" s="226" t="n">
        <v>0</v>
      </c>
      <c r="AD112" s="226" t="n">
        <v>0</v>
      </c>
      <c r="AE112" s="226" t="n">
        <v>0</v>
      </c>
      <c r="AF112" s="226" t="n">
        <v>0</v>
      </c>
      <c r="AG112" s="300" t="n">
        <v>0</v>
      </c>
      <c r="AH112" s="153"/>
      <c r="AJ112" s="153"/>
      <c r="AK112" s="226"/>
      <c r="AL112" s="61"/>
      <c r="AM112" s="60"/>
    </row>
    <row r="113" customFormat="false" ht="12.75" hidden="false" customHeight="true" outlineLevel="0" collapsed="false">
      <c r="A113" s="231" t="s">
        <v>261</v>
      </c>
      <c r="B113" s="294" t="n">
        <f aca="false">SUM(C113:AG113)</f>
        <v>0</v>
      </c>
      <c r="C113" s="226" t="n">
        <v>0</v>
      </c>
      <c r="D113" s="226" t="n">
        <v>0</v>
      </c>
      <c r="E113" s="226" t="n">
        <v>0</v>
      </c>
      <c r="F113" s="226" t="n">
        <v>0</v>
      </c>
      <c r="G113" s="226" t="n">
        <v>0</v>
      </c>
      <c r="H113" s="226" t="n">
        <v>0</v>
      </c>
      <c r="I113" s="226" t="n">
        <v>0</v>
      </c>
      <c r="J113" s="226" t="n">
        <v>0</v>
      </c>
      <c r="K113" s="226" t="n">
        <v>0</v>
      </c>
      <c r="L113" s="226" t="n">
        <v>0</v>
      </c>
      <c r="M113" s="226" t="n">
        <v>0</v>
      </c>
      <c r="N113" s="226" t="n">
        <v>0</v>
      </c>
      <c r="O113" s="226" t="n">
        <v>0</v>
      </c>
      <c r="P113" s="226" t="n">
        <v>0</v>
      </c>
      <c r="Q113" s="226" t="n">
        <v>0</v>
      </c>
      <c r="R113" s="226" t="n">
        <v>0</v>
      </c>
      <c r="S113" s="226" t="n">
        <v>0</v>
      </c>
      <c r="T113" s="226" t="n">
        <v>0</v>
      </c>
      <c r="U113" s="226" t="n">
        <v>0</v>
      </c>
      <c r="V113" s="226" t="n">
        <v>0</v>
      </c>
      <c r="W113" s="226" t="n">
        <v>0</v>
      </c>
      <c r="X113" s="226" t="n">
        <v>0</v>
      </c>
      <c r="Y113" s="226" t="n">
        <v>0</v>
      </c>
      <c r="Z113" s="226" t="n">
        <v>0</v>
      </c>
      <c r="AA113" s="226" t="n">
        <v>0</v>
      </c>
      <c r="AB113" s="226" t="n">
        <v>0</v>
      </c>
      <c r="AC113" s="226" t="n">
        <v>0</v>
      </c>
      <c r="AD113" s="226" t="n">
        <v>0</v>
      </c>
      <c r="AE113" s="226" t="n">
        <v>0</v>
      </c>
      <c r="AF113" s="226" t="n">
        <v>0</v>
      </c>
      <c r="AG113" s="300" t="n">
        <v>0</v>
      </c>
      <c r="AH113" s="153"/>
      <c r="AJ113" s="153"/>
      <c r="AK113" s="226"/>
      <c r="AL113" s="61"/>
      <c r="AM113" s="60"/>
    </row>
    <row r="114" customFormat="false" ht="12.75" hidden="false" customHeight="true" outlineLevel="0" collapsed="false">
      <c r="A114" s="231"/>
      <c r="B114" s="294"/>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300"/>
      <c r="AH114" s="153"/>
      <c r="AJ114" s="153"/>
      <c r="AK114" s="226"/>
      <c r="AL114" s="61"/>
      <c r="AM114" s="60"/>
    </row>
    <row r="115" customFormat="false" ht="12.75" hidden="false" customHeight="true" outlineLevel="0" collapsed="false">
      <c r="A115" s="231"/>
      <c r="B115" s="294"/>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300"/>
      <c r="AH115" s="153"/>
      <c r="AJ115" s="153"/>
      <c r="AK115" s="226"/>
      <c r="AL115" s="61"/>
      <c r="AM115" s="60"/>
    </row>
    <row r="116" customFormat="false" ht="12.75" hidden="false" customHeight="true" outlineLevel="0" collapsed="false">
      <c r="A116" s="231"/>
      <c r="B116" s="294"/>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300"/>
      <c r="AH116" s="153"/>
      <c r="AJ116" s="153"/>
      <c r="AK116" s="226"/>
      <c r="AL116" s="61"/>
      <c r="AM116" s="60"/>
    </row>
    <row r="117" customFormat="false" ht="12.75" hidden="false" customHeight="true" outlineLevel="0" collapsed="false">
      <c r="A117" s="231"/>
      <c r="B117" s="294"/>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300"/>
      <c r="AH117" s="153"/>
      <c r="AJ117" s="153"/>
      <c r="AK117" s="226"/>
      <c r="AL117" s="61"/>
      <c r="AM117" s="60"/>
    </row>
    <row r="118" customFormat="false" ht="12.75" hidden="false" customHeight="true" outlineLevel="0" collapsed="false">
      <c r="A118" s="313" t="s">
        <v>264</v>
      </c>
      <c r="B118" s="303" t="n">
        <f aca="false">SUM(B108:B117)</f>
        <v>0</v>
      </c>
      <c r="C118" s="314"/>
      <c r="D118" s="314"/>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5"/>
      <c r="AH118" s="153"/>
      <c r="AJ118" s="153"/>
      <c r="AK118" s="226"/>
      <c r="AL118" s="61"/>
      <c r="AM118" s="60"/>
    </row>
    <row r="119" customFormat="false" ht="12.75" hidden="false" customHeight="true" outlineLevel="0" collapsed="false">
      <c r="A119" s="153"/>
      <c r="B119" s="307"/>
      <c r="AH119" s="153"/>
      <c r="AJ119" s="153"/>
      <c r="AK119" s="226"/>
      <c r="AL119" s="61"/>
      <c r="AM119" s="60"/>
    </row>
    <row r="120" customFormat="false" ht="12.75" hidden="false" customHeight="true" outlineLevel="0" collapsed="false">
      <c r="A120" s="153"/>
      <c r="B120" s="307"/>
      <c r="AH120" s="153"/>
      <c r="AJ120" s="153"/>
      <c r="AK120" s="226"/>
      <c r="AL120" s="61"/>
      <c r="AM120" s="60"/>
    </row>
    <row r="121" customFormat="false" ht="12.75" hidden="false" customHeight="true" outlineLevel="0" collapsed="false">
      <c r="A121" s="271" t="s">
        <v>265</v>
      </c>
      <c r="B121" s="271"/>
      <c r="AH121" s="153"/>
      <c r="AJ121" s="153"/>
      <c r="AK121" s="226"/>
      <c r="AL121" s="61"/>
      <c r="AM121" s="60"/>
    </row>
    <row r="122" customFormat="false" ht="12.75" hidden="false" customHeight="true" outlineLevel="0" collapsed="false">
      <c r="AK122" s="59"/>
      <c r="AL122" s="61"/>
      <c r="AM122" s="60"/>
    </row>
    <row r="123" customFormat="false" ht="12.75" hidden="false" customHeight="true" outlineLevel="0" collapsed="false">
      <c r="D123" s="193" t="s">
        <v>55</v>
      </c>
      <c r="AI123" s="59"/>
      <c r="AJ123" s="62"/>
      <c r="AK123" s="62"/>
      <c r="AL123" s="59"/>
      <c r="AM123" s="59"/>
    </row>
    <row r="124" customFormat="false" ht="12.75" hidden="false" customHeight="true" outlineLevel="0" collapsed="false">
      <c r="A124" s="316" t="s">
        <v>266</v>
      </c>
      <c r="B124" s="317"/>
      <c r="C124" s="318"/>
      <c r="D124" s="318"/>
      <c r="E124" s="319"/>
      <c r="G124" s="316" t="s">
        <v>267</v>
      </c>
      <c r="H124" s="316"/>
      <c r="I124" s="317"/>
      <c r="J124" s="318"/>
      <c r="K124" s="318"/>
      <c r="L124" s="319"/>
      <c r="M124" s="62"/>
      <c r="N124" s="62"/>
      <c r="O124" s="59"/>
      <c r="P124" s="59"/>
    </row>
    <row r="125" customFormat="false" ht="12.75" hidden="false" customHeight="true" outlineLevel="0" collapsed="false">
      <c r="A125" s="320" t="s">
        <v>268</v>
      </c>
      <c r="B125" s="274" t="s">
        <v>269</v>
      </c>
      <c r="C125" s="274"/>
      <c r="D125" s="274"/>
      <c r="E125" s="321" t="s">
        <v>270</v>
      </c>
      <c r="G125" s="320" t="s">
        <v>269</v>
      </c>
      <c r="H125" s="320"/>
      <c r="I125" s="320"/>
      <c r="J125" s="320"/>
      <c r="K125" s="320"/>
      <c r="L125" s="322" t="s">
        <v>270</v>
      </c>
      <c r="M125" s="62"/>
      <c r="N125" s="62"/>
      <c r="O125" s="59"/>
      <c r="P125" s="59"/>
    </row>
    <row r="126" customFormat="false" ht="12.75" hidden="false" customHeight="true" outlineLevel="0" collapsed="false">
      <c r="A126" s="329"/>
      <c r="B126" s="153"/>
      <c r="C126" s="153"/>
      <c r="D126" s="324"/>
      <c r="E126" s="330"/>
      <c r="G126" s="403"/>
      <c r="H126" s="327"/>
      <c r="I126" s="153"/>
      <c r="J126" s="59"/>
      <c r="K126" s="328"/>
      <c r="L126" s="325"/>
      <c r="M126" s="59"/>
      <c r="N126" s="59"/>
      <c r="O126" s="59"/>
      <c r="P126" s="59"/>
    </row>
    <row r="127" customFormat="false" ht="12.75" hidden="false" customHeight="true" outlineLevel="0" collapsed="false">
      <c r="A127" s="329" t="n">
        <v>36617</v>
      </c>
      <c r="B127" s="153" t="s">
        <v>297</v>
      </c>
      <c r="C127" s="153"/>
      <c r="D127" s="324"/>
      <c r="E127" s="325" t="n">
        <v>19</v>
      </c>
      <c r="G127" s="326"/>
      <c r="H127" s="62"/>
      <c r="I127" s="332"/>
      <c r="J127" s="59"/>
      <c r="K127" s="328"/>
      <c r="L127" s="325"/>
      <c r="M127" s="59"/>
      <c r="N127" s="59"/>
      <c r="O127" s="59"/>
      <c r="P127" s="59"/>
    </row>
    <row r="128" customFormat="false" ht="12.75" hidden="false" customHeight="true" outlineLevel="0" collapsed="false">
      <c r="A128" s="329" t="n">
        <v>36647</v>
      </c>
      <c r="B128" s="153" t="s">
        <v>298</v>
      </c>
      <c r="C128" s="153"/>
      <c r="D128" s="324"/>
      <c r="E128" s="325" t="n">
        <v>-108</v>
      </c>
      <c r="G128" s="326"/>
      <c r="H128" s="153"/>
      <c r="I128" s="59"/>
      <c r="J128" s="59"/>
      <c r="K128" s="328"/>
      <c r="L128" s="325"/>
      <c r="M128" s="59"/>
      <c r="N128" s="59"/>
      <c r="O128" s="59"/>
      <c r="P128" s="59"/>
    </row>
    <row r="129" customFormat="false" ht="12.75" hidden="false" customHeight="true" outlineLevel="0" collapsed="false">
      <c r="A129" s="329" t="n">
        <v>36678</v>
      </c>
      <c r="B129" s="153" t="s">
        <v>300</v>
      </c>
      <c r="C129" s="332"/>
      <c r="D129" s="346"/>
      <c r="E129" s="330" t="n">
        <v>-46133</v>
      </c>
      <c r="G129" s="326"/>
      <c r="H129" s="153"/>
      <c r="I129" s="59"/>
      <c r="J129" s="59"/>
      <c r="K129" s="324"/>
      <c r="L129" s="330"/>
      <c r="M129" s="59"/>
      <c r="N129" s="59"/>
      <c r="O129" s="59"/>
      <c r="P129" s="59"/>
    </row>
    <row r="130" customFormat="false" ht="12.75" hidden="false" customHeight="true" outlineLevel="0" collapsed="false">
      <c r="A130" s="329" t="n">
        <v>36708</v>
      </c>
      <c r="B130" s="153" t="s">
        <v>301</v>
      </c>
      <c r="C130" s="332"/>
      <c r="D130" s="346"/>
      <c r="E130" s="330" t="n">
        <v>10885</v>
      </c>
      <c r="G130" s="326"/>
      <c r="H130" s="153"/>
      <c r="I130" s="59"/>
      <c r="J130" s="59"/>
      <c r="K130" s="324"/>
      <c r="L130" s="325"/>
      <c r="M130" s="59"/>
      <c r="N130" s="59"/>
      <c r="O130" s="59"/>
      <c r="P130" s="59"/>
    </row>
    <row r="131" customFormat="false" ht="12.75" hidden="false" customHeight="true" outlineLevel="0" collapsed="false">
      <c r="A131" s="329" t="n">
        <v>36739</v>
      </c>
      <c r="B131" s="153" t="s">
        <v>302</v>
      </c>
      <c r="C131" s="332"/>
      <c r="D131" s="346"/>
      <c r="E131" s="325" t="n">
        <v>-91115</v>
      </c>
      <c r="G131" s="326"/>
      <c r="H131" s="153"/>
      <c r="I131" s="59"/>
      <c r="J131" s="59"/>
      <c r="K131" s="324"/>
      <c r="L131" s="325"/>
      <c r="M131" s="59"/>
      <c r="N131" s="59"/>
      <c r="O131" s="59"/>
      <c r="P131" s="59"/>
    </row>
    <row r="132" customFormat="false" ht="12.75" hidden="false" customHeight="true" outlineLevel="0" collapsed="false">
      <c r="A132" s="329" t="n">
        <v>36770</v>
      </c>
      <c r="B132" s="153" t="s">
        <v>303</v>
      </c>
      <c r="C132" s="153"/>
      <c r="D132" s="324"/>
      <c r="E132" s="325" t="n">
        <v>7537</v>
      </c>
      <c r="G132" s="326"/>
      <c r="H132" s="59"/>
      <c r="I132" s="59"/>
      <c r="J132" s="59"/>
      <c r="K132" s="328"/>
      <c r="L132" s="330"/>
      <c r="M132" s="59"/>
      <c r="N132" s="59"/>
      <c r="O132" s="59"/>
      <c r="P132" s="59"/>
    </row>
    <row r="133" customFormat="false" ht="12.75" hidden="false" customHeight="true" outlineLevel="0" collapsed="false">
      <c r="A133" s="329" t="n">
        <v>36800</v>
      </c>
      <c r="B133" s="153" t="s">
        <v>304</v>
      </c>
      <c r="C133" s="153"/>
      <c r="D133" s="324"/>
      <c r="E133" s="325" t="n">
        <v>-629</v>
      </c>
      <c r="G133" s="326"/>
      <c r="H133" s="153"/>
      <c r="I133" s="59"/>
      <c r="J133" s="59"/>
      <c r="K133" s="324"/>
      <c r="L133" s="330"/>
      <c r="M133" s="59"/>
      <c r="N133" s="59"/>
      <c r="O133" s="59"/>
      <c r="P133" s="59"/>
    </row>
    <row r="134" customFormat="false" ht="12.75" hidden="false" customHeight="true" outlineLevel="0" collapsed="false">
      <c r="A134" s="329"/>
      <c r="B134" s="153"/>
      <c r="C134" s="153"/>
      <c r="D134" s="324"/>
      <c r="E134" s="325"/>
      <c r="G134" s="326"/>
      <c r="H134" s="153"/>
      <c r="I134" s="59"/>
      <c r="J134" s="59"/>
      <c r="K134" s="324"/>
      <c r="L134" s="325"/>
      <c r="M134" s="98"/>
      <c r="N134" s="60"/>
      <c r="O134" s="59"/>
      <c r="P134" s="59"/>
    </row>
    <row r="135" customFormat="false" ht="12.75" hidden="false" customHeight="true" outlineLevel="0" collapsed="false">
      <c r="A135" s="329"/>
      <c r="B135" s="153"/>
      <c r="C135" s="333"/>
      <c r="D135" s="324"/>
      <c r="E135" s="325"/>
      <c r="G135" s="326"/>
      <c r="H135" s="153"/>
      <c r="I135" s="59"/>
      <c r="J135" s="59"/>
      <c r="K135" s="324"/>
      <c r="L135" s="325"/>
      <c r="M135" s="98"/>
      <c r="N135" s="59"/>
      <c r="O135" s="59"/>
      <c r="P135" s="59"/>
    </row>
    <row r="136" customFormat="false" ht="12.75" hidden="false" customHeight="true" outlineLevel="0" collapsed="false">
      <c r="A136" s="329"/>
      <c r="B136" s="153"/>
      <c r="C136" s="153"/>
      <c r="D136" s="324"/>
      <c r="E136" s="325"/>
      <c r="G136" s="326"/>
      <c r="H136" s="153"/>
      <c r="I136" s="59"/>
      <c r="J136" s="59"/>
      <c r="K136" s="324"/>
      <c r="L136" s="325"/>
      <c r="M136" s="59"/>
      <c r="N136" s="98"/>
      <c r="O136" s="59"/>
      <c r="P136" s="59"/>
    </row>
    <row r="137" customFormat="false" ht="12.75" hidden="false" customHeight="true" outlineLevel="0" collapsed="false">
      <c r="A137" s="329"/>
      <c r="B137" s="153"/>
      <c r="C137" s="153"/>
      <c r="D137" s="324"/>
      <c r="E137" s="325"/>
      <c r="G137" s="326"/>
      <c r="H137" s="153"/>
      <c r="I137" s="59"/>
      <c r="J137" s="59"/>
      <c r="K137" s="324"/>
      <c r="L137" s="325"/>
      <c r="M137" s="59"/>
      <c r="N137" s="98"/>
      <c r="O137" s="59"/>
      <c r="P137" s="59"/>
    </row>
    <row r="138" customFormat="false" ht="12.75" hidden="false" customHeight="true" outlineLevel="0" collapsed="false">
      <c r="A138" s="329"/>
      <c r="B138" s="153"/>
      <c r="C138" s="333"/>
      <c r="D138" s="324"/>
      <c r="E138" s="325"/>
      <c r="G138" s="326"/>
      <c r="H138" s="153"/>
      <c r="I138" s="59"/>
      <c r="J138" s="59"/>
      <c r="K138" s="324"/>
      <c r="L138" s="325"/>
      <c r="M138" s="59"/>
      <c r="N138" s="59"/>
      <c r="O138" s="59"/>
      <c r="P138" s="59"/>
    </row>
    <row r="139" customFormat="false" ht="12.75" hidden="false" customHeight="true" outlineLevel="0" collapsed="false">
      <c r="A139" s="329"/>
      <c r="B139" s="59"/>
      <c r="C139" s="59"/>
      <c r="D139" s="301"/>
      <c r="E139" s="325"/>
      <c r="G139" s="326"/>
      <c r="H139" s="153"/>
      <c r="I139" s="59"/>
      <c r="J139" s="59"/>
      <c r="K139" s="324"/>
      <c r="L139" s="325"/>
      <c r="M139" s="59"/>
      <c r="N139" s="59"/>
      <c r="O139" s="59"/>
      <c r="P139" s="59"/>
    </row>
    <row r="140" customFormat="false" ht="12.75" hidden="false" customHeight="true" outlineLevel="0" collapsed="false">
      <c r="A140" s="329"/>
      <c r="B140" s="59"/>
      <c r="C140" s="59"/>
      <c r="D140" s="324"/>
      <c r="E140" s="325"/>
      <c r="G140" s="326"/>
      <c r="H140" s="153"/>
      <c r="I140" s="59"/>
      <c r="J140" s="59"/>
      <c r="K140" s="324"/>
      <c r="L140" s="325"/>
      <c r="M140" s="59"/>
      <c r="N140" s="59"/>
      <c r="O140" s="59"/>
      <c r="P140" s="59"/>
    </row>
    <row r="141" customFormat="false" ht="12.75" hidden="false" customHeight="true" outlineLevel="0" collapsed="false">
      <c r="A141" s="329"/>
      <c r="B141" s="59"/>
      <c r="C141" s="59"/>
      <c r="D141" s="324"/>
      <c r="E141" s="325"/>
      <c r="G141" s="326"/>
      <c r="H141" s="153"/>
      <c r="I141" s="59"/>
      <c r="J141" s="59"/>
      <c r="K141" s="324"/>
      <c r="L141" s="325"/>
      <c r="M141" s="59"/>
      <c r="N141" s="59"/>
      <c r="O141" s="59"/>
      <c r="P141" s="59"/>
    </row>
    <row r="142" customFormat="false" ht="12.75" hidden="false" customHeight="true" outlineLevel="0" collapsed="false">
      <c r="A142" s="329"/>
      <c r="B142" s="153"/>
      <c r="C142" s="153"/>
      <c r="D142" s="324"/>
      <c r="E142" s="325"/>
      <c r="G142" s="326"/>
      <c r="H142" s="153"/>
      <c r="I142" s="59"/>
      <c r="J142" s="59"/>
      <c r="K142" s="324"/>
      <c r="L142" s="325"/>
      <c r="M142" s="59"/>
      <c r="N142" s="59"/>
      <c r="O142" s="59"/>
      <c r="P142" s="59"/>
    </row>
    <row r="143" customFormat="false" ht="12.75" hidden="false" customHeight="true" outlineLevel="0" collapsed="false">
      <c r="A143" s="329"/>
      <c r="B143" s="153"/>
      <c r="C143" s="153"/>
      <c r="D143" s="324"/>
      <c r="E143" s="325"/>
      <c r="G143" s="326"/>
      <c r="H143" s="153"/>
      <c r="I143" s="59"/>
      <c r="J143" s="59"/>
      <c r="K143" s="324"/>
      <c r="L143" s="325"/>
      <c r="M143" s="59"/>
      <c r="N143" s="59"/>
      <c r="O143" s="59"/>
      <c r="P143" s="59"/>
    </row>
    <row r="144" customFormat="false" ht="12.75" hidden="false" customHeight="true" outlineLevel="0" collapsed="false">
      <c r="A144" s="329"/>
      <c r="B144" s="153"/>
      <c r="C144" s="153"/>
      <c r="D144" s="324"/>
      <c r="E144" s="325"/>
      <c r="G144" s="326"/>
      <c r="H144" s="153"/>
      <c r="I144" s="59"/>
      <c r="J144" s="59"/>
      <c r="K144" s="324"/>
      <c r="L144" s="325"/>
      <c r="M144" s="59"/>
      <c r="N144" s="59"/>
      <c r="O144" s="59"/>
      <c r="P144" s="59"/>
    </row>
    <row r="145" customFormat="false" ht="12.75" hidden="false" customHeight="true" outlineLevel="0" collapsed="false">
      <c r="A145" s="329"/>
      <c r="B145" s="153"/>
      <c r="C145" s="153"/>
      <c r="D145" s="324"/>
      <c r="E145" s="325"/>
      <c r="G145" s="326"/>
      <c r="H145" s="153"/>
      <c r="I145" s="59"/>
      <c r="J145" s="59"/>
      <c r="K145" s="324"/>
      <c r="L145" s="325"/>
      <c r="M145" s="59"/>
      <c r="N145" s="59"/>
      <c r="O145" s="59"/>
      <c r="P145" s="59"/>
    </row>
    <row r="146" customFormat="false" ht="12.75" hidden="false" customHeight="true" outlineLevel="0" collapsed="false">
      <c r="A146" s="329"/>
      <c r="B146" s="153"/>
      <c r="C146" s="153"/>
      <c r="D146" s="324"/>
      <c r="E146" s="325"/>
      <c r="G146" s="326"/>
      <c r="H146" s="153"/>
      <c r="I146" s="59"/>
      <c r="J146" s="59"/>
      <c r="K146" s="324"/>
      <c r="L146" s="325"/>
      <c r="M146" s="59"/>
      <c r="N146" s="59"/>
      <c r="O146" s="59"/>
      <c r="P146" s="59"/>
    </row>
    <row r="147" customFormat="false" ht="12.75" hidden="false" customHeight="true" outlineLevel="0" collapsed="false">
      <c r="A147" s="329"/>
      <c r="B147" s="153"/>
      <c r="C147" s="153"/>
      <c r="D147" s="324"/>
      <c r="E147" s="325"/>
      <c r="G147" s="326"/>
      <c r="H147" s="153"/>
      <c r="I147" s="59"/>
      <c r="J147" s="59"/>
      <c r="K147" s="324"/>
      <c r="L147" s="325"/>
      <c r="M147" s="59"/>
      <c r="N147" s="59"/>
      <c r="O147" s="59"/>
      <c r="P147" s="59"/>
    </row>
    <row r="148" customFormat="false" ht="12.75" hidden="false" customHeight="true" outlineLevel="0" collapsed="false">
      <c r="A148" s="329"/>
      <c r="B148" s="153"/>
      <c r="C148" s="153"/>
      <c r="D148" s="324"/>
      <c r="E148" s="325"/>
      <c r="G148" s="326"/>
      <c r="H148" s="153"/>
      <c r="I148" s="59"/>
      <c r="J148" s="59"/>
      <c r="K148" s="324"/>
      <c r="L148" s="325"/>
      <c r="M148" s="59"/>
      <c r="N148" s="59"/>
      <c r="O148" s="59"/>
      <c r="P148" s="59"/>
    </row>
    <row r="149" customFormat="false" ht="12.75" hidden="false" customHeight="true" outlineLevel="0" collapsed="false">
      <c r="A149" s="329"/>
      <c r="B149" s="153"/>
      <c r="C149" s="153"/>
      <c r="D149" s="324"/>
      <c r="E149" s="325"/>
      <c r="G149" s="326"/>
      <c r="H149" s="153"/>
      <c r="I149" s="59"/>
      <c r="J149" s="59"/>
      <c r="K149" s="324"/>
      <c r="L149" s="325"/>
      <c r="M149" s="59"/>
      <c r="N149" s="59"/>
      <c r="O149" s="59"/>
      <c r="P149" s="59"/>
    </row>
    <row r="150" customFormat="false" ht="12.75" hidden="false" customHeight="true" outlineLevel="0" collapsed="false">
      <c r="A150" s="329"/>
      <c r="B150" s="153"/>
      <c r="C150" s="153"/>
      <c r="D150" s="324"/>
      <c r="E150" s="325"/>
      <c r="G150" s="326"/>
      <c r="H150" s="153"/>
      <c r="I150" s="59"/>
      <c r="J150" s="59"/>
      <c r="K150" s="324"/>
      <c r="L150" s="325"/>
      <c r="M150" s="59"/>
      <c r="N150" s="59"/>
      <c r="O150" s="59"/>
      <c r="P150" s="59"/>
    </row>
    <row r="151" customFormat="false" ht="12.75" hidden="false" customHeight="true" outlineLevel="0" collapsed="false">
      <c r="A151" s="329"/>
      <c r="B151" s="153"/>
      <c r="C151" s="153"/>
      <c r="D151" s="324"/>
      <c r="E151" s="325"/>
      <c r="G151" s="326"/>
      <c r="H151" s="153"/>
      <c r="I151" s="59"/>
      <c r="J151" s="59"/>
      <c r="K151" s="324"/>
      <c r="L151" s="325"/>
      <c r="M151" s="59"/>
      <c r="N151" s="59"/>
      <c r="O151" s="59"/>
      <c r="P151" s="59"/>
    </row>
    <row r="152" customFormat="false" ht="12.75" hidden="false" customHeight="true" outlineLevel="0" collapsed="false">
      <c r="A152" s="329"/>
      <c r="B152" s="153"/>
      <c r="C152" s="153"/>
      <c r="D152" s="324"/>
      <c r="E152" s="325"/>
      <c r="G152" s="326"/>
      <c r="H152" s="153"/>
      <c r="I152" s="59"/>
      <c r="J152" s="59"/>
      <c r="K152" s="324"/>
      <c r="L152" s="325"/>
      <c r="M152" s="59"/>
      <c r="N152" s="59"/>
      <c r="O152" s="59"/>
      <c r="P152" s="59"/>
    </row>
    <row r="153" customFormat="false" ht="12.75" hidden="false" customHeight="true" outlineLevel="0" collapsed="false">
      <c r="A153" s="329"/>
      <c r="B153" s="153"/>
      <c r="C153" s="153"/>
      <c r="D153" s="324"/>
      <c r="E153" s="325"/>
      <c r="G153" s="326"/>
      <c r="H153" s="153"/>
      <c r="I153" s="59"/>
      <c r="J153" s="59"/>
      <c r="K153" s="324"/>
      <c r="L153" s="325"/>
      <c r="M153" s="59"/>
      <c r="N153" s="59"/>
      <c r="O153" s="59"/>
      <c r="P153" s="59"/>
    </row>
    <row r="154" customFormat="false" ht="12.75" hidden="false" customHeight="true" outlineLevel="0" collapsed="false">
      <c r="A154" s="329"/>
      <c r="B154" s="153"/>
      <c r="C154" s="153"/>
      <c r="D154" s="324"/>
      <c r="E154" s="325"/>
      <c r="G154" s="326"/>
      <c r="H154" s="153"/>
      <c r="I154" s="59"/>
      <c r="J154" s="59"/>
      <c r="K154" s="324"/>
      <c r="L154" s="325"/>
      <c r="M154" s="59"/>
      <c r="N154" s="59"/>
      <c r="O154" s="59"/>
      <c r="P154" s="59"/>
    </row>
    <row r="155" customFormat="false" ht="12.75" hidden="false" customHeight="true" outlineLevel="0" collapsed="false">
      <c r="A155" s="329"/>
      <c r="B155" s="153"/>
      <c r="C155" s="153"/>
      <c r="D155" s="324"/>
      <c r="E155" s="325"/>
      <c r="G155" s="326"/>
      <c r="H155" s="153"/>
      <c r="I155" s="59"/>
      <c r="J155" s="59"/>
      <c r="K155" s="324"/>
      <c r="L155" s="325"/>
      <c r="M155" s="59"/>
      <c r="N155" s="59"/>
      <c r="O155" s="59"/>
      <c r="P155" s="59"/>
    </row>
    <row r="156" customFormat="false" ht="12.75" hidden="false" customHeight="true" outlineLevel="0" collapsed="false">
      <c r="A156" s="329"/>
      <c r="B156" s="153"/>
      <c r="C156" s="153"/>
      <c r="D156" s="324"/>
      <c r="E156" s="325"/>
      <c r="G156" s="326"/>
      <c r="H156" s="153"/>
      <c r="I156" s="59"/>
      <c r="J156" s="59"/>
      <c r="K156" s="324"/>
      <c r="L156" s="325"/>
      <c r="M156" s="59"/>
      <c r="N156" s="59"/>
      <c r="O156" s="59"/>
      <c r="P156" s="59"/>
    </row>
    <row r="157" customFormat="false" ht="12.75" hidden="false" customHeight="true" outlineLevel="0" collapsed="false">
      <c r="A157" s="329"/>
      <c r="B157" s="153"/>
      <c r="C157" s="153"/>
      <c r="D157" s="324"/>
      <c r="E157" s="325"/>
      <c r="G157" s="326"/>
      <c r="H157" s="153"/>
      <c r="I157" s="59"/>
      <c r="J157" s="59"/>
      <c r="K157" s="324"/>
      <c r="L157" s="325"/>
      <c r="M157" s="59"/>
      <c r="N157" s="59"/>
      <c r="O157" s="59"/>
      <c r="P157" s="59"/>
    </row>
    <row r="158" customFormat="false" ht="12.75" hidden="false" customHeight="true" outlineLevel="0" collapsed="false">
      <c r="A158" s="329"/>
      <c r="B158" s="153"/>
      <c r="C158" s="153"/>
      <c r="D158" s="324"/>
      <c r="E158" s="334"/>
      <c r="G158" s="326"/>
      <c r="H158" s="153"/>
      <c r="I158" s="59"/>
      <c r="J158" s="59"/>
      <c r="K158" s="324"/>
      <c r="L158" s="334"/>
      <c r="M158" s="59"/>
      <c r="N158" s="59"/>
      <c r="O158" s="59"/>
      <c r="P158" s="59"/>
    </row>
    <row r="159" customFormat="false" ht="12.75" hidden="false" customHeight="true" outlineLevel="0" collapsed="false">
      <c r="A159" s="335"/>
      <c r="B159" s="153"/>
      <c r="C159" s="153"/>
      <c r="D159" s="336" t="s">
        <v>306</v>
      </c>
      <c r="E159" s="338" t="n">
        <f aca="false">SUM(E126:E158)</f>
        <v>-119544</v>
      </c>
      <c r="G159" s="335"/>
      <c r="H159" s="153"/>
      <c r="I159" s="59"/>
      <c r="J159" s="59"/>
      <c r="K159" s="336" t="s">
        <v>305</v>
      </c>
      <c r="L159" s="338" t="n">
        <f aca="false">SUM(L126:L158)</f>
        <v>0</v>
      </c>
      <c r="M159" s="59"/>
      <c r="N159" s="59"/>
      <c r="O159" s="59"/>
      <c r="P159" s="59"/>
    </row>
    <row r="160" customFormat="false" ht="12.75" hidden="false" customHeight="true" outlineLevel="0" collapsed="false">
      <c r="A160" s="339"/>
      <c r="B160" s="340"/>
      <c r="C160" s="340"/>
      <c r="D160" s="340"/>
      <c r="E160" s="341"/>
      <c r="G160" s="339"/>
      <c r="H160" s="340"/>
      <c r="I160" s="340"/>
      <c r="J160" s="340"/>
      <c r="K160" s="340"/>
      <c r="L160" s="341"/>
      <c r="M160" s="59"/>
      <c r="N160" s="59"/>
      <c r="O160" s="59"/>
      <c r="P160" s="59"/>
    </row>
    <row r="161" customFormat="false" ht="12.75" hidden="false" customHeight="true" outlineLevel="0" collapsed="false">
      <c r="AJ161" s="59"/>
      <c r="AK161" s="59"/>
      <c r="AL161" s="59"/>
      <c r="AM161" s="59"/>
    </row>
    <row r="162" customFormat="false" ht="12.75" hidden="false" customHeight="true" outlineLevel="0" collapsed="false">
      <c r="AJ162" s="59"/>
      <c r="AK162" s="59"/>
      <c r="AL162" s="59"/>
      <c r="AM162" s="59"/>
    </row>
    <row r="163" customFormat="false" ht="12.75" hidden="false" customHeight="true" outlineLevel="0" collapsed="false">
      <c r="A163" s="316" t="s">
        <v>307</v>
      </c>
      <c r="B163" s="318"/>
      <c r="C163" s="318"/>
      <c r="D163" s="318"/>
      <c r="E163" s="319"/>
      <c r="AJ163" s="59"/>
      <c r="AK163" s="59"/>
      <c r="AL163" s="59"/>
      <c r="AM163" s="59"/>
    </row>
    <row r="164" customFormat="false" ht="12.75" hidden="false" customHeight="true" outlineLevel="0" collapsed="false">
      <c r="A164" s="320" t="s">
        <v>268</v>
      </c>
      <c r="B164" s="274" t="s">
        <v>269</v>
      </c>
      <c r="C164" s="274"/>
      <c r="D164" s="274"/>
      <c r="E164" s="321" t="s">
        <v>270</v>
      </c>
      <c r="AJ164" s="59"/>
      <c r="AK164" s="59"/>
      <c r="AL164" s="59"/>
      <c r="AM164" s="59"/>
    </row>
    <row r="165" customFormat="false" ht="12.75" hidden="false" customHeight="true" outlineLevel="0" collapsed="false">
      <c r="A165" s="342"/>
      <c r="B165" s="153"/>
      <c r="C165" s="153"/>
      <c r="D165" s="324"/>
      <c r="E165" s="325"/>
      <c r="AJ165" s="59"/>
      <c r="AK165" s="59"/>
      <c r="AL165" s="59"/>
      <c r="AM165" s="59"/>
    </row>
    <row r="166" customFormat="false" ht="12.75" hidden="false" customHeight="true" outlineLevel="0" collapsed="false">
      <c r="A166" s="342"/>
      <c r="B166" s="153"/>
      <c r="C166" s="153"/>
      <c r="D166" s="324"/>
      <c r="E166" s="325"/>
      <c r="AJ166" s="59"/>
      <c r="AK166" s="59"/>
      <c r="AL166" s="59"/>
      <c r="AM166" s="59"/>
    </row>
    <row r="167" customFormat="false" ht="12.75" hidden="false" customHeight="true" outlineLevel="0" collapsed="false">
      <c r="A167" s="342"/>
      <c r="B167" s="153"/>
      <c r="C167" s="153"/>
      <c r="D167" s="324"/>
      <c r="E167" s="325"/>
      <c r="AJ167" s="59"/>
      <c r="AK167" s="59"/>
      <c r="AL167" s="59"/>
      <c r="AM167" s="59"/>
    </row>
    <row r="168" customFormat="false" ht="12.75" hidden="false" customHeight="true" outlineLevel="0" collapsed="false">
      <c r="A168" s="342"/>
      <c r="B168" s="153"/>
      <c r="C168" s="153"/>
      <c r="D168" s="324"/>
      <c r="E168" s="330"/>
      <c r="AJ168" s="59"/>
      <c r="AK168" s="59"/>
      <c r="AL168" s="59"/>
      <c r="AM168" s="59"/>
    </row>
    <row r="169" customFormat="false" ht="12.75" hidden="false" customHeight="true" outlineLevel="0" collapsed="false">
      <c r="A169" s="342"/>
      <c r="B169" s="153"/>
      <c r="C169" s="153"/>
      <c r="D169" s="324"/>
      <c r="E169" s="325"/>
      <c r="AJ169" s="59"/>
      <c r="AK169" s="59"/>
      <c r="AL169" s="59"/>
      <c r="AM169" s="59"/>
    </row>
    <row r="170" customFormat="false" ht="12.75" hidden="false" customHeight="true" outlineLevel="0" collapsed="false">
      <c r="A170" s="342"/>
      <c r="B170" s="153"/>
      <c r="C170" s="153"/>
      <c r="D170" s="324"/>
      <c r="E170" s="325"/>
      <c r="AJ170" s="59"/>
      <c r="AK170" s="59"/>
      <c r="AL170" s="59"/>
      <c r="AM170" s="59"/>
    </row>
    <row r="171" customFormat="false" ht="12.75" hidden="false" customHeight="true" outlineLevel="0" collapsed="false">
      <c r="A171" s="342"/>
      <c r="B171" s="153"/>
      <c r="C171" s="332"/>
      <c r="D171" s="346"/>
      <c r="E171" s="330"/>
      <c r="AJ171" s="59"/>
      <c r="AK171" s="59"/>
      <c r="AL171" s="59"/>
      <c r="AM171" s="59"/>
    </row>
    <row r="172" customFormat="false" ht="12.75" hidden="false" customHeight="true" outlineLevel="0" collapsed="false">
      <c r="A172" s="342"/>
      <c r="B172" s="327"/>
      <c r="C172" s="332"/>
      <c r="D172" s="346"/>
      <c r="E172" s="330"/>
      <c r="AJ172" s="59"/>
      <c r="AK172" s="59"/>
      <c r="AL172" s="59"/>
      <c r="AM172" s="59"/>
    </row>
    <row r="173" customFormat="false" ht="12.75" hidden="false" customHeight="true" outlineLevel="0" collapsed="false">
      <c r="A173" s="342"/>
      <c r="B173" s="327"/>
      <c r="C173" s="153"/>
      <c r="D173" s="324"/>
      <c r="E173" s="325"/>
      <c r="AJ173" s="59"/>
      <c r="AK173" s="59"/>
      <c r="AL173" s="59"/>
      <c r="AM173" s="59"/>
    </row>
    <row r="174" customFormat="false" ht="12.75" hidden="false" customHeight="true" outlineLevel="0" collapsed="false">
      <c r="A174" s="342"/>
      <c r="B174" s="153"/>
      <c r="C174" s="153"/>
      <c r="D174" s="324"/>
      <c r="E174" s="325"/>
      <c r="AJ174" s="59"/>
      <c r="AK174" s="59"/>
      <c r="AL174" s="59"/>
      <c r="AM174" s="59"/>
    </row>
    <row r="175" customFormat="false" ht="12.75" hidden="false" customHeight="true" outlineLevel="0" collapsed="false">
      <c r="A175" s="342"/>
      <c r="B175" s="153"/>
      <c r="C175" s="153"/>
      <c r="D175" s="324"/>
      <c r="E175" s="330"/>
      <c r="AJ175" s="59"/>
      <c r="AK175" s="59"/>
      <c r="AL175" s="59"/>
      <c r="AM175" s="59"/>
    </row>
    <row r="176" customFormat="false" ht="12.75" hidden="false" customHeight="true" outlineLevel="0" collapsed="false">
      <c r="A176" s="342"/>
      <c r="B176" s="153"/>
      <c r="C176" s="153"/>
      <c r="D176" s="324"/>
      <c r="E176" s="325"/>
      <c r="AJ176" s="59"/>
      <c r="AK176" s="59"/>
      <c r="AL176" s="59"/>
      <c r="AM176" s="59"/>
    </row>
    <row r="177" customFormat="false" ht="12.75" hidden="false" customHeight="true" outlineLevel="0" collapsed="false">
      <c r="A177" s="342"/>
      <c r="B177" s="153"/>
      <c r="C177" s="153"/>
      <c r="D177" s="324"/>
      <c r="E177" s="325"/>
      <c r="AJ177" s="59"/>
      <c r="AK177" s="59"/>
      <c r="AL177" s="59"/>
      <c r="AM177" s="59"/>
    </row>
    <row r="178" customFormat="false" ht="12.75" hidden="false" customHeight="true" outlineLevel="0" collapsed="false">
      <c r="A178" s="342"/>
      <c r="B178" s="62"/>
      <c r="C178" s="332"/>
      <c r="D178" s="346"/>
      <c r="E178" s="330"/>
      <c r="AJ178" s="59"/>
      <c r="AK178" s="59"/>
      <c r="AL178" s="59"/>
      <c r="AM178" s="59"/>
    </row>
    <row r="179" customFormat="false" ht="12.75" hidden="false" customHeight="true" outlineLevel="0" collapsed="false">
      <c r="A179" s="342"/>
      <c r="B179" s="62"/>
      <c r="C179" s="332"/>
      <c r="D179" s="346"/>
      <c r="E179" s="330"/>
      <c r="AJ179" s="59"/>
      <c r="AK179" s="59"/>
      <c r="AL179" s="59"/>
      <c r="AM179" s="59"/>
    </row>
    <row r="180" customFormat="false" ht="12.75" hidden="false" customHeight="true" outlineLevel="0" collapsed="false">
      <c r="A180" s="342"/>
      <c r="B180" s="62"/>
      <c r="C180" s="332"/>
      <c r="D180" s="346"/>
      <c r="E180" s="325"/>
      <c r="AJ180" s="59"/>
      <c r="AK180" s="59"/>
      <c r="AL180" s="59"/>
      <c r="AM180" s="59"/>
    </row>
    <row r="181" customFormat="false" ht="12.75" hidden="false" customHeight="true" outlineLevel="0" collapsed="false">
      <c r="A181" s="342"/>
      <c r="B181" s="153"/>
      <c r="C181" s="153"/>
      <c r="D181" s="324"/>
      <c r="E181" s="325"/>
      <c r="AJ181" s="59"/>
      <c r="AK181" s="59"/>
      <c r="AL181" s="59"/>
      <c r="AM181" s="59"/>
    </row>
    <row r="182" customFormat="false" ht="12.75" hidden="false" customHeight="true" outlineLevel="0" collapsed="false">
      <c r="A182" s="342"/>
      <c r="B182" s="153"/>
      <c r="C182" s="153"/>
      <c r="D182" s="324"/>
      <c r="E182" s="325"/>
      <c r="AJ182" s="59"/>
      <c r="AK182" s="59"/>
      <c r="AL182" s="59"/>
      <c r="AM182" s="59"/>
    </row>
    <row r="183" customFormat="false" ht="12.75" hidden="false" customHeight="true" outlineLevel="0" collapsed="false">
      <c r="A183" s="342"/>
      <c r="B183" s="153"/>
      <c r="C183" s="153"/>
      <c r="D183" s="324"/>
      <c r="E183" s="325"/>
      <c r="AJ183" s="59"/>
      <c r="AK183" s="59"/>
      <c r="AL183" s="59"/>
      <c r="AM183" s="59"/>
    </row>
    <row r="184" customFormat="false" ht="12.75" hidden="false" customHeight="true" outlineLevel="0" collapsed="false">
      <c r="A184" s="342"/>
      <c r="B184" s="153"/>
      <c r="C184" s="153"/>
      <c r="D184" s="324"/>
      <c r="E184" s="334"/>
      <c r="AJ184" s="59"/>
      <c r="AK184" s="59"/>
      <c r="AL184" s="59"/>
      <c r="AM184" s="59"/>
    </row>
    <row r="185" customFormat="false" ht="12.75" hidden="false" customHeight="true" outlineLevel="0" collapsed="false">
      <c r="A185" s="348"/>
      <c r="B185" s="153"/>
      <c r="C185" s="153"/>
      <c r="D185" s="336" t="s">
        <v>330</v>
      </c>
      <c r="E185" s="338" t="n">
        <f aca="false">SUM(E165:E184)</f>
        <v>0</v>
      </c>
      <c r="AJ185" s="59"/>
      <c r="AK185" s="59"/>
      <c r="AL185" s="59"/>
      <c r="AM185" s="59"/>
    </row>
    <row r="186" customFormat="false" ht="12.75" hidden="false" customHeight="true" outlineLevel="0" collapsed="false">
      <c r="A186" s="349"/>
      <c r="B186" s="340"/>
      <c r="C186" s="340"/>
      <c r="D186" s="340"/>
      <c r="E186" s="341"/>
      <c r="AJ186" s="59"/>
      <c r="AK186" s="59"/>
      <c r="AL186" s="59"/>
      <c r="AM186" s="59"/>
    </row>
    <row r="187" customFormat="false" ht="12.75" hidden="false" customHeight="true" outlineLevel="0" collapsed="false">
      <c r="AJ187" s="59"/>
      <c r="AK187" s="59"/>
      <c r="AL187" s="59"/>
      <c r="AM187" s="59"/>
    </row>
    <row r="188" customFormat="false" ht="12.75" hidden="false" customHeight="true" outlineLevel="0" collapsed="false">
      <c r="AJ188" s="59"/>
      <c r="AK188" s="59"/>
      <c r="AL188" s="59"/>
      <c r="AM188" s="59"/>
    </row>
    <row r="189" customFormat="false" ht="12.75" hidden="false" customHeight="true" outlineLevel="0" collapsed="false">
      <c r="A189" s="352" t="s">
        <v>331</v>
      </c>
      <c r="B189" s="350"/>
      <c r="C189" s="350"/>
      <c r="D189" s="350"/>
      <c r="E189" s="350"/>
      <c r="F189" s="350"/>
      <c r="G189" s="350"/>
      <c r="H189" s="350"/>
      <c r="I189" s="350"/>
      <c r="J189" s="350"/>
      <c r="K189" s="350"/>
      <c r="L189" s="350"/>
      <c r="M189" s="351"/>
      <c r="O189" s="59"/>
      <c r="P189" s="59"/>
      <c r="Q189" s="59"/>
      <c r="R189" s="59"/>
    </row>
    <row r="190" customFormat="false" ht="12.75" hidden="false" customHeight="true" outlineLevel="0" collapsed="false">
      <c r="A190" s="355" t="s">
        <v>332</v>
      </c>
      <c r="B190" s="356" t="s">
        <v>268</v>
      </c>
      <c r="C190" s="357" t="s">
        <v>333</v>
      </c>
      <c r="D190" s="358" t="s">
        <v>334</v>
      </c>
      <c r="E190" s="404" t="s">
        <v>269</v>
      </c>
      <c r="F190" s="404"/>
      <c r="G190" s="404"/>
      <c r="H190" s="404"/>
      <c r="I190" s="404"/>
      <c r="J190" s="404"/>
      <c r="K190" s="404"/>
      <c r="L190" s="404"/>
      <c r="M190" s="354" t="s">
        <v>270</v>
      </c>
      <c r="O190" s="59"/>
      <c r="P190" s="59"/>
      <c r="Q190" s="59"/>
      <c r="R190" s="59"/>
    </row>
    <row r="191" customFormat="false" ht="12.75" hidden="false" customHeight="true" outlineLevel="0" collapsed="false">
      <c r="A191" s="360"/>
      <c r="B191" s="361"/>
      <c r="C191" s="362"/>
      <c r="D191" s="324"/>
      <c r="E191" s="153"/>
      <c r="F191" s="153"/>
      <c r="G191" s="153"/>
      <c r="H191" s="153"/>
      <c r="I191" s="153"/>
      <c r="J191" s="153"/>
      <c r="K191" s="153"/>
      <c r="L191" s="153"/>
      <c r="M191" s="359"/>
      <c r="O191" s="59"/>
      <c r="P191" s="59"/>
      <c r="Q191" s="59"/>
      <c r="R191" s="59"/>
    </row>
    <row r="192" customFormat="false" ht="12.75" hidden="false" customHeight="true" outlineLevel="0" collapsed="false">
      <c r="A192" s="360"/>
      <c r="B192" s="361"/>
      <c r="C192" s="362"/>
      <c r="D192" s="324"/>
      <c r="E192" s="153"/>
      <c r="F192" s="153"/>
      <c r="G192" s="153"/>
      <c r="H192" s="153"/>
      <c r="I192" s="153"/>
      <c r="J192" s="153"/>
      <c r="K192" s="153"/>
      <c r="L192" s="153"/>
      <c r="M192" s="359"/>
      <c r="O192" s="59"/>
      <c r="P192" s="59"/>
      <c r="Q192" s="59"/>
      <c r="R192" s="59"/>
    </row>
    <row r="193" customFormat="false" ht="12.75" hidden="false" customHeight="true" outlineLevel="0" collapsed="false">
      <c r="A193" s="360"/>
      <c r="B193" s="361"/>
      <c r="C193" s="362"/>
      <c r="D193" s="324"/>
      <c r="E193" s="153"/>
      <c r="F193" s="153"/>
      <c r="G193" s="153"/>
      <c r="H193" s="153"/>
      <c r="I193" s="153"/>
      <c r="J193" s="153"/>
      <c r="K193" s="153"/>
      <c r="L193" s="153"/>
      <c r="M193" s="359"/>
      <c r="O193" s="59"/>
      <c r="P193" s="59"/>
      <c r="Q193" s="59"/>
      <c r="R193" s="59"/>
    </row>
    <row r="194" customFormat="false" ht="12.75" hidden="false" customHeight="true" outlineLevel="0" collapsed="false">
      <c r="A194" s="360"/>
      <c r="B194" s="361"/>
      <c r="C194" s="362"/>
      <c r="D194" s="324"/>
      <c r="E194" s="153"/>
      <c r="F194" s="153"/>
      <c r="G194" s="153"/>
      <c r="H194" s="153"/>
      <c r="I194" s="153"/>
      <c r="J194" s="153"/>
      <c r="K194" s="153"/>
      <c r="L194" s="153"/>
      <c r="M194" s="359"/>
      <c r="O194" s="59"/>
      <c r="P194" s="59"/>
      <c r="Q194" s="59"/>
      <c r="R194" s="59"/>
    </row>
    <row r="195" customFormat="false" ht="12.75" hidden="false" customHeight="true" outlineLevel="0" collapsed="false">
      <c r="A195" s="360"/>
      <c r="B195" s="361"/>
      <c r="C195" s="362"/>
      <c r="D195" s="324"/>
      <c r="E195" s="153"/>
      <c r="F195" s="153"/>
      <c r="G195" s="153"/>
      <c r="H195" s="153"/>
      <c r="I195" s="153"/>
      <c r="J195" s="153"/>
      <c r="K195" s="153"/>
      <c r="L195" s="153"/>
      <c r="M195" s="359"/>
      <c r="O195" s="59"/>
      <c r="P195" s="59"/>
      <c r="Q195" s="59"/>
      <c r="R195" s="59"/>
    </row>
    <row r="196" customFormat="false" ht="12.75" hidden="false" customHeight="true" outlineLevel="0" collapsed="false">
      <c r="A196" s="360"/>
      <c r="B196" s="361"/>
      <c r="C196" s="362"/>
      <c r="D196" s="324"/>
      <c r="E196" s="153"/>
      <c r="F196" s="153"/>
      <c r="G196" s="153"/>
      <c r="H196" s="153"/>
      <c r="I196" s="153"/>
      <c r="J196" s="153"/>
      <c r="K196" s="153"/>
      <c r="L196" s="153"/>
      <c r="M196" s="359"/>
    </row>
    <row r="197" customFormat="false" ht="12.75" hidden="false" customHeight="true" outlineLevel="0" collapsed="false">
      <c r="A197" s="360"/>
      <c r="B197" s="361"/>
      <c r="C197" s="362"/>
      <c r="D197" s="324"/>
      <c r="E197" s="153"/>
      <c r="F197" s="153"/>
      <c r="G197" s="153"/>
      <c r="H197" s="153"/>
      <c r="I197" s="153"/>
      <c r="J197" s="153"/>
      <c r="K197" s="153"/>
      <c r="L197" s="153"/>
      <c r="M197" s="359"/>
    </row>
    <row r="198" customFormat="false" ht="12.75" hidden="false" customHeight="true" outlineLevel="0" collapsed="false">
      <c r="A198" s="360"/>
      <c r="B198" s="361"/>
      <c r="C198" s="362"/>
      <c r="D198" s="324"/>
      <c r="E198" s="153"/>
      <c r="F198" s="153"/>
      <c r="G198" s="153"/>
      <c r="H198" s="153"/>
      <c r="I198" s="153"/>
      <c r="J198" s="153"/>
      <c r="K198" s="153"/>
      <c r="L198" s="153"/>
      <c r="M198" s="359"/>
    </row>
    <row r="199" customFormat="false" ht="12.75" hidden="false" customHeight="true" outlineLevel="0" collapsed="false">
      <c r="A199" s="360"/>
      <c r="B199" s="361"/>
      <c r="C199" s="362"/>
      <c r="D199" s="324"/>
      <c r="E199" s="153"/>
      <c r="F199" s="153"/>
      <c r="G199" s="153"/>
      <c r="H199" s="153"/>
      <c r="I199" s="153"/>
      <c r="J199" s="153"/>
      <c r="K199" s="153"/>
      <c r="L199" s="153"/>
      <c r="M199" s="359"/>
    </row>
    <row r="200" customFormat="false" ht="12.75" hidden="false" customHeight="true" outlineLevel="0" collapsed="false">
      <c r="A200" s="360"/>
      <c r="B200" s="361"/>
      <c r="C200" s="362"/>
      <c r="D200" s="324"/>
      <c r="E200" s="153"/>
      <c r="F200" s="153"/>
      <c r="G200" s="153"/>
      <c r="H200" s="153"/>
      <c r="I200" s="153"/>
      <c r="J200" s="153"/>
      <c r="K200" s="153"/>
      <c r="L200" s="153"/>
      <c r="M200" s="359"/>
    </row>
    <row r="201" customFormat="false" ht="12.75" hidden="false" customHeight="true" outlineLevel="0" collapsed="false">
      <c r="A201" s="363"/>
      <c r="B201" s="361"/>
      <c r="C201" s="362"/>
      <c r="D201" s="324"/>
      <c r="E201" s="153"/>
      <c r="F201" s="153"/>
      <c r="G201" s="153"/>
      <c r="H201" s="153"/>
      <c r="I201" s="153"/>
      <c r="J201" s="153"/>
      <c r="K201" s="153"/>
      <c r="L201" s="153"/>
      <c r="M201" s="359"/>
    </row>
    <row r="202" customFormat="false" ht="12.75" hidden="false" customHeight="true" outlineLevel="0" collapsed="false">
      <c r="A202" s="363"/>
      <c r="B202" s="361"/>
      <c r="C202" s="362"/>
      <c r="D202" s="324"/>
      <c r="E202" s="153"/>
      <c r="F202" s="153"/>
      <c r="G202" s="153"/>
      <c r="H202" s="153"/>
      <c r="I202" s="153"/>
      <c r="J202" s="153"/>
      <c r="K202" s="153"/>
      <c r="L202" s="153"/>
      <c r="M202" s="359"/>
    </row>
    <row r="203" customFormat="false" ht="12.75" hidden="false" customHeight="true" outlineLevel="0" collapsed="false">
      <c r="A203" s="363"/>
      <c r="B203" s="361"/>
      <c r="C203" s="362"/>
      <c r="D203" s="324"/>
      <c r="E203" s="153"/>
      <c r="F203" s="153"/>
      <c r="G203" s="153"/>
      <c r="H203" s="153"/>
      <c r="I203" s="153"/>
      <c r="J203" s="153"/>
      <c r="K203" s="153"/>
      <c r="L203" s="153"/>
      <c r="M203" s="359"/>
    </row>
    <row r="204" customFormat="false" ht="12.75" hidden="false" customHeight="true" outlineLevel="0" collapsed="false">
      <c r="A204" s="363"/>
      <c r="B204" s="361"/>
      <c r="C204" s="362"/>
      <c r="D204" s="324"/>
      <c r="E204" s="153"/>
      <c r="F204" s="153"/>
      <c r="G204" s="153"/>
      <c r="H204" s="153"/>
      <c r="I204" s="153"/>
      <c r="J204" s="153"/>
      <c r="K204" s="153"/>
      <c r="L204" s="153"/>
      <c r="M204" s="359"/>
    </row>
    <row r="205" customFormat="false" ht="12.75" hidden="false" customHeight="true" outlineLevel="0" collapsed="false">
      <c r="A205" s="363"/>
      <c r="B205" s="361"/>
      <c r="C205" s="364"/>
      <c r="D205" s="324"/>
      <c r="E205" s="153"/>
      <c r="F205" s="153"/>
      <c r="G205" s="153"/>
      <c r="H205" s="153"/>
      <c r="I205" s="153"/>
      <c r="J205" s="153"/>
      <c r="K205" s="153"/>
      <c r="L205" s="153"/>
      <c r="M205" s="359"/>
    </row>
    <row r="206" customFormat="false" ht="12.75" hidden="false" customHeight="true" outlineLevel="0" collapsed="false">
      <c r="A206" s="363"/>
      <c r="B206" s="361"/>
      <c r="C206" s="364"/>
      <c r="D206" s="324"/>
      <c r="E206" s="153"/>
      <c r="F206" s="153"/>
      <c r="G206" s="153"/>
      <c r="H206" s="153"/>
      <c r="I206" s="153"/>
      <c r="J206" s="153"/>
      <c r="K206" s="153"/>
      <c r="L206" s="153"/>
      <c r="M206" s="359"/>
    </row>
    <row r="207" customFormat="false" ht="12.75" hidden="false" customHeight="true" outlineLevel="0" collapsed="false">
      <c r="A207" s="363"/>
      <c r="B207" s="361"/>
      <c r="C207" s="364"/>
      <c r="D207" s="324"/>
      <c r="E207" s="153"/>
      <c r="F207" s="153"/>
      <c r="G207" s="153"/>
      <c r="H207" s="153"/>
      <c r="I207" s="153"/>
      <c r="J207" s="153"/>
      <c r="K207" s="153"/>
      <c r="L207" s="153"/>
      <c r="M207" s="359"/>
    </row>
    <row r="208" customFormat="false" ht="12.75" hidden="false" customHeight="true" outlineLevel="0" collapsed="false">
      <c r="A208" s="363"/>
      <c r="B208" s="361"/>
      <c r="C208" s="365"/>
      <c r="D208" s="324"/>
      <c r="E208" s="153"/>
      <c r="F208" s="153"/>
      <c r="G208" s="153"/>
      <c r="H208" s="153"/>
      <c r="I208" s="153"/>
      <c r="J208" s="153"/>
      <c r="K208" s="153"/>
      <c r="L208" s="153"/>
      <c r="M208" s="359"/>
    </row>
    <row r="209" customFormat="false" ht="12.75" hidden="false" customHeight="true" outlineLevel="0" collapsed="false">
      <c r="A209" s="363"/>
      <c r="B209" s="361"/>
      <c r="C209" s="365"/>
      <c r="D209" s="324"/>
      <c r="E209" s="153"/>
      <c r="F209" s="153"/>
      <c r="G209" s="153"/>
      <c r="H209" s="153"/>
      <c r="I209" s="153"/>
      <c r="J209" s="153"/>
      <c r="K209" s="153"/>
      <c r="L209" s="153"/>
      <c r="M209" s="359"/>
    </row>
    <row r="210" customFormat="false" ht="12.75" hidden="false" customHeight="true" outlineLevel="0" collapsed="false">
      <c r="A210" s="363"/>
      <c r="B210" s="361"/>
      <c r="C210" s="365"/>
      <c r="D210" s="324"/>
      <c r="E210" s="153"/>
      <c r="F210" s="153"/>
      <c r="G210" s="153"/>
      <c r="H210" s="153"/>
      <c r="I210" s="153"/>
      <c r="J210" s="153"/>
      <c r="K210" s="153"/>
      <c r="L210" s="153"/>
      <c r="M210" s="359"/>
    </row>
    <row r="211" customFormat="false" ht="12.75" hidden="false" customHeight="true" outlineLevel="0" collapsed="false">
      <c r="A211" s="363"/>
      <c r="B211" s="361"/>
      <c r="C211" s="365"/>
      <c r="D211" s="324"/>
      <c r="E211" s="153"/>
      <c r="F211" s="153"/>
      <c r="G211" s="153"/>
      <c r="H211" s="153"/>
      <c r="I211" s="153"/>
      <c r="J211" s="153"/>
      <c r="K211" s="153"/>
      <c r="L211" s="153"/>
      <c r="M211" s="359"/>
    </row>
    <row r="212" customFormat="false" ht="12.75" hidden="false" customHeight="true" outlineLevel="0" collapsed="false">
      <c r="A212" s="363"/>
      <c r="B212" s="361"/>
      <c r="C212" s="365"/>
      <c r="D212" s="324"/>
      <c r="E212" s="153"/>
      <c r="F212" s="153"/>
      <c r="G212" s="153"/>
      <c r="H212" s="153"/>
      <c r="I212" s="153"/>
      <c r="J212" s="153"/>
      <c r="K212" s="153"/>
      <c r="L212" s="153"/>
      <c r="M212" s="359"/>
    </row>
    <row r="213" customFormat="false" ht="12.75" hidden="false" customHeight="true" outlineLevel="0" collapsed="false">
      <c r="A213" s="363"/>
      <c r="B213" s="361"/>
      <c r="C213" s="365"/>
      <c r="D213" s="324"/>
      <c r="E213" s="153"/>
      <c r="F213" s="153"/>
      <c r="G213" s="153"/>
      <c r="H213" s="153"/>
      <c r="I213" s="153"/>
      <c r="J213" s="153"/>
      <c r="K213" s="153"/>
      <c r="L213" s="153"/>
      <c r="M213" s="359"/>
    </row>
    <row r="214" customFormat="false" ht="12.75" hidden="false" customHeight="true" outlineLevel="0" collapsed="false">
      <c r="A214" s="363"/>
      <c r="B214" s="361"/>
      <c r="C214" s="367"/>
      <c r="D214" s="324"/>
      <c r="E214" s="153"/>
      <c r="F214" s="153"/>
      <c r="G214" s="153"/>
      <c r="H214" s="153"/>
      <c r="I214" s="153"/>
      <c r="J214" s="153"/>
      <c r="K214" s="153"/>
      <c r="L214" s="336" t="s">
        <v>335</v>
      </c>
      <c r="M214" s="366" t="n">
        <f aca="false">SUM(M191:M213)</f>
        <v>0</v>
      </c>
    </row>
    <row r="215" customFormat="false" ht="12.75" hidden="false" customHeight="true" outlineLevel="0" collapsed="false">
      <c r="A215" s="368"/>
      <c r="B215" s="369"/>
      <c r="C215" s="340"/>
      <c r="D215" s="340"/>
      <c r="E215" s="340"/>
      <c r="F215" s="340"/>
      <c r="G215" s="340"/>
      <c r="H215" s="340"/>
      <c r="I215" s="340"/>
      <c r="J215" s="340"/>
      <c r="K215" s="340"/>
      <c r="L215" s="340"/>
      <c r="M215" s="341"/>
    </row>
    <row r="216" customFormat="false" ht="12.75" hidden="false" customHeight="true" outlineLevel="0" collapsed="false"/>
    <row r="217" customFormat="false" ht="12.75" hidden="false" customHeight="true" outlineLevel="0" collapsed="false"/>
    <row r="218" customFormat="false" ht="12.75" hidden="false" customHeight="true" outlineLevel="0" collapsed="false">
      <c r="A218" s="371" t="s">
        <v>336</v>
      </c>
      <c r="B218" s="372"/>
      <c r="C218" s="372"/>
      <c r="D218" s="372"/>
      <c r="E218" s="372"/>
      <c r="F218" s="373"/>
      <c r="G218" s="370"/>
      <c r="H218" s="370"/>
      <c r="I218" s="370"/>
      <c r="J218" s="370"/>
      <c r="K218" s="370"/>
      <c r="L218" s="370"/>
      <c r="M218" s="370"/>
      <c r="N218" s="370"/>
    </row>
    <row r="219" customFormat="false" ht="12.75" hidden="false" customHeight="true" outlineLevel="0" collapsed="false">
      <c r="A219" s="374" t="s">
        <v>332</v>
      </c>
      <c r="B219" s="375" t="s">
        <v>268</v>
      </c>
      <c r="C219" s="376" t="s">
        <v>333</v>
      </c>
      <c r="D219" s="377" t="s">
        <v>334</v>
      </c>
      <c r="E219" s="377"/>
      <c r="F219" s="378" t="s">
        <v>270</v>
      </c>
      <c r="G219" s="370"/>
      <c r="H219" s="370"/>
      <c r="I219" s="370"/>
      <c r="J219" s="370"/>
      <c r="K219" s="370"/>
      <c r="L219" s="370"/>
      <c r="M219" s="370"/>
      <c r="N219" s="370"/>
    </row>
    <row r="220" customFormat="false" ht="12.75" hidden="false" customHeight="true" outlineLevel="0" collapsed="false">
      <c r="A220" s="380"/>
      <c r="B220" s="361"/>
      <c r="C220" s="381"/>
      <c r="D220" s="153"/>
      <c r="E220" s="382"/>
      <c r="F220" s="383"/>
      <c r="G220" s="379"/>
      <c r="H220" s="379"/>
      <c r="I220" s="379"/>
      <c r="J220" s="379"/>
      <c r="K220" s="379"/>
      <c r="L220" s="379"/>
      <c r="M220" s="379"/>
      <c r="N220" s="379"/>
    </row>
    <row r="221" customFormat="false" ht="12.75" hidden="false" customHeight="true" outlineLevel="0" collapsed="false">
      <c r="A221" s="380"/>
      <c r="B221" s="361"/>
      <c r="C221" s="370"/>
      <c r="D221" s="385"/>
      <c r="E221" s="382"/>
      <c r="F221" s="405"/>
      <c r="G221" s="379"/>
      <c r="H221" s="379"/>
      <c r="I221" s="379"/>
      <c r="J221" s="379"/>
      <c r="K221" s="379"/>
      <c r="L221" s="379"/>
      <c r="M221" s="379"/>
      <c r="N221" s="379"/>
    </row>
    <row r="222" customFormat="false" ht="12.75" hidden="false" customHeight="true" outlineLevel="0" collapsed="false">
      <c r="A222" s="380"/>
      <c r="B222" s="361"/>
      <c r="C222" s="370"/>
      <c r="D222" s="385"/>
      <c r="E222" s="382"/>
      <c r="F222" s="384"/>
      <c r="G222" s="370"/>
      <c r="H222" s="370"/>
      <c r="I222" s="370"/>
      <c r="J222" s="370"/>
      <c r="K222" s="370"/>
      <c r="L222" s="370"/>
      <c r="M222" s="370"/>
      <c r="N222" s="370"/>
    </row>
    <row r="223" customFormat="false" ht="12.75" hidden="false" customHeight="true" outlineLevel="0" collapsed="false">
      <c r="A223" s="380"/>
      <c r="B223" s="361"/>
      <c r="C223" s="370"/>
      <c r="D223" s="385"/>
      <c r="E223" s="382"/>
      <c r="F223" s="384"/>
      <c r="G223" s="370"/>
      <c r="H223" s="370"/>
      <c r="I223" s="370"/>
      <c r="J223" s="370"/>
      <c r="K223" s="370"/>
      <c r="L223" s="370"/>
      <c r="M223" s="370"/>
      <c r="N223" s="370"/>
    </row>
    <row r="224" customFormat="false" ht="12.75" hidden="false" customHeight="true" outlineLevel="0" collapsed="false">
      <c r="A224" s="380"/>
      <c r="B224" s="361"/>
      <c r="C224" s="370"/>
      <c r="D224" s="385"/>
      <c r="E224" s="382"/>
      <c r="F224" s="384"/>
      <c r="G224" s="370"/>
      <c r="H224" s="370"/>
      <c r="I224" s="370"/>
      <c r="J224" s="370"/>
      <c r="K224" s="370"/>
      <c r="L224" s="370"/>
      <c r="M224" s="370"/>
      <c r="N224" s="370"/>
    </row>
    <row r="225" customFormat="false" ht="12.75" hidden="false" customHeight="true" outlineLevel="0" collapsed="false">
      <c r="A225" s="380"/>
      <c r="B225" s="361"/>
      <c r="C225" s="370"/>
      <c r="D225" s="385"/>
      <c r="E225" s="382"/>
      <c r="F225" s="384"/>
      <c r="G225" s="370"/>
      <c r="H225" s="370"/>
      <c r="I225" s="370"/>
      <c r="J225" s="370"/>
      <c r="K225" s="370"/>
      <c r="L225" s="370"/>
      <c r="M225" s="370"/>
      <c r="N225" s="370"/>
    </row>
    <row r="226" customFormat="false" ht="12.75" hidden="false" customHeight="true" outlineLevel="0" collapsed="false">
      <c r="A226" s="380"/>
      <c r="B226" s="361"/>
      <c r="C226" s="370"/>
      <c r="D226" s="385"/>
      <c r="E226" s="382"/>
      <c r="F226" s="384"/>
      <c r="G226" s="370"/>
      <c r="H226" s="370"/>
      <c r="I226" s="370"/>
      <c r="J226" s="370"/>
      <c r="K226" s="370"/>
      <c r="L226" s="370"/>
      <c r="M226" s="370"/>
      <c r="N226" s="370"/>
    </row>
    <row r="227" customFormat="false" ht="12.75" hidden="false" customHeight="true" outlineLevel="0" collapsed="false">
      <c r="A227" s="380"/>
      <c r="B227" s="361"/>
      <c r="C227" s="370"/>
      <c r="D227" s="385"/>
      <c r="E227" s="382"/>
      <c r="F227" s="384"/>
      <c r="G227" s="370"/>
      <c r="H227" s="370"/>
      <c r="I227" s="370"/>
      <c r="J227" s="370"/>
      <c r="K227" s="370"/>
      <c r="L227" s="370"/>
      <c r="M227" s="370"/>
      <c r="N227" s="370"/>
    </row>
    <row r="228" customFormat="false" ht="12.75" hidden="false" customHeight="true" outlineLevel="0" collapsed="false">
      <c r="A228" s="380"/>
      <c r="B228" s="361"/>
      <c r="C228" s="370"/>
      <c r="D228" s="385"/>
      <c r="E228" s="382"/>
      <c r="F228" s="384"/>
      <c r="G228" s="370"/>
      <c r="H228" s="370"/>
      <c r="I228" s="370"/>
      <c r="J228" s="370"/>
      <c r="K228" s="370"/>
      <c r="L228" s="370"/>
      <c r="M228" s="370"/>
      <c r="N228" s="370"/>
    </row>
    <row r="229" customFormat="false" ht="12.75" hidden="false" customHeight="true" outlineLevel="0" collapsed="false">
      <c r="A229" s="380"/>
      <c r="B229" s="361"/>
      <c r="C229" s="370"/>
      <c r="D229" s="385"/>
      <c r="E229" s="382"/>
      <c r="F229" s="384"/>
      <c r="G229" s="370"/>
      <c r="H229" s="370"/>
      <c r="I229" s="370"/>
      <c r="J229" s="370"/>
      <c r="K229" s="370"/>
      <c r="L229" s="370"/>
      <c r="M229" s="370"/>
      <c r="N229" s="370"/>
    </row>
    <row r="230" customFormat="false" ht="12.75" hidden="false" customHeight="true" outlineLevel="0" collapsed="false">
      <c r="A230" s="380"/>
      <c r="B230" s="361"/>
      <c r="C230" s="370"/>
      <c r="D230" s="385"/>
      <c r="E230" s="382"/>
      <c r="F230" s="384"/>
      <c r="G230" s="370"/>
      <c r="H230" s="370"/>
      <c r="I230" s="370"/>
      <c r="J230" s="370"/>
      <c r="K230" s="370"/>
      <c r="L230" s="370"/>
      <c r="M230" s="370"/>
      <c r="N230" s="370"/>
    </row>
    <row r="231" customFormat="false" ht="12.75" hidden="false" customHeight="true" outlineLevel="0" collapsed="false">
      <c r="A231" s="380"/>
      <c r="B231" s="361"/>
      <c r="C231" s="370"/>
      <c r="D231" s="385"/>
      <c r="E231" s="382"/>
      <c r="F231" s="384"/>
      <c r="G231" s="370"/>
      <c r="H231" s="370"/>
      <c r="I231" s="370"/>
      <c r="J231" s="370"/>
      <c r="K231" s="370"/>
      <c r="L231" s="370"/>
      <c r="M231" s="370"/>
      <c r="N231" s="370"/>
    </row>
    <row r="232" customFormat="false" ht="12.75" hidden="false" customHeight="true" outlineLevel="0" collapsed="false">
      <c r="A232" s="380"/>
      <c r="B232" s="361"/>
      <c r="C232" s="370"/>
      <c r="D232" s="385"/>
      <c r="E232" s="382"/>
      <c r="F232" s="384"/>
      <c r="G232" s="370"/>
      <c r="H232" s="370"/>
      <c r="I232" s="370"/>
      <c r="J232" s="370"/>
      <c r="K232" s="370"/>
      <c r="L232" s="370"/>
      <c r="M232" s="370"/>
      <c r="N232" s="370"/>
    </row>
    <row r="233" customFormat="false" ht="12.75" hidden="false" customHeight="true" outlineLevel="0" collapsed="false">
      <c r="A233" s="380"/>
      <c r="B233" s="361"/>
      <c r="C233" s="370"/>
      <c r="D233" s="385"/>
      <c r="E233" s="382"/>
      <c r="F233" s="384"/>
      <c r="G233" s="370"/>
      <c r="H233" s="370"/>
      <c r="I233" s="370"/>
      <c r="J233" s="370"/>
      <c r="K233" s="370"/>
      <c r="L233" s="370"/>
      <c r="M233" s="370"/>
      <c r="N233" s="370"/>
    </row>
    <row r="234" customFormat="false" ht="12.75" hidden="false" customHeight="true" outlineLevel="0" collapsed="false">
      <c r="A234" s="380"/>
      <c r="B234" s="361"/>
      <c r="C234" s="370"/>
      <c r="D234" s="385"/>
      <c r="E234" s="382"/>
      <c r="F234" s="384"/>
      <c r="G234" s="370"/>
      <c r="H234" s="370"/>
      <c r="I234" s="370"/>
      <c r="J234" s="370"/>
      <c r="K234" s="370"/>
      <c r="L234" s="370"/>
      <c r="M234" s="370"/>
      <c r="N234" s="370"/>
    </row>
    <row r="235" customFormat="false" ht="12.75" hidden="false" customHeight="true" outlineLevel="0" collapsed="false">
      <c r="A235" s="380"/>
      <c r="B235" s="361"/>
      <c r="C235" s="370"/>
      <c r="D235" s="385"/>
      <c r="E235" s="382"/>
      <c r="F235" s="384"/>
      <c r="G235" s="370"/>
      <c r="H235" s="370"/>
      <c r="I235" s="370"/>
      <c r="J235" s="370"/>
      <c r="K235" s="370"/>
      <c r="L235" s="370"/>
      <c r="M235" s="370"/>
      <c r="N235" s="370"/>
    </row>
    <row r="236" customFormat="false" ht="12.75" hidden="false" customHeight="true" outlineLevel="0" collapsed="false">
      <c r="A236" s="380"/>
      <c r="B236" s="361"/>
      <c r="C236" s="370"/>
      <c r="D236" s="385"/>
      <c r="E236" s="382"/>
      <c r="F236" s="384"/>
      <c r="G236" s="370"/>
      <c r="H236" s="370"/>
      <c r="I236" s="370"/>
      <c r="J236" s="370"/>
      <c r="K236" s="370"/>
      <c r="L236" s="370"/>
      <c r="M236" s="370"/>
      <c r="N236" s="370"/>
    </row>
    <row r="237" customFormat="false" ht="12.75" hidden="false" customHeight="true" outlineLevel="0" collapsed="false">
      <c r="A237" s="380"/>
      <c r="B237" s="361"/>
      <c r="C237" s="370"/>
      <c r="D237" s="385"/>
      <c r="E237" s="382"/>
      <c r="F237" s="384"/>
      <c r="G237" s="370"/>
      <c r="H237" s="370"/>
      <c r="I237" s="370"/>
      <c r="J237" s="370"/>
      <c r="K237" s="370"/>
      <c r="L237" s="370"/>
      <c r="M237" s="370"/>
      <c r="N237" s="370"/>
    </row>
    <row r="238" customFormat="false" ht="12.75" hidden="false" customHeight="true" outlineLevel="0" collapsed="false">
      <c r="A238" s="380"/>
      <c r="B238" s="361"/>
      <c r="C238" s="370"/>
      <c r="D238" s="370"/>
      <c r="E238" s="336" t="s">
        <v>337</v>
      </c>
      <c r="F238" s="386" t="n">
        <f aca="false">SUM(F219:F237)</f>
        <v>0</v>
      </c>
      <c r="G238" s="370"/>
      <c r="H238" s="370"/>
      <c r="I238" s="370"/>
      <c r="J238" s="370"/>
      <c r="K238" s="370"/>
      <c r="L238" s="370"/>
      <c r="M238" s="370"/>
      <c r="N238" s="370"/>
    </row>
    <row r="239" customFormat="false" ht="12.75" hidden="false" customHeight="true" outlineLevel="0" collapsed="false">
      <c r="A239" s="388"/>
      <c r="B239" s="389"/>
      <c r="C239" s="390"/>
      <c r="D239" s="390"/>
      <c r="E239" s="391"/>
      <c r="F239" s="387"/>
      <c r="G239" s="370"/>
      <c r="H239" s="370"/>
      <c r="I239" s="370"/>
      <c r="J239" s="370"/>
      <c r="K239" s="370"/>
      <c r="L239" s="370"/>
      <c r="M239" s="370"/>
      <c r="N239" s="370"/>
    </row>
    <row r="240" customFormat="false" ht="12.75" hidden="false" customHeight="true" outlineLevel="0" collapsed="false"/>
  </sheetData>
  <mergeCells count="11">
    <mergeCell ref="S6:T6"/>
    <mergeCell ref="K28:L28"/>
    <mergeCell ref="A41:B41"/>
    <mergeCell ref="AI42:AJ42"/>
    <mergeCell ref="A79:B79"/>
    <mergeCell ref="A121:B121"/>
    <mergeCell ref="B125:D125"/>
    <mergeCell ref="G125:K125"/>
    <mergeCell ref="B164:D164"/>
    <mergeCell ref="E190:L190"/>
    <mergeCell ref="D219:E219"/>
  </mergeCells>
  <printOptions headings="false" gridLines="false" gridLinesSet="true" horizontalCentered="true" verticalCentered="false"/>
  <pageMargins left="0.25" right="0.25" top="0.25" bottom="0.25" header="0.511811023622047" footer="0.25"/>
  <pageSetup paperSize="1" scale="100" fitToWidth="1" fitToHeight="1" pageOrder="downThenOver" orientation="landscape" blackAndWhite="false" draft="false" cellComments="none" horizontalDpi="300" verticalDpi="300" copies="1"/>
  <headerFooter differentFirst="false" differentOddEven="false">
    <oddHeader/>
    <oddFooter>&amp;L&amp;"Times New Roman,Italic"&amp;F/&amp;A&amp;R&amp;"Times New Roman,Italic"&amp;D &amp;T</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1998-03-27T01:03:59Z</dcterms:created>
  <dc:creator>kreeve1</dc:creator>
  <dc:description/>
  <dc:language>en-US</dc:language>
  <cp:lastModifiedBy>bgillis</cp:lastModifiedBy>
  <cp:lastPrinted>2000-11-17T23:52:02Z</cp:lastPrinted>
  <cp:revision>0</cp:revision>
  <dc:subject/>
  <dc:title/>
</cp:coreProperties>
</file>