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 Graph" sheetId="1" state="visible" r:id="rId3"/>
    <sheet name="Valuation" sheetId="2" state="visible" r:id="rId4"/>
    <sheet name="Litigation Analysis" sheetId="3" state="visible" r:id="rId5"/>
    <sheet name="PACE ERCOT Power Pricing" sheetId="4" state="visible" r:id="rId6"/>
    <sheet name="PACE Waha Natural Gas Pricing" sheetId="5" state="visible" r:id="rId7"/>
    <sheet name="PACE CPI (1998=100)" sheetId="6" state="visible" r:id="rId8"/>
  </sheets>
  <definedNames>
    <definedName function="false" hidden="false" localSheetId="2" name="_xlnm.Print_Area" vbProcedure="false">'Litigation Analysis'!$A$88:$R$126</definedName>
    <definedName function="false" hidden="false" localSheetId="5" name="_xlnm.Print_Area" vbProcedure="false">'PACE CPI (1998=100)'!$A$1:$G$30</definedName>
    <definedName function="false" hidden="false" localSheetId="3" name="_xlnm.Print_Area" vbProcedure="false">'PACE ERCOT Power Pricing'!$A$1:$I$31</definedName>
    <definedName function="false" hidden="false" localSheetId="4" name="_xlnm.Print_Area" vbProcedure="false">'PACE Waha Natural Gas Pricing'!$A$1:$AA$31</definedName>
    <definedName function="false" hidden="false" localSheetId="1" name="_xlnm.Print_Area" vbProcedure="false">Valuation!$A$9:$Z$488</definedName>
    <definedName function="false" hidden="false" localSheetId="1" name="_xlnm.Print_Titles" vbProcedure="false">Valuation!$1:$8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8" authorId="0">
      <text>
        <r>
          <rPr>
            <b val="true"/>
            <sz val="8"/>
            <color rgb="FF000000"/>
            <rFont val="Tahoma"/>
            <family val="0"/>
          </rPr>
          <t xml:space="preserve">ECT:
</t>
        </r>
        <r>
          <rPr>
            <sz val="8"/>
            <color rgb="FF000000"/>
            <rFont val="Tahoma"/>
            <family val="0"/>
          </rPr>
          <t xml:space="preserve">Enter "Pace" or "Brazos"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48</xdr:colOff>
                <xdr:row>17</xdr:row>
                <xdr:rowOff>4</xdr:rowOff>
              </xdr:from>
              <xdr:to>
                <xdr:col>4</xdr:col>
                <xdr:colOff>22</xdr:colOff>
                <xdr:row>21</xdr:row>
                <xdr:rowOff>14</xdr:rowOff>
              </xdr:to>
            </anchor>
          </commentPr>
        </mc:Choice>
        <mc:Fallback/>
      </mc:AlternateContent>
    </comment>
    <comment ref="G107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
Per Tenaska; value is as follows:
$  9.4 MM = Capital Savings From Facilities and Contracts in Place    
$  4.0 MM = Capital Savings from Reduced Development Costs
$  4.5 MM = Other Capital Cost Savings
</t>
        </r>
        <r>
          <rPr>
            <u val="single"/>
            <sz val="8"/>
            <color rgb="FF000000"/>
            <rFont val="Tahoma"/>
            <family val="2"/>
          </rPr>
          <t xml:space="preserve">$  4.0 MM</t>
        </r>
        <r>
          <rPr>
            <sz val="8"/>
            <color rgb="FF000000"/>
            <rFont val="Tahoma"/>
            <family val="0"/>
          </rPr>
          <t xml:space="preserve"> = Operating Savings from Shared Operations w/Existing Plant
$22.4 MM = Total Savings (Excl. $5.0 - $12.0 MM in Profits)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29</xdr:colOff>
                <xdr:row>102</xdr:row>
                <xdr:rowOff>14</xdr:rowOff>
              </xdr:from>
              <xdr:to>
                <xdr:col>11</xdr:col>
                <xdr:colOff>77</xdr:colOff>
                <xdr:row>112</xdr:row>
                <xdr:rowOff>4</xdr:rowOff>
              </xdr:to>
            </anchor>
          </commentPr>
        </mc:Choice>
        <mc:Fallback/>
      </mc:AlternateContent>
    </comment>
    <comment ref="G173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2"/>
          </rPr>
          <t xml:space="preserve">Negative Value = Cost Increase 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29</xdr:colOff>
                <xdr:row>169</xdr:row>
                <xdr:rowOff>11</xdr:rowOff>
              </xdr:from>
              <xdr:to>
                <xdr:col>9</xdr:col>
                <xdr:colOff>42</xdr:colOff>
                <xdr:row>170</xdr:row>
                <xdr:rowOff>15</xdr:rowOff>
              </xdr:to>
            </anchor>
          </commentPr>
        </mc:Choice>
        <mc:Fallback/>
      </mc:AlternateContent>
    </comment>
    <comment ref="G360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Use Excel's Goal Seek function to hit zero in this cell by changing the Premium to Index.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29</xdr:colOff>
                <xdr:row>358</xdr:row>
                <xdr:rowOff>5</xdr:rowOff>
              </xdr:from>
              <xdr:to>
                <xdr:col>8</xdr:col>
                <xdr:colOff>80</xdr:colOff>
                <xdr:row>361</xdr:row>
                <xdr:rowOff>13</xdr:rowOff>
              </xdr:to>
            </anchor>
          </commentPr>
        </mc:Choice>
        <mc:Fallback/>
      </mc:AlternateContent>
    </comment>
    <comment ref="G383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Use Excel's Goal Seek function to hit zero in this cell by changing the Premium to Index.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29</xdr:colOff>
                <xdr:row>382</xdr:row>
                <xdr:rowOff>4</xdr:rowOff>
              </xdr:from>
              <xdr:to>
                <xdr:col>8</xdr:col>
                <xdr:colOff>80</xdr:colOff>
                <xdr:row>386</xdr:row>
                <xdr:rowOff>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<sst xmlns="http://schemas.openxmlformats.org/spreadsheetml/2006/main" count="732" uniqueCount="363">
  <si>
    <t xml:space="preserve">Brazos Electric Power Cooperative, Inc.</t>
  </si>
  <si>
    <t xml:space="preserve">Input</t>
  </si>
  <si>
    <t xml:space="preserve">Cleburne Analysis ($000)</t>
  </si>
  <si>
    <t xml:space="preserve">Key Output</t>
  </si>
  <si>
    <t xml:space="preserve">Chart Data</t>
  </si>
  <si>
    <t xml:space="preserve">Brazos</t>
  </si>
  <si>
    <t xml:space="preserve">Modifications</t>
  </si>
  <si>
    <t xml:space="preserve">This Information Is CONFIDENTIAL Per Section 5 of the Facilitation Agreement</t>
  </si>
  <si>
    <t xml:space="preserve">t = 0</t>
  </si>
  <si>
    <t xml:space="preserve">Key Assumptions*</t>
  </si>
  <si>
    <t xml:space="preserve">Base Rate</t>
  </si>
  <si>
    <t xml:space="preserve">Date =</t>
  </si>
  <si>
    <t xml:space="preserve">Spread</t>
  </si>
  <si>
    <t xml:space="preserve">n =</t>
  </si>
  <si>
    <t xml:space="preserve">Cost of Debt (RUS)</t>
  </si>
  <si>
    <t xml:space="preserve">Cost of Debt (Discount Rate)</t>
  </si>
  <si>
    <t xml:space="preserve">PVIF =</t>
  </si>
  <si>
    <t xml:space="preserve">Pricing Used in Valuation:</t>
  </si>
  <si>
    <t xml:space="preserve">Pace</t>
  </si>
  <si>
    <t xml:space="preserve">Hours Per Year</t>
  </si>
  <si>
    <t xml:space="preserve">Quantity Delivered (MWh)</t>
  </si>
  <si>
    <t xml:space="preserve">Contract Capacity</t>
  </si>
  <si>
    <t xml:space="preserve">(kW)</t>
  </si>
  <si>
    <t xml:space="preserve">Annual Capacity Factor</t>
  </si>
  <si>
    <t xml:space="preserve">Quantity Delivered</t>
  </si>
  <si>
    <t xml:space="preserve">(MWh)</t>
  </si>
  <si>
    <t xml:space="preserve">Pace Curves</t>
  </si>
  <si>
    <t xml:space="preserve">ERCOT On-Peak Power (Pace)</t>
  </si>
  <si>
    <t xml:space="preserve">($/MWh)</t>
  </si>
  <si>
    <t xml:space="preserve">ERCOT Off-Peak Power (Pace)</t>
  </si>
  <si>
    <t xml:space="preserve">ERCOT Average Power (Pace)</t>
  </si>
  <si>
    <t xml:space="preserve">Waha Hub Natural Gas (Pace)*</t>
  </si>
  <si>
    <t xml:space="preserve">($/MMBtu)</t>
  </si>
  <si>
    <t xml:space="preserve">NOTE:  ENA assumes post 2019 escalation at:</t>
  </si>
  <si>
    <t xml:space="preserve">Market Price - ERCOT 7x24 w/Wheeling (Brazos)</t>
  </si>
  <si>
    <t xml:space="preserve">Market Price - ERCOT 7x24 w/Wheeling (Pace)</t>
  </si>
  <si>
    <t xml:space="preserve">Market Price - ERCOT 7x24 w/Wheeling (Enron-Mid)</t>
  </si>
  <si>
    <t xml:space="preserve">Market Price - Midlothian I</t>
  </si>
  <si>
    <t xml:space="preserve">Market Price - Midlothian II</t>
  </si>
  <si>
    <t xml:space="preserve">General Inflation</t>
  </si>
  <si>
    <t xml:space="preserve">*Others highlighted below</t>
  </si>
  <si>
    <t xml:space="preserve">Contract Purchase (Status Quo)</t>
  </si>
  <si>
    <t xml:space="preserve">Capacity Charges</t>
  </si>
  <si>
    <t xml:space="preserve">Capacity Rate</t>
  </si>
  <si>
    <t xml:space="preserve">($/kW-mo.)</t>
  </si>
  <si>
    <t xml:space="preserve">Energy Charges</t>
  </si>
  <si>
    <t xml:space="preserve">As Scheduled</t>
  </si>
  <si>
    <t xml:space="preserve">Per Formula (*)</t>
  </si>
  <si>
    <t xml:space="preserve">Energy Rate </t>
  </si>
  <si>
    <t xml:space="preserve">Quantity Purchased</t>
  </si>
  <si>
    <t xml:space="preserve">O&amp;M Pass-Through</t>
  </si>
  <si>
    <t xml:space="preserve">Total Cost to Brazos</t>
  </si>
  <si>
    <t xml:space="preserve">(*)  Calculated as Follows:</t>
  </si>
  <si>
    <t xml:space="preserve">Cost of Gas - Supply Component</t>
  </si>
  <si>
    <t xml:space="preserve">($/Dth)</t>
  </si>
  <si>
    <t xml:space="preserve">Cost of Gas - Fuel Loss Factor @</t>
  </si>
  <si>
    <t xml:space="preserve">Cost of Gas - Transportation Component</t>
  </si>
  <si>
    <t xml:space="preserve">Cost of Gas - Management Fee</t>
  </si>
  <si>
    <t xml:space="preserve">Cost of Gas - Delivered</t>
  </si>
  <si>
    <t xml:space="preserve">Heat Rate - Guaranteed</t>
  </si>
  <si>
    <t xml:space="preserve">(Btu/kWh)</t>
  </si>
  <si>
    <t xml:space="preserve">Energy Rate - Per Formula</t>
  </si>
  <si>
    <t xml:space="preserve">Cost of Contract Purchase (Status Quo)</t>
  </si>
  <si>
    <t xml:space="preserve">Stranded Investment</t>
  </si>
  <si>
    <t xml:space="preserve">Quantity Required</t>
  </si>
  <si>
    <t xml:space="preserve">Contract Price vs. Market Price</t>
  </si>
  <si>
    <t xml:space="preserve">Plant Ownership/Operation</t>
  </si>
  <si>
    <t xml:space="preserve">Purchase Price</t>
  </si>
  <si>
    <t xml:space="preserve">Equity - RUS</t>
  </si>
  <si>
    <t xml:space="preserve">Equity - Market Settlement</t>
  </si>
  <si>
    <t xml:space="preserve">Project Debt</t>
  </si>
  <si>
    <t xml:space="preserve">Total Purchase Price (Enterprise Value)</t>
  </si>
  <si>
    <t xml:space="preserve">Plant, Property &amp; Equipment</t>
  </si>
  <si>
    <t xml:space="preserve">DSCR Reserve</t>
  </si>
  <si>
    <t xml:space="preserve">Overhaul Reserve</t>
  </si>
  <si>
    <t xml:space="preserve">Value Realized Above PP&amp;E in Acquisition Price</t>
  </si>
  <si>
    <t xml:space="preserve">COBANK Stock - Book Value</t>
  </si>
  <si>
    <t xml:space="preserve">Development Assets</t>
  </si>
  <si>
    <t xml:space="preserve">Delete Comment, Column G</t>
  </si>
  <si>
    <t xml:space="preserve">Costs of Operation</t>
  </si>
  <si>
    <t xml:space="preserve">O&amp;M - Fuel</t>
  </si>
  <si>
    <t xml:space="preserve">Contract Gas</t>
  </si>
  <si>
    <t xml:space="preserve">Market Gas</t>
  </si>
  <si>
    <t xml:space="preserve">Cost of Gas - Management Fee (Market)</t>
  </si>
  <si>
    <t xml:space="preserve">Heat Rate - Operating</t>
  </si>
  <si>
    <t xml:space="preserve">Quantity Delivered </t>
  </si>
  <si>
    <t xml:space="preserve">Fuel Use</t>
  </si>
  <si>
    <t xml:space="preserve">(MMBtu)</t>
  </si>
  <si>
    <t xml:space="preserve">Gas Supply Costs - Commodity</t>
  </si>
  <si>
    <t xml:space="preserve">Gas Supply Costs - Demand</t>
  </si>
  <si>
    <t xml:space="preserve">Total O&amp;M - Fuel</t>
  </si>
  <si>
    <t xml:space="preserve">O&amp;M - Other</t>
  </si>
  <si>
    <t xml:space="preserve">Delete Row</t>
  </si>
  <si>
    <t xml:space="preserve">Labor &amp; Supervision</t>
  </si>
  <si>
    <t xml:space="preserve">Training</t>
  </si>
  <si>
    <t xml:space="preserve">Utilities</t>
  </si>
  <si>
    <t xml:space="preserve">Operator Liability Insurance</t>
  </si>
  <si>
    <t xml:space="preserve">Operator Profit - GI Fee</t>
  </si>
  <si>
    <t xml:space="preserve">Operator Profit - Award Fee</t>
  </si>
  <si>
    <t xml:space="preserve">Operator Profit - Mgmt Fee</t>
  </si>
  <si>
    <t xml:space="preserve">Building &amp; Grounds</t>
  </si>
  <si>
    <t xml:space="preserve">Vehicle Maintenance</t>
  </si>
  <si>
    <t xml:space="preserve">Consumables </t>
  </si>
  <si>
    <t xml:space="preserve">Office Equipment &amp; Supplies</t>
  </si>
  <si>
    <t xml:space="preserve">Equipment Rental</t>
  </si>
  <si>
    <t xml:space="preserve">Equipment &amp; Tools</t>
  </si>
  <si>
    <t xml:space="preserve">Outside Services</t>
  </si>
  <si>
    <t xml:space="preserve">Use of Existing Spare Parts</t>
  </si>
  <si>
    <t xml:space="preserve">CT Planned Outage Total</t>
  </si>
  <si>
    <t xml:space="preserve">ST Planned Outage Total</t>
  </si>
  <si>
    <t xml:space="preserve">HRSG Maintenance Total</t>
  </si>
  <si>
    <t xml:space="preserve">Electrical Maintenance Total</t>
  </si>
  <si>
    <t xml:space="preserve">BOP Planned Outage Total</t>
  </si>
  <si>
    <t xml:space="preserve">Other Expenses</t>
  </si>
  <si>
    <t xml:space="preserve">Total O&amp;M - Other</t>
  </si>
  <si>
    <t xml:space="preserve">O&amp;M - Total</t>
  </si>
  <si>
    <t xml:space="preserve">Plant Ownership/Operation (Con't)</t>
  </si>
  <si>
    <t xml:space="preserve">Other</t>
  </si>
  <si>
    <t xml:space="preserve">Property Taxes</t>
  </si>
  <si>
    <t xml:space="preserve">Insurance</t>
  </si>
  <si>
    <t xml:space="preserve">Other G&amp;A</t>
  </si>
  <si>
    <t xml:space="preserve">Total Other</t>
  </si>
  <si>
    <t xml:space="preserve">CAPEX</t>
  </si>
  <si>
    <t xml:space="preserve">Operating Costs - Fuel</t>
  </si>
  <si>
    <t xml:space="preserve">Operating Costs - Other Than Fuel</t>
  </si>
  <si>
    <t xml:space="preserve">Esc. Post 2019:</t>
  </si>
  <si>
    <t xml:space="preserve">Hardcode/Data Input Format (2001-19)</t>
  </si>
  <si>
    <t xml:space="preserve">Operating Costs - Total</t>
  </si>
  <si>
    <t xml:space="preserve">Cost Saving Opportunities:</t>
  </si>
  <si>
    <t xml:space="preserve">Efficiency Gains (EWG)</t>
  </si>
  <si>
    <t xml:space="preserve">NOTE:  Efficiency Gain (EWG) reflected in heat rate (i.e., not shown as a line item) post 2019.</t>
  </si>
  <si>
    <t xml:space="preserve">Avoided O&amp;M Contract Margin</t>
  </si>
  <si>
    <t xml:space="preserve">NOTE:  Avoided O&amp;M Contract Margin assumed to be zero post 2019, as the contract expires with the initial term of the PPA.</t>
  </si>
  <si>
    <t xml:space="preserve">Other Operating Cost Savings</t>
  </si>
  <si>
    <t xml:space="preserve">Debt Service (Detailed on Page 5)</t>
  </si>
  <si>
    <t xml:space="preserve">NPV</t>
  </si>
  <si>
    <t xml:space="preserve">Avoided Costs</t>
  </si>
  <si>
    <t xml:space="preserve">Cost to Unwind Swap</t>
  </si>
  <si>
    <t xml:space="preserve">Total Stranded Investment Mitigation</t>
  </si>
  <si>
    <t xml:space="preserve">Equals a</t>
  </si>
  <si>
    <t xml:space="preserve">Cost of Ownership/Operation</t>
  </si>
  <si>
    <t xml:space="preserve">Cost to Own/Operate vs. Market Price</t>
  </si>
  <si>
    <t xml:space="preserve">Stranded Investment Mitigation</t>
  </si>
  <si>
    <t xml:space="preserve">Proforma Impact</t>
  </si>
  <si>
    <t xml:space="preserve">Operating Expenses</t>
  </si>
  <si>
    <t xml:space="preserve">Depreciation &amp; Amorization</t>
  </si>
  <si>
    <t xml:space="preserve">Year Life, or</t>
  </si>
  <si>
    <t xml:space="preserve">EBIT</t>
  </si>
  <si>
    <t xml:space="preserve">Debt Service</t>
  </si>
  <si>
    <t xml:space="preserve">Project-Level Debt</t>
  </si>
  <si>
    <t xml:space="preserve">Refinance:</t>
  </si>
  <si>
    <t xml:space="preserve">Yes</t>
  </si>
  <si>
    <t xml:space="preserve">Beginning Principal</t>
  </si>
  <si>
    <t xml:space="preserve">Interest</t>
  </si>
  <si>
    <t xml:space="preserve">Principal Amortization</t>
  </si>
  <si>
    <t xml:space="preserve">Ending Principal</t>
  </si>
  <si>
    <t xml:space="preserve">New Debt - RUS</t>
  </si>
  <si>
    <t xml:space="preserve">Term:</t>
  </si>
  <si>
    <t xml:space="preserve">Cost of Debt:</t>
  </si>
  <si>
    <t xml:space="preserve">New Debt - Market</t>
  </si>
  <si>
    <t xml:space="preserve">Debt Service - Total</t>
  </si>
  <si>
    <t xml:space="preserve">Total Cost</t>
  </si>
  <si>
    <t xml:space="preserve">Effective TIER</t>
  </si>
  <si>
    <t xml:space="preserve">Tranche (A) Principal Total</t>
  </si>
  <si>
    <t xml:space="preserve">Tranche (B) Principal Total</t>
  </si>
  <si>
    <t xml:space="preserve">Tranche B1 (Fixed Interest Rate)</t>
  </si>
  <si>
    <t xml:space="preserve">Principal</t>
  </si>
  <si>
    <t xml:space="preserve">Total</t>
  </si>
  <si>
    <t xml:space="preserve">Tranche A1 &amp; B2 (Swapped for Fixed Interest Rate)</t>
  </si>
  <si>
    <t xml:space="preserve">LIBOR</t>
  </si>
  <si>
    <t xml:space="preserve">Total (w/365 Day Gross-Up)</t>
  </si>
  <si>
    <t xml:space="preserve">Tranche A2 (Floating Interest Rate)</t>
  </si>
  <si>
    <t xml:space="preserve">Amortization of Tranche A</t>
  </si>
  <si>
    <t xml:space="preserve">Tenor:</t>
  </si>
  <si>
    <t xml:space="preserve">B.O.Y. Balance</t>
  </si>
  <si>
    <t xml:space="preserve">Principal Q1</t>
  </si>
  <si>
    <t xml:space="preserve">EOQ1B</t>
  </si>
  <si>
    <t xml:space="preserve">Principal Q2</t>
  </si>
  <si>
    <t xml:space="preserve">EOQ2B</t>
  </si>
  <si>
    <t xml:space="preserve">Principal Q3</t>
  </si>
  <si>
    <t xml:space="preserve">EOQ3B</t>
  </si>
  <si>
    <t xml:space="preserve">Principal Q4</t>
  </si>
  <si>
    <t xml:space="preserve">EOQ4B</t>
  </si>
  <si>
    <t xml:space="preserve">Average Principal Outstanding</t>
  </si>
  <si>
    <t xml:space="preserve">Amortization of Tranche B</t>
  </si>
  <si>
    <t xml:space="preserve">TOTAL PRINCIPAL OUTSTANDING-AVG (Interest)</t>
  </si>
  <si>
    <t xml:space="preserve">TOTAL PRINCIPAL OUTSTANDING-EOY</t>
  </si>
  <si>
    <t xml:space="preserve">Total Interest</t>
  </si>
  <si>
    <t xml:space="preserve">Total  Principal</t>
  </si>
  <si>
    <t xml:space="preserve">Total Debt Service</t>
  </si>
  <si>
    <t xml:space="preserve">All-In Average Interest Cost</t>
  </si>
  <si>
    <t xml:space="preserve">Summary (Pages 1 through 6)</t>
  </si>
  <si>
    <t xml:space="preserve">Operating Costs - Total (Including Savings)</t>
  </si>
  <si>
    <t xml:space="preserve">Blend and Extend Alternatives (Indicative)</t>
  </si>
  <si>
    <t xml:space="preserve">Seller Equity Cost</t>
  </si>
  <si>
    <t xml:space="preserve">Credit Reserve</t>
  </si>
  <si>
    <t xml:space="preserve">Seller Power Exchange Cost</t>
  </si>
  <si>
    <t xml:space="preserve">Full Term Blend &amp; Extend from Equity Seller</t>
  </si>
  <si>
    <t xml:space="preserve">Design Basis</t>
  </si>
  <si>
    <t xml:space="preserve">Rate Esc:</t>
  </si>
  <si>
    <t xml:space="preserve">($/kW)</t>
  </si>
  <si>
    <t xml:space="preserve">Operating Margin</t>
  </si>
  <si>
    <t xml:space="preserve">Delta to PPE/ENA Equity Offer Price</t>
  </si>
  <si>
    <t xml:space="preserve">Cost to Brazos</t>
  </si>
  <si>
    <t xml:space="preserve">Market (Index) Plus Power Exchange on Full Output</t>
  </si>
  <si>
    <t xml:space="preserve">Quantity Delivered (Full Output)</t>
  </si>
  <si>
    <t xml:space="preserve">Term (Years):</t>
  </si>
  <si>
    <t xml:space="preserve">Premium to Market</t>
  </si>
  <si>
    <t xml:space="preserve">Seller Shortfall to Equity From Contractual Cf</t>
  </si>
  <si>
    <t xml:space="preserve">Net Seller Shortfall</t>
  </si>
  <si>
    <t xml:space="preserve">Operating Costs</t>
  </si>
  <si>
    <t xml:space="preserve">Premium to Index</t>
  </si>
  <si>
    <t xml:space="preserve">Production Payment on Partial Output</t>
  </si>
  <si>
    <t xml:space="preserve">Capacity Commitment</t>
  </si>
  <si>
    <t xml:space="preserve">(MW)</t>
  </si>
  <si>
    <t xml:space="preserve">Market Price (Cost of Replacement Power to Brazos)</t>
  </si>
  <si>
    <t xml:space="preserve">Replacement Power Cost</t>
  </si>
  <si>
    <t xml:space="preserve">Summary of Renewal Term Values</t>
  </si>
  <si>
    <t xml:space="preserve">Avoided Capacity Charges - Renewal Term</t>
  </si>
  <si>
    <t xml:space="preserve">Avoided Gas Management Fees - Renewal Term</t>
  </si>
  <si>
    <t xml:space="preserve">Cost of Gas - Management Fee  (Per PPA)</t>
  </si>
  <si>
    <t xml:space="preserve">Cost of Gas - Management Fee (Net)</t>
  </si>
  <si>
    <t xml:space="preserve">Incremental Cost of Renewal Term to Brazos</t>
  </si>
  <si>
    <t xml:space="preserve">Key Sensitivities</t>
  </si>
  <si>
    <t xml:space="preserve">Base Value*</t>
  </si>
  <si>
    <t xml:space="preserve">Efficiency Gain</t>
  </si>
  <si>
    <t xml:space="preserve">Treasury Rate</t>
  </si>
  <si>
    <t xml:space="preserve">Other Operating Cost Savings (Negative Value = Cost Increase)</t>
  </si>
  <si>
    <t xml:space="preserve">*Assumes a:</t>
  </si>
  <si>
    <t xml:space="preserve">spread over Treasury.</t>
  </si>
  <si>
    <t xml:space="preserve">DELETE THIS COLUMN!!!</t>
  </si>
  <si>
    <t xml:space="preserve">Blend &amp; Extend Offer</t>
  </si>
  <si>
    <t xml:space="preserve">Margin Required</t>
  </si>
  <si>
    <t xml:space="preserve">Hurdle Rate</t>
  </si>
  <si>
    <t xml:space="preserve">Term</t>
  </si>
  <si>
    <t xml:space="preserve">Years</t>
  </si>
  <si>
    <t xml:space="preserve">Escalator</t>
  </si>
  <si>
    <t xml:space="preserve">Per Year</t>
  </si>
  <si>
    <t xml:space="preserve">Contract</t>
  </si>
  <si>
    <t xml:space="preserve">MW</t>
  </si>
  <si>
    <t xml:space="preserve">Beginning Year</t>
  </si>
  <si>
    <t xml:space="preserve">Ending Year</t>
  </si>
  <si>
    <t xml:space="preserve">Minimum Take</t>
  </si>
  <si>
    <t xml:space="preserve">Adder in Year 1</t>
  </si>
  <si>
    <t xml:space="preserve">Test Beginning Year</t>
  </si>
  <si>
    <t xml:space="preserve">Test Ending Year</t>
  </si>
  <si>
    <t xml:space="preserve">Margin Over Index</t>
  </si>
  <si>
    <t xml:space="preserve">Escalation Component</t>
  </si>
  <si>
    <t xml:space="preserve">Margin Total</t>
  </si>
  <si>
    <t xml:space="preserve">Equivalent Capacity Rate</t>
  </si>
  <si>
    <t xml:space="preserve">Judgement in Year</t>
  </si>
  <si>
    <t xml:space="preserve">Pre-Judgement Interest</t>
  </si>
  <si>
    <t xml:space="preserve">Contract Discount Rate</t>
  </si>
  <si>
    <t xml:space="preserve">Legal Costs ($/Year)</t>
  </si>
  <si>
    <t xml:space="preserve">10 Year Treasury</t>
  </si>
  <si>
    <t xml:space="preserve">RUS Spread</t>
  </si>
  <si>
    <t xml:space="preserve">Discount Rate</t>
  </si>
  <si>
    <t xml:space="preserve">Merchant Discount Rate</t>
  </si>
  <si>
    <t xml:space="preserve">Statutory Discount Rate</t>
  </si>
  <si>
    <t xml:space="preserve">Liquidated Damages Per Contract:</t>
  </si>
  <si>
    <t xml:space="preserve">Months in Year</t>
  </si>
  <si>
    <t xml:space="preserve">Billing Units</t>
  </si>
  <si>
    <t xml:space="preserve">Capacity Component ($/kW)</t>
  </si>
  <si>
    <t xml:space="preserve">O &amp; M Adjustment ($/kW)</t>
  </si>
  <si>
    <t xml:space="preserve">Buyout Capacity Component ($/kW)</t>
  </si>
  <si>
    <t xml:space="preserve">Capacity Payment</t>
  </si>
  <si>
    <t xml:space="preserve">DCF Per Contract</t>
  </si>
  <si>
    <t xml:space="preserve">Damages Awarded @ NPV</t>
  </si>
  <si>
    <t xml:space="preserve">DCF</t>
  </si>
  <si>
    <t xml:space="preserve">FMV Offset:</t>
  </si>
  <si>
    <t xml:space="preserve">Market Price</t>
  </si>
  <si>
    <t xml:space="preserve">Quantity Sold</t>
  </si>
  <si>
    <t xml:space="preserve">Merchant Revenue</t>
  </si>
  <si>
    <t xml:space="preserve">Operating Costs (PPE Proforma Net of EWG Savings)</t>
  </si>
  <si>
    <t xml:space="preserve">Equal To</t>
  </si>
  <si>
    <t xml:space="preserve">Per kW</t>
  </si>
  <si>
    <t xml:space="preserve">Pre-Judgement Interest:</t>
  </si>
  <si>
    <t xml:space="preserve">Damage Award</t>
  </si>
  <si>
    <t xml:space="preserve">Annual Interest from Date of Breach @</t>
  </si>
  <si>
    <t xml:space="preserve">Legal Costs:</t>
  </si>
  <si>
    <t xml:space="preserve">Annual Cost</t>
  </si>
  <si>
    <t xml:space="preserve">Replacement Contract</t>
  </si>
  <si>
    <t xml:space="preserve">Purchased Quantity</t>
  </si>
  <si>
    <t xml:space="preserve">Cost of Replacement Contract</t>
  </si>
  <si>
    <t xml:space="preserve">NPV Savings (Cost) vs. Contract</t>
  </si>
  <si>
    <t xml:space="preserve">NPV Savings (Cost) vs. Ownership</t>
  </si>
  <si>
    <t xml:space="preserve">Brazos Perspective</t>
  </si>
  <si>
    <t xml:space="preserve">ENA Perspective</t>
  </si>
  <si>
    <t xml:space="preserve">Cleburne Litigation Risk Analysis</t>
  </si>
  <si>
    <t xml:space="preserve">Break-Even</t>
  </si>
  <si>
    <t xml:space="preserve">Section</t>
  </si>
  <si>
    <t xml:space="preserve">to Own at </t>
  </si>
  <si>
    <t xml:space="preserve">Note</t>
  </si>
  <si>
    <t xml:space="preserve">11.02 (PV5)</t>
  </si>
  <si>
    <t xml:space="preserve">to PPA</t>
  </si>
  <si>
    <t xml:space="preserve">$405.1 EV</t>
  </si>
  <si>
    <t xml:space="preserve">Section 11.02 (PV5)</t>
  </si>
  <si>
    <t xml:space="preserve">Partnership Capital</t>
  </si>
  <si>
    <t xml:space="preserve">"Book-Up"</t>
  </si>
  <si>
    <t xml:space="preserve">Bank Capital</t>
  </si>
  <si>
    <t xml:space="preserve">(1)</t>
  </si>
  <si>
    <t xml:space="preserve">Legal Costs</t>
  </si>
  <si>
    <t xml:space="preserve">Total "Damages" Awarded</t>
  </si>
  <si>
    <t xml:space="preserve">Damages &amp; Interest</t>
  </si>
  <si>
    <t xml:space="preserve">Merchant Margins (Pace)</t>
  </si>
  <si>
    <t xml:space="preserve">NPV Impact on Brazos Electric</t>
  </si>
  <si>
    <t xml:space="preserve">(2)</t>
  </si>
  <si>
    <t xml:space="preserve">FMV Offset</t>
  </si>
  <si>
    <t xml:space="preserve">(3)</t>
  </si>
  <si>
    <t xml:space="preserve">XNPV </t>
  </si>
  <si>
    <t xml:space="preserve">(4)</t>
  </si>
  <si>
    <t xml:space="preserve">(5)</t>
  </si>
  <si>
    <t xml:space="preserve">Break-Even to ENA "Carried Value"</t>
  </si>
  <si>
    <t xml:space="preserve">(6)</t>
  </si>
  <si>
    <t xml:space="preserve">PPA Cost</t>
  </si>
  <si>
    <t xml:space="preserve">Delta vs. PPA</t>
  </si>
  <si>
    <t xml:space="preserve">Ownership Cost</t>
  </si>
  <si>
    <t xml:space="preserve">Delta vs. Ownership</t>
  </si>
  <si>
    <t xml:space="preserve">Worst Case (UCC Interpretation)</t>
  </si>
  <si>
    <t xml:space="preserve">NOTES:</t>
  </si>
  <si>
    <t xml:space="preserve">Damages (Including PLD) &amp; Interest</t>
  </si>
  <si>
    <t xml:space="preserve">At December 31, 2000</t>
  </si>
  <si>
    <t xml:space="preserve">Assumes pricing from Pace Global Energy, 2001-36 </t>
  </si>
  <si>
    <t xml:space="preserve">Brazos Approach - UCC Interpretation</t>
  </si>
  <si>
    <t xml:space="preserve">Contract Price Upon Breach</t>
  </si>
  <si>
    <t xml:space="preserve">Market Price Upon Breach</t>
  </si>
  <si>
    <t xml:space="preserve">Delta Price</t>
  </si>
  <si>
    <t xml:space="preserve">Total Damages</t>
  </si>
  <si>
    <t xml:space="preserve">Cleburne Analysis</t>
  </si>
  <si>
    <t xml:space="preserve">Year</t>
  </si>
  <si>
    <t xml:space="preserve">On Peak ('98$)</t>
  </si>
  <si>
    <t xml:space="preserve">Off-Peak ('98$)</t>
  </si>
  <si>
    <t xml:space="preserve">Average of Off Peak &amp; On-Peak ('98$)</t>
  </si>
  <si>
    <t xml:space="preserve">Inflation ('98=100)</t>
  </si>
  <si>
    <t xml:space="preserve">Inf. Adj On-Peak</t>
  </si>
  <si>
    <t xml:space="preserve">Inf. Adj. Off-Peak</t>
  </si>
  <si>
    <t xml:space="preserve">Inf. Adj Average of Off Peak &amp; On-Peak</t>
  </si>
  <si>
    <t xml:space="preserve">Average w/Wheeling</t>
  </si>
  <si>
    <t xml:space="preserve">Wheeling @</t>
  </si>
  <si>
    <t xml:space="preserve">Waha Hub Monthly Price Forecast ('98$)</t>
  </si>
  <si>
    <t xml:space="preserve">Inflation</t>
  </si>
  <si>
    <t xml:space="preserve">Waha Hub Monthly Price Forecast (Inflation Adjusted)</t>
  </si>
  <si>
    <t xml:space="preserve">Strip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</si>
  <si>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</si>
  <si>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</si>
  <si>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</si>
  <si>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</si>
  <si>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</si>
  <si>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</si>
  <si>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</si>
  <si>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</si>
  <si>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</si>
  <si>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</si>
  <si>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</si>
  <si>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</si>
  <si>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('98=100)</t>
  </si>
  <si>
    <t xml:space="preserve">CY</t>
  </si>
  <si>
    <t xml:space="preserve">2000 Pace CPI-U Forecast - High Case</t>
  </si>
  <si>
    <t xml:space="preserve">2000 Pace CPI-U Forecast - Base Case</t>
  </si>
  <si>
    <t xml:space="preserve">CAGR</t>
  </si>
  <si>
    <t xml:space="preserve"> </t>
  </si>
  <si>
    <t xml:space="preserve">Percentage Increase</t>
  </si>
  <si>
    <t xml:space="preserve">Index Value</t>
  </si>
</sst>
</file>

<file path=xl/styles.xml><?xml version="1.0" encoding="utf-8"?>
<styleSheet xmlns="http://schemas.openxmlformats.org/spreadsheetml/2006/main">
  <numFmts count="24">
    <numFmt numFmtId="164" formatCode="General"/>
    <numFmt numFmtId="165" formatCode="_(* #,##0.00_);_(* \(#,##0.00\);_(* \-??_);_(@_)"/>
    <numFmt numFmtId="166" formatCode="dd\-mmm\-yy"/>
    <numFmt numFmtId="167" formatCode="\$#,##0_);[RED]&quot;($&quot;#,##0\)"/>
    <numFmt numFmtId="168" formatCode="0"/>
    <numFmt numFmtId="169" formatCode="0%"/>
    <numFmt numFmtId="170" formatCode="0.0000%"/>
    <numFmt numFmtId="171" formatCode="_(\$* #,##0.00_);_(\$* \(#,##0.00\);_(\$* \-??_);_(@_)"/>
    <numFmt numFmtId="172" formatCode="0.00"/>
    <numFmt numFmtId="173" formatCode="0.0000"/>
    <numFmt numFmtId="174" formatCode="_(* #,##0_);_(* \(#,##0\);_(* \-??_);_(@_)"/>
    <numFmt numFmtId="175" formatCode="0.00%"/>
    <numFmt numFmtId="176" formatCode="0.000%"/>
    <numFmt numFmtId="177" formatCode="0.0%"/>
    <numFmt numFmtId="178" formatCode="_(\$* #,##0_);_(\$* \(#,##0\);_(\$* \-??_);_(@_)"/>
    <numFmt numFmtId="179" formatCode="_(\$* #,##0.0000_);_(\$* \(#,##0.0000\);_(\$* \-??_);_(@_)"/>
    <numFmt numFmtId="180" formatCode="_(\$* #,##0.000000_);_(\$* \(#,##0.000000\);_(\$* \-??_);_(@_)"/>
    <numFmt numFmtId="181" formatCode="\$#,##0.00_);[RED]&quot;($&quot;#,##0.00\)"/>
    <numFmt numFmtId="182" formatCode="\$#,##0"/>
    <numFmt numFmtId="183" formatCode="[$-409]#,##0_);\(#,##0\)"/>
    <numFmt numFmtId="184" formatCode="#,##0.000_);\(#,##0.000\)"/>
    <numFmt numFmtId="185" formatCode="_(* #,##0.0_);_(* \(#,##0.0\);_(* \-??_);_(@_)"/>
    <numFmt numFmtId="186" formatCode="_(* #,##0.0000_);_(* \(#,##0.0000\);_(* \-??_);_(@_)"/>
    <numFmt numFmtId="187" formatCode="[$-409]m/d/yyyy"/>
  </numFmts>
  <fonts count="3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0"/>
    </font>
    <font>
      <sz val="10"/>
      <color rgb="FF000000"/>
      <name val="MS Sans Serif"/>
      <family val="0"/>
    </font>
    <font>
      <sz val="12"/>
      <name val="SWISS"/>
      <family val="0"/>
    </font>
    <font>
      <b val="true"/>
      <sz val="12.5"/>
      <name val="Arial"/>
      <family val="2"/>
    </font>
    <font>
      <b val="true"/>
      <sz val="10.75"/>
      <name val="Arial"/>
      <family val="2"/>
    </font>
    <font>
      <i val="true"/>
      <sz val="10.75"/>
      <name val="Arial"/>
      <family val="2"/>
    </font>
    <font>
      <sz val="10"/>
      <color rgb="FF000000"/>
      <name val="Arial"/>
      <family val="2"/>
    </font>
    <font>
      <b val="true"/>
      <sz val="9"/>
      <color rgb="FF000000"/>
      <name val="Arial"/>
      <family val="2"/>
    </font>
    <font>
      <sz val="8"/>
      <color rgb="FF000000"/>
      <name val="Arial"/>
      <family val="2"/>
    </font>
    <font>
      <b val="true"/>
      <sz val="9"/>
      <name val="Arial"/>
      <family val="2"/>
    </font>
    <font>
      <b val="true"/>
      <sz val="10"/>
      <name val="Arial"/>
      <family val="2"/>
    </font>
    <font>
      <b val="true"/>
      <sz val="14"/>
      <name val="Arial"/>
      <family val="2"/>
    </font>
    <font>
      <sz val="10"/>
      <color rgb="FF0000FF"/>
      <name val="Arial"/>
      <family val="2"/>
    </font>
    <font>
      <b val="true"/>
      <sz val="10"/>
      <color rgb="FF000000"/>
      <name val="Arial"/>
      <family val="2"/>
    </font>
    <font>
      <i val="true"/>
      <sz val="12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4"/>
      <color rgb="FFFF0000"/>
      <name val="Arial"/>
      <family val="2"/>
    </font>
    <font>
      <b val="true"/>
      <sz val="10"/>
      <color rgb="FF0000FF"/>
      <name val="Arial"/>
      <family val="2"/>
    </font>
    <font>
      <b val="true"/>
      <sz val="12"/>
      <name val="Arial"/>
      <family val="2"/>
    </font>
    <font>
      <b val="true"/>
      <u val="single"/>
      <sz val="10"/>
      <color rgb="FF0000FF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333333"/>
      <name val="Arial"/>
      <family val="2"/>
    </font>
    <font>
      <b val="true"/>
      <u val="single"/>
      <sz val="10"/>
      <color rgb="FF000000"/>
      <name val="Arial"/>
      <family val="2"/>
    </font>
    <font>
      <u val="single"/>
      <sz val="10"/>
      <name val="Arial"/>
      <family val="2"/>
    </font>
    <font>
      <sz val="8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u val="single"/>
      <sz val="8"/>
      <color rgb="FF000000"/>
      <name val="Tahoma"/>
      <family val="2"/>
    </font>
    <font>
      <sz val="8"/>
      <color rgb="FF000000"/>
      <name val="Tahoma"/>
      <family val="2"/>
    </font>
    <font>
      <b val="true"/>
      <u val="single"/>
      <sz val="10"/>
      <name val="Arial"/>
      <family val="2"/>
    </font>
    <font>
      <u val="single"/>
      <sz val="10"/>
      <color rgb="FF0000FF"/>
      <name val="Arial"/>
      <family val="2"/>
    </font>
    <font>
      <i val="true"/>
      <sz val="10"/>
      <name val="Arial"/>
      <family val="2"/>
    </font>
    <font>
      <b val="true"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0000"/>
        <bgColor rgb="FF993300"/>
      </patternFill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</fills>
  <borders count="3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/>
      <bottom style="thick">
        <color rgb="FF0000FF"/>
      </bottom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</borders>
  <cellStyleXfs count="2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9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3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4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4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4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3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3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23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4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4" fillId="3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5" fillId="3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7" fillId="3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4" fillId="3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6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6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0" fillId="6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2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6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6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4" fillId="2" borderId="1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4" fillId="2" borderId="1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4" fillId="2" borderId="1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0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14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9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6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6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6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6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6" fillId="3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0" fillId="6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6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0" fillId="2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0" fillId="2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0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0" fillId="6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6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6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0" fillId="2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0" fillId="2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0" fillId="2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0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4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4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6" fillId="3" borderId="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6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6" fillId="3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7" fillId="2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7" fillId="6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6" fillId="3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9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6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0" fillId="2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1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3" fillId="3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4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6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1" fillId="2" borderId="0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4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23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6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2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9" fontId="10" fillId="2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6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2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6" fillId="3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6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2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6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6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4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2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6" fillId="3" borderId="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4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0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0" fillId="2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4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4" fillId="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4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8" fillId="5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4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4" fillId="5" borderId="1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5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0" fillId="2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7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0" fillId="2" borderId="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0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0" fillId="6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1" fillId="2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2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4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6" fillId="3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2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6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2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2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2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6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4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0" fillId="2" borderId="7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4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6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6" fillId="3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0" fillId="2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6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2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2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2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6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0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0" fillId="6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6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6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6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6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9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2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0" fillId="2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2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2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2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4" fillId="2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6" fillId="3" borderId="1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6" fillId="3" borderId="1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6" fillId="3" borderId="1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2" borderId="13" xfId="0" applyFont="true" applyBorder="true" applyAlignment="true" applyProtection="false">
      <alignment horizontal="center" vertical="center" textRotation="90" wrapText="false" indent="0" shrinkToFit="false"/>
      <protection locked="true" hidden="false"/>
    </xf>
    <xf numFmtId="175" fontId="16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0" fillId="2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2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2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6" fillId="3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0" fillId="2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2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2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16" fillId="3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0" fillId="2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2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4" fillId="2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6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6" fillId="3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6" fillId="3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2" borderId="13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1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14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4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6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6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5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3" fillId="5" borderId="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4" fillId="5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3" fillId="5" borderId="1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4" fillId="5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3" fillId="5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7" fillId="5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8" fillId="5" borderId="1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7" fillId="5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3" fillId="5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5" borderId="1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2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0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0" fillId="2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2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1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14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5" fillId="2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4" fillId="2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2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29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9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2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6" fillId="3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2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6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6" fillId="3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6" fillId="3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6" fillId="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9" fillId="2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0" fillId="2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37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0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0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2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4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7" borderId="18" xfId="25" applyFont="true" applyBorder="true" applyAlignment="true" applyProtection="false">
      <alignment horizontal="center" vertical="bottom" textRotation="0" wrapText="true" indent="0" shrinkToFit="true"/>
      <protection locked="true" hidden="false"/>
    </xf>
    <xf numFmtId="164" fontId="17" fillId="7" borderId="19" xfId="25" applyFont="true" applyBorder="true" applyAlignment="true" applyProtection="false">
      <alignment horizontal="center" vertical="bottom" textRotation="0" wrapText="true" indent="0" shrinkToFit="true"/>
      <protection locked="true" hidden="false"/>
    </xf>
    <xf numFmtId="164" fontId="17" fillId="7" borderId="20" xfId="25" applyFont="true" applyBorder="true" applyAlignment="true" applyProtection="false">
      <alignment horizontal="center" vertical="bottom" textRotation="0" wrapText="true" indent="0" shrinkToFit="true"/>
      <protection locked="true" hidden="false"/>
    </xf>
    <xf numFmtId="164" fontId="12" fillId="0" borderId="0" xfId="25" applyFont="true" applyBorder="true" applyAlignment="true" applyProtection="false">
      <alignment horizontal="center" vertical="bottom" textRotation="0" wrapText="true" indent="0" shrinkToFit="true"/>
      <protection locked="true" hidden="false"/>
    </xf>
    <xf numFmtId="164" fontId="17" fillId="2" borderId="21" xfId="25" applyFont="true" applyBorder="true" applyAlignment="true" applyProtection="false">
      <alignment horizontal="center" vertical="bottom" textRotation="0" wrapText="true" indent="0" shrinkToFit="true"/>
      <protection locked="true" hidden="false"/>
    </xf>
    <xf numFmtId="164" fontId="17" fillId="2" borderId="22" xfId="25" applyFont="true" applyBorder="true" applyAlignment="true" applyProtection="false">
      <alignment horizontal="center" vertical="bottom" textRotation="0" wrapText="true" indent="0" shrinkToFit="true"/>
      <protection locked="true" hidden="false"/>
    </xf>
    <xf numFmtId="164" fontId="17" fillId="5" borderId="22" xfId="25" applyFont="true" applyBorder="true" applyAlignment="true" applyProtection="false">
      <alignment horizontal="center" vertical="bottom" textRotation="0" wrapText="true" indent="0" shrinkToFit="true"/>
      <protection locked="true" hidden="false"/>
    </xf>
    <xf numFmtId="164" fontId="17" fillId="5" borderId="23" xfId="25" applyFont="true" applyBorder="true" applyAlignment="true" applyProtection="false">
      <alignment horizontal="center" vertical="bottom" textRotation="0" wrapText="true" indent="0" shrinkToFit="true"/>
      <protection locked="true" hidden="false"/>
    </xf>
    <xf numFmtId="164" fontId="12" fillId="2" borderId="0" xfId="25" applyFont="true" applyBorder="true" applyAlignment="true" applyProtection="false">
      <alignment horizontal="center" vertical="bottom" textRotation="0" wrapText="true" indent="0" shrinkToFit="true"/>
      <protection locked="true" hidden="false"/>
    </xf>
    <xf numFmtId="164" fontId="10" fillId="2" borderId="21" xfId="25" applyFont="true" applyBorder="true" applyAlignment="true" applyProtection="false">
      <alignment horizontal="center" vertical="bottom" textRotation="0" wrapText="true" indent="0" shrinkToFit="true"/>
      <protection locked="true" hidden="false"/>
    </xf>
    <xf numFmtId="165" fontId="17" fillId="5" borderId="2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7" fillId="5" borderId="22" xfId="17" applyFont="true" applyBorder="true" applyAlignment="true" applyProtection="true">
      <alignment horizontal="center" vertical="bottom" textRotation="0" wrapText="true" indent="0" shrinkToFit="true"/>
      <protection locked="true" hidden="false"/>
    </xf>
    <xf numFmtId="171" fontId="17" fillId="5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2" borderId="22" xfId="25" applyFont="true" applyBorder="true" applyAlignment="true" applyProtection="false">
      <alignment horizontal="center" vertical="bottom" textRotation="0" wrapText="true" indent="0" shrinkToFit="true"/>
      <protection locked="true" hidden="false"/>
    </xf>
    <xf numFmtId="165" fontId="10" fillId="5" borderId="2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0" fillId="5" borderId="22" xfId="17" applyFont="true" applyBorder="true" applyAlignment="true" applyProtection="true">
      <alignment horizontal="center" vertical="bottom" textRotation="0" wrapText="true" indent="0" shrinkToFit="true"/>
      <protection locked="true" hidden="false"/>
    </xf>
    <xf numFmtId="171" fontId="10" fillId="5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3" borderId="21" xfId="25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22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0" fillId="0" borderId="2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0" fillId="3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21" xfId="25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6" fillId="3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6" fillId="3" borderId="22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0" fillId="5" borderId="22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0" fillId="5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0" fillId="5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24" xfId="25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6" fillId="3" borderId="2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0" fillId="0" borderId="2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0" fillId="5" borderId="2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0" fillId="5" borderId="2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0" fillId="5" borderId="2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25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7" borderId="1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7" borderId="14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7" borderId="2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7" borderId="1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7" borderId="14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7" borderId="15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7" borderId="17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2" borderId="3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3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2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3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0" fillId="5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2" borderId="17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20" fillId="2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0" fillId="5" borderId="1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7" borderId="27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2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28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2" borderId="29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0" fillId="2" borderId="3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2" borderId="31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2" borderId="16" xfId="23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2" borderId="32" xfId="23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2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3" borderId="28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3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6" fillId="3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2" borderId="21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3" borderId="2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0" fillId="2" borderId="24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3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6" fillId="3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2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1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Book1" xfId="20"/>
    <cellStyle name="Normal_Book6" xfId="21"/>
    <cellStyle name="Normal_Delivered Waha Monthly Price Forecast 8-18-00" xfId="22"/>
    <cellStyle name="Normal_inflation forecast ecp 08-18-00 Delivered (UPDATE)" xfId="23"/>
    <cellStyle name="Normal_LSPNB 22 Results" xfId="24"/>
    <cellStyle name="Normal_PACE Commodity Pricing (Brazos 25-Aug-00)" xfId="25"/>
    <cellStyle name="Normal_Sheet1" xfId="26"/>
    <cellStyle name="Normal_~0055515" xfId="27"/>
  </cellStyles>
  <dxfs count="1">
    <dxf>
      <font>
        <name val="Arial"/>
        <family val="0"/>
        <b val="1"/>
        <i val="0"/>
        <color rgb="00FFFFFF"/>
      </font>
      <fill>
        <patternFill>
          <bgColor rgb="FFFFFFCC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50" strike="noStrike" u="none">
                <a:uFillTx/>
                <a:latin typeface="Arial"/>
              </a:rPr>
              <a:t>Brazos Electric Power Cooperative, Inc.</a:t>
            </a:r>
            <a:r>
              <a:rPr b="1" sz="1075" strike="noStrike" u="none">
                <a:uFillTx/>
                <a:latin typeface="Arial"/>
              </a:rPr>
              <a:t/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0" i="1" sz="1075" strike="noStrike" u="none">
                <a:uFillTx/>
                <a:latin typeface="Arial"/>
              </a:rPr>
              <a:t>Cleburne, TX Analysis</a:t>
            </a:r>
          </a:p>
        </c:rich>
      </c:tx>
      <c:layout>
        <c:manualLayout>
          <c:xMode val="edge"/>
          <c:yMode val="edge"/>
          <c:x val="0.317693799366221"/>
          <c:y val="0.016566165264064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4790237903798"/>
          <c:y val="0.129679941687098"/>
          <c:w val="0.90006148607104"/>
          <c:h val="0.775561593002452"/>
        </c:manualLayout>
      </c:layout>
      <c:lineChart>
        <c:grouping val="standard"/>
        <c:varyColors val="0"/>
        <c:ser>
          <c:idx val="0"/>
          <c:order val="0"/>
          <c:tx>
            <c:strRef>
              <c:f>Valuation!$B$85</c:f>
              <c:strCache>
                <c:ptCount val="1"/>
                <c:pt idx="0">
                  <c:v> Cost of Contract Purchase (Status Quo) </c:v>
                </c:pt>
              </c:strCache>
            </c:strRef>
          </c:tx>
          <c:spPr>
            <a:solidFill>
              <a:srgbClr val="0000ff"/>
            </a:solidFill>
            <a:ln w="378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Valuation!$H$9:$AQ$9</c:f>
              <c:strCach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strCache>
            </c:strRef>
          </c:cat>
          <c:val>
            <c:numRef>
              <c:f>Valuation!$H$85:$AQ$85</c:f>
              <c:numCache>
                <c:formatCode>_(\$* #,##0.00_);_(\$* \(#,##0.00\);_(\$* \-??_);_(@_)</c:formatCode>
                <c:ptCount val="36"/>
                <c:pt idx="0">
                  <c:v>43.4373384107416</c:v>
                </c:pt>
                <c:pt idx="1">
                  <c:v>44.6773461404536</c:v>
                </c:pt>
                <c:pt idx="2">
                  <c:v>46.8328845037797</c:v>
                </c:pt>
                <c:pt idx="3">
                  <c:v>48.8814660388474</c:v>
                </c:pt>
                <c:pt idx="4">
                  <c:v>50.7233249491889</c:v>
                </c:pt>
                <c:pt idx="5">
                  <c:v>53.0016261165483</c:v>
                </c:pt>
                <c:pt idx="6">
                  <c:v>51.8359189278091</c:v>
                </c:pt>
                <c:pt idx="7">
                  <c:v>53.1752040291832</c:v>
                </c:pt>
                <c:pt idx="8">
                  <c:v>54.5968978216124</c:v>
                </c:pt>
                <c:pt idx="9">
                  <c:v>56.1047399005975</c:v>
                </c:pt>
                <c:pt idx="10">
                  <c:v>57.7780712196936</c:v>
                </c:pt>
                <c:pt idx="11">
                  <c:v>59.4667143545591</c:v>
                </c:pt>
                <c:pt idx="12">
                  <c:v>61.1250677954424</c:v>
                </c:pt>
                <c:pt idx="13">
                  <c:v>61.9829722023017</c:v>
                </c:pt>
                <c:pt idx="14">
                  <c:v>62.7432691619339</c:v>
                </c:pt>
                <c:pt idx="15">
                  <c:v>63.5933609424233</c:v>
                </c:pt>
                <c:pt idx="16">
                  <c:v>66.0810491077595</c:v>
                </c:pt>
                <c:pt idx="17">
                  <c:v>67.7169128363776</c:v>
                </c:pt>
                <c:pt idx="18">
                  <c:v>69.443926921915</c:v>
                </c:pt>
                <c:pt idx="19">
                  <c:v>44.7406612411025</c:v>
                </c:pt>
                <c:pt idx="20">
                  <c:v>44.5926842754345</c:v>
                </c:pt>
                <c:pt idx="21">
                  <c:v>49.1994199282013</c:v>
                </c:pt>
                <c:pt idx="22">
                  <c:v>47.090849902532</c:v>
                </c:pt>
                <c:pt idx="23">
                  <c:v>48.286580949652</c:v>
                </c:pt>
                <c:pt idx="24">
                  <c:v>57.3720230646276</c:v>
                </c:pt>
                <c:pt idx="25">
                  <c:v>50.9673010956298</c:v>
                </c:pt>
                <c:pt idx="26">
                  <c:v>50.9199737321745</c:v>
                </c:pt>
                <c:pt idx="27">
                  <c:v>55.7542724538419</c:v>
                </c:pt>
                <c:pt idx="28">
                  <c:v>53.7886551866392</c:v>
                </c:pt>
                <c:pt idx="29">
                  <c:v>55.21438083543</c:v>
                </c:pt>
                <c:pt idx="30">
                  <c:v>64.6717469803008</c:v>
                </c:pt>
                <c:pt idx="31">
                  <c:v>58.2202536704378</c:v>
                </c:pt>
                <c:pt idx="32">
                  <c:v>58.3860267822345</c:v>
                </c:pt>
                <c:pt idx="33">
                  <c:v>63.5794809134414</c:v>
                </c:pt>
                <c:pt idx="34">
                  <c:v>61.6969850644572</c:v>
                </c:pt>
                <c:pt idx="35">
                  <c:v>63.3122790030067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Valuation!$B$184</c:f>
              <c:strCache>
                <c:ptCount val="1"/>
                <c:pt idx="0">
                  <c:v> Cost of Ownership/Operation </c:v>
                </c:pt>
              </c:strCache>
            </c:strRef>
          </c:tx>
          <c:spPr>
            <a:solidFill>
              <a:srgbClr val="ff0000"/>
            </a:solidFill>
            <a:ln w="378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Valuation!$H$9:$AQ$9</c:f>
              <c:strCach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strCache>
            </c:strRef>
          </c:cat>
          <c:val>
            <c:numRef>
              <c:f>Valuation!$H$184:$AQ$184</c:f>
              <c:numCache>
                <c:formatCode>_(\$* #,##0.00_);_(\$* \(#,##0.00\);_(\$* \-??_);_(@_)</c:formatCode>
                <c:ptCount val="36"/>
                <c:pt idx="0">
                  <c:v>48.2536628257593</c:v>
                </c:pt>
                <c:pt idx="1">
                  <c:v>46.8558141953713</c:v>
                </c:pt>
                <c:pt idx="2">
                  <c:v>47.4462237372799</c:v>
                </c:pt>
                <c:pt idx="3">
                  <c:v>50.4102492085297</c:v>
                </c:pt>
                <c:pt idx="4">
                  <c:v>50.1836738943621</c:v>
                </c:pt>
                <c:pt idx="5">
                  <c:v>51.4979355791351</c:v>
                </c:pt>
                <c:pt idx="6">
                  <c:v>51.375656733217</c:v>
                </c:pt>
                <c:pt idx="7">
                  <c:v>47.637056191268</c:v>
                </c:pt>
                <c:pt idx="8">
                  <c:v>47.5389927425403</c:v>
                </c:pt>
                <c:pt idx="9">
                  <c:v>52.4117372442598</c:v>
                </c:pt>
                <c:pt idx="10">
                  <c:v>49.6301434327396</c:v>
                </c:pt>
                <c:pt idx="11">
                  <c:v>50.3332532747727</c:v>
                </c:pt>
                <c:pt idx="12">
                  <c:v>54.6090224556164</c:v>
                </c:pt>
                <c:pt idx="13">
                  <c:v>43.1095577618702</c:v>
                </c:pt>
                <c:pt idx="14">
                  <c:v>43.0496571804151</c:v>
                </c:pt>
                <c:pt idx="15">
                  <c:v>45.6293784710636</c:v>
                </c:pt>
                <c:pt idx="16">
                  <c:v>45.0968515947263</c:v>
                </c:pt>
                <c:pt idx="17">
                  <c:v>45.8583091400692</c:v>
                </c:pt>
                <c:pt idx="18">
                  <c:v>50.6569422061682</c:v>
                </c:pt>
                <c:pt idx="19">
                  <c:v>48.1788362238644</c:v>
                </c:pt>
                <c:pt idx="20">
                  <c:v>48.5539098571777</c:v>
                </c:pt>
                <c:pt idx="21">
                  <c:v>51.2875694976338</c:v>
                </c:pt>
                <c:pt idx="22">
                  <c:v>50.674989170037</c:v>
                </c:pt>
                <c:pt idx="23">
                  <c:v>51.6963918389407</c:v>
                </c:pt>
                <c:pt idx="24">
                  <c:v>56.7344516582246</c:v>
                </c:pt>
                <c:pt idx="25">
                  <c:v>42.6735861186393</c:v>
                </c:pt>
                <c:pt idx="26">
                  <c:v>43.1404059661136</c:v>
                </c:pt>
                <c:pt idx="27">
                  <c:v>46.0621424516442</c:v>
                </c:pt>
                <c:pt idx="28">
                  <c:v>45.59510498113</c:v>
                </c:pt>
                <c:pt idx="29">
                  <c:v>46.8385399428007</c:v>
                </c:pt>
                <c:pt idx="30">
                  <c:v>52.1118694985821</c:v>
                </c:pt>
                <c:pt idx="31">
                  <c:v>49.4463017742609</c:v>
                </c:pt>
                <c:pt idx="32">
                  <c:v>50.1020145701886</c:v>
                </c:pt>
                <c:pt idx="33">
                  <c:v>53.2878671896725</c:v>
                </c:pt>
                <c:pt idx="34">
                  <c:v>52.951353224252</c:v>
                </c:pt>
                <c:pt idx="35">
                  <c:v>54.3808370298886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Valuation!$A$35</c:f>
              <c:strCache>
                <c:ptCount val="1"/>
                <c:pt idx="0">
                  <c:v> Market Price - ERCOT 7x24 w/Wheeling (Pace) </c:v>
                </c:pt>
              </c:strCache>
            </c:strRef>
          </c:tx>
          <c:spPr>
            <a:solidFill>
              <a:srgbClr val="008000"/>
            </a:solidFill>
            <a:ln w="37800">
              <a:solidFill>
                <a:srgbClr val="008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Valuation!$H$9:$AQ$9</c:f>
              <c:strCach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strCache>
            </c:strRef>
          </c:cat>
          <c:val>
            <c:numRef>
              <c:f>Valuation!$H$35:$AQ$35</c:f>
              <c:numCache>
                <c:formatCode>_(\$* #,##0.00_);_(\$* \(#,##0.00\);_(\$* \-??_);_(@_)</c:formatCode>
                <c:ptCount val="36"/>
                <c:pt idx="0">
                  <c:v>37.2423670454243</c:v>
                </c:pt>
                <c:pt idx="1">
                  <c:v>31.1137307039562</c:v>
                </c:pt>
                <c:pt idx="2">
                  <c:v>29.9517717068529</c:v>
                </c:pt>
                <c:pt idx="3">
                  <c:v>31.5234122576721</c:v>
                </c:pt>
                <c:pt idx="4">
                  <c:v>33.9352290994459</c:v>
                </c:pt>
                <c:pt idx="5">
                  <c:v>35.0920720145232</c:v>
                </c:pt>
                <c:pt idx="6">
                  <c:v>36.9136048518082</c:v>
                </c:pt>
                <c:pt idx="7">
                  <c:v>39.7324111725473</c:v>
                </c:pt>
                <c:pt idx="8">
                  <c:v>40.6123890685507</c:v>
                </c:pt>
                <c:pt idx="9">
                  <c:v>41.6594005260721</c:v>
                </c:pt>
                <c:pt idx="10">
                  <c:v>42.8868506404742</c:v>
                </c:pt>
                <c:pt idx="11">
                  <c:v>43.641232880531</c:v>
                </c:pt>
                <c:pt idx="12">
                  <c:v>44.6007220265115</c:v>
                </c:pt>
                <c:pt idx="13">
                  <c:v>46.4373350596128</c:v>
                </c:pt>
                <c:pt idx="14">
                  <c:v>45.1347102125821</c:v>
                </c:pt>
                <c:pt idx="15">
                  <c:v>45.9807034805413</c:v>
                </c:pt>
                <c:pt idx="16">
                  <c:v>46.7193472960623</c:v>
                </c:pt>
                <c:pt idx="17">
                  <c:v>47.2915166305407</c:v>
                </c:pt>
                <c:pt idx="18">
                  <c:v>48.9167535870342</c:v>
                </c:pt>
                <c:pt idx="19">
                  <c:v>49.9124694194766</c:v>
                </c:pt>
                <c:pt idx="20">
                  <c:v>50.9284533593928</c:v>
                </c:pt>
                <c:pt idx="21">
                  <c:v>51.9651179704554</c:v>
                </c:pt>
                <c:pt idx="22">
                  <c:v>53.0228842141996</c:v>
                </c:pt>
                <c:pt idx="23">
                  <c:v>54.1021816209643</c:v>
                </c:pt>
                <c:pt idx="24">
                  <c:v>55.2034484643131</c:v>
                </c:pt>
                <c:pt idx="25">
                  <c:v>56.3271319390051</c:v>
                </c:pt>
                <c:pt idx="26">
                  <c:v>57.4736883425888</c:v>
                </c:pt>
                <c:pt idx="27">
                  <c:v>58.6435832606919</c:v>
                </c:pt>
                <c:pt idx="28">
                  <c:v>59.8372917560835</c:v>
                </c:pt>
                <c:pt idx="29">
                  <c:v>61.0552985615841</c:v>
                </c:pt>
                <c:pt idx="30">
                  <c:v>62.2980982769024</c:v>
                </c:pt>
                <c:pt idx="31">
                  <c:v>63.5661955694791</c:v>
                </c:pt>
                <c:pt idx="32">
                  <c:v>64.8601053794186</c:v>
                </c:pt>
                <c:pt idx="33">
                  <c:v>66.1803531285923</c:v>
                </c:pt>
                <c:pt idx="34">
                  <c:v>67.5274749339983</c:v>
                </c:pt>
                <c:pt idx="35">
                  <c:v>68.9020178254639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Valuation!$B$348</c:f>
              <c:strCache>
                <c:ptCount val="1"/>
                <c:pt idx="0">
                  <c:v> Full Term Blend &amp; Extend from Equity Seller </c:v>
                </c:pt>
              </c:strCache>
            </c:strRef>
          </c:tx>
          <c:spPr>
            <a:solidFill>
              <a:srgbClr val="ff0000"/>
            </a:solidFill>
            <a:ln w="0">
              <a:solidFill>
                <a:srgbClr val="ff0000"/>
              </a:solidFill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Valuation!$H$9:$AQ$9</c:f>
              <c:strCach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strCache>
            </c:strRef>
          </c:cat>
          <c:val>
            <c:numRef>
              <c:f>Valuation!$H$348:$AQ$348</c:f>
              <c:numCache>
                <c:formatCode>_(\$* #,##0.00_);_(\$* \(#,##0.00\);_(\$* \-??_);_(@_)</c:formatCode>
                <c:ptCount val="36"/>
                <c:pt idx="0">
                  <c:v>43.44</c:v>
                </c:pt>
                <c:pt idx="1">
                  <c:v>44.2459037488106</c:v>
                </c:pt>
                <c:pt idx="2">
                  <c:v>44.950975571236</c:v>
                </c:pt>
                <c:pt idx="3">
                  <c:v>45.8586134414137</c:v>
                </c:pt>
                <c:pt idx="4">
                  <c:v>46.9095394258143</c:v>
                </c:pt>
                <c:pt idx="5">
                  <c:v>47.2273612359733</c:v>
                </c:pt>
                <c:pt idx="6">
                  <c:v>41.9224242092541</c:v>
                </c:pt>
                <c:pt idx="7">
                  <c:v>42.2051587163709</c:v>
                </c:pt>
                <c:pt idx="8">
                  <c:v>42.3134899197728</c:v>
                </c:pt>
                <c:pt idx="9">
                  <c:v>42.6537006630308</c:v>
                </c:pt>
                <c:pt idx="10">
                  <c:v>43.0476376768685</c:v>
                </c:pt>
                <c:pt idx="11">
                  <c:v>43.25707084757</c:v>
                </c:pt>
                <c:pt idx="12">
                  <c:v>43.8882179287689</c:v>
                </c:pt>
                <c:pt idx="13">
                  <c:v>44.3400433519135</c:v>
                </c:pt>
                <c:pt idx="14">
                  <c:v>44.5735693642557</c:v>
                </c:pt>
                <c:pt idx="15">
                  <c:v>45.1454727010563</c:v>
                </c:pt>
                <c:pt idx="16">
                  <c:v>45.8856530143311</c:v>
                </c:pt>
                <c:pt idx="17">
                  <c:v>46.3057791281646</c:v>
                </c:pt>
                <c:pt idx="18">
                  <c:v>46.9854277372514</c:v>
                </c:pt>
                <c:pt idx="19">
                  <c:v>46.6370907728269</c:v>
                </c:pt>
                <c:pt idx="20">
                  <c:v>47.3141484076196</c:v>
                </c:pt>
                <c:pt idx="21">
                  <c:v>47.9738336513126</c:v>
                </c:pt>
                <c:pt idx="22">
                  <c:v>48.6617717321955</c:v>
                </c:pt>
                <c:pt idx="23">
                  <c:v>49.336207859838</c:v>
                </c:pt>
                <c:pt idx="24">
                  <c:v>50.125109850197</c:v>
                </c:pt>
                <c:pt idx="25">
                  <c:v>50.9019161250773</c:v>
                </c:pt>
                <c:pt idx="26">
                  <c:v>51.7097889179783</c:v>
                </c:pt>
                <c:pt idx="27">
                  <c:v>52.5094692052608</c:v>
                </c:pt>
                <c:pt idx="28">
                  <c:v>53.42179962037</c:v>
                </c:pt>
                <c:pt idx="29">
                  <c:v>54.3275311084463</c:v>
                </c:pt>
                <c:pt idx="30">
                  <c:v>55.2675176265569</c:v>
                </c:pt>
                <c:pt idx="31">
                  <c:v>56.2048698699453</c:v>
                </c:pt>
                <c:pt idx="32">
                  <c:v>57.2537252764921</c:v>
                </c:pt>
                <c:pt idx="33">
                  <c:v>58.3017490275519</c:v>
                </c:pt>
                <c:pt idx="34">
                  <c:v>59.3876345693853</c:v>
                </c:pt>
                <c:pt idx="35">
                  <c:v>60.4767452899798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Valuation!$B$369</c:f>
              <c:strCache>
                <c:ptCount val="1"/>
                <c:pt idx="0">
                  <c:v> Market (Index) Plus Power Exchange on Full Output </c:v>
                </c:pt>
              </c:strCache>
            </c:strRef>
          </c:tx>
          <c:spPr>
            <a:solidFill>
              <a:srgbClr val="0000ff"/>
            </a:solidFill>
            <a:ln w="0">
              <a:solidFill>
                <a:srgbClr val="0000ff"/>
              </a:solidFill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Valuation!$H$9:$AQ$9</c:f>
              <c:strCach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strCache>
            </c:strRef>
          </c:cat>
          <c:val>
            <c:numRef>
              <c:f>Valuation!$H$369:$AQ$369</c:f>
              <c:numCache>
                <c:formatCode>_(\$* #,##0.00_);_(\$* \(#,##0.00\);_(\$* \-??_);_(@_)</c:formatCode>
                <c:ptCount val="36"/>
                <c:pt idx="0">
                  <c:v>48.2485469676756</c:v>
                </c:pt>
                <c:pt idx="1">
                  <c:v>46.8506983372876</c:v>
                </c:pt>
                <c:pt idx="2">
                  <c:v>47.4411078791962</c:v>
                </c:pt>
                <c:pt idx="3">
                  <c:v>50.4295416623027</c:v>
                </c:pt>
                <c:pt idx="4">
                  <c:v>50.1785580362783</c:v>
                </c:pt>
                <c:pt idx="5">
                  <c:v>51.4928197210514</c:v>
                </c:pt>
                <c:pt idx="6">
                  <c:v>51.3705408751333</c:v>
                </c:pt>
                <c:pt idx="7">
                  <c:v>47.656348645041</c:v>
                </c:pt>
                <c:pt idx="8">
                  <c:v>47.5338768844566</c:v>
                </c:pt>
                <c:pt idx="9">
                  <c:v>52.4066213861761</c:v>
                </c:pt>
                <c:pt idx="10">
                  <c:v>49.6250275746559</c:v>
                </c:pt>
                <c:pt idx="11">
                  <c:v>50.3525457285457</c:v>
                </c:pt>
                <c:pt idx="12">
                  <c:v>54.6039065975327</c:v>
                </c:pt>
                <c:pt idx="13">
                  <c:v>43.1095577618702</c:v>
                </c:pt>
                <c:pt idx="14">
                  <c:v>43.0496571804151</c:v>
                </c:pt>
                <c:pt idx="15">
                  <c:v>45.6293784710636</c:v>
                </c:pt>
                <c:pt idx="16">
                  <c:v>45.0968515947263</c:v>
                </c:pt>
                <c:pt idx="17">
                  <c:v>45.8583091400692</c:v>
                </c:pt>
                <c:pt idx="18">
                  <c:v>50.6569422061681</c:v>
                </c:pt>
                <c:pt idx="19">
                  <c:v>48.1788362238644</c:v>
                </c:pt>
                <c:pt idx="20">
                  <c:v>48.5539098571777</c:v>
                </c:pt>
                <c:pt idx="21">
                  <c:v>51.2875694976338</c:v>
                </c:pt>
                <c:pt idx="22">
                  <c:v>50.674989170037</c:v>
                </c:pt>
                <c:pt idx="23">
                  <c:v>51.6963918389407</c:v>
                </c:pt>
                <c:pt idx="24">
                  <c:v>56.7344516582246</c:v>
                </c:pt>
                <c:pt idx="25">
                  <c:v>42.6735861186393</c:v>
                </c:pt>
                <c:pt idx="26">
                  <c:v>43.1404059661136</c:v>
                </c:pt>
                <c:pt idx="27">
                  <c:v>46.0621424516442</c:v>
                </c:pt>
                <c:pt idx="28">
                  <c:v>45.59510498113</c:v>
                </c:pt>
                <c:pt idx="29">
                  <c:v>46.8385399428007</c:v>
                </c:pt>
                <c:pt idx="30">
                  <c:v>52.1118694985821</c:v>
                </c:pt>
                <c:pt idx="31">
                  <c:v>49.4463017742609</c:v>
                </c:pt>
                <c:pt idx="32">
                  <c:v>50.1020145701886</c:v>
                </c:pt>
                <c:pt idx="33">
                  <c:v>53.2878671896725</c:v>
                </c:pt>
                <c:pt idx="34">
                  <c:v>52.951353224252</c:v>
                </c:pt>
                <c:pt idx="35">
                  <c:v>54.3808370298886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Valuation!$B$392</c:f>
              <c:strCache>
                <c:ptCount val="1"/>
                <c:pt idx="0">
                  <c:v> Production Payment on Partial Output </c:v>
                </c:pt>
              </c:strCache>
            </c:strRef>
          </c:tx>
          <c:spPr>
            <a:solidFill>
              <a:srgbClr val="008000"/>
            </a:solidFill>
            <a:ln w="0">
              <a:solidFill>
                <a:srgbClr val="008000"/>
              </a:solidFill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Valuation!$H$9:$AQ$9</c:f>
              <c:strCach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strCache>
            </c:strRef>
          </c:cat>
          <c:val>
            <c:numRef>
              <c:f>Valuation!$H$392:$AQ$392</c:f>
              <c:numCache>
                <c:formatCode>_(\$* #,##0.00_);_(\$* \(#,##0.00\);_(\$* \-??_);_(@_)</c:formatCode>
                <c:ptCount val="36"/>
                <c:pt idx="0">
                  <c:v>48.9017528173775</c:v>
                </c:pt>
                <c:pt idx="1">
                  <c:v>46.3487856300141</c:v>
                </c:pt>
                <c:pt idx="2">
                  <c:v>46.7416482896851</c:v>
                </c:pt>
                <c:pt idx="3">
                  <c:v>49.5405375194452</c:v>
                </c:pt>
                <c:pt idx="4">
                  <c:v>49.4528881568943</c:v>
                </c:pt>
                <c:pt idx="5">
                  <c:v>50.9981449249001</c:v>
                </c:pt>
                <c:pt idx="6">
                  <c:v>51.1694481971326</c:v>
                </c:pt>
                <c:pt idx="7">
                  <c:v>47.7587450486706</c:v>
                </c:pt>
                <c:pt idx="8">
                  <c:v>48.0017108861976</c:v>
                </c:pt>
                <c:pt idx="9">
                  <c:v>53.1205643950875</c:v>
                </c:pt>
                <c:pt idx="10">
                  <c:v>50.6333254818954</c:v>
                </c:pt>
                <c:pt idx="11">
                  <c:v>51.5988227528091</c:v>
                </c:pt>
                <c:pt idx="12">
                  <c:v>56.038207271397</c:v>
                </c:pt>
                <c:pt idx="13">
                  <c:v>43.1095577618702</c:v>
                </c:pt>
                <c:pt idx="14">
                  <c:v>43.0496571804151</c:v>
                </c:pt>
                <c:pt idx="15">
                  <c:v>45.6293784710636</c:v>
                </c:pt>
                <c:pt idx="16">
                  <c:v>45.0968515947263</c:v>
                </c:pt>
                <c:pt idx="17">
                  <c:v>45.8583091400692</c:v>
                </c:pt>
                <c:pt idx="18">
                  <c:v>50.6569422061681</c:v>
                </c:pt>
                <c:pt idx="19">
                  <c:v>48.1788362238644</c:v>
                </c:pt>
                <c:pt idx="20">
                  <c:v>48.5539098571777</c:v>
                </c:pt>
                <c:pt idx="21">
                  <c:v>51.2875694976338</c:v>
                </c:pt>
                <c:pt idx="22">
                  <c:v>50.674989170037</c:v>
                </c:pt>
                <c:pt idx="23">
                  <c:v>51.6963918389407</c:v>
                </c:pt>
                <c:pt idx="24">
                  <c:v>56.7344516582246</c:v>
                </c:pt>
                <c:pt idx="25">
                  <c:v>42.6735861186393</c:v>
                </c:pt>
                <c:pt idx="26">
                  <c:v>43.1404059661136</c:v>
                </c:pt>
                <c:pt idx="27">
                  <c:v>46.0621424516442</c:v>
                </c:pt>
                <c:pt idx="28">
                  <c:v>45.59510498113</c:v>
                </c:pt>
                <c:pt idx="29">
                  <c:v>46.8385399428007</c:v>
                </c:pt>
                <c:pt idx="30">
                  <c:v>52.1118694985821</c:v>
                </c:pt>
                <c:pt idx="31">
                  <c:v>49.4463017742609</c:v>
                </c:pt>
                <c:pt idx="32">
                  <c:v>50.1020145701886</c:v>
                </c:pt>
                <c:pt idx="33">
                  <c:v>53.2878671896725</c:v>
                </c:pt>
                <c:pt idx="34">
                  <c:v>52.951353224252</c:v>
                </c:pt>
                <c:pt idx="35">
                  <c:v>54.3808370298886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9646235"/>
        <c:axId val="74877100"/>
      </c:lineChart>
      <c:catAx>
        <c:axId val="89646235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877100"/>
        <c:crossesAt val="0"/>
        <c:auto val="1"/>
        <c:lblAlgn val="ctr"/>
        <c:lblOffset val="100"/>
        <c:noMultiLvlLbl val="0"/>
      </c:catAx>
      <c:valAx>
        <c:axId val="74877100"/>
        <c:scaling>
          <c:orientation val="minMax"/>
        </c:scaling>
        <c:delete val="0"/>
        <c:axPos val="l"/>
        <c:majorGridlines>
          <c:spPr>
            <a:ln w="0">
              <a:solidFill>
                <a:srgbClr val="ffffff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168850210471551"/>
              <c:y val="0.358558080975416"/>
            </c:manualLayout>
          </c:layout>
          <c:overlay val="0"/>
          <c:spPr>
            <a:noFill/>
            <a:ln w="0">
              <a:noFill/>
            </a:ln>
          </c:spPr>
        </c:title>
        <c:numFmt formatCode="_(\$* #,##0.00_);_(\$* \(#,##0.00\);_(\$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646235"/>
        <c:crossesAt val="1"/>
        <c:crossBetween val="midCat"/>
      </c:valAx>
      <c:spPr>
        <a:solidFill>
          <a:srgbClr val="ffffff"/>
        </a:solidFill>
        <a:ln w="0">
          <a:noFill/>
        </a:ln>
      </c:spPr>
    </c:plotArea>
    <c:legend>
      <c:legendPos val="r"/>
      <c:layout>
        <c:manualLayout>
          <c:xMode val="edge"/>
          <c:yMode val="edge"/>
          <c:x val="0.0584590644657806"/>
          <c:y val="0.901265655026175"/>
          <c:w val="1.03282410253985"/>
          <c:h val="0.091180173613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372240</xdr:colOff>
      <xdr:row>4</xdr:row>
      <xdr:rowOff>125280</xdr:rowOff>
    </xdr:from>
    <xdr:to>
      <xdr:col>5</xdr:col>
      <xdr:colOff>372240</xdr:colOff>
      <xdr:row>29</xdr:row>
      <xdr:rowOff>2880</xdr:rowOff>
    </xdr:to>
    <xdr:sp>
      <xdr:nvSpPr>
        <xdr:cNvPr id="1" name="Line 1"/>
        <xdr:cNvSpPr/>
      </xdr:nvSpPr>
      <xdr:spPr>
        <a:xfrm flipV="1">
          <a:off x="4436280" y="775440"/>
          <a:ext cx="0" cy="3941640"/>
        </a:xfrm>
        <a:prstGeom prst="line">
          <a:avLst/>
        </a:prstGeom>
        <a:ln w="9360">
          <a:solidFill>
            <a:srgbClr val="969696"/>
          </a:solidFill>
          <a:prstDash val="sysDot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563760</xdr:colOff>
      <xdr:row>24</xdr:row>
      <xdr:rowOff>25560</xdr:rowOff>
    </xdr:from>
    <xdr:to>
      <xdr:col>5</xdr:col>
      <xdr:colOff>77400</xdr:colOff>
      <xdr:row>25</xdr:row>
      <xdr:rowOff>48960</xdr:rowOff>
    </xdr:to>
    <xdr:sp>
      <xdr:nvSpPr>
        <xdr:cNvPr id="2" name="Rectangle 2"/>
        <xdr:cNvSpPr/>
      </xdr:nvSpPr>
      <xdr:spPr>
        <a:xfrm>
          <a:off x="1376640" y="3926880"/>
          <a:ext cx="2764800" cy="186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1" lang="en-US" sz="900" strike="noStrike" u="none">
              <a:effectLst/>
              <a:uFillTx/>
              <a:latin typeface="Arial"/>
            </a:rPr>
            <a:t>Initial Term</a:t>
          </a:r>
          <a:endParaRPr b="0" lang="en-US" sz="9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591120</xdr:colOff>
      <xdr:row>24</xdr:row>
      <xdr:rowOff>25560</xdr:rowOff>
    </xdr:from>
    <xdr:to>
      <xdr:col>9</xdr:col>
      <xdr:colOff>106560</xdr:colOff>
      <xdr:row>25</xdr:row>
      <xdr:rowOff>45000</xdr:rowOff>
    </xdr:to>
    <xdr:sp>
      <xdr:nvSpPr>
        <xdr:cNvPr id="3" name="Rectangle 3"/>
        <xdr:cNvSpPr/>
      </xdr:nvSpPr>
      <xdr:spPr>
        <a:xfrm>
          <a:off x="4655160" y="3926880"/>
          <a:ext cx="2766600" cy="182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1" lang="en-US" sz="900" strike="noStrike" u="none">
              <a:effectLst/>
              <a:uFillTx/>
              <a:latin typeface="Arial"/>
            </a:rPr>
            <a:t>Renewal Term </a:t>
          </a:r>
          <a:endParaRPr b="0" lang="en-US" sz="9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1800</xdr:colOff>
      <xdr:row>8</xdr:row>
      <xdr:rowOff>132840</xdr:rowOff>
    </xdr:from>
    <xdr:to>
      <xdr:col>3</xdr:col>
      <xdr:colOff>81720</xdr:colOff>
      <xdr:row>10</xdr:row>
      <xdr:rowOff>5760</xdr:rowOff>
    </xdr:to>
    <xdr:sp>
      <xdr:nvSpPr>
        <xdr:cNvPr id="4" name="Text 6"/>
        <xdr:cNvSpPr/>
      </xdr:nvSpPr>
      <xdr:spPr>
        <a:xfrm>
          <a:off x="2440080" y="1433160"/>
          <a:ext cx="79920" cy="1983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396000</xdr:colOff>
      <xdr:row>26</xdr:row>
      <xdr:rowOff>137880</xdr:rowOff>
    </xdr:from>
    <xdr:to>
      <xdr:col>9</xdr:col>
      <xdr:colOff>196200</xdr:colOff>
      <xdr:row>27</xdr:row>
      <xdr:rowOff>154440</xdr:rowOff>
    </xdr:to>
    <xdr:sp>
      <xdr:nvSpPr>
        <xdr:cNvPr id="5" name="AutoShape 20"/>
        <xdr:cNvSpPr/>
      </xdr:nvSpPr>
      <xdr:spPr>
        <a:xfrm>
          <a:off x="1208880" y="4364280"/>
          <a:ext cx="6302520" cy="179280"/>
        </a:xfrm>
        <a:custGeom>
          <a:avLst/>
          <a:gdLst>
            <a:gd name="textAreaLeft" fmla="*/ 0 w 6302520"/>
            <a:gd name="textAreaRight" fmla="*/ 6302880 w 6302520"/>
            <a:gd name="textAreaTop" fmla="*/ 0 h 179280"/>
            <a:gd name="textAreaBottom" fmla="*/ 179640 h 179280"/>
          </a:gdLst>
          <a:ahLst/>
          <a:cxnLst/>
          <a:rect l="textAreaLeft" t="textAreaTop" r="textAreaRight" b="textAreaBottom"/>
          <a:pathLst>
            <a:path w="21600" h="21600">
              <a:moveTo>
                <a:pt x="0" y="0"/>
              </a:moveTo>
              <a:lnTo>
                <a:pt x="20674" y="0"/>
              </a:lnTo>
              <a:lnTo>
                <a:pt x="21600" y="10800"/>
              </a:lnTo>
              <a:lnTo>
                <a:pt x="20674" y="21600"/>
              </a:lnTo>
              <a:lnTo>
                <a:pt x="0" y="21600"/>
              </a:lnTo>
              <a:close/>
            </a:path>
          </a:pathLst>
        </a:custGeom>
        <a:solidFill>
          <a:srgbClr val="ffffcc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1" lang="en-US" sz="1000" strike="noStrike" u="none">
              <a:effectLst/>
              <a:uFillTx/>
              <a:latin typeface="Arial"/>
            </a:rPr>
            <a:t>Stranded Investment Through 2036 Is $252.5 MM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191520</xdr:colOff>
      <xdr:row>103</xdr:row>
      <xdr:rowOff>0</xdr:rowOff>
    </xdr:from>
    <xdr:to>
      <xdr:col>7</xdr:col>
      <xdr:colOff>644760</xdr:colOff>
      <xdr:row>106</xdr:row>
      <xdr:rowOff>162000</xdr:rowOff>
    </xdr:to>
    <xdr:sp>
      <xdr:nvSpPr>
        <xdr:cNvPr id="6" name="AutoShape 838"/>
        <xdr:cNvSpPr/>
      </xdr:nvSpPr>
      <xdr:spPr>
        <a:xfrm>
          <a:off x="5362200" y="17573760"/>
          <a:ext cx="453240" cy="647640"/>
        </a:xfrm>
        <a:custGeom>
          <a:avLst/>
          <a:gdLst>
            <a:gd name="textAreaLeft" fmla="*/ 0 w 453240"/>
            <a:gd name="textAreaRight" fmla="*/ 163800 w 453240"/>
            <a:gd name="textAreaTop" fmla="*/ 16560 h 647640"/>
            <a:gd name="textAreaBottom" fmla="*/ 631080 h 647640"/>
            <a:gd name="GluePoint1X" fmla="*/ 0 w 21600"/>
            <a:gd name="GluePoint1Y" fmla="*/ 0 h 21600"/>
            <a:gd name="GluePoint2X" fmla="*/ 0 w 21600"/>
            <a:gd name="GluePoint2Y" fmla="*/ 21600 h 21600"/>
            <a:gd name="GluePoint3X" fmla="*/ 21600 w 21600"/>
            <a:gd name="GluePoint3Y" fmla="*/ 10800 h 21600"/>
          </a:gdLst>
          <a:ahLst/>
          <a:cxnLst>
            <a:cxn ang="0">
              <a:pos x="GluePoint1X" y="GluePoint1Y"/>
            </a:cxn>
            <a:cxn ang="0">
              <a:pos x="GluePoint2X" y="GluePoint2Y"/>
            </a:cxn>
            <a:cxn ang="0">
              <a:pos x="GluePoint3X" y="GluePoint3Y"/>
            </a:cxn>
          </a:cxnLst>
          <a:rect l="textAreaLeft" t="textAreaTop" r="textAreaRight" b="textAreaBottom"/>
          <a:pathLst>
            <a:path w="21600" h="21600">
              <a:moveTo>
                <a:pt x="0" y="0"/>
              </a:moveTo>
              <a:cubicBezTo>
                <a:pt x="5400" y="0"/>
                <a:pt x="10800" y="900"/>
                <a:pt x="10800" y="1800"/>
              </a:cubicBezTo>
              <a:lnTo>
                <a:pt x="10800" y="9000"/>
              </a:lnTo>
              <a:cubicBezTo>
                <a:pt x="10800" y="9900"/>
                <a:pt x="16200" y="10800"/>
                <a:pt x="21600" y="10800"/>
              </a:cubicBezTo>
              <a:cubicBezTo>
                <a:pt x="16200" y="10800"/>
                <a:pt x="10800" y="11700"/>
                <a:pt x="10800" y="12600"/>
              </a:cubicBezTo>
              <a:lnTo>
                <a:pt x="10800" y="19800"/>
              </a:lnTo>
              <a:cubicBezTo>
                <a:pt x="10800" y="20700"/>
                <a:pt x="5400" y="21600"/>
                <a:pt x="0" y="21600"/>
              </a:cubicBezTo>
            </a:path>
          </a:pathLst>
        </a:cu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732960</xdr:colOff>
      <xdr:row>179</xdr:row>
      <xdr:rowOff>86040</xdr:rowOff>
    </xdr:from>
    <xdr:to>
      <xdr:col>6</xdr:col>
      <xdr:colOff>10440</xdr:colOff>
      <xdr:row>192</xdr:row>
      <xdr:rowOff>86040</xdr:rowOff>
    </xdr:to>
    <xdr:cxnSp>
      <xdr:nvCxnSpPr>
        <xdr:cNvPr id="7" name="AutoShape 0"/>
        <xdr:cNvCxnSpPr/>
      </xdr:nvCxnSpPr>
      <xdr:spPr>
        <a:xfrm flipH="1" flipV="1" rot="10800000">
          <a:off x="4233600" y="30213360"/>
          <a:ext cx="11880" cy="2190960"/>
        </a:xfrm>
        <a:prstGeom prst="bentConnector3">
          <a:avLst>
            <a:gd name="adj1" fmla="val -1400000"/>
          </a:avLst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</xdr:cxnSp>
    <xdr:clientData/>
  </xdr:twoCellAnchor>
  <xdr:twoCellAnchor editAs="oneCell">
    <xdr:from>
      <xdr:col>8</xdr:col>
      <xdr:colOff>0</xdr:colOff>
      <xdr:row>104</xdr:row>
      <xdr:rowOff>0</xdr:rowOff>
    </xdr:from>
    <xdr:to>
      <xdr:col>13</xdr:col>
      <xdr:colOff>322920</xdr:colOff>
      <xdr:row>105</xdr:row>
      <xdr:rowOff>162000</xdr:rowOff>
    </xdr:to>
    <xdr:sp>
      <xdr:nvSpPr>
        <xdr:cNvPr id="8" name="Rectangle 1037"/>
        <xdr:cNvSpPr/>
      </xdr:nvSpPr>
      <xdr:spPr>
        <a:xfrm>
          <a:off x="5945400" y="17735400"/>
          <a:ext cx="419652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0</xdr:colOff>
      <xdr:row>79</xdr:row>
      <xdr:rowOff>0</xdr:rowOff>
    </xdr:from>
    <xdr:to>
      <xdr:col>8</xdr:col>
      <xdr:colOff>1080</xdr:colOff>
      <xdr:row>79</xdr:row>
      <xdr:rowOff>171360</xdr:rowOff>
    </xdr:to>
    <xdr:sp>
      <xdr:nvSpPr>
        <xdr:cNvPr id="9" name="Rectangle 1"/>
        <xdr:cNvSpPr/>
      </xdr:nvSpPr>
      <xdr:spPr>
        <a:xfrm>
          <a:off x="3942000" y="13239720"/>
          <a:ext cx="896400" cy="171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81</xdr:row>
      <xdr:rowOff>0</xdr:rowOff>
    </xdr:from>
    <xdr:to>
      <xdr:col>8</xdr:col>
      <xdr:colOff>1080</xdr:colOff>
      <xdr:row>81</xdr:row>
      <xdr:rowOff>171360</xdr:rowOff>
    </xdr:to>
    <xdr:sp>
      <xdr:nvSpPr>
        <xdr:cNvPr id="10" name="Rectangle 2"/>
        <xdr:cNvSpPr/>
      </xdr:nvSpPr>
      <xdr:spPr>
        <a:xfrm>
          <a:off x="3942000" y="13582800"/>
          <a:ext cx="896400" cy="171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83</xdr:row>
      <xdr:rowOff>0</xdr:rowOff>
    </xdr:from>
    <xdr:to>
      <xdr:col>8</xdr:col>
      <xdr:colOff>1080</xdr:colOff>
      <xdr:row>83</xdr:row>
      <xdr:rowOff>171360</xdr:rowOff>
    </xdr:to>
    <xdr:sp>
      <xdr:nvSpPr>
        <xdr:cNvPr id="11" name="Rectangle 41"/>
        <xdr:cNvSpPr/>
      </xdr:nvSpPr>
      <xdr:spPr>
        <a:xfrm>
          <a:off x="3942000" y="13925520"/>
          <a:ext cx="896400" cy="171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&amp;L&amp;F, &amp;A&amp;CPage &amp;P of 1&amp;R&amp;D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V112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7" ySplit="9" topLeftCell="H282" activePane="bottomRight" state="frozen"/>
      <selection pane="topLeft" activeCell="A1" activeCellId="0" sqref="A1"/>
      <selection pane="topRight" activeCell="H1" activeCellId="0" sqref="H1"/>
      <selection pane="bottomLeft" activeCell="A282" activeCellId="0" sqref="A282"/>
      <selection pane="bottomRight" activeCell="H291" activeCellId="0" sqref="H29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1" style="0" width="2.99"/>
    <col collapsed="false" customWidth="true" hidden="false" outlineLevel="0" max="4" min="4" style="0" width="25.7"/>
    <col collapsed="false" customWidth="true" hidden="false" outlineLevel="0" max="6" min="5" style="0" width="12.7"/>
    <col collapsed="false" customWidth="true" hidden="false" outlineLevel="0" max="7" min="7" style="0" width="13.28"/>
    <col collapsed="false" customWidth="true" hidden="false" outlineLevel="0" max="26" min="8" style="0" width="10.99"/>
    <col collapsed="false" customWidth="true" hidden="false" outlineLevel="0" max="27" min="27" style="0" width="11.7"/>
    <col collapsed="false" customWidth="true" hidden="false" outlineLevel="0" max="43" min="28" style="0" width="11.28"/>
    <col collapsed="false" customWidth="true" hidden="false" outlineLevel="0" max="44" min="44" style="0" width="39.7"/>
  </cols>
  <sheetData>
    <row r="1" customFormat="false" ht="18.75" hidden="false" customHeight="false" outlineLevel="0" collapsed="false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 t="s">
        <v>1</v>
      </c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5"/>
    </row>
    <row r="2" customFormat="false" ht="18.75" hidden="false" customHeight="true" outlineLevel="0" collapsed="false">
      <c r="A2" s="6" t="s">
        <v>2</v>
      </c>
      <c r="B2" s="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8" t="s">
        <v>3</v>
      </c>
      <c r="Z2" s="9" t="s">
        <v>4</v>
      </c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10" t="s">
        <v>5</v>
      </c>
    </row>
    <row r="3" customFormat="false" ht="12.75" hidden="false" customHeight="true" outlineLevel="0" collapsed="false">
      <c r="A3" s="11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0" t="s">
        <v>6</v>
      </c>
    </row>
    <row r="4" customFormat="false" ht="13.5" hidden="false" customHeight="false" outlineLevel="0" collapsed="false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3"/>
      <c r="AR4" s="15"/>
      <c r="AS4" s="3"/>
      <c r="AT4" s="3"/>
      <c r="AU4" s="3"/>
      <c r="AV4" s="3"/>
      <c r="AW4" s="3"/>
    </row>
    <row r="5" customFormat="false" ht="12.75" hidden="false" customHeight="false" outlineLevel="0" collapsed="false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3"/>
      <c r="AR5" s="15"/>
      <c r="AS5" s="3"/>
      <c r="AT5" s="3"/>
      <c r="AU5" s="3"/>
      <c r="AV5" s="3"/>
      <c r="AW5" s="3"/>
    </row>
    <row r="6" customFormat="false" ht="18" hidden="false" customHeight="false" outlineLevel="0" collapsed="false">
      <c r="A6" s="16" t="s">
        <v>7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3"/>
      <c r="AR6" s="15"/>
      <c r="AS6" s="3"/>
      <c r="AT6" s="3"/>
      <c r="AU6" s="3"/>
      <c r="AV6" s="3"/>
      <c r="AW6" s="3"/>
    </row>
    <row r="7" customFormat="false" ht="18" hidden="false" customHeight="false" outlineLevel="0" collapsed="false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3"/>
      <c r="AR7" s="15"/>
      <c r="AS7" s="3"/>
      <c r="AT7" s="3"/>
      <c r="AU7" s="3"/>
      <c r="AV7" s="3"/>
      <c r="AW7" s="3"/>
    </row>
    <row r="8" customFormat="false" ht="12.75" hidden="false" customHeight="false" outlineLevel="0" collapsed="false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3"/>
      <c r="AR8" s="15"/>
      <c r="AS8" s="3"/>
      <c r="AT8" s="3"/>
      <c r="AU8" s="3"/>
      <c r="AV8" s="3"/>
      <c r="AW8" s="3"/>
    </row>
    <row r="9" customFormat="false" ht="13.5" hidden="false" customHeight="false" outlineLevel="0" collapsed="false">
      <c r="A9" s="3"/>
      <c r="B9" s="3"/>
      <c r="C9" s="3"/>
      <c r="D9" s="3"/>
      <c r="E9" s="3"/>
      <c r="F9" s="3"/>
      <c r="G9" s="18" t="s">
        <v>8</v>
      </c>
      <c r="H9" s="19" t="n">
        <v>2001</v>
      </c>
      <c r="I9" s="20" t="n">
        <f aca="false">+H9+1</f>
        <v>2002</v>
      </c>
      <c r="J9" s="20" t="n">
        <f aca="false">+I9+1</f>
        <v>2003</v>
      </c>
      <c r="K9" s="20" t="n">
        <f aca="false">+J9+1</f>
        <v>2004</v>
      </c>
      <c r="L9" s="20" t="n">
        <f aca="false">+K9+1</f>
        <v>2005</v>
      </c>
      <c r="M9" s="20" t="n">
        <f aca="false">+L9+1</f>
        <v>2006</v>
      </c>
      <c r="N9" s="20" t="n">
        <f aca="false">+M9+1</f>
        <v>2007</v>
      </c>
      <c r="O9" s="20" t="n">
        <f aca="false">+N9+1</f>
        <v>2008</v>
      </c>
      <c r="P9" s="20" t="n">
        <f aca="false">+O9+1</f>
        <v>2009</v>
      </c>
      <c r="Q9" s="20" t="n">
        <f aca="false">+P9+1</f>
        <v>2010</v>
      </c>
      <c r="R9" s="20" t="n">
        <f aca="false">+Q9+1</f>
        <v>2011</v>
      </c>
      <c r="S9" s="20" t="n">
        <f aca="false">+R9+1</f>
        <v>2012</v>
      </c>
      <c r="T9" s="20" t="n">
        <f aca="false">+S9+1</f>
        <v>2013</v>
      </c>
      <c r="U9" s="20" t="n">
        <f aca="false">+T9+1</f>
        <v>2014</v>
      </c>
      <c r="V9" s="20" t="n">
        <f aca="false">+U9+1</f>
        <v>2015</v>
      </c>
      <c r="W9" s="20" t="n">
        <f aca="false">+V9+1</f>
        <v>2016</v>
      </c>
      <c r="X9" s="20" t="n">
        <f aca="false">+W9+1</f>
        <v>2017</v>
      </c>
      <c r="Y9" s="20" t="n">
        <f aca="false">+X9+1</f>
        <v>2018</v>
      </c>
      <c r="Z9" s="20" t="n">
        <f aca="false">+Y9+1</f>
        <v>2019</v>
      </c>
      <c r="AA9" s="21" t="n">
        <f aca="false">+Z9+1</f>
        <v>2020</v>
      </c>
      <c r="AB9" s="21" t="n">
        <f aca="false">+AA9+1</f>
        <v>2021</v>
      </c>
      <c r="AC9" s="21" t="n">
        <f aca="false">+AB9+1</f>
        <v>2022</v>
      </c>
      <c r="AD9" s="21" t="n">
        <f aca="false">+AC9+1</f>
        <v>2023</v>
      </c>
      <c r="AE9" s="21" t="n">
        <f aca="false">+AD9+1</f>
        <v>2024</v>
      </c>
      <c r="AF9" s="21" t="n">
        <f aca="false">+AE9+1</f>
        <v>2025</v>
      </c>
      <c r="AG9" s="21" t="n">
        <f aca="false">+AF9+1</f>
        <v>2026</v>
      </c>
      <c r="AH9" s="21" t="n">
        <f aca="false">+AG9+1</f>
        <v>2027</v>
      </c>
      <c r="AI9" s="21" t="n">
        <f aca="false">+AH9+1</f>
        <v>2028</v>
      </c>
      <c r="AJ9" s="21" t="n">
        <f aca="false">+AI9+1</f>
        <v>2029</v>
      </c>
      <c r="AK9" s="21" t="n">
        <f aca="false">+AJ9+1</f>
        <v>2030</v>
      </c>
      <c r="AL9" s="21" t="n">
        <f aca="false">+AK9+1</f>
        <v>2031</v>
      </c>
      <c r="AM9" s="21" t="n">
        <f aca="false">+AL9+1</f>
        <v>2032</v>
      </c>
      <c r="AN9" s="21" t="n">
        <f aca="false">+AM9+1</f>
        <v>2033</v>
      </c>
      <c r="AO9" s="21" t="n">
        <f aca="false">+AN9+1</f>
        <v>2034</v>
      </c>
      <c r="AP9" s="21" t="n">
        <f aca="false">+AO9+1</f>
        <v>2035</v>
      </c>
      <c r="AQ9" s="22" t="n">
        <f aca="false">+AP9+1</f>
        <v>2036</v>
      </c>
      <c r="AR9" s="15"/>
    </row>
    <row r="10" customFormat="false" ht="15.75" hidden="false" customHeight="false" outlineLevel="0" collapsed="false">
      <c r="A10" s="23" t="s">
        <v>9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5"/>
    </row>
    <row r="11" customFormat="false" ht="12.75" hidden="false" customHeight="true" outlineLevel="0" collapsed="false">
      <c r="A11" s="2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5"/>
    </row>
    <row r="12" customFormat="false" ht="12.75" hidden="false" customHeight="false" outlineLevel="0" collapsed="false">
      <c r="A12" s="2"/>
      <c r="B12" s="26" t="s">
        <v>10</v>
      </c>
      <c r="C12" s="27"/>
      <c r="D12" s="27"/>
      <c r="E12" s="28" t="n">
        <v>0.06125</v>
      </c>
      <c r="F12" s="29" t="s">
        <v>11</v>
      </c>
      <c r="G12" s="30" t="n">
        <v>36891</v>
      </c>
      <c r="H12" s="31" t="n">
        <f aca="false">+G12+365</f>
        <v>37256</v>
      </c>
      <c r="I12" s="31" t="n">
        <f aca="false">+H12+365</f>
        <v>37621</v>
      </c>
      <c r="J12" s="31" t="n">
        <f aca="false">+I12+365</f>
        <v>37986</v>
      </c>
      <c r="K12" s="31" t="n">
        <f aca="false">+J12+366</f>
        <v>38352</v>
      </c>
      <c r="L12" s="31" t="n">
        <f aca="false">+K12+365</f>
        <v>38717</v>
      </c>
      <c r="M12" s="31" t="n">
        <f aca="false">+L12+365</f>
        <v>39082</v>
      </c>
      <c r="N12" s="31" t="n">
        <f aca="false">+M12+365</f>
        <v>39447</v>
      </c>
      <c r="O12" s="31" t="n">
        <f aca="false">+N12+366</f>
        <v>39813</v>
      </c>
      <c r="P12" s="31" t="n">
        <f aca="false">+O12+365</f>
        <v>40178</v>
      </c>
      <c r="Q12" s="31" t="n">
        <f aca="false">+P12+365</f>
        <v>40543</v>
      </c>
      <c r="R12" s="31" t="n">
        <f aca="false">+Q12+365</f>
        <v>40908</v>
      </c>
      <c r="S12" s="31" t="n">
        <f aca="false">+R12+366</f>
        <v>41274</v>
      </c>
      <c r="T12" s="31" t="n">
        <f aca="false">+S12+365</f>
        <v>41639</v>
      </c>
      <c r="U12" s="31" t="n">
        <f aca="false">+T12+365</f>
        <v>42004</v>
      </c>
      <c r="V12" s="31" t="n">
        <f aca="false">+U12+365</f>
        <v>42369</v>
      </c>
      <c r="W12" s="31" t="n">
        <f aca="false">+V12+366</f>
        <v>42735</v>
      </c>
      <c r="X12" s="31" t="n">
        <f aca="false">+W12+365</f>
        <v>43100</v>
      </c>
      <c r="Y12" s="31" t="n">
        <f aca="false">+X12+365</f>
        <v>43465</v>
      </c>
      <c r="Z12" s="31" t="n">
        <f aca="false">+Y12+365</f>
        <v>43830</v>
      </c>
      <c r="AA12" s="32" t="n">
        <v>44196</v>
      </c>
      <c r="AB12" s="32" t="n">
        <v>44561</v>
      </c>
      <c r="AC12" s="32" t="n">
        <v>44926</v>
      </c>
      <c r="AD12" s="32" t="n">
        <v>45291</v>
      </c>
      <c r="AE12" s="32" t="n">
        <v>45657</v>
      </c>
      <c r="AF12" s="32" t="n">
        <v>46022</v>
      </c>
      <c r="AG12" s="32" t="n">
        <v>46387</v>
      </c>
      <c r="AH12" s="32" t="n">
        <v>46752</v>
      </c>
      <c r="AI12" s="32" t="n">
        <v>47118</v>
      </c>
      <c r="AJ12" s="32" t="n">
        <v>47483</v>
      </c>
      <c r="AK12" s="32" t="n">
        <v>47848</v>
      </c>
      <c r="AL12" s="32" t="n">
        <v>48213</v>
      </c>
      <c r="AM12" s="32" t="n">
        <v>48579</v>
      </c>
      <c r="AN12" s="32" t="n">
        <v>48944</v>
      </c>
      <c r="AO12" s="32" t="n">
        <v>49309</v>
      </c>
      <c r="AP12" s="32" t="n">
        <v>49674</v>
      </c>
      <c r="AQ12" s="32" t="n">
        <v>50040</v>
      </c>
      <c r="AR12" s="25"/>
    </row>
    <row r="13" customFormat="false" ht="12.75" hidden="false" customHeight="false" outlineLevel="0" collapsed="false">
      <c r="A13" s="2"/>
      <c r="B13" s="33" t="s">
        <v>12</v>
      </c>
      <c r="C13" s="34"/>
      <c r="D13" s="34"/>
      <c r="E13" s="35" t="n">
        <f aca="false">1/8/100</f>
        <v>0.00125</v>
      </c>
      <c r="F13" s="29" t="s">
        <v>13</v>
      </c>
      <c r="G13" s="36" t="n">
        <f aca="false">ROUND(YEARFRAC($G$12,G12),0)</f>
        <v>0</v>
      </c>
      <c r="H13" s="36" t="n">
        <f aca="false">ROUND(YEARFRAC($G$12,H12),0)</f>
        <v>1</v>
      </c>
      <c r="I13" s="36" t="n">
        <f aca="false">ROUND(YEARFRAC($G$12,I12),0)</f>
        <v>2</v>
      </c>
      <c r="J13" s="36" t="n">
        <f aca="false">ROUND(YEARFRAC($G$12,J12),0)</f>
        <v>3</v>
      </c>
      <c r="K13" s="36" t="n">
        <f aca="false">ROUND(YEARFRAC($G$12,K12),0)</f>
        <v>4</v>
      </c>
      <c r="L13" s="36" t="n">
        <f aca="false">ROUND(YEARFRAC($G$12,L12),0)</f>
        <v>5</v>
      </c>
      <c r="M13" s="36" t="n">
        <f aca="false">ROUND(YEARFRAC($G$12,M12),0)</f>
        <v>6</v>
      </c>
      <c r="N13" s="36" t="n">
        <f aca="false">ROUND(YEARFRAC($G$12,N12),0)</f>
        <v>7</v>
      </c>
      <c r="O13" s="36" t="n">
        <f aca="false">ROUND(YEARFRAC($G$12,O12),0)</f>
        <v>8</v>
      </c>
      <c r="P13" s="36" t="n">
        <f aca="false">ROUND(YEARFRAC($G$12,P12),0)</f>
        <v>9</v>
      </c>
      <c r="Q13" s="36" t="n">
        <f aca="false">ROUND(YEARFRAC($G$12,Q12),0)</f>
        <v>10</v>
      </c>
      <c r="R13" s="36" t="n">
        <f aca="false">ROUND(YEARFRAC($G$12,R12),0)</f>
        <v>11</v>
      </c>
      <c r="S13" s="36" t="n">
        <f aca="false">ROUND(YEARFRAC($G$12,S12),0)</f>
        <v>12</v>
      </c>
      <c r="T13" s="36" t="n">
        <f aca="false">ROUND(YEARFRAC($G$12,T12),0)</f>
        <v>13</v>
      </c>
      <c r="U13" s="36" t="n">
        <f aca="false">ROUND(YEARFRAC($G$12,U12),0)</f>
        <v>14</v>
      </c>
      <c r="V13" s="36" t="n">
        <f aca="false">ROUND(YEARFRAC($G$12,V12),0)</f>
        <v>15</v>
      </c>
      <c r="W13" s="36" t="n">
        <f aca="false">ROUND(YEARFRAC($G$12,W12),0)</f>
        <v>16</v>
      </c>
      <c r="X13" s="36" t="n">
        <f aca="false">ROUND(YEARFRAC($G$12,X12),0)</f>
        <v>17</v>
      </c>
      <c r="Y13" s="36" t="n">
        <f aca="false">ROUND(YEARFRAC($G$12,Y12),0)</f>
        <v>18</v>
      </c>
      <c r="Z13" s="36" t="n">
        <f aca="false">ROUND(YEARFRAC($G$12,Z12),0)</f>
        <v>19</v>
      </c>
      <c r="AA13" s="37" t="n">
        <f aca="false">ROUND(YEARFRAC($G$12,AA12),0)</f>
        <v>20</v>
      </c>
      <c r="AB13" s="37" t="n">
        <f aca="false">ROUND(YEARFRAC($G$12,AB12),0)</f>
        <v>21</v>
      </c>
      <c r="AC13" s="37" t="n">
        <f aca="false">ROUND(YEARFRAC($G$12,AC12),0)</f>
        <v>22</v>
      </c>
      <c r="AD13" s="37" t="n">
        <f aca="false">ROUND(YEARFRAC($G$12,AD12),0)</f>
        <v>23</v>
      </c>
      <c r="AE13" s="37" t="n">
        <f aca="false">ROUND(YEARFRAC($G$12,AE12),0)</f>
        <v>24</v>
      </c>
      <c r="AF13" s="37" t="n">
        <f aca="false">ROUND(YEARFRAC($G$12,AF12),0)</f>
        <v>25</v>
      </c>
      <c r="AG13" s="37" t="n">
        <f aca="false">ROUND(YEARFRAC($G$12,AG12),0)</f>
        <v>26</v>
      </c>
      <c r="AH13" s="37" t="n">
        <f aca="false">ROUND(YEARFRAC($G$12,AH12),0)</f>
        <v>27</v>
      </c>
      <c r="AI13" s="37" t="n">
        <f aca="false">ROUND(YEARFRAC($G$12,AI12),0)</f>
        <v>28</v>
      </c>
      <c r="AJ13" s="37" t="n">
        <f aca="false">ROUND(YEARFRAC($G$12,AJ12),0)</f>
        <v>29</v>
      </c>
      <c r="AK13" s="37" t="n">
        <f aca="false">ROUND(YEARFRAC($G$12,AK12),0)</f>
        <v>30</v>
      </c>
      <c r="AL13" s="37" t="n">
        <f aca="false">ROUND(YEARFRAC($G$12,AL12),0)</f>
        <v>31</v>
      </c>
      <c r="AM13" s="37" t="n">
        <f aca="false">ROUND(YEARFRAC($G$12,AM12),0)</f>
        <v>32</v>
      </c>
      <c r="AN13" s="37" t="n">
        <f aca="false">ROUND(YEARFRAC($G$12,AN12),0)</f>
        <v>33</v>
      </c>
      <c r="AO13" s="37" t="n">
        <f aca="false">ROUND(YEARFRAC($G$12,AO12),0)</f>
        <v>34</v>
      </c>
      <c r="AP13" s="37" t="n">
        <f aca="false">ROUND(YEARFRAC($G$12,AP12),0)</f>
        <v>35</v>
      </c>
      <c r="AQ13" s="37" t="n">
        <f aca="false">ROUND(YEARFRAC($G$12,AQ12),0)</f>
        <v>36</v>
      </c>
      <c r="AR13" s="25"/>
    </row>
    <row r="14" customFormat="false" ht="12.75" hidden="false" customHeight="false" outlineLevel="0" collapsed="false">
      <c r="A14" s="2"/>
      <c r="B14" s="33" t="s">
        <v>14</v>
      </c>
      <c r="C14" s="34"/>
      <c r="D14" s="34"/>
      <c r="E14" s="38" t="n">
        <f aca="false">SUM(E12:E13)</f>
        <v>0.0625</v>
      </c>
      <c r="F14" s="29"/>
      <c r="G14" s="39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25"/>
    </row>
    <row r="15" customFormat="false" ht="12.75" hidden="false" customHeight="false" outlineLevel="0" collapsed="false">
      <c r="A15" s="2"/>
      <c r="B15" s="33"/>
      <c r="C15" s="34"/>
      <c r="D15" s="34"/>
      <c r="E15" s="35"/>
      <c r="F15" s="29"/>
      <c r="G15" s="39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25"/>
    </row>
    <row r="16" customFormat="false" ht="13.5" hidden="false" customHeight="false" outlineLevel="0" collapsed="false">
      <c r="A16" s="2"/>
      <c r="B16" s="40" t="s">
        <v>15</v>
      </c>
      <c r="C16" s="41"/>
      <c r="D16" s="41"/>
      <c r="E16" s="42" t="n">
        <f aca="false">+E14</f>
        <v>0.0625</v>
      </c>
      <c r="F16" s="29" t="s">
        <v>16</v>
      </c>
      <c r="G16" s="43" t="n">
        <f aca="false">1/(1+$E$16)^G$13</f>
        <v>1</v>
      </c>
      <c r="H16" s="43" t="n">
        <f aca="false">1/(1+$E$16)^H$13</f>
        <v>0.941176470588235</v>
      </c>
      <c r="I16" s="43" t="n">
        <f aca="false">1/(1+$E$16)^I$13</f>
        <v>0.885813148788927</v>
      </c>
      <c r="J16" s="43" t="n">
        <f aca="false">1/(1+$E$16)^J$13</f>
        <v>0.833706492977814</v>
      </c>
      <c r="K16" s="43" t="n">
        <f aca="false">1/(1+$E$16)^K$13</f>
        <v>0.784664934567354</v>
      </c>
      <c r="L16" s="43" t="n">
        <f aca="false">1/(1+$E$16)^L$13</f>
        <v>0.738508173710451</v>
      </c>
      <c r="M16" s="43" t="n">
        <f aca="false">1/(1+$E$16)^M$13</f>
        <v>0.695066516433366</v>
      </c>
      <c r="N16" s="43" t="n">
        <f aca="false">1/(1+$E$16)^N$13</f>
        <v>0.654180250760815</v>
      </c>
      <c r="O16" s="43" t="n">
        <f aca="false">1/(1+$E$16)^O$13</f>
        <v>0.615699059539591</v>
      </c>
      <c r="P16" s="43" t="n">
        <f aca="false">1/(1+$E$16)^P$13</f>
        <v>0.579481467801968</v>
      </c>
      <c r="Q16" s="43" t="n">
        <f aca="false">1/(1+$E$16)^Q$13</f>
        <v>0.545394322637146</v>
      </c>
      <c r="R16" s="43" t="n">
        <f aca="false">1/(1+$E$16)^R$13</f>
        <v>0.51331230365849</v>
      </c>
      <c r="S16" s="43" t="n">
        <f aca="false">1/(1+$E$16)^S$13</f>
        <v>0.483117462266814</v>
      </c>
      <c r="T16" s="43" t="n">
        <f aca="false">1/(1+$E$16)^T$13</f>
        <v>0.454698788015825</v>
      </c>
      <c r="U16" s="43" t="n">
        <f aca="false">1/(1+$E$16)^U$13</f>
        <v>0.427951800485483</v>
      </c>
      <c r="V16" s="43" t="n">
        <f aca="false">1/(1+$E$16)^V$13</f>
        <v>0.402778165162807</v>
      </c>
      <c r="W16" s="43" t="n">
        <f aca="false">1/(1+$E$16)^W$13</f>
        <v>0.379085331917936</v>
      </c>
      <c r="X16" s="43" t="n">
        <f aca="false">1/(1+$E$16)^X$13</f>
        <v>0.356786194746293</v>
      </c>
      <c r="Y16" s="43" t="n">
        <f aca="false">1/(1+$E$16)^Y$13</f>
        <v>0.335798771525923</v>
      </c>
      <c r="Z16" s="43" t="n">
        <f aca="false">1/(1+$E$16)^Z$13</f>
        <v>0.316045902612633</v>
      </c>
      <c r="AA16" s="44" t="n">
        <f aca="false">1/(1+$E$16)^AA$13</f>
        <v>0.297454967164831</v>
      </c>
      <c r="AB16" s="44" t="n">
        <f aca="false">1/(1+$E$16)^AB$13</f>
        <v>0.279957616155135</v>
      </c>
      <c r="AC16" s="44" t="n">
        <f aca="false">1/(1+$E$16)^AC$13</f>
        <v>0.263489521087186</v>
      </c>
      <c r="AD16" s="44" t="n">
        <f aca="false">1/(1+$E$16)^AD$13</f>
        <v>0.247990137493822</v>
      </c>
      <c r="AE16" s="44" t="n">
        <f aca="false">1/(1+$E$16)^AE$13</f>
        <v>0.233402482347127</v>
      </c>
      <c r="AF16" s="44" t="n">
        <f aca="false">1/(1+$E$16)^AF$13</f>
        <v>0.219672924562002</v>
      </c>
      <c r="AG16" s="44" t="n">
        <f aca="false">1/(1+$E$16)^AG$13</f>
        <v>0.20675098782306</v>
      </c>
      <c r="AH16" s="44" t="n">
        <f aca="false">1/(1+$E$16)^AH$13</f>
        <v>0.194589165009939</v>
      </c>
      <c r="AI16" s="44" t="n">
        <f aca="false">1/(1+$E$16)^AI$13</f>
        <v>0.183142743538766</v>
      </c>
      <c r="AJ16" s="44" t="n">
        <f aca="false">1/(1+$E$16)^AJ$13</f>
        <v>0.172369640977662</v>
      </c>
      <c r="AK16" s="44" t="n">
        <f aca="false">1/(1+$E$16)^AK$13</f>
        <v>0.162230250331918</v>
      </c>
      <c r="AL16" s="44" t="n">
        <f aca="false">1/(1+$E$16)^AL$13</f>
        <v>0.15268729443004</v>
      </c>
      <c r="AM16" s="44" t="n">
        <f aca="false">1/(1+$E$16)^AM$13</f>
        <v>0.143705688875332</v>
      </c>
      <c r="AN16" s="44" t="n">
        <f aca="false">1/(1+$E$16)^AN$13</f>
        <v>0.135252413059136</v>
      </c>
      <c r="AO16" s="44" t="n">
        <f aca="false">1/(1+$E$16)^AO$13</f>
        <v>0.12729638876154</v>
      </c>
      <c r="AP16" s="44" t="n">
        <f aca="false">1/(1+$E$16)^AP$13</f>
        <v>0.119808365893214</v>
      </c>
      <c r="AQ16" s="44" t="n">
        <f aca="false">1/(1+$E$16)^AQ$13</f>
        <v>0.112760814958319</v>
      </c>
      <c r="AR16" s="25"/>
    </row>
    <row r="17" customFormat="false" ht="13.5" hidden="false" customHeight="false" outlineLevel="0" collapsed="false">
      <c r="A17" s="2"/>
      <c r="B17" s="3"/>
      <c r="C17" s="3"/>
      <c r="D17" s="3"/>
      <c r="E17" s="45"/>
      <c r="F17" s="45"/>
      <c r="G17" s="45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5"/>
    </row>
    <row r="18" customFormat="false" ht="13.5" hidden="false" customHeight="false" outlineLevel="0" collapsed="false">
      <c r="A18" s="2"/>
      <c r="B18" s="46" t="s">
        <v>17</v>
      </c>
      <c r="C18" s="3"/>
      <c r="D18" s="3"/>
      <c r="E18" s="47" t="s">
        <v>18</v>
      </c>
      <c r="F18" s="45"/>
      <c r="G18" s="45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5"/>
    </row>
    <row r="19" customFormat="false" ht="12.75" hidden="false" customHeight="false" outlineLevel="0" collapsed="false">
      <c r="A19" s="2"/>
      <c r="B19" s="3"/>
      <c r="C19" s="3"/>
      <c r="D19" s="3"/>
      <c r="E19" s="45"/>
      <c r="F19" s="45"/>
      <c r="G19" s="45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5"/>
    </row>
    <row r="20" customFormat="false" ht="12.75" hidden="false" customHeight="false" outlineLevel="0" collapsed="false">
      <c r="A20" s="48" t="s">
        <v>19</v>
      </c>
      <c r="B20" s="3"/>
      <c r="C20" s="3"/>
      <c r="D20" s="3"/>
      <c r="E20" s="3"/>
      <c r="F20" s="3"/>
      <c r="G20" s="3"/>
      <c r="H20" s="49" t="n">
        <v>8760</v>
      </c>
      <c r="I20" s="49" t="n">
        <v>8760</v>
      </c>
      <c r="J20" s="49" t="n">
        <v>8760</v>
      </c>
      <c r="K20" s="49" t="n">
        <v>8784</v>
      </c>
      <c r="L20" s="49" t="n">
        <v>8760</v>
      </c>
      <c r="M20" s="49" t="n">
        <v>8760</v>
      </c>
      <c r="N20" s="49" t="n">
        <v>8760</v>
      </c>
      <c r="O20" s="49" t="n">
        <v>8784</v>
      </c>
      <c r="P20" s="49" t="n">
        <v>8760</v>
      </c>
      <c r="Q20" s="49" t="n">
        <v>8760</v>
      </c>
      <c r="R20" s="49" t="n">
        <v>8760</v>
      </c>
      <c r="S20" s="49" t="n">
        <v>8784</v>
      </c>
      <c r="T20" s="49" t="n">
        <v>8760</v>
      </c>
      <c r="U20" s="49" t="n">
        <v>8760</v>
      </c>
      <c r="V20" s="49" t="n">
        <v>8760</v>
      </c>
      <c r="W20" s="49" t="n">
        <v>8784</v>
      </c>
      <c r="X20" s="49" t="n">
        <v>8760</v>
      </c>
      <c r="Y20" s="49" t="n">
        <v>8760</v>
      </c>
      <c r="Z20" s="49" t="n">
        <v>8760</v>
      </c>
      <c r="AA20" s="50" t="n">
        <f aca="false">+W20</f>
        <v>8784</v>
      </c>
      <c r="AB20" s="50" t="n">
        <f aca="false">+X20</f>
        <v>8760</v>
      </c>
      <c r="AC20" s="50" t="n">
        <f aca="false">+Y20</f>
        <v>8760</v>
      </c>
      <c r="AD20" s="50" t="n">
        <f aca="false">+Z20</f>
        <v>8760</v>
      </c>
      <c r="AE20" s="50" t="n">
        <f aca="false">+AA20</f>
        <v>8784</v>
      </c>
      <c r="AF20" s="50" t="n">
        <f aca="false">+AB20</f>
        <v>8760</v>
      </c>
      <c r="AG20" s="50" t="n">
        <f aca="false">+AC20</f>
        <v>8760</v>
      </c>
      <c r="AH20" s="50" t="n">
        <f aca="false">+AD20</f>
        <v>8760</v>
      </c>
      <c r="AI20" s="50" t="n">
        <f aca="false">+AE20</f>
        <v>8784</v>
      </c>
      <c r="AJ20" s="50" t="n">
        <f aca="false">+AF20</f>
        <v>8760</v>
      </c>
      <c r="AK20" s="50" t="n">
        <f aca="false">+AG20</f>
        <v>8760</v>
      </c>
      <c r="AL20" s="50" t="n">
        <f aca="false">+AH20</f>
        <v>8760</v>
      </c>
      <c r="AM20" s="50" t="n">
        <f aca="false">+AI20</f>
        <v>8784</v>
      </c>
      <c r="AN20" s="50" t="n">
        <f aca="false">+AJ20</f>
        <v>8760</v>
      </c>
      <c r="AO20" s="50" t="n">
        <f aca="false">+AK20</f>
        <v>8760</v>
      </c>
      <c r="AP20" s="50" t="n">
        <f aca="false">+AL20</f>
        <v>8760</v>
      </c>
      <c r="AQ20" s="50" t="n">
        <f aca="false">+AM20</f>
        <v>8784</v>
      </c>
      <c r="AR20" s="25"/>
    </row>
    <row r="21" customFormat="false" ht="12.75" hidden="false" customHeight="false" outlineLevel="0" collapsed="false">
      <c r="A21" s="2"/>
      <c r="B21" s="3"/>
      <c r="C21" s="3"/>
      <c r="D21" s="3"/>
      <c r="E21" s="45"/>
      <c r="F21" s="45"/>
      <c r="G21" s="45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5"/>
    </row>
    <row r="22" customFormat="false" ht="12.75" hidden="false" customHeight="false" outlineLevel="0" collapsed="false">
      <c r="A22" s="48" t="s">
        <v>20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5"/>
    </row>
    <row r="23" customFormat="false" ht="12.75" hidden="false" customHeight="false" outlineLevel="0" collapsed="false">
      <c r="A23" s="2" t="s">
        <v>21</v>
      </c>
      <c r="B23" s="3"/>
      <c r="C23" s="3"/>
      <c r="D23" s="3"/>
      <c r="E23" s="3"/>
      <c r="F23" s="3"/>
      <c r="G23" s="14" t="s">
        <v>22</v>
      </c>
      <c r="H23" s="49" t="n">
        <v>258000</v>
      </c>
      <c r="I23" s="51" t="n">
        <f aca="false">+H23</f>
        <v>258000</v>
      </c>
      <c r="J23" s="51" t="n">
        <f aca="false">+I23</f>
        <v>258000</v>
      </c>
      <c r="K23" s="51" t="n">
        <f aca="false">+J23</f>
        <v>258000</v>
      </c>
      <c r="L23" s="51" t="n">
        <f aca="false">+K23</f>
        <v>258000</v>
      </c>
      <c r="M23" s="51" t="n">
        <f aca="false">+L23</f>
        <v>258000</v>
      </c>
      <c r="N23" s="51" t="n">
        <f aca="false">+M23</f>
        <v>258000</v>
      </c>
      <c r="O23" s="51" t="n">
        <f aca="false">+N23</f>
        <v>258000</v>
      </c>
      <c r="P23" s="51" t="n">
        <f aca="false">+O23</f>
        <v>258000</v>
      </c>
      <c r="Q23" s="51" t="n">
        <f aca="false">+P23</f>
        <v>258000</v>
      </c>
      <c r="R23" s="51" t="n">
        <f aca="false">+Q23</f>
        <v>258000</v>
      </c>
      <c r="S23" s="51" t="n">
        <f aca="false">+R23</f>
        <v>258000</v>
      </c>
      <c r="T23" s="51" t="n">
        <f aca="false">+S23</f>
        <v>258000</v>
      </c>
      <c r="U23" s="51" t="n">
        <f aca="false">+T23</f>
        <v>258000</v>
      </c>
      <c r="V23" s="51" t="n">
        <f aca="false">+U23</f>
        <v>258000</v>
      </c>
      <c r="W23" s="51" t="n">
        <f aca="false">+V23</f>
        <v>258000</v>
      </c>
      <c r="X23" s="51" t="n">
        <f aca="false">+W23</f>
        <v>258000</v>
      </c>
      <c r="Y23" s="51" t="n">
        <f aca="false">+X23</f>
        <v>258000</v>
      </c>
      <c r="Z23" s="51" t="n">
        <f aca="false">+Y23</f>
        <v>258000</v>
      </c>
      <c r="AA23" s="50" t="n">
        <f aca="false">+Z23</f>
        <v>258000</v>
      </c>
      <c r="AB23" s="50" t="n">
        <f aca="false">+AA23</f>
        <v>258000</v>
      </c>
      <c r="AC23" s="50" t="n">
        <f aca="false">+AB23</f>
        <v>258000</v>
      </c>
      <c r="AD23" s="50" t="n">
        <f aca="false">+AC23</f>
        <v>258000</v>
      </c>
      <c r="AE23" s="50" t="n">
        <f aca="false">+AD23</f>
        <v>258000</v>
      </c>
      <c r="AF23" s="50" t="n">
        <f aca="false">+AE23</f>
        <v>258000</v>
      </c>
      <c r="AG23" s="50" t="n">
        <f aca="false">+AF23</f>
        <v>258000</v>
      </c>
      <c r="AH23" s="50" t="n">
        <f aca="false">+AG23</f>
        <v>258000</v>
      </c>
      <c r="AI23" s="50" t="n">
        <f aca="false">+AH23</f>
        <v>258000</v>
      </c>
      <c r="AJ23" s="50" t="n">
        <f aca="false">+AI23</f>
        <v>258000</v>
      </c>
      <c r="AK23" s="50" t="n">
        <f aca="false">+AJ23</f>
        <v>258000</v>
      </c>
      <c r="AL23" s="50" t="n">
        <f aca="false">+AK23</f>
        <v>258000</v>
      </c>
      <c r="AM23" s="50" t="n">
        <f aca="false">+AL23</f>
        <v>258000</v>
      </c>
      <c r="AN23" s="50" t="n">
        <f aca="false">+AM23</f>
        <v>258000</v>
      </c>
      <c r="AO23" s="50" t="n">
        <f aca="false">+AN23</f>
        <v>258000</v>
      </c>
      <c r="AP23" s="50" t="n">
        <f aca="false">+AO23</f>
        <v>258000</v>
      </c>
      <c r="AQ23" s="50" t="n">
        <f aca="false">+AP23</f>
        <v>258000</v>
      </c>
      <c r="AR23" s="25"/>
    </row>
    <row r="24" customFormat="false" ht="12.75" hidden="false" customHeight="false" outlineLevel="0" collapsed="false">
      <c r="A24" s="2" t="s">
        <v>23</v>
      </c>
      <c r="B24" s="3"/>
      <c r="C24" s="3"/>
      <c r="D24" s="3"/>
      <c r="E24" s="3"/>
      <c r="F24" s="3"/>
      <c r="G24" s="14"/>
      <c r="H24" s="52" t="n">
        <v>0.86</v>
      </c>
      <c r="I24" s="53" t="n">
        <f aca="false">+H24</f>
        <v>0.86</v>
      </c>
      <c r="J24" s="53" t="n">
        <f aca="false">+I24</f>
        <v>0.86</v>
      </c>
      <c r="K24" s="53" t="n">
        <f aca="false">+J24</f>
        <v>0.86</v>
      </c>
      <c r="L24" s="53" t="n">
        <f aca="false">+K24</f>
        <v>0.86</v>
      </c>
      <c r="M24" s="53" t="n">
        <f aca="false">+L24</f>
        <v>0.86</v>
      </c>
      <c r="N24" s="53" t="n">
        <f aca="false">+M24</f>
        <v>0.86</v>
      </c>
      <c r="O24" s="53" t="n">
        <f aca="false">+N24</f>
        <v>0.86</v>
      </c>
      <c r="P24" s="53" t="n">
        <f aca="false">+O24</f>
        <v>0.86</v>
      </c>
      <c r="Q24" s="53" t="n">
        <f aca="false">+P24</f>
        <v>0.86</v>
      </c>
      <c r="R24" s="53" t="n">
        <f aca="false">+Q24</f>
        <v>0.86</v>
      </c>
      <c r="S24" s="53" t="n">
        <f aca="false">+R24</f>
        <v>0.86</v>
      </c>
      <c r="T24" s="53" t="n">
        <f aca="false">+S24</f>
        <v>0.86</v>
      </c>
      <c r="U24" s="53" t="n">
        <f aca="false">+T24</f>
        <v>0.86</v>
      </c>
      <c r="V24" s="53" t="n">
        <f aca="false">+U24</f>
        <v>0.86</v>
      </c>
      <c r="W24" s="53" t="n">
        <f aca="false">+V24</f>
        <v>0.86</v>
      </c>
      <c r="X24" s="53" t="n">
        <f aca="false">+W24</f>
        <v>0.86</v>
      </c>
      <c r="Y24" s="53" t="n">
        <f aca="false">+X24</f>
        <v>0.86</v>
      </c>
      <c r="Z24" s="53" t="n">
        <f aca="false">+Y24</f>
        <v>0.86</v>
      </c>
      <c r="AA24" s="54" t="n">
        <f aca="false">+Z24</f>
        <v>0.86</v>
      </c>
      <c r="AB24" s="54" t="n">
        <f aca="false">+AA24</f>
        <v>0.86</v>
      </c>
      <c r="AC24" s="54" t="n">
        <f aca="false">+AB24</f>
        <v>0.86</v>
      </c>
      <c r="AD24" s="54" t="n">
        <f aca="false">+AC24</f>
        <v>0.86</v>
      </c>
      <c r="AE24" s="54" t="n">
        <f aca="false">+AD24</f>
        <v>0.86</v>
      </c>
      <c r="AF24" s="54" t="n">
        <f aca="false">+AE24</f>
        <v>0.86</v>
      </c>
      <c r="AG24" s="54" t="n">
        <f aca="false">+AF24</f>
        <v>0.86</v>
      </c>
      <c r="AH24" s="54" t="n">
        <f aca="false">+AG24</f>
        <v>0.86</v>
      </c>
      <c r="AI24" s="54" t="n">
        <f aca="false">+AH24</f>
        <v>0.86</v>
      </c>
      <c r="AJ24" s="54" t="n">
        <f aca="false">+AI24</f>
        <v>0.86</v>
      </c>
      <c r="AK24" s="54" t="n">
        <f aca="false">+AJ24</f>
        <v>0.86</v>
      </c>
      <c r="AL24" s="54" t="n">
        <f aca="false">+AK24</f>
        <v>0.86</v>
      </c>
      <c r="AM24" s="54" t="n">
        <f aca="false">+AL24</f>
        <v>0.86</v>
      </c>
      <c r="AN24" s="54" t="n">
        <f aca="false">+AM24</f>
        <v>0.86</v>
      </c>
      <c r="AO24" s="54" t="n">
        <f aca="false">+AN24</f>
        <v>0.86</v>
      </c>
      <c r="AP24" s="54" t="n">
        <f aca="false">+AO24</f>
        <v>0.86</v>
      </c>
      <c r="AQ24" s="54" t="n">
        <f aca="false">+AP24</f>
        <v>0.86</v>
      </c>
      <c r="AR24" s="25"/>
    </row>
    <row r="25" customFormat="false" ht="12.75" hidden="false" customHeight="false" outlineLevel="0" collapsed="false">
      <c r="A25" s="2" t="s">
        <v>24</v>
      </c>
      <c r="B25" s="3"/>
      <c r="C25" s="3"/>
      <c r="D25" s="3"/>
      <c r="E25" s="3"/>
      <c r="F25" s="3"/>
      <c r="G25" s="14" t="s">
        <v>25</v>
      </c>
      <c r="H25" s="51" t="n">
        <f aca="false">+H20*H23*H24/1000</f>
        <v>1943668.8</v>
      </c>
      <c r="I25" s="51" t="n">
        <f aca="false">+I20*I23*I24/1000</f>
        <v>1943668.8</v>
      </c>
      <c r="J25" s="51" t="n">
        <f aca="false">+J20*J23*J24/1000</f>
        <v>1943668.8</v>
      </c>
      <c r="K25" s="51" t="n">
        <f aca="false">+K20*K23*K24/1000</f>
        <v>1948993.92</v>
      </c>
      <c r="L25" s="51" t="n">
        <f aca="false">+L20*L23*L24/1000</f>
        <v>1943668.8</v>
      </c>
      <c r="M25" s="51" t="n">
        <f aca="false">+M20*M23*M24/1000</f>
        <v>1943668.8</v>
      </c>
      <c r="N25" s="51" t="n">
        <f aca="false">+N20*N23*N24/1000</f>
        <v>1943668.8</v>
      </c>
      <c r="O25" s="51" t="n">
        <f aca="false">+O20*O23*O24/1000</f>
        <v>1948993.92</v>
      </c>
      <c r="P25" s="51" t="n">
        <f aca="false">+P20*P23*P24/1000</f>
        <v>1943668.8</v>
      </c>
      <c r="Q25" s="51" t="n">
        <f aca="false">+Q20*Q23*Q24/1000</f>
        <v>1943668.8</v>
      </c>
      <c r="R25" s="51" t="n">
        <f aca="false">+R20*R23*R24/1000</f>
        <v>1943668.8</v>
      </c>
      <c r="S25" s="51" t="n">
        <f aca="false">+S20*S23*S24/1000</f>
        <v>1948993.92</v>
      </c>
      <c r="T25" s="51" t="n">
        <f aca="false">+T20*T23*T24/1000</f>
        <v>1943668.8</v>
      </c>
      <c r="U25" s="51" t="n">
        <f aca="false">+U20*U23*U24/1000</f>
        <v>1943668.8</v>
      </c>
      <c r="V25" s="51" t="n">
        <f aca="false">+V20*V23*V24/1000</f>
        <v>1943668.8</v>
      </c>
      <c r="W25" s="51" t="n">
        <f aca="false">+W20*W23*W24/1000</f>
        <v>1948993.92</v>
      </c>
      <c r="X25" s="51" t="n">
        <f aca="false">+X20*X23*X24/1000</f>
        <v>1943668.8</v>
      </c>
      <c r="Y25" s="51" t="n">
        <f aca="false">+Y20*Y23*Y24/1000</f>
        <v>1943668.8</v>
      </c>
      <c r="Z25" s="51" t="n">
        <f aca="false">+Z20*Z23*Z24/1000</f>
        <v>1943668.8</v>
      </c>
      <c r="AA25" s="50" t="n">
        <f aca="false">+AA20*AA23*AA24/1000</f>
        <v>1948993.92</v>
      </c>
      <c r="AB25" s="50" t="n">
        <f aca="false">+AB20*AB23*AB24/1000</f>
        <v>1943668.8</v>
      </c>
      <c r="AC25" s="50" t="n">
        <f aca="false">+AC20*AC23*AC24/1000</f>
        <v>1943668.8</v>
      </c>
      <c r="AD25" s="50" t="n">
        <f aca="false">+AD20*AD23*AD24/1000</f>
        <v>1943668.8</v>
      </c>
      <c r="AE25" s="50" t="n">
        <f aca="false">+AE20*AE23*AE24/1000</f>
        <v>1948993.92</v>
      </c>
      <c r="AF25" s="50" t="n">
        <f aca="false">+AF20*AF23*AF24/1000</f>
        <v>1943668.8</v>
      </c>
      <c r="AG25" s="50" t="n">
        <f aca="false">+AG20*AG23*AG24/1000</f>
        <v>1943668.8</v>
      </c>
      <c r="AH25" s="50" t="n">
        <f aca="false">+AH20*AH23*AH24/1000</f>
        <v>1943668.8</v>
      </c>
      <c r="AI25" s="50" t="n">
        <f aca="false">+AI20*AI23*AI24/1000</f>
        <v>1948993.92</v>
      </c>
      <c r="AJ25" s="50" t="n">
        <f aca="false">+AJ20*AJ23*AJ24/1000</f>
        <v>1943668.8</v>
      </c>
      <c r="AK25" s="50" t="n">
        <f aca="false">+AK20*AK23*AK24/1000</f>
        <v>1943668.8</v>
      </c>
      <c r="AL25" s="50" t="n">
        <f aca="false">+AL20*AL23*AL24/1000</f>
        <v>1943668.8</v>
      </c>
      <c r="AM25" s="50" t="n">
        <f aca="false">+AM20*AM23*AM24/1000</f>
        <v>1948993.92</v>
      </c>
      <c r="AN25" s="50" t="n">
        <f aca="false">+AN20*AN23*AN24/1000</f>
        <v>1943668.8</v>
      </c>
      <c r="AO25" s="50" t="n">
        <f aca="false">+AO20*AO23*AO24/1000</f>
        <v>1943668.8</v>
      </c>
      <c r="AP25" s="50" t="n">
        <f aca="false">+AP20*AP23*AP24/1000</f>
        <v>1943668.8</v>
      </c>
      <c r="AQ25" s="50" t="n">
        <f aca="false">+AQ20*AQ23*AQ24/1000</f>
        <v>1948993.92</v>
      </c>
      <c r="AR25" s="25"/>
    </row>
    <row r="26" customFormat="false" ht="12.75" hidden="false" customHeight="false" outlineLevel="0" collapsed="false">
      <c r="A26" s="2"/>
      <c r="B26" s="3"/>
      <c r="C26" s="3"/>
      <c r="D26" s="3"/>
      <c r="E26" s="3"/>
      <c r="F26" s="3"/>
      <c r="G26" s="14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5"/>
    </row>
    <row r="27" customFormat="false" ht="12.75" hidden="false" customHeight="false" outlineLevel="0" collapsed="false">
      <c r="A27" s="48" t="s">
        <v>26</v>
      </c>
      <c r="B27" s="3"/>
      <c r="C27" s="3"/>
      <c r="D27" s="3"/>
      <c r="E27" s="3"/>
      <c r="F27" s="3"/>
      <c r="G27" s="14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5"/>
    </row>
    <row r="28" customFormat="false" ht="12.75" hidden="false" customHeight="false" outlineLevel="0" collapsed="false">
      <c r="A28" s="2" t="s">
        <v>27</v>
      </c>
      <c r="B28" s="3"/>
      <c r="C28" s="3"/>
      <c r="D28" s="3"/>
      <c r="E28" s="3"/>
      <c r="F28" s="3"/>
      <c r="G28" s="14" t="s">
        <v>28</v>
      </c>
      <c r="H28" s="56" t="n">
        <f aca="false">++'PACE ERCOT Power Pricing'!$F$12</f>
        <v>38.0909076222065</v>
      </c>
      <c r="I28" s="56" t="n">
        <f aca="false">++'PACE ERCOT Power Pricing'!$F$13</f>
        <v>30.7532633279242</v>
      </c>
      <c r="J28" s="56" t="n">
        <f aca="false">++'PACE ERCOT Power Pricing'!$F$14</f>
        <v>29.5266098397287</v>
      </c>
      <c r="K28" s="56" t="n">
        <f aca="false">++'PACE ERCOT Power Pricing'!$F$15</f>
        <v>31.6861886848018</v>
      </c>
      <c r="L28" s="56" t="n">
        <f aca="false">++'PACE ERCOT Power Pricing'!$F$16</f>
        <v>34.9303390214023</v>
      </c>
      <c r="M28" s="56" t="n">
        <f aca="false">++'PACE ERCOT Power Pricing'!$F$17</f>
        <v>36.3300470334496</v>
      </c>
      <c r="N28" s="56" t="n">
        <f aca="false">++'PACE ERCOT Power Pricing'!$F$18</f>
        <v>38.7243746722582</v>
      </c>
      <c r="O28" s="56" t="n">
        <f aca="false">++'PACE ERCOT Power Pricing'!$F$19</f>
        <v>42.5655260936951</v>
      </c>
      <c r="P28" s="56" t="n">
        <f aca="false">++'PACE ERCOT Power Pricing'!$F$20</f>
        <v>43.6372216413628</v>
      </c>
      <c r="Q28" s="56" t="n">
        <f aca="false">++'PACE ERCOT Power Pricing'!$F$21</f>
        <v>44.9474638984535</v>
      </c>
      <c r="R28" s="56" t="n">
        <f aca="false">++'PACE ERCOT Power Pricing'!$F$22</f>
        <v>46.4291637775593</v>
      </c>
      <c r="S28" s="56" t="n">
        <f aca="false">++'PACE ERCOT Power Pricing'!$F$23</f>
        <v>47.0692875332799</v>
      </c>
      <c r="T28" s="56" t="n">
        <f aca="false">++'PACE ERCOT Power Pricing'!$F$24</f>
        <v>48.2931387020748</v>
      </c>
      <c r="U28" s="56" t="n">
        <f aca="false">++'PACE ERCOT Power Pricing'!$F$25</f>
        <v>50.589782276536</v>
      </c>
      <c r="V28" s="56" t="n">
        <f aca="false">++'PACE ERCOT Power Pricing'!$F$26</f>
        <v>48.8887377624179</v>
      </c>
      <c r="W28" s="56" t="n">
        <f aca="false">++'PACE ERCOT Power Pricing'!$F$27</f>
        <v>49.8859979821498</v>
      </c>
      <c r="X28" s="56" t="n">
        <f aca="false">++'PACE ERCOT Power Pricing'!$F$28</f>
        <v>50.3951307784454</v>
      </c>
      <c r="Y28" s="56" t="n">
        <f aca="false">++'PACE ERCOT Power Pricing'!$F$29</f>
        <v>50.9671674539191</v>
      </c>
      <c r="Z28" s="56" t="n">
        <f aca="false">++'PACE ERCOT Power Pricing'!$F$30</f>
        <v>53.0379568640973</v>
      </c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5"/>
    </row>
    <row r="29" customFormat="false" ht="12.75" hidden="false" customHeight="false" outlineLevel="0" collapsed="false">
      <c r="A29" s="2" t="s">
        <v>29</v>
      </c>
      <c r="B29" s="3"/>
      <c r="C29" s="3"/>
      <c r="D29" s="3"/>
      <c r="E29" s="3"/>
      <c r="F29" s="3"/>
      <c r="G29" s="14" t="s">
        <v>28</v>
      </c>
      <c r="H29" s="56" t="n">
        <f aca="false">++'PACE ERCOT Power Pricing'!$G$12</f>
        <v>25.04528589186</v>
      </c>
      <c r="I29" s="56" t="n">
        <f aca="false">++'PACE ERCOT Power Pricing'!$G$13</f>
        <v>21.3346654560203</v>
      </c>
      <c r="J29" s="56" t="n">
        <f aca="false">++'PACE ERCOT Power Pricing'!$G$14</f>
        <v>20.3020954411015</v>
      </c>
      <c r="K29" s="56" t="n">
        <f aca="false">++'PACE ERCOT Power Pricing'!$G$15</f>
        <v>20.6978594034127</v>
      </c>
      <c r="L29" s="56" t="n">
        <f aca="false">++'PACE ERCOT Power Pricing'!$G$16</f>
        <v>21.4450092555331</v>
      </c>
      <c r="M29" s="56" t="n">
        <f aca="false">++'PACE ERCOT Power Pricing'!$G$17</f>
        <v>22.1161219766702</v>
      </c>
      <c r="N29" s="56" t="n">
        <f aca="false">++'PACE ERCOT Power Pricing'!$G$18</f>
        <v>22.7920652109082</v>
      </c>
      <c r="O29" s="56" t="n">
        <f aca="false">++'PACE ERCOT Power Pricing'!$G$19</f>
        <v>23.5661813302518</v>
      </c>
      <c r="P29" s="56" t="n">
        <f aca="false">++'PACE ERCOT Power Pricing'!$G$20</f>
        <v>24.0627239229264</v>
      </c>
      <c r="Q29" s="56" t="n">
        <f aca="false">++'PACE ERCOT Power Pricing'!$G$21</f>
        <v>24.5832737813093</v>
      </c>
      <c r="R29" s="56" t="n">
        <f aca="false">++'PACE ERCOT Power Pricing'!$G$22</f>
        <v>25.302224366304</v>
      </c>
      <c r="S29" s="56" t="n">
        <f aca="false">++'PACE ERCOT Power Pricing'!$G$23</f>
        <v>26.2851235750331</v>
      </c>
      <c r="T29" s="56" t="n">
        <f aca="false">++'PACE ERCOT Power Pricing'!$G$24</f>
        <v>26.7158886753848</v>
      </c>
      <c r="U29" s="56" t="n">
        <f aca="false">++'PACE ERCOT Power Pricing'!$G$25</f>
        <v>27.6324406257666</v>
      </c>
      <c r="V29" s="56" t="n">
        <f aca="false">++'PACE ERCOT Power Pricing'!$G$26</f>
        <v>27.1266551129105</v>
      </c>
      <c r="W29" s="56" t="n">
        <f aca="false">++'PACE ERCOT Power Pricing'!$G$27</f>
        <v>27.6701144773242</v>
      </c>
      <c r="X29" s="56" t="n">
        <f aca="false">++'PACE ERCOT Power Pricing'!$G$28</f>
        <v>28.8677803312961</v>
      </c>
      <c r="Y29" s="56" t="n">
        <f aca="false">++'PACE ERCOT Power Pricing'!$G$29</f>
        <v>29.4402149837839</v>
      </c>
      <c r="Z29" s="56" t="n">
        <f aca="false">++'PACE ERCOT Power Pricing'!$G$30</f>
        <v>30.1743470329082</v>
      </c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5"/>
    </row>
    <row r="30" customFormat="false" ht="12.75" hidden="false" customHeight="false" outlineLevel="0" collapsed="false">
      <c r="A30" s="2" t="s">
        <v>30</v>
      </c>
      <c r="B30" s="3"/>
      <c r="C30" s="3"/>
      <c r="D30" s="3"/>
      <c r="E30" s="3"/>
      <c r="F30" s="3"/>
      <c r="G30" s="14" t="s">
        <v>28</v>
      </c>
      <c r="H30" s="56" t="n">
        <f aca="false">++'PACE ERCOT Power Pricing'!$H$12</f>
        <v>33.7423670454243</v>
      </c>
      <c r="I30" s="56" t="n">
        <f aca="false">++'PACE ERCOT Power Pricing'!$H$13</f>
        <v>27.6137307039562</v>
      </c>
      <c r="J30" s="56" t="n">
        <f aca="false">++'PACE ERCOT Power Pricing'!$H$14</f>
        <v>26.4517717068529</v>
      </c>
      <c r="K30" s="56" t="n">
        <f aca="false">++'PACE ERCOT Power Pricing'!$H$15</f>
        <v>28.0234122576721</v>
      </c>
      <c r="L30" s="56" t="n">
        <f aca="false">++'PACE ERCOT Power Pricing'!$H$16</f>
        <v>30.4352290994459</v>
      </c>
      <c r="M30" s="56" t="n">
        <f aca="false">++'PACE ERCOT Power Pricing'!$H$17</f>
        <v>31.5920720145232</v>
      </c>
      <c r="N30" s="56" t="n">
        <f aca="false">++'PACE ERCOT Power Pricing'!$H$18</f>
        <v>33.4136048518082</v>
      </c>
      <c r="O30" s="56" t="n">
        <f aca="false">++'PACE ERCOT Power Pricing'!$H$19</f>
        <v>36.2324111725473</v>
      </c>
      <c r="P30" s="56" t="n">
        <f aca="false">++'PACE ERCOT Power Pricing'!$H$20</f>
        <v>37.1123890685507</v>
      </c>
      <c r="Q30" s="56" t="n">
        <f aca="false">++'PACE ERCOT Power Pricing'!$H$21</f>
        <v>38.1594005260721</v>
      </c>
      <c r="R30" s="56" t="n">
        <f aca="false">++'PACE ERCOT Power Pricing'!$H$22</f>
        <v>39.3868506404742</v>
      </c>
      <c r="S30" s="56" t="n">
        <f aca="false">++'PACE ERCOT Power Pricing'!$H$23</f>
        <v>40.141232880531</v>
      </c>
      <c r="T30" s="56" t="n">
        <f aca="false">++'PACE ERCOT Power Pricing'!$H$24</f>
        <v>41.1007220265115</v>
      </c>
      <c r="U30" s="56" t="n">
        <f aca="false">++'PACE ERCOT Power Pricing'!$H$25</f>
        <v>42.9373350596128</v>
      </c>
      <c r="V30" s="56" t="n">
        <f aca="false">++'PACE ERCOT Power Pricing'!$H$26</f>
        <v>41.6347102125821</v>
      </c>
      <c r="W30" s="56" t="n">
        <f aca="false">++'PACE ERCOT Power Pricing'!$H$27</f>
        <v>42.4807034805413</v>
      </c>
      <c r="X30" s="56" t="n">
        <f aca="false">++'PACE ERCOT Power Pricing'!$H$28</f>
        <v>43.2193472960623</v>
      </c>
      <c r="Y30" s="56" t="n">
        <f aca="false">++'PACE ERCOT Power Pricing'!$H$29</f>
        <v>43.7915166305407</v>
      </c>
      <c r="Z30" s="56" t="n">
        <f aca="false">++'PACE ERCOT Power Pricing'!$H$30</f>
        <v>45.4167535870342</v>
      </c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5"/>
    </row>
    <row r="31" customFormat="false" ht="13.5" hidden="false" customHeight="false" outlineLevel="0" collapsed="false">
      <c r="A31" s="2" t="s">
        <v>31</v>
      </c>
      <c r="B31" s="3"/>
      <c r="C31" s="3"/>
      <c r="D31" s="3"/>
      <c r="E31" s="3"/>
      <c r="F31" s="3"/>
      <c r="G31" s="14" t="s">
        <v>32</v>
      </c>
      <c r="H31" s="56" t="n">
        <f aca="false">+'PACE Waha Natural Gas Pricing'!$AA$12</f>
        <v>3.17995920385</v>
      </c>
      <c r="I31" s="56" t="n">
        <f aca="false">+'PACE Waha Natural Gas Pricing'!$AA$13</f>
        <v>2.63355448961605</v>
      </c>
      <c r="J31" s="56" t="n">
        <f aca="false">+'PACE Waha Natural Gas Pricing'!$AA$14</f>
        <v>2.4959708791096</v>
      </c>
      <c r="K31" s="56" t="n">
        <f aca="false">+'PACE Waha Natural Gas Pricing'!$AA$15</f>
        <v>2.52184235808484</v>
      </c>
      <c r="L31" s="56" t="n">
        <f aca="false">+'PACE Waha Natural Gas Pricing'!$AA$16</f>
        <v>2.57141159893069</v>
      </c>
      <c r="M31" s="56" t="n">
        <f aca="false">+'PACE Waha Natural Gas Pricing'!$AA$17</f>
        <v>2.62706680888014</v>
      </c>
      <c r="N31" s="56" t="n">
        <f aca="false">+'PACE Waha Natural Gas Pricing'!$AA$18</f>
        <v>2.68387115801579</v>
      </c>
      <c r="O31" s="56" t="n">
        <f aca="false">+'PACE Waha Natural Gas Pricing'!$AA$19</f>
        <v>2.75419829772652</v>
      </c>
      <c r="P31" s="56" t="n">
        <f aca="false">+'PACE Waha Natural Gas Pricing'!$AA$20</f>
        <v>2.8135802951053</v>
      </c>
      <c r="Q31" s="56" t="n">
        <f aca="false">+'PACE Waha Natural Gas Pricing'!$AA$21</f>
        <v>2.87418531708692</v>
      </c>
      <c r="R31" s="56" t="n">
        <f aca="false">+'PACE Waha Natural Gas Pricing'!$AA$22</f>
        <v>2.94902910274387</v>
      </c>
      <c r="S31" s="56" t="n">
        <f aca="false">+'PACE Waha Natural Gas Pricing'!$AA$23</f>
        <v>3.02576257902124</v>
      </c>
      <c r="T31" s="56" t="n">
        <f aca="false">+'PACE Waha Natural Gas Pricing'!$AA$24</f>
        <v>3.11804833768138</v>
      </c>
      <c r="U31" s="56" t="n">
        <f aca="false">+'PACE Waha Natural Gas Pricing'!$AA$25</f>
        <v>3.19899505107665</v>
      </c>
      <c r="V31" s="56" t="n">
        <f aca="false">+'PACE Waha Natural Gas Pricing'!$AA$26</f>
        <v>3.28198115530382</v>
      </c>
      <c r="W31" s="56" t="n">
        <f aca="false">+'PACE Waha Natural Gas Pricing'!$AA$27</f>
        <v>3.37364930428226</v>
      </c>
      <c r="X31" s="56" t="n">
        <f aca="false">+'PACE Waha Natural Gas Pricing'!$AA$28</f>
        <v>3.48269670140645</v>
      </c>
      <c r="Y31" s="56" t="n">
        <f aca="false">+'PACE Waha Natural Gas Pricing'!$AA$29</f>
        <v>3.57977315112835</v>
      </c>
      <c r="Z31" s="56" t="n">
        <f aca="false">+'PACE Waha Natural Gas Pricing'!$AA$30</f>
        <v>3.67948887473382</v>
      </c>
      <c r="AA31" s="57" t="n">
        <f aca="false">+Z31*$Z$33</f>
        <v>3.78617865580025</v>
      </c>
      <c r="AB31" s="57" t="n">
        <f aca="false">+AA31*$Z$33</f>
        <v>3.89596199408931</v>
      </c>
      <c r="AC31" s="57" t="n">
        <f aca="false">+AB31*$Z$33</f>
        <v>4.00892858981589</v>
      </c>
      <c r="AD31" s="57" t="n">
        <f aca="false">+AC31*$Z$33</f>
        <v>4.12517074412581</v>
      </c>
      <c r="AE31" s="57" t="n">
        <f aca="false">+AD31*$Z$33</f>
        <v>4.24478343451185</v>
      </c>
      <c r="AF31" s="57" t="n">
        <f aca="false">+AE31*$Z$33</f>
        <v>4.3678643924167</v>
      </c>
      <c r="AG31" s="57" t="n">
        <f aca="false">+AF31*$Z$33</f>
        <v>4.49451418308593</v>
      </c>
      <c r="AH31" s="57" t="n">
        <f aca="false">+AG31*$Z$33</f>
        <v>4.62483628773643</v>
      </c>
      <c r="AI31" s="57" t="n">
        <f aca="false">+AH31*$Z$33</f>
        <v>4.75893718810737</v>
      </c>
      <c r="AJ31" s="57" t="n">
        <f aca="false">+AI31*$Z$33</f>
        <v>4.89692645346282</v>
      </c>
      <c r="AK31" s="57" t="n">
        <f aca="false">+AJ31*$Z$33</f>
        <v>5.03891683011702</v>
      </c>
      <c r="AL31" s="57" t="n">
        <f aca="false">+AK31*$Z$33</f>
        <v>5.18502433355553</v>
      </c>
      <c r="AM31" s="57" t="n">
        <f aca="false">+AL31*$Z$33</f>
        <v>5.33536834322757</v>
      </c>
      <c r="AN31" s="57" t="n">
        <f aca="false">+AM31*$Z$33</f>
        <v>5.49007170008685</v>
      </c>
      <c r="AO31" s="57" t="n">
        <f aca="false">+AN31*$Z$33</f>
        <v>5.64926080696074</v>
      </c>
      <c r="AP31" s="57" t="n">
        <f aca="false">+AO31*$Z$33</f>
        <v>5.81306573182966</v>
      </c>
      <c r="AQ31" s="57" t="n">
        <f aca="false">+AP31*$Z$33</f>
        <v>5.98162031410124</v>
      </c>
      <c r="AR31" s="25"/>
    </row>
    <row r="32" customFormat="false" ht="13.5" hidden="false" customHeight="false" outlineLevel="0" collapsed="false">
      <c r="A32" s="2"/>
      <c r="B32" s="3"/>
      <c r="C32" s="3"/>
      <c r="D32" s="3"/>
      <c r="E32" s="3"/>
      <c r="F32" s="3"/>
      <c r="G32" s="14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9"/>
      <c r="S32" s="59"/>
      <c r="T32" s="59"/>
      <c r="U32" s="59"/>
      <c r="V32" s="59"/>
      <c r="W32" s="60" t="n">
        <f aca="false">+W31/V31</f>
        <v>1.02793073593074</v>
      </c>
      <c r="X32" s="61" t="n">
        <f aca="false">+X31/W31</f>
        <v>1.03232327586207</v>
      </c>
      <c r="Y32" s="61" t="n">
        <f aca="false">+Y31/X31</f>
        <v>1.02787393162393</v>
      </c>
      <c r="Z32" s="62" t="n">
        <f aca="false">+Z31/Y31</f>
        <v>1.02785531914894</v>
      </c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5"/>
    </row>
    <row r="33" customFormat="false" ht="13.5" hidden="false" customHeight="false" outlineLevel="0" collapsed="false">
      <c r="A33" s="2"/>
      <c r="B33" s="3"/>
      <c r="C33" s="3"/>
      <c r="D33" s="3"/>
      <c r="E33" s="3"/>
      <c r="F33" s="3"/>
      <c r="G33" s="14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9"/>
      <c r="S33" s="59"/>
      <c r="T33" s="59"/>
      <c r="U33" s="59"/>
      <c r="V33" s="59"/>
      <c r="W33" s="59"/>
      <c r="X33" s="59"/>
      <c r="Y33" s="63" t="s">
        <v>33</v>
      </c>
      <c r="Z33" s="64" t="n">
        <f aca="false">AVERAGE(U32:Z32)</f>
        <v>1.02899581564142</v>
      </c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5"/>
    </row>
    <row r="34" customFormat="false" ht="12.75" hidden="false" customHeight="false" outlineLevel="0" collapsed="false">
      <c r="A34" s="2"/>
      <c r="B34" s="3"/>
      <c r="C34" s="3"/>
      <c r="D34" s="3"/>
      <c r="E34" s="3"/>
      <c r="F34" s="3"/>
      <c r="G34" s="14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9"/>
      <c r="S34" s="59"/>
      <c r="T34" s="59"/>
      <c r="U34" s="59"/>
      <c r="V34" s="59"/>
      <c r="W34" s="59"/>
      <c r="X34" s="59"/>
      <c r="Y34" s="59"/>
      <c r="Z34" s="59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5"/>
    </row>
    <row r="35" customFormat="false" ht="12.75" hidden="false" customHeight="false" outlineLevel="0" collapsed="false">
      <c r="A35" s="48" t="str">
        <f aca="false">IF($E$18="Enron",+A36,IF(+$E$18="Pace",+A37,"Error"))</f>
        <v>Market Price - ERCOT 7x24 w/Wheeling (Pace)</v>
      </c>
      <c r="B35" s="3"/>
      <c r="C35" s="3"/>
      <c r="D35" s="3"/>
      <c r="E35" s="3"/>
      <c r="F35" s="3"/>
      <c r="G35" s="14" t="s">
        <v>28</v>
      </c>
      <c r="H35" s="65" t="n">
        <f aca="false">IF($E$18="Brazos",+H36,IF(+$E$18="Pace",+H37,"Error"))</f>
        <v>37.2423670454243</v>
      </c>
      <c r="I35" s="65" t="n">
        <f aca="false">IF($E$18="Brazos",+I36,IF(+$E$18="Pace",+I37,"Error"))</f>
        <v>31.1137307039562</v>
      </c>
      <c r="J35" s="65" t="n">
        <f aca="false">IF($E$18="Brazos",+J36,IF(+$E$18="Pace",+J37,"Error"))</f>
        <v>29.9517717068529</v>
      </c>
      <c r="K35" s="65" t="n">
        <f aca="false">IF($E$18="Brazos",+K36,IF(+$E$18="Pace",+K37,"Error"))</f>
        <v>31.5234122576721</v>
      </c>
      <c r="L35" s="65" t="n">
        <f aca="false">IF($E$18="Brazos",+L36,IF(+$E$18="Pace",+L37,"Error"))</f>
        <v>33.9352290994459</v>
      </c>
      <c r="M35" s="65" t="n">
        <f aca="false">IF($E$18="Brazos",+M36,IF(+$E$18="Pace",+M37,"Error"))</f>
        <v>35.0920720145232</v>
      </c>
      <c r="N35" s="65" t="n">
        <f aca="false">IF($E$18="Brazos",+N36,IF(+$E$18="Pace",+N37,"Error"))</f>
        <v>36.9136048518082</v>
      </c>
      <c r="O35" s="65" t="n">
        <f aca="false">IF($E$18="Brazos",+O36,IF(+$E$18="Pace",+O37,"Error"))</f>
        <v>39.7324111725473</v>
      </c>
      <c r="P35" s="65" t="n">
        <f aca="false">IF($E$18="Brazos",+P36,IF(+$E$18="Pace",+P37,"Error"))</f>
        <v>40.6123890685507</v>
      </c>
      <c r="Q35" s="65" t="n">
        <f aca="false">IF($E$18="Brazos",+Q36,IF(+$E$18="Pace",+Q37,"Error"))</f>
        <v>41.6594005260721</v>
      </c>
      <c r="R35" s="65" t="n">
        <f aca="false">IF($E$18="Brazos",+R36,IF(+$E$18="Pace",+R37,"Error"))</f>
        <v>42.8868506404742</v>
      </c>
      <c r="S35" s="65" t="n">
        <f aca="false">IF($E$18="Brazos",+S36,IF(+$E$18="Pace",+S37,"Error"))</f>
        <v>43.641232880531</v>
      </c>
      <c r="T35" s="65" t="n">
        <f aca="false">IF($E$18="Brazos",+T36,IF(+$E$18="Pace",+T37,"Error"))</f>
        <v>44.6007220265115</v>
      </c>
      <c r="U35" s="65" t="n">
        <f aca="false">IF($E$18="Brazos",+U36,IF(+$E$18="Pace",+U37,"Error"))</f>
        <v>46.4373350596128</v>
      </c>
      <c r="V35" s="65" t="n">
        <f aca="false">IF($E$18="Brazos",+V36,IF(+$E$18="Pace",+V37,"Error"))</f>
        <v>45.1347102125821</v>
      </c>
      <c r="W35" s="65" t="n">
        <f aca="false">IF($E$18="Brazos",+W36,IF(+$E$18="Pace",+W37,"Error"))</f>
        <v>45.9807034805413</v>
      </c>
      <c r="X35" s="65" t="n">
        <f aca="false">IF($E$18="Brazos",+X36,IF(+$E$18="Pace",+X37,"Error"))</f>
        <v>46.7193472960623</v>
      </c>
      <c r="Y35" s="65" t="n">
        <f aca="false">IF($E$18="Brazos",+Y36,IF(+$E$18="Pace",+Y37,"Error"))</f>
        <v>47.2915166305407</v>
      </c>
      <c r="Z35" s="65" t="n">
        <f aca="false">IF($E$18="Brazos",+Z36,IF(+$E$18="Pace",+Z37,"Error"))</f>
        <v>48.9167535870342</v>
      </c>
      <c r="AA35" s="65" t="n">
        <f aca="false">IF($E$18="Brazos",+AA36,IF(+$E$18="Pace",+AA37,"Error"))</f>
        <v>49.9124694194766</v>
      </c>
      <c r="AB35" s="65" t="n">
        <f aca="false">IF($E$18="Brazos",+AB36,IF(+$E$18="Pace",+AB37,"Error"))</f>
        <v>50.9284533593928</v>
      </c>
      <c r="AC35" s="65" t="n">
        <f aca="false">IF($E$18="Brazos",+AC36,IF(+$E$18="Pace",+AC37,"Error"))</f>
        <v>51.9651179704554</v>
      </c>
      <c r="AD35" s="65" t="n">
        <f aca="false">IF($E$18="Brazos",+AD36,IF(+$E$18="Pace",+AD37,"Error"))</f>
        <v>53.0228842141996</v>
      </c>
      <c r="AE35" s="65" t="n">
        <f aca="false">IF($E$18="Brazos",+AE36,IF(+$E$18="Pace",+AE37,"Error"))</f>
        <v>54.1021816209643</v>
      </c>
      <c r="AF35" s="65" t="n">
        <f aca="false">IF($E$18="Brazos",+AF36,IF(+$E$18="Pace",+AF37,"Error"))</f>
        <v>55.2034484643131</v>
      </c>
      <c r="AG35" s="65" t="n">
        <f aca="false">IF($E$18="Brazos",+AG36,IF(+$E$18="Pace",+AG37,"Error"))</f>
        <v>56.3271319390051</v>
      </c>
      <c r="AH35" s="65" t="n">
        <f aca="false">IF($E$18="Brazos",+AH36,IF(+$E$18="Pace",+AH37,"Error"))</f>
        <v>57.4736883425888</v>
      </c>
      <c r="AI35" s="65" t="n">
        <f aca="false">IF($E$18="Brazos",+AI36,IF(+$E$18="Pace",+AI37,"Error"))</f>
        <v>58.6435832606919</v>
      </c>
      <c r="AJ35" s="65" t="n">
        <f aca="false">IF($E$18="Brazos",+AJ36,IF(+$E$18="Pace",+AJ37,"Error"))</f>
        <v>59.8372917560835</v>
      </c>
      <c r="AK35" s="65" t="n">
        <f aca="false">IF($E$18="Brazos",+AK36,IF(+$E$18="Pace",+AK37,"Error"))</f>
        <v>61.0552985615841</v>
      </c>
      <c r="AL35" s="65" t="n">
        <f aca="false">IF($E$18="Brazos",+AL36,IF(+$E$18="Pace",+AL37,"Error"))</f>
        <v>62.2980982769024</v>
      </c>
      <c r="AM35" s="65" t="n">
        <f aca="false">IF($E$18="Brazos",+AM36,IF(+$E$18="Pace",+AM37,"Error"))</f>
        <v>63.5661955694791</v>
      </c>
      <c r="AN35" s="65" t="n">
        <f aca="false">IF($E$18="Brazos",+AN36,IF(+$E$18="Pace",+AN37,"Error"))</f>
        <v>64.8601053794186</v>
      </c>
      <c r="AO35" s="65" t="n">
        <f aca="false">IF($E$18="Brazos",+AO36,IF(+$E$18="Pace",+AO37,"Error"))</f>
        <v>66.1803531285923</v>
      </c>
      <c r="AP35" s="65" t="n">
        <f aca="false">IF($E$18="Brazos",+AP36,IF(+$E$18="Pace",+AP37,"Error"))</f>
        <v>67.5274749339983</v>
      </c>
      <c r="AQ35" s="65" t="n">
        <f aca="false">IF($E$18="Brazos",+AQ36,IF(+$E$18="Pace",+AQ37,"Error"))</f>
        <v>68.9020178254639</v>
      </c>
      <c r="AR35" s="25"/>
    </row>
    <row r="36" customFormat="false" ht="12.75" hidden="false" customHeight="false" outlineLevel="0" collapsed="false">
      <c r="A36" s="66" t="s">
        <v>34</v>
      </c>
      <c r="B36" s="14"/>
      <c r="C36" s="3"/>
      <c r="D36" s="3"/>
      <c r="E36" s="3"/>
      <c r="F36" s="3"/>
      <c r="G36" s="14" t="s">
        <v>28</v>
      </c>
      <c r="H36" s="67" t="n">
        <v>37.2423670454243</v>
      </c>
      <c r="I36" s="67" t="n">
        <v>31.1137307039562</v>
      </c>
      <c r="J36" s="67" t="n">
        <v>29.9517717068529</v>
      </c>
      <c r="K36" s="67" t="n">
        <v>31.5234122576721</v>
      </c>
      <c r="L36" s="67" t="n">
        <v>33.9352290994459</v>
      </c>
      <c r="M36" s="67" t="n">
        <v>35.0920720145232</v>
      </c>
      <c r="N36" s="67" t="n">
        <v>36.9136048518082</v>
      </c>
      <c r="O36" s="67" t="n">
        <v>39.7324111725473</v>
      </c>
      <c r="P36" s="67" t="n">
        <v>40.6123890685507</v>
      </c>
      <c r="Q36" s="67" t="n">
        <v>41.6594005260721</v>
      </c>
      <c r="R36" s="67" t="n">
        <v>42.8868506404742</v>
      </c>
      <c r="S36" s="67" t="n">
        <v>43.641232880531</v>
      </c>
      <c r="T36" s="67" t="n">
        <v>44.6007220265115</v>
      </c>
      <c r="U36" s="67" t="n">
        <v>46.4373350596128</v>
      </c>
      <c r="V36" s="67" t="n">
        <v>45.1347102125821</v>
      </c>
      <c r="W36" s="67" t="n">
        <v>45.9807034805413</v>
      </c>
      <c r="X36" s="67" t="n">
        <v>46.7193472960623</v>
      </c>
      <c r="Y36" s="67" t="n">
        <v>47.2915166305407</v>
      </c>
      <c r="Z36" s="67" t="n">
        <v>48.9167535870342</v>
      </c>
      <c r="AA36" s="57" t="n">
        <f aca="false">+AA37</f>
        <v>49.9124694194766</v>
      </c>
      <c r="AB36" s="57" t="n">
        <f aca="false">+AB37</f>
        <v>50.9284533593928</v>
      </c>
      <c r="AC36" s="57" t="n">
        <f aca="false">+AC37</f>
        <v>51.9651179704554</v>
      </c>
      <c r="AD36" s="57" t="n">
        <f aca="false">+AD37</f>
        <v>53.0228842141996</v>
      </c>
      <c r="AE36" s="57" t="n">
        <f aca="false">+AE37</f>
        <v>54.1021816209643</v>
      </c>
      <c r="AF36" s="57" t="n">
        <f aca="false">+AF37</f>
        <v>55.2034484643131</v>
      </c>
      <c r="AG36" s="57" t="n">
        <f aca="false">+AG37</f>
        <v>56.3271319390051</v>
      </c>
      <c r="AH36" s="57" t="n">
        <f aca="false">+AH37</f>
        <v>57.4736883425888</v>
      </c>
      <c r="AI36" s="57" t="n">
        <f aca="false">+AI37</f>
        <v>58.6435832606919</v>
      </c>
      <c r="AJ36" s="57" t="n">
        <f aca="false">+AJ37</f>
        <v>59.8372917560835</v>
      </c>
      <c r="AK36" s="57" t="n">
        <f aca="false">+AK37</f>
        <v>61.0552985615841</v>
      </c>
      <c r="AL36" s="57" t="n">
        <f aca="false">+AL37</f>
        <v>62.2980982769024</v>
      </c>
      <c r="AM36" s="57" t="n">
        <f aca="false">+AM37</f>
        <v>63.5661955694791</v>
      </c>
      <c r="AN36" s="57" t="n">
        <f aca="false">+AN37</f>
        <v>64.8601053794186</v>
      </c>
      <c r="AO36" s="57" t="n">
        <f aca="false">+AO37</f>
        <v>66.1803531285923</v>
      </c>
      <c r="AP36" s="57" t="n">
        <f aca="false">+AP37</f>
        <v>67.5274749339983</v>
      </c>
      <c r="AQ36" s="57" t="n">
        <f aca="false">+AQ37</f>
        <v>68.9020178254639</v>
      </c>
      <c r="AR36" s="25"/>
    </row>
    <row r="37" customFormat="false" ht="13.5" hidden="false" customHeight="false" outlineLevel="0" collapsed="false">
      <c r="A37" s="66" t="s">
        <v>35</v>
      </c>
      <c r="B37" s="14"/>
      <c r="C37" s="3"/>
      <c r="D37" s="3"/>
      <c r="E37" s="3"/>
      <c r="F37" s="3"/>
      <c r="G37" s="14" t="s">
        <v>28</v>
      </c>
      <c r="H37" s="56" t="n">
        <f aca="false">++'PACE ERCOT Power Pricing'!$I$12</f>
        <v>37.2423670454243</v>
      </c>
      <c r="I37" s="56" t="n">
        <f aca="false">++'PACE ERCOT Power Pricing'!$I$13</f>
        <v>31.1137307039562</v>
      </c>
      <c r="J37" s="56" t="n">
        <f aca="false">++'PACE ERCOT Power Pricing'!$I$14</f>
        <v>29.9517717068529</v>
      </c>
      <c r="K37" s="56" t="n">
        <f aca="false">++'PACE ERCOT Power Pricing'!$I$15</f>
        <v>31.5234122576721</v>
      </c>
      <c r="L37" s="56" t="n">
        <f aca="false">++'PACE ERCOT Power Pricing'!$I$16</f>
        <v>33.9352290994459</v>
      </c>
      <c r="M37" s="56" t="n">
        <f aca="false">++'PACE ERCOT Power Pricing'!$I$17</f>
        <v>35.0920720145232</v>
      </c>
      <c r="N37" s="56" t="n">
        <f aca="false">++'PACE ERCOT Power Pricing'!$I$18</f>
        <v>36.9136048518082</v>
      </c>
      <c r="O37" s="56" t="n">
        <f aca="false">++'PACE ERCOT Power Pricing'!$I$19</f>
        <v>39.7324111725473</v>
      </c>
      <c r="P37" s="56" t="n">
        <f aca="false">++'PACE ERCOT Power Pricing'!$I$20</f>
        <v>40.6123890685507</v>
      </c>
      <c r="Q37" s="56" t="n">
        <f aca="false">++'PACE ERCOT Power Pricing'!$I$21</f>
        <v>41.6594005260721</v>
      </c>
      <c r="R37" s="56" t="n">
        <f aca="false">++'PACE ERCOT Power Pricing'!$I$22</f>
        <v>42.8868506404742</v>
      </c>
      <c r="S37" s="56" t="n">
        <f aca="false">++'PACE ERCOT Power Pricing'!$I$23</f>
        <v>43.641232880531</v>
      </c>
      <c r="T37" s="56" t="n">
        <f aca="false">++'PACE ERCOT Power Pricing'!$I$24</f>
        <v>44.6007220265115</v>
      </c>
      <c r="U37" s="56" t="n">
        <f aca="false">++'PACE ERCOT Power Pricing'!$I$25</f>
        <v>46.4373350596128</v>
      </c>
      <c r="V37" s="56" t="n">
        <f aca="false">++'PACE ERCOT Power Pricing'!$I$26</f>
        <v>45.1347102125821</v>
      </c>
      <c r="W37" s="56" t="n">
        <f aca="false">++'PACE ERCOT Power Pricing'!$I$27</f>
        <v>45.9807034805413</v>
      </c>
      <c r="X37" s="56" t="n">
        <f aca="false">++'PACE ERCOT Power Pricing'!$I$28</f>
        <v>46.7193472960623</v>
      </c>
      <c r="Y37" s="56" t="n">
        <f aca="false">++'PACE ERCOT Power Pricing'!$I$29</f>
        <v>47.2915166305407</v>
      </c>
      <c r="Z37" s="56" t="n">
        <f aca="false">++'PACE ERCOT Power Pricing'!$I$30</f>
        <v>48.9167535870342</v>
      </c>
      <c r="AA37" s="57" t="n">
        <f aca="false">+Z37*$Z$39</f>
        <v>49.9124694194766</v>
      </c>
      <c r="AB37" s="57" t="n">
        <f aca="false">+AA37*$Z$39</f>
        <v>50.9284533593928</v>
      </c>
      <c r="AC37" s="57" t="n">
        <f aca="false">+AB37*$Z$39</f>
        <v>51.9651179704554</v>
      </c>
      <c r="AD37" s="57" t="n">
        <f aca="false">+AC37*$Z$39</f>
        <v>53.0228842141996</v>
      </c>
      <c r="AE37" s="57" t="n">
        <f aca="false">+AD37*$Z$39</f>
        <v>54.1021816209643</v>
      </c>
      <c r="AF37" s="57" t="n">
        <f aca="false">+AE37*$Z$39</f>
        <v>55.2034484643131</v>
      </c>
      <c r="AG37" s="57" t="n">
        <f aca="false">+AF37*$Z$39</f>
        <v>56.3271319390051</v>
      </c>
      <c r="AH37" s="57" t="n">
        <f aca="false">+AG37*$Z$39</f>
        <v>57.4736883425888</v>
      </c>
      <c r="AI37" s="57" t="n">
        <f aca="false">+AH37*$Z$39</f>
        <v>58.6435832606919</v>
      </c>
      <c r="AJ37" s="57" t="n">
        <f aca="false">+AI37*$Z$39</f>
        <v>59.8372917560835</v>
      </c>
      <c r="AK37" s="57" t="n">
        <f aca="false">+AJ37*$Z$39</f>
        <v>61.0552985615841</v>
      </c>
      <c r="AL37" s="57" t="n">
        <f aca="false">+AK37*$Z$39</f>
        <v>62.2980982769024</v>
      </c>
      <c r="AM37" s="57" t="n">
        <f aca="false">+AL37*$Z$39</f>
        <v>63.5661955694791</v>
      </c>
      <c r="AN37" s="57" t="n">
        <f aca="false">+AM37*$Z$39</f>
        <v>64.8601053794186</v>
      </c>
      <c r="AO37" s="57" t="n">
        <f aca="false">+AN37*$Z$39</f>
        <v>66.1803531285923</v>
      </c>
      <c r="AP37" s="57" t="n">
        <f aca="false">+AO37*$Z$39</f>
        <v>67.5274749339983</v>
      </c>
      <c r="AQ37" s="57" t="n">
        <f aca="false">+AP37*$Z$39</f>
        <v>68.9020178254639</v>
      </c>
      <c r="AR37" s="25"/>
    </row>
    <row r="38" customFormat="false" ht="13.5" hidden="false" customHeight="false" outlineLevel="0" collapsed="false">
      <c r="A38" s="3"/>
      <c r="B38" s="46"/>
      <c r="C38" s="46"/>
      <c r="D38" s="46"/>
      <c r="E38" s="46"/>
      <c r="F38" s="46"/>
      <c r="G38" s="3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0" t="n">
        <f aca="false">+W37/V37</f>
        <v>1.01874373988388</v>
      </c>
      <c r="X38" s="61" t="n">
        <f aca="false">+X37/W37</f>
        <v>1.01606421302</v>
      </c>
      <c r="Y38" s="61" t="n">
        <f aca="false">+Y37/X37</f>
        <v>1.0122469462352</v>
      </c>
      <c r="Z38" s="62" t="n">
        <f aca="false">+Z37/Y37</f>
        <v>1.03436635304362</v>
      </c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5"/>
    </row>
    <row r="39" customFormat="false" ht="13.5" hidden="false" customHeight="false" outlineLevel="0" collapsed="false">
      <c r="A39" s="3"/>
      <c r="B39" s="46"/>
      <c r="C39" s="46"/>
      <c r="D39" s="46"/>
      <c r="E39" s="46"/>
      <c r="F39" s="46"/>
      <c r="G39" s="3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9"/>
      <c r="X39" s="3"/>
      <c r="Y39" s="63" t="s">
        <v>33</v>
      </c>
      <c r="Z39" s="64" t="n">
        <f aca="false">AVERAGE(U38:Z38)</f>
        <v>1.02035531304568</v>
      </c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5"/>
    </row>
    <row r="40" customFormat="false" ht="12.75" hidden="false" customHeight="false" outlineLevel="0" collapsed="false">
      <c r="A40" s="3"/>
      <c r="B40" s="46"/>
      <c r="C40" s="46"/>
      <c r="D40" s="46"/>
      <c r="E40" s="46"/>
      <c r="F40" s="46"/>
      <c r="G40" s="3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9"/>
      <c r="X40" s="3"/>
      <c r="Y40" s="3"/>
      <c r="Z40" s="3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5"/>
    </row>
    <row r="41" customFormat="false" ht="13.5" hidden="false" customHeight="false" outlineLevel="0" collapsed="false">
      <c r="A41" s="48" t="s">
        <v>36</v>
      </c>
      <c r="B41" s="46"/>
      <c r="C41" s="46"/>
      <c r="D41" s="46"/>
      <c r="E41" s="46"/>
      <c r="F41" s="46"/>
      <c r="G41" s="14" t="s">
        <v>28</v>
      </c>
      <c r="H41" s="67" t="n">
        <v>46.4175544178919</v>
      </c>
      <c r="I41" s="67" t="n">
        <v>40.8216040267261</v>
      </c>
      <c r="J41" s="67" t="n">
        <v>39.8645918254628</v>
      </c>
      <c r="K41" s="67" t="n">
        <v>38.946346757857</v>
      </c>
      <c r="L41" s="67" t="n">
        <v>39.7376165630694</v>
      </c>
      <c r="M41" s="67" t="n">
        <v>40.8566679527021</v>
      </c>
      <c r="N41" s="67" t="n">
        <v>42.278921070344</v>
      </c>
      <c r="O41" s="67" t="n">
        <v>43.7491682885255</v>
      </c>
      <c r="P41" s="67" t="n">
        <v>45.5195239440119</v>
      </c>
      <c r="Q41" s="67" t="n">
        <v>46.7117944573961</v>
      </c>
      <c r="R41" s="67" t="n">
        <v>48.1377912942522</v>
      </c>
      <c r="S41" s="67" t="n">
        <v>49.2906767058468</v>
      </c>
      <c r="T41" s="67" t="n">
        <v>50.2015537835105</v>
      </c>
      <c r="U41" s="67" t="n">
        <v>51.146403141387</v>
      </c>
      <c r="V41" s="67" t="n">
        <v>51.7078220750923</v>
      </c>
      <c r="W41" s="67" t="n">
        <v>51.994616913152</v>
      </c>
      <c r="X41" s="67" t="n">
        <v>52.2128949112274</v>
      </c>
      <c r="Y41" s="67" t="n">
        <v>52.3209248702718</v>
      </c>
      <c r="Z41" s="67" t="n">
        <v>51.7155331567939</v>
      </c>
      <c r="AA41" s="57" t="n">
        <f aca="false">+Z41*$Z$43</f>
        <v>51.7186726582661</v>
      </c>
      <c r="AB41" s="57" t="n">
        <f aca="false">+AA41*$Z$43</f>
        <v>51.7218123503284</v>
      </c>
      <c r="AC41" s="57" t="n">
        <f aca="false">+AB41*$Z$43</f>
        <v>51.7249522329925</v>
      </c>
      <c r="AD41" s="57" t="n">
        <f aca="false">+AC41*$Z$43</f>
        <v>51.7280923062697</v>
      </c>
      <c r="AE41" s="57" t="n">
        <f aca="false">+AD41*$Z$43</f>
        <v>51.7312325701718</v>
      </c>
      <c r="AF41" s="57" t="n">
        <f aca="false">+AE41*$Z$43</f>
        <v>51.7343730247103</v>
      </c>
      <c r="AG41" s="57" t="n">
        <f aca="false">+AF41*$Z$43</f>
        <v>51.7375136698968</v>
      </c>
      <c r="AH41" s="57" t="n">
        <f aca="false">+AG41*$Z$43</f>
        <v>51.7406545057428</v>
      </c>
      <c r="AI41" s="57" t="n">
        <f aca="false">+AH41*$Z$43</f>
        <v>51.74379553226</v>
      </c>
      <c r="AJ41" s="57" t="n">
        <f aca="false">+AI41*$Z$43</f>
        <v>51.7469367494598</v>
      </c>
      <c r="AK41" s="57" t="n">
        <f aca="false">+AJ41*$Z$43</f>
        <v>51.750078157354</v>
      </c>
      <c r="AL41" s="57" t="n">
        <f aca="false">+AK41*$Z$43</f>
        <v>51.7532197559539</v>
      </c>
      <c r="AM41" s="57" t="n">
        <f aca="false">+AL41*$Z$43</f>
        <v>51.7563615452713</v>
      </c>
      <c r="AN41" s="57" t="n">
        <f aca="false">+AM41*$Z$43</f>
        <v>51.7595035253177</v>
      </c>
      <c r="AO41" s="57" t="n">
        <f aca="false">+AN41*$Z$43</f>
        <v>51.7626456961047</v>
      </c>
      <c r="AP41" s="57" t="n">
        <f aca="false">+AO41*$Z$43</f>
        <v>51.7657880576439</v>
      </c>
      <c r="AQ41" s="57" t="n">
        <f aca="false">+AP41*$Z$43</f>
        <v>51.7689306099468</v>
      </c>
      <c r="AR41" s="25"/>
    </row>
    <row r="42" customFormat="false" ht="13.5" hidden="false" customHeight="false" outlineLevel="0" collapsed="false">
      <c r="A42" s="3"/>
      <c r="B42" s="46"/>
      <c r="C42" s="46"/>
      <c r="D42" s="46"/>
      <c r="E42" s="46"/>
      <c r="F42" s="46"/>
      <c r="G42" s="3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0" t="n">
        <f aca="false">+W41/V41</f>
        <v>1.00554644977395</v>
      </c>
      <c r="X42" s="61" t="n">
        <f aca="false">+X41/W41</f>
        <v>1.00419808839904</v>
      </c>
      <c r="Y42" s="61" t="n">
        <f aca="false">+Y41/X41</f>
        <v>1.0020690283354</v>
      </c>
      <c r="Z42" s="62" t="n">
        <f aca="false">+Z41/Y41</f>
        <v>0.988429262002174</v>
      </c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5"/>
    </row>
    <row r="43" customFormat="false" ht="13.5" hidden="false" customHeight="false" outlineLevel="0" collapsed="false">
      <c r="A43" s="3"/>
      <c r="B43" s="46"/>
      <c r="C43" s="46"/>
      <c r="D43" s="46"/>
      <c r="E43" s="46"/>
      <c r="F43" s="46"/>
      <c r="G43" s="3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9"/>
      <c r="X43" s="3"/>
      <c r="Y43" s="63" t="s">
        <v>33</v>
      </c>
      <c r="Z43" s="64" t="n">
        <f aca="false">AVERAGE(U42:Z42)</f>
        <v>1.00006070712764</v>
      </c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5"/>
    </row>
    <row r="44" customFormat="false" ht="12.75" hidden="false" customHeight="false" outlineLevel="0" collapsed="false">
      <c r="A44" s="3"/>
      <c r="B44" s="46"/>
      <c r="C44" s="46"/>
      <c r="D44" s="46"/>
      <c r="E44" s="46"/>
      <c r="F44" s="46"/>
      <c r="G44" s="3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9"/>
      <c r="X44" s="3"/>
      <c r="Y44" s="63"/>
      <c r="Z44" s="63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5"/>
    </row>
    <row r="45" customFormat="false" ht="13.5" hidden="false" customHeight="false" outlineLevel="0" collapsed="false">
      <c r="A45" s="48" t="s">
        <v>37</v>
      </c>
      <c r="B45" s="46"/>
      <c r="C45" s="46"/>
      <c r="D45" s="46"/>
      <c r="E45" s="46"/>
      <c r="F45" s="46"/>
      <c r="G45" s="14" t="s">
        <v>28</v>
      </c>
      <c r="H45" s="3"/>
      <c r="I45" s="70" t="n">
        <v>37.8776341941318</v>
      </c>
      <c r="J45" s="70" t="n">
        <v>33.984890272665</v>
      </c>
      <c r="K45" s="70" t="n">
        <v>35.9747391652236</v>
      </c>
      <c r="L45" s="70" t="n">
        <v>37.4969100277971</v>
      </c>
      <c r="M45" s="70" t="n">
        <v>39.2743617114797</v>
      </c>
      <c r="N45" s="70" t="n">
        <v>40.5747400635048</v>
      </c>
      <c r="O45" s="70" t="n">
        <v>42.2728495246652</v>
      </c>
      <c r="P45" s="70" t="n">
        <v>44.2436591653953</v>
      </c>
      <c r="Q45" s="70" t="n">
        <v>45.2539971862037</v>
      </c>
      <c r="R45" s="70" t="n">
        <v>46.4199759697527</v>
      </c>
      <c r="S45" s="70" t="n">
        <v>47.913584796226</v>
      </c>
      <c r="T45" s="70" t="n">
        <v>49.3112044707109</v>
      </c>
      <c r="U45" s="70" t="n">
        <v>50.6491965285702</v>
      </c>
      <c r="V45" s="70" t="n">
        <v>51.8476517817519</v>
      </c>
      <c r="W45" s="70" t="n">
        <v>53.2630080912818</v>
      </c>
      <c r="X45" s="70" t="n">
        <v>54.9145664880217</v>
      </c>
      <c r="Y45" s="70" t="n">
        <v>55.5118331979227</v>
      </c>
      <c r="Z45" s="70" t="n">
        <v>56.9818020954693</v>
      </c>
      <c r="AA45" s="70" t="n">
        <v>59.3996982010695</v>
      </c>
      <c r="AB45" s="57" t="n">
        <f aca="false">+AA45*$Z$47</f>
        <v>60.8202797704129</v>
      </c>
      <c r="AC45" s="57" t="n">
        <f aca="false">+AB45*$Z$47</f>
        <v>62.2748354516841</v>
      </c>
      <c r="AD45" s="57" t="n">
        <f aca="false">+AC45*$Z$47</f>
        <v>63.7641777573822</v>
      </c>
      <c r="AE45" s="57" t="n">
        <f aca="false">+AD45*$Z$47</f>
        <v>65.2891386317599</v>
      </c>
      <c r="AF45" s="57" t="n">
        <f aca="false">+AE45*$Z$47</f>
        <v>66.8505699155457</v>
      </c>
      <c r="AG45" s="57" t="n">
        <f aca="false">+AF45*$Z$47</f>
        <v>68.449343821781</v>
      </c>
      <c r="AH45" s="57" t="n">
        <f aca="false">+AG45*$Z$47</f>
        <v>70.0863534230372</v>
      </c>
      <c r="AI45" s="57" t="n">
        <f aca="false">+AH45*$Z$47</f>
        <v>71.7625131502841</v>
      </c>
      <c r="AJ45" s="57" t="n">
        <f aca="false">+AI45*$Z$47</f>
        <v>73.47875930369</v>
      </c>
      <c r="AK45" s="57" t="n">
        <f aca="false">+AJ45*$Z$47</f>
        <v>75.2360505756373</v>
      </c>
      <c r="AL45" s="57" t="n">
        <f aca="false">+AK45*$Z$47</f>
        <v>77.0353685862465</v>
      </c>
      <c r="AM45" s="57" t="n">
        <f aca="false">+AL45*$Z$47</f>
        <v>78.8777184317079</v>
      </c>
      <c r="AN45" s="57" t="n">
        <f aca="false">+AM45*$Z$47</f>
        <v>80.7641292457266</v>
      </c>
      <c r="AO45" s="57" t="n">
        <f aca="false">+AN45*$Z$47</f>
        <v>82.6956547743947</v>
      </c>
      <c r="AP45" s="57" t="n">
        <f aca="false">+AO45*$Z$47</f>
        <v>84.6733739648126</v>
      </c>
      <c r="AQ45" s="57" t="n">
        <f aca="false">+AP45*$Z$47</f>
        <v>86.698391567787</v>
      </c>
      <c r="AR45" s="25"/>
    </row>
    <row r="46" customFormat="false" ht="13.5" hidden="false" customHeight="false" outlineLevel="0" collapsed="false">
      <c r="A46" s="48"/>
      <c r="B46" s="46"/>
      <c r="C46" s="46"/>
      <c r="D46" s="46"/>
      <c r="E46" s="46"/>
      <c r="F46" s="46"/>
      <c r="G46" s="3"/>
      <c r="H46" s="3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60" t="n">
        <f aca="false">+W45/V45</f>
        <v>1.02729836860284</v>
      </c>
      <c r="X46" s="61" t="n">
        <f aca="false">+X45/W45</f>
        <v>1.03100760651575</v>
      </c>
      <c r="Y46" s="61" t="n">
        <f aca="false">+Y45/X45</f>
        <v>1.01087628926346</v>
      </c>
      <c r="Z46" s="62" t="n">
        <f aca="false">+Z45/Y45</f>
        <v>1.0264802802009</v>
      </c>
      <c r="AA46" s="72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5"/>
    </row>
    <row r="47" customFormat="false" ht="13.5" hidden="false" customHeight="false" outlineLevel="0" collapsed="false">
      <c r="A47" s="48"/>
      <c r="B47" s="46"/>
      <c r="C47" s="46"/>
      <c r="D47" s="46"/>
      <c r="E47" s="46"/>
      <c r="F47" s="46"/>
      <c r="G47" s="3"/>
      <c r="H47" s="3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69"/>
      <c r="X47" s="3"/>
      <c r="Y47" s="63" t="s">
        <v>33</v>
      </c>
      <c r="Z47" s="64" t="n">
        <f aca="false">AVERAGE(U46:Z46)</f>
        <v>1.02391563614574</v>
      </c>
      <c r="AA47" s="72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5"/>
    </row>
    <row r="48" customFormat="false" ht="12.75" hidden="false" customHeight="false" outlineLevel="0" collapsed="false">
      <c r="A48" s="48"/>
      <c r="B48" s="46"/>
      <c r="C48" s="46"/>
      <c r="D48" s="46"/>
      <c r="E48" s="46"/>
      <c r="F48" s="46"/>
      <c r="G48" s="3"/>
      <c r="H48" s="3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69"/>
      <c r="X48" s="3"/>
      <c r="Y48" s="63"/>
      <c r="Z48" s="63"/>
      <c r="AA48" s="72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5"/>
    </row>
    <row r="49" customFormat="false" ht="13.5" hidden="false" customHeight="false" outlineLevel="0" collapsed="false">
      <c r="A49" s="48" t="s">
        <v>38</v>
      </c>
      <c r="B49" s="46"/>
      <c r="C49" s="46"/>
      <c r="D49" s="46"/>
      <c r="E49" s="46"/>
      <c r="F49" s="46"/>
      <c r="G49" s="14" t="s">
        <v>28</v>
      </c>
      <c r="H49" s="70" t="n">
        <v>27.7192048075686</v>
      </c>
      <c r="I49" s="70" t="n">
        <v>33.1698036040557</v>
      </c>
      <c r="J49" s="70" t="n">
        <v>33.9589489185896</v>
      </c>
      <c r="K49" s="70" t="n">
        <v>35.9549898721545</v>
      </c>
      <c r="L49" s="70" t="n">
        <v>37.5049582992224</v>
      </c>
      <c r="M49" s="70" t="n">
        <v>39.2532410326566</v>
      </c>
      <c r="N49" s="70" t="n">
        <v>40.5860968864591</v>
      </c>
      <c r="O49" s="70" t="n">
        <v>42.2822286253937</v>
      </c>
      <c r="P49" s="70" t="n">
        <v>44.2213720110798</v>
      </c>
      <c r="Q49" s="70" t="n">
        <v>45.2653923446124</v>
      </c>
      <c r="R49" s="70" t="n">
        <v>46.3943943117239</v>
      </c>
      <c r="S49" s="70" t="n">
        <v>47.8886799837063</v>
      </c>
      <c r="T49" s="70" t="n">
        <v>49.3224133590117</v>
      </c>
      <c r="U49" s="70" t="n">
        <v>50.6227780867918</v>
      </c>
      <c r="V49" s="70" t="n">
        <v>51.8609256974683</v>
      </c>
      <c r="W49" s="70" t="n">
        <v>53.2751055573185</v>
      </c>
      <c r="X49" s="70" t="n">
        <v>54.8833630465793</v>
      </c>
      <c r="Y49" s="70" t="n">
        <v>55.5260904822863</v>
      </c>
      <c r="Z49" s="70" t="n">
        <v>56.9955519762345</v>
      </c>
      <c r="AA49" s="70" t="n">
        <v>59.366020831127</v>
      </c>
      <c r="AB49" s="57" t="n">
        <f aca="false">+AA49*$Z$47</f>
        <v>60.7857969847445</v>
      </c>
      <c r="AC49" s="57" t="n">
        <f aca="false">+AB49*$Z$47</f>
        <v>62.2395279882603</v>
      </c>
      <c r="AD49" s="57" t="n">
        <f aca="false">+AC49*$Z$47</f>
        <v>63.72802589351</v>
      </c>
      <c r="AE49" s="57" t="n">
        <f aca="false">+AD49*$Z$47</f>
        <v>65.2521221730653</v>
      </c>
      <c r="AF49" s="57" t="n">
        <f aca="false">+AE49*$Z$47</f>
        <v>66.8126681846936</v>
      </c>
      <c r="AG49" s="57" t="n">
        <f aca="false">+AF49*$Z$47</f>
        <v>68.4105356469246</v>
      </c>
      <c r="AH49" s="57" t="n">
        <f aca="false">+AG49*$Z$47</f>
        <v>70.0466171259914</v>
      </c>
      <c r="AI49" s="57" t="n">
        <f aca="false">+AH49*$Z$47</f>
        <v>71.7218265344164</v>
      </c>
      <c r="AJ49" s="57" t="n">
        <f aca="false">+AI49*$Z$47</f>
        <v>73.4370996415212</v>
      </c>
      <c r="AK49" s="57" t="n">
        <f aca="false">+AJ49*$Z$47</f>
        <v>75.1933945961461</v>
      </c>
      <c r="AL49" s="57" t="n">
        <f aca="false">+AK49*$Z$47</f>
        <v>76.9916924618703</v>
      </c>
      <c r="AM49" s="57" t="n">
        <f aca="false">+AL49*$Z$47</f>
        <v>78.8329977650329</v>
      </c>
      <c r="AN49" s="57" t="n">
        <f aca="false">+AM49*$Z$47</f>
        <v>80.7183390558592</v>
      </c>
      <c r="AO49" s="57" t="n">
        <f aca="false">+AN49*$Z$47</f>
        <v>82.6487694830074</v>
      </c>
      <c r="AP49" s="57" t="n">
        <f aca="false">+AO49*$Z$47</f>
        <v>84.6253673818559</v>
      </c>
      <c r="AQ49" s="57" t="n">
        <f aca="false">+AP49*$Z$47</f>
        <v>86.6492368768597</v>
      </c>
      <c r="AR49" s="25"/>
    </row>
    <row r="50" customFormat="false" ht="13.5" hidden="false" customHeight="false" outlineLevel="0" collapsed="false">
      <c r="A50" s="3"/>
      <c r="B50" s="46"/>
      <c r="C50" s="46"/>
      <c r="D50" s="46"/>
      <c r="E50" s="46"/>
      <c r="F50" s="46"/>
      <c r="G50" s="3"/>
      <c r="H50" s="3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60" t="n">
        <f aca="false">+W49/V49</f>
        <v>1.02726869682388</v>
      </c>
      <c r="X50" s="61" t="n">
        <f aca="false">+X49/W49</f>
        <v>1.03018778606699</v>
      </c>
      <c r="Y50" s="61" t="n">
        <f aca="false">+Y49/X49</f>
        <v>1.01171078811554</v>
      </c>
      <c r="Z50" s="62" t="n">
        <f aca="false">+Z49/Y49</f>
        <v>1.02646434281947</v>
      </c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25"/>
    </row>
    <row r="51" customFormat="false" ht="13.5" hidden="false" customHeight="false" outlineLevel="0" collapsed="false">
      <c r="A51" s="3"/>
      <c r="B51" s="46"/>
      <c r="C51" s="46"/>
      <c r="D51" s="46"/>
      <c r="E51" s="46"/>
      <c r="F51" s="46"/>
      <c r="G51" s="3"/>
      <c r="H51" s="3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69"/>
      <c r="X51" s="3"/>
      <c r="Y51" s="63" t="s">
        <v>33</v>
      </c>
      <c r="Z51" s="64" t="n">
        <f aca="false">AVERAGE(U50:Z50)</f>
        <v>1.02390790345647</v>
      </c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25"/>
    </row>
    <row r="52" customFormat="false" ht="12.75" hidden="false" customHeight="false" outlineLevel="0" collapsed="false">
      <c r="A52" s="3"/>
      <c r="B52" s="46"/>
      <c r="C52" s="46"/>
      <c r="D52" s="46"/>
      <c r="E52" s="46"/>
      <c r="F52" s="46"/>
      <c r="G52" s="3"/>
      <c r="H52" s="3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25"/>
    </row>
    <row r="53" customFormat="false" ht="12.75" hidden="false" customHeight="false" outlineLevel="0" collapsed="false">
      <c r="A53" s="3"/>
      <c r="B53" s="46"/>
      <c r="C53" s="46"/>
      <c r="D53" s="46"/>
      <c r="E53" s="46"/>
      <c r="F53" s="46"/>
      <c r="G53" s="3"/>
      <c r="H53" s="3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25"/>
    </row>
    <row r="54" customFormat="false" ht="12.75" hidden="false" customHeight="false" outlineLevel="0" collapsed="false">
      <c r="A54" s="48" t="s">
        <v>39</v>
      </c>
      <c r="B54" s="46"/>
      <c r="C54" s="46"/>
      <c r="D54" s="46"/>
      <c r="E54" s="46"/>
      <c r="F54" s="46"/>
      <c r="G54" s="3"/>
      <c r="H54" s="73" t="n">
        <f aca="false">+'PACE CPI (1998=100)'!$C$6</f>
        <v>0.0272579719900865</v>
      </c>
      <c r="I54" s="68" t="n">
        <f aca="false">+'PACE CPI (1998=100)'!$C$6</f>
        <v>0.0272579719900865</v>
      </c>
      <c r="J54" s="68" t="n">
        <f aca="false">+'PACE CPI (1998=100)'!$C$6</f>
        <v>0.0272579719900865</v>
      </c>
      <c r="K54" s="68" t="n">
        <f aca="false">+'PACE CPI (1998=100)'!$C$6</f>
        <v>0.0272579719900865</v>
      </c>
      <c r="L54" s="68" t="n">
        <f aca="false">+'PACE CPI (1998=100)'!$C$6</f>
        <v>0.0272579719900865</v>
      </c>
      <c r="M54" s="68" t="n">
        <f aca="false">+'PACE CPI (1998=100)'!$C$6</f>
        <v>0.0272579719900865</v>
      </c>
      <c r="N54" s="68" t="n">
        <f aca="false">+'PACE CPI (1998=100)'!$C$6</f>
        <v>0.0272579719900865</v>
      </c>
      <c r="O54" s="68" t="n">
        <f aca="false">+'PACE CPI (1998=100)'!$C$6</f>
        <v>0.0272579719900865</v>
      </c>
      <c r="P54" s="68" t="n">
        <f aca="false">+'PACE CPI (1998=100)'!$C$6</f>
        <v>0.0272579719900865</v>
      </c>
      <c r="Q54" s="68" t="n">
        <f aca="false">+'PACE CPI (1998=100)'!$C$6</f>
        <v>0.0272579719900865</v>
      </c>
      <c r="R54" s="68" t="n">
        <f aca="false">+'PACE CPI (1998=100)'!$C$6</f>
        <v>0.0272579719900865</v>
      </c>
      <c r="S54" s="68" t="n">
        <f aca="false">+'PACE CPI (1998=100)'!$C$6</f>
        <v>0.0272579719900865</v>
      </c>
      <c r="T54" s="68" t="n">
        <f aca="false">+'PACE CPI (1998=100)'!$C$6</f>
        <v>0.0272579719900865</v>
      </c>
      <c r="U54" s="68" t="n">
        <f aca="false">+'PACE CPI (1998=100)'!$C$6</f>
        <v>0.0272579719900865</v>
      </c>
      <c r="V54" s="68" t="n">
        <f aca="false">+'PACE CPI (1998=100)'!$C$6</f>
        <v>0.0272579719900865</v>
      </c>
      <c r="W54" s="68" t="n">
        <f aca="false">+'PACE CPI (1998=100)'!$C$6</f>
        <v>0.0272579719900865</v>
      </c>
      <c r="X54" s="68" t="n">
        <f aca="false">+'PACE CPI (1998=100)'!$C$6</f>
        <v>0.0272579719900865</v>
      </c>
      <c r="Y54" s="68" t="n">
        <f aca="false">+'PACE CPI (1998=100)'!$C$6</f>
        <v>0.0272579719900865</v>
      </c>
      <c r="Z54" s="68" t="n">
        <f aca="false">+'PACE CPI (1998=100)'!$C$6</f>
        <v>0.0272579719900865</v>
      </c>
      <c r="AA54" s="74" t="n">
        <f aca="false">+'PACE CPI (1998=100)'!$C$6</f>
        <v>0.0272579719900865</v>
      </c>
      <c r="AB54" s="74" t="n">
        <f aca="false">+'PACE CPI (1998=100)'!$C$6</f>
        <v>0.0272579719900865</v>
      </c>
      <c r="AC54" s="74" t="n">
        <f aca="false">+'PACE CPI (1998=100)'!$C$6</f>
        <v>0.0272579719900865</v>
      </c>
      <c r="AD54" s="74" t="n">
        <f aca="false">+'PACE CPI (1998=100)'!$C$6</f>
        <v>0.0272579719900865</v>
      </c>
      <c r="AE54" s="74" t="n">
        <f aca="false">+'PACE CPI (1998=100)'!$C$6</f>
        <v>0.0272579719900865</v>
      </c>
      <c r="AF54" s="74" t="n">
        <f aca="false">+'PACE CPI (1998=100)'!$C$6</f>
        <v>0.0272579719900865</v>
      </c>
      <c r="AG54" s="74" t="n">
        <f aca="false">+'PACE CPI (1998=100)'!$C$6</f>
        <v>0.0272579719900865</v>
      </c>
      <c r="AH54" s="74" t="n">
        <f aca="false">+'PACE CPI (1998=100)'!$C$6</f>
        <v>0.0272579719900865</v>
      </c>
      <c r="AI54" s="74" t="n">
        <f aca="false">+'PACE CPI (1998=100)'!$C$6</f>
        <v>0.0272579719900865</v>
      </c>
      <c r="AJ54" s="74" t="n">
        <f aca="false">+'PACE CPI (1998=100)'!$C$6</f>
        <v>0.0272579719900865</v>
      </c>
      <c r="AK54" s="74" t="n">
        <f aca="false">+'PACE CPI (1998=100)'!$C$6</f>
        <v>0.0272579719900865</v>
      </c>
      <c r="AL54" s="74" t="n">
        <f aca="false">+'PACE CPI (1998=100)'!$C$6</f>
        <v>0.0272579719900865</v>
      </c>
      <c r="AM54" s="74" t="n">
        <f aca="false">+'PACE CPI (1998=100)'!$C$6</f>
        <v>0.0272579719900865</v>
      </c>
      <c r="AN54" s="74" t="n">
        <f aca="false">+'PACE CPI (1998=100)'!$C$6</f>
        <v>0.0272579719900865</v>
      </c>
      <c r="AO54" s="74" t="n">
        <f aca="false">+'PACE CPI (1998=100)'!$C$6</f>
        <v>0.0272579719900865</v>
      </c>
      <c r="AP54" s="74" t="n">
        <f aca="false">+'PACE CPI (1998=100)'!$C$6</f>
        <v>0.0272579719900865</v>
      </c>
      <c r="AQ54" s="74" t="n">
        <f aca="false">+'PACE CPI (1998=100)'!$C$6</f>
        <v>0.0272579719900865</v>
      </c>
      <c r="AR54" s="25"/>
    </row>
    <row r="55" customFormat="false" ht="12.75" hidden="false" customHeight="false" outlineLevel="0" collapsed="false">
      <c r="A55" s="3"/>
      <c r="B55" s="46"/>
      <c r="C55" s="46"/>
      <c r="D55" s="46"/>
      <c r="E55" s="46"/>
      <c r="F55" s="46"/>
      <c r="G55" s="3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9"/>
      <c r="X55" s="3"/>
      <c r="Y55" s="3"/>
      <c r="Z55" s="3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5"/>
    </row>
    <row r="56" customFormat="false" ht="12.75" hidden="false" customHeight="false" outlineLevel="0" collapsed="false">
      <c r="A56" s="3" t="s">
        <v>40</v>
      </c>
      <c r="B56" s="46"/>
      <c r="C56" s="46"/>
      <c r="D56" s="46"/>
      <c r="E56" s="46"/>
      <c r="F56" s="46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5"/>
    </row>
    <row r="57" customFormat="false" ht="12.75" hidden="false" customHeight="false" outlineLevel="0" collapsed="false">
      <c r="A57" s="2"/>
      <c r="B57" s="3"/>
      <c r="C57" s="3"/>
      <c r="D57" s="3"/>
      <c r="E57" s="3"/>
      <c r="F57" s="3"/>
      <c r="G57" s="14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5"/>
    </row>
    <row r="58" customFormat="false" ht="16.5" hidden="false" customHeight="false" outlineLevel="0" collapsed="false">
      <c r="A58" s="23"/>
      <c r="B58" s="2"/>
      <c r="C58" s="2"/>
      <c r="D58" s="2"/>
      <c r="E58" s="2"/>
      <c r="F58" s="3"/>
      <c r="G58" s="14"/>
      <c r="H58" s="20" t="n">
        <f aca="false">+H$9</f>
        <v>2001</v>
      </c>
      <c r="I58" s="20" t="n">
        <f aca="false">+I$9</f>
        <v>2002</v>
      </c>
      <c r="J58" s="20" t="n">
        <f aca="false">+J$9</f>
        <v>2003</v>
      </c>
      <c r="K58" s="20" t="n">
        <f aca="false">+K$9</f>
        <v>2004</v>
      </c>
      <c r="L58" s="20" t="n">
        <f aca="false">+L$9</f>
        <v>2005</v>
      </c>
      <c r="M58" s="20" t="n">
        <f aca="false">+M$9</f>
        <v>2006</v>
      </c>
      <c r="N58" s="20" t="n">
        <f aca="false">+N$9</f>
        <v>2007</v>
      </c>
      <c r="O58" s="20" t="n">
        <f aca="false">+O$9</f>
        <v>2008</v>
      </c>
      <c r="P58" s="20" t="n">
        <f aca="false">+P$9</f>
        <v>2009</v>
      </c>
      <c r="Q58" s="20" t="n">
        <f aca="false">+Q$9</f>
        <v>2010</v>
      </c>
      <c r="R58" s="20" t="n">
        <f aca="false">+R$9</f>
        <v>2011</v>
      </c>
      <c r="S58" s="20" t="n">
        <f aca="false">+S$9</f>
        <v>2012</v>
      </c>
      <c r="T58" s="20" t="n">
        <f aca="false">+T$9</f>
        <v>2013</v>
      </c>
      <c r="U58" s="20" t="n">
        <f aca="false">+U$9</f>
        <v>2014</v>
      </c>
      <c r="V58" s="20" t="n">
        <f aca="false">+V$9</f>
        <v>2015</v>
      </c>
      <c r="W58" s="20" t="n">
        <f aca="false">+W$9</f>
        <v>2016</v>
      </c>
      <c r="X58" s="20" t="n">
        <f aca="false">+X$9</f>
        <v>2017</v>
      </c>
      <c r="Y58" s="20" t="n">
        <f aca="false">+Y$9</f>
        <v>2018</v>
      </c>
      <c r="Z58" s="20" t="n">
        <f aca="false">+Z$9</f>
        <v>2019</v>
      </c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5"/>
    </row>
    <row r="59" customFormat="false" ht="15.75" hidden="false" customHeight="false" outlineLevel="0" collapsed="false">
      <c r="A59" s="23" t="s">
        <v>41</v>
      </c>
      <c r="B59" s="2"/>
      <c r="C59" s="2"/>
      <c r="D59" s="2"/>
      <c r="E59" s="2"/>
      <c r="F59" s="3"/>
      <c r="G59" s="14"/>
      <c r="H59" s="3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5"/>
    </row>
    <row r="60" customFormat="false" ht="15.75" hidden="false" customHeight="false" outlineLevel="0" collapsed="false">
      <c r="A60" s="23"/>
      <c r="B60" s="2"/>
      <c r="C60" s="2"/>
      <c r="D60" s="2"/>
      <c r="E60" s="2"/>
      <c r="F60" s="3"/>
      <c r="G60" s="14"/>
      <c r="H60" s="3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5"/>
    </row>
    <row r="61" customFormat="false" ht="12.75" hidden="false" customHeight="false" outlineLevel="0" collapsed="false">
      <c r="A61" s="48"/>
      <c r="B61" s="48" t="s">
        <v>42</v>
      </c>
      <c r="C61" s="2"/>
      <c r="D61" s="2"/>
      <c r="E61" s="2"/>
      <c r="F61" s="3"/>
      <c r="G61" s="14"/>
      <c r="H61" s="3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5"/>
    </row>
    <row r="62" customFormat="false" ht="12.75" hidden="false" customHeight="false" outlineLevel="0" collapsed="false">
      <c r="A62" s="48"/>
      <c r="B62" s="2" t="s">
        <v>21</v>
      </c>
      <c r="C62" s="2"/>
      <c r="D62" s="2"/>
      <c r="E62" s="2"/>
      <c r="F62" s="3"/>
      <c r="G62" s="14" t="s">
        <v>22</v>
      </c>
      <c r="H62" s="76" t="n">
        <f aca="false">+H23</f>
        <v>258000</v>
      </c>
      <c r="I62" s="76" t="n">
        <f aca="false">+I23</f>
        <v>258000</v>
      </c>
      <c r="J62" s="76" t="n">
        <f aca="false">+J23</f>
        <v>258000</v>
      </c>
      <c r="K62" s="76" t="n">
        <f aca="false">+K23</f>
        <v>258000</v>
      </c>
      <c r="L62" s="76" t="n">
        <f aca="false">+L23</f>
        <v>258000</v>
      </c>
      <c r="M62" s="76" t="n">
        <f aca="false">+M23</f>
        <v>258000</v>
      </c>
      <c r="N62" s="76" t="n">
        <f aca="false">+N23</f>
        <v>258000</v>
      </c>
      <c r="O62" s="76" t="n">
        <f aca="false">+O23</f>
        <v>258000</v>
      </c>
      <c r="P62" s="76" t="n">
        <f aca="false">+P23</f>
        <v>258000</v>
      </c>
      <c r="Q62" s="76" t="n">
        <f aca="false">+Q23</f>
        <v>258000</v>
      </c>
      <c r="R62" s="76" t="n">
        <f aca="false">+R23</f>
        <v>258000</v>
      </c>
      <c r="S62" s="76" t="n">
        <f aca="false">+S23</f>
        <v>258000</v>
      </c>
      <c r="T62" s="76" t="n">
        <f aca="false">+T23</f>
        <v>258000</v>
      </c>
      <c r="U62" s="76" t="n">
        <f aca="false">+U23</f>
        <v>258000</v>
      </c>
      <c r="V62" s="76" t="n">
        <f aca="false">+V23</f>
        <v>258000</v>
      </c>
      <c r="W62" s="76" t="n">
        <f aca="false">+W23</f>
        <v>258000</v>
      </c>
      <c r="X62" s="76" t="n">
        <f aca="false">+X23</f>
        <v>258000</v>
      </c>
      <c r="Y62" s="76" t="n">
        <f aca="false">+Y23</f>
        <v>258000</v>
      </c>
      <c r="Z62" s="76" t="n">
        <f aca="false">+Z23</f>
        <v>258000</v>
      </c>
      <c r="AA62" s="77" t="n">
        <f aca="false">+AA23</f>
        <v>258000</v>
      </c>
      <c r="AB62" s="77" t="n">
        <f aca="false">+AB23</f>
        <v>258000</v>
      </c>
      <c r="AC62" s="77" t="n">
        <f aca="false">+AC23</f>
        <v>258000</v>
      </c>
      <c r="AD62" s="77" t="n">
        <f aca="false">+AD23</f>
        <v>258000</v>
      </c>
      <c r="AE62" s="77" t="n">
        <f aca="false">+AE23</f>
        <v>258000</v>
      </c>
      <c r="AF62" s="77" t="n">
        <f aca="false">+AF23</f>
        <v>258000</v>
      </c>
      <c r="AG62" s="77" t="n">
        <f aca="false">+AG23</f>
        <v>258000</v>
      </c>
      <c r="AH62" s="77" t="n">
        <f aca="false">+AH23</f>
        <v>258000</v>
      </c>
      <c r="AI62" s="77" t="n">
        <f aca="false">+AI23</f>
        <v>258000</v>
      </c>
      <c r="AJ62" s="77" t="n">
        <f aca="false">+AJ23</f>
        <v>258000</v>
      </c>
      <c r="AK62" s="77" t="n">
        <f aca="false">+AK23</f>
        <v>258000</v>
      </c>
      <c r="AL62" s="77" t="n">
        <f aca="false">+AL23</f>
        <v>258000</v>
      </c>
      <c r="AM62" s="77" t="n">
        <f aca="false">+AM23</f>
        <v>258000</v>
      </c>
      <c r="AN62" s="77" t="n">
        <f aca="false">+AN23</f>
        <v>258000</v>
      </c>
      <c r="AO62" s="77" t="n">
        <f aca="false">+AO23</f>
        <v>258000</v>
      </c>
      <c r="AP62" s="77" t="n">
        <f aca="false">+AP23</f>
        <v>258000</v>
      </c>
      <c r="AQ62" s="77" t="n">
        <f aca="false">+AQ23</f>
        <v>258000</v>
      </c>
      <c r="AR62" s="25"/>
    </row>
    <row r="63" customFormat="false" ht="13.5" hidden="false" customHeight="false" outlineLevel="0" collapsed="false">
      <c r="A63" s="48"/>
      <c r="B63" s="2" t="s">
        <v>43</v>
      </c>
      <c r="C63" s="2"/>
      <c r="D63" s="2"/>
      <c r="E63" s="2"/>
      <c r="F63" s="3"/>
      <c r="G63" s="14" t="s">
        <v>44</v>
      </c>
      <c r="H63" s="78" t="n">
        <v>15.6682170542636</v>
      </c>
      <c r="I63" s="78" t="n">
        <v>16.1516279069767</v>
      </c>
      <c r="J63" s="78" t="n">
        <v>16.7326808914729</v>
      </c>
      <c r="K63" s="78" t="n">
        <v>17.3190181007752</v>
      </c>
      <c r="L63" s="78" t="n">
        <v>17.8629974031008</v>
      </c>
      <c r="M63" s="78" t="n">
        <v>18.464618875969</v>
      </c>
      <c r="N63" s="78" t="n">
        <v>18.56</v>
      </c>
      <c r="O63" s="78" t="n">
        <v>19.03</v>
      </c>
      <c r="P63" s="78" t="n">
        <v>19.69</v>
      </c>
      <c r="Q63" s="78" t="n">
        <v>20.26</v>
      </c>
      <c r="R63" s="78" t="n">
        <v>20.86</v>
      </c>
      <c r="S63" s="78" t="n">
        <v>21.52</v>
      </c>
      <c r="T63" s="78" t="n">
        <v>21.96</v>
      </c>
      <c r="U63" s="78" t="n">
        <v>22.01</v>
      </c>
      <c r="V63" s="78" t="n">
        <v>22.21</v>
      </c>
      <c r="W63" s="78" t="n">
        <v>22.26</v>
      </c>
      <c r="X63" s="78" t="n">
        <v>23.13</v>
      </c>
      <c r="Y63" s="78" t="n">
        <v>23.58</v>
      </c>
      <c r="Z63" s="78" t="n">
        <v>24.07</v>
      </c>
      <c r="AA63" s="79" t="n">
        <f aca="false">+AA64*1000/(+AA62*12)</f>
        <v>4.68791917185573</v>
      </c>
      <c r="AB63" s="79" t="n">
        <f aca="false">+AB64*1000/(+AB62*12)</f>
        <v>4.34594925528319</v>
      </c>
      <c r="AC63" s="79" t="n">
        <f aca="false">+AC64*1000/(+AC62*12)</f>
        <v>5.50042728339973</v>
      </c>
      <c r="AD63" s="79" t="n">
        <f aca="false">+AD64*1000/(+AD62*12)</f>
        <v>4.53853675539056</v>
      </c>
      <c r="AE63" s="79" t="n">
        <f aca="false">+AE64*1000/(+AE62*12)</f>
        <v>4.61710384461861</v>
      </c>
      <c r="AF63" s="79" t="n">
        <f aca="false">+AF64*1000/(+AF62*12)</f>
        <v>7.13942411187194</v>
      </c>
      <c r="AG63" s="79" t="n">
        <f aca="false">+AG64*1000/(+AG62*12)</f>
        <v>4.80207335533892</v>
      </c>
      <c r="AH63" s="79" t="n">
        <f aca="false">+AH64*1000/(+AH62*12)</f>
        <v>4.45078203235899</v>
      </c>
      <c r="AI63" s="79" t="n">
        <f aca="false">+AI64*1000/(+AI62*12)</f>
        <v>5.6367287902291</v>
      </c>
      <c r="AJ63" s="79" t="n">
        <f aca="false">+AJ64*1000/(+AJ62*12)</f>
        <v>4.64861907714993</v>
      </c>
      <c r="AK63" s="79" t="n">
        <f aca="false">+AK64*1000/(+AK62*12)</f>
        <v>4.7293277458955</v>
      </c>
      <c r="AL63" s="79" t="n">
        <f aca="false">+AL64*1000/(+AL62*12)</f>
        <v>7.32040134834365</v>
      </c>
      <c r="AM63" s="79" t="n">
        <f aca="false">+AM64*1000/(+AM62*12)</f>
        <v>4.91933915035804</v>
      </c>
      <c r="AN63" s="79" t="n">
        <f aca="false">+AN64*1000/(+AN62*12)</f>
        <v>4.55847233833597</v>
      </c>
      <c r="AO63" s="79" t="n">
        <f aca="false">+AO64*1000/(+AO62*12)</f>
        <v>5.77674559971384</v>
      </c>
      <c r="AP63" s="79" t="n">
        <f aca="false">+AP64*1000/(+AP62*12)</f>
        <v>4.76170201975242</v>
      </c>
      <c r="AQ63" s="79" t="n">
        <f aca="false">+AQ64*1000/(+AQ62*12)</f>
        <v>4.84461064313002</v>
      </c>
      <c r="AR63" s="25"/>
    </row>
    <row r="64" customFormat="false" ht="12.75" hidden="false" customHeight="false" outlineLevel="0" collapsed="false">
      <c r="A64" s="2"/>
      <c r="B64" s="2" t="s">
        <v>42</v>
      </c>
      <c r="C64" s="2"/>
      <c r="D64" s="2"/>
      <c r="E64" s="2"/>
      <c r="F64" s="3"/>
      <c r="G64" s="3"/>
      <c r="H64" s="80" t="n">
        <f aca="false">+H62*H63*0.012</f>
        <v>48508.8</v>
      </c>
      <c r="I64" s="80" t="n">
        <f aca="false">+I62*I63*0.012</f>
        <v>50005.44</v>
      </c>
      <c r="J64" s="80" t="n">
        <f aca="false">+J62*J63*0.012</f>
        <v>51804.38004</v>
      </c>
      <c r="K64" s="80" t="n">
        <f aca="false">+K62*K63*0.012</f>
        <v>53619.68004</v>
      </c>
      <c r="L64" s="80" t="n">
        <f aca="false">+L62*L63*0.012</f>
        <v>55303.83996</v>
      </c>
      <c r="M64" s="80" t="n">
        <f aca="false">+M62*M63*0.012</f>
        <v>57166.46004</v>
      </c>
      <c r="N64" s="80" t="n">
        <f aca="false">+N62*N63*0.012</f>
        <v>57461.76</v>
      </c>
      <c r="O64" s="80" t="n">
        <f aca="false">+O62*O63*0.012</f>
        <v>58916.88</v>
      </c>
      <c r="P64" s="80" t="n">
        <f aca="false">+P62*P63*0.012</f>
        <v>60960.24</v>
      </c>
      <c r="Q64" s="80" t="n">
        <f aca="false">+Q62*Q63*0.012</f>
        <v>62724.96</v>
      </c>
      <c r="R64" s="80" t="n">
        <f aca="false">+R62*R63*0.012</f>
        <v>64582.56</v>
      </c>
      <c r="S64" s="80" t="n">
        <f aca="false">+S62*S63*0.012</f>
        <v>66625.92</v>
      </c>
      <c r="T64" s="80" t="n">
        <f aca="false">+T62*T63*0.012</f>
        <v>67988.16</v>
      </c>
      <c r="U64" s="80" t="n">
        <f aca="false">+U62*U63*0.012</f>
        <v>68142.96</v>
      </c>
      <c r="V64" s="80" t="n">
        <f aca="false">+V62*V63*0.012</f>
        <v>68762.16</v>
      </c>
      <c r="W64" s="80" t="n">
        <f aca="false">+W62*W63*0.012</f>
        <v>68916.96</v>
      </c>
      <c r="X64" s="80" t="n">
        <f aca="false">+X62*X63*0.012</f>
        <v>71610.48</v>
      </c>
      <c r="Y64" s="80" t="n">
        <f aca="false">+Y62*Y63*0.012</f>
        <v>73003.68</v>
      </c>
      <c r="Z64" s="80" t="n">
        <f aca="false">+Z62*Z63*0.012</f>
        <v>74520.72</v>
      </c>
      <c r="AA64" s="81" t="n">
        <f aca="false">AA167+(0.5*AA62*12/1000)</f>
        <v>14513.7977560653</v>
      </c>
      <c r="AB64" s="81" t="n">
        <f aca="false">AB167+(0.5*AB62*12/1000)</f>
        <v>13455.0588943567</v>
      </c>
      <c r="AC64" s="81" t="n">
        <f aca="false">AC167+(0.5*AC62*12/1000)</f>
        <v>17029.3228694056</v>
      </c>
      <c r="AD64" s="81" t="n">
        <f aca="false">AD167+(0.5*AD62*12/1000)</f>
        <v>14051.3097946892</v>
      </c>
      <c r="AE64" s="81" t="n">
        <f aca="false">AE167+(0.5*AE62*12/1000)</f>
        <v>14294.5535029392</v>
      </c>
      <c r="AF64" s="81" t="n">
        <f aca="false">AF167+(0.5*AF62*12/1000)</f>
        <v>22103.6570503555</v>
      </c>
      <c r="AG64" s="81" t="n">
        <f aca="false">AG167+(0.5*AG62*12/1000)</f>
        <v>14867.2191081293</v>
      </c>
      <c r="AH64" s="81" t="n">
        <f aca="false">AH167+(0.5*AH62*12/1000)</f>
        <v>13779.6211721834</v>
      </c>
      <c r="AI64" s="81" t="n">
        <f aca="false">AI167+(0.5*AI62*12/1000)</f>
        <v>17451.3123345493</v>
      </c>
      <c r="AJ64" s="81" t="n">
        <f aca="false">AJ167+(0.5*AJ62*12/1000)</f>
        <v>14392.1246628562</v>
      </c>
      <c r="AK64" s="81" t="n">
        <f aca="false">AK167+(0.5*AK62*12/1000)</f>
        <v>14641.9987012925</v>
      </c>
      <c r="AL64" s="81" t="n">
        <f aca="false">AL167+(0.5*AL62*12/1000)</f>
        <v>22663.962574472</v>
      </c>
      <c r="AM64" s="81" t="n">
        <f aca="false">AM167+(0.5*AM62*12/1000)</f>
        <v>15230.2740095085</v>
      </c>
      <c r="AN64" s="81" t="n">
        <f aca="false">AN167+(0.5*AN62*12/1000)</f>
        <v>14113.0303594882</v>
      </c>
      <c r="AO64" s="81" t="n">
        <f aca="false">AO167+(0.5*AO62*12/1000)</f>
        <v>17884.804376714</v>
      </c>
      <c r="AP64" s="81" t="n">
        <f aca="false">AP167+(0.5*AP62*12/1000)</f>
        <v>14742.2294531535</v>
      </c>
      <c r="AQ64" s="81" t="n">
        <f aca="false">AQ167+(0.5*AQ62*12/1000)</f>
        <v>14998.9145511305</v>
      </c>
      <c r="AR64" s="25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3"/>
      <c r="G65" s="3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5"/>
    </row>
    <row r="66" customFormat="false" ht="12.75" hidden="false" customHeight="false" outlineLevel="0" collapsed="false">
      <c r="A66" s="2"/>
      <c r="B66" s="48" t="s">
        <v>45</v>
      </c>
      <c r="C66" s="2"/>
      <c r="D66" s="2"/>
      <c r="E66" s="2"/>
      <c r="F66" s="3"/>
      <c r="G66" s="3"/>
      <c r="H66" s="83" t="s">
        <v>46</v>
      </c>
      <c r="I66" s="83"/>
      <c r="J66" s="83"/>
      <c r="K66" s="83"/>
      <c r="L66" s="83"/>
      <c r="M66" s="83"/>
      <c r="N66" s="84" t="s">
        <v>47</v>
      </c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5"/>
    </row>
    <row r="67" customFormat="false" ht="12.75" hidden="false" customHeight="false" outlineLevel="0" collapsed="false">
      <c r="A67" s="2"/>
      <c r="B67" s="2" t="s">
        <v>48</v>
      </c>
      <c r="C67" s="2"/>
      <c r="D67" s="2"/>
      <c r="E67" s="2"/>
      <c r="F67" s="3"/>
      <c r="G67" s="14" t="s">
        <v>28</v>
      </c>
      <c r="H67" s="70" t="n">
        <v>18.48</v>
      </c>
      <c r="I67" s="70" t="n">
        <v>18.95</v>
      </c>
      <c r="J67" s="70" t="n">
        <v>20.18</v>
      </c>
      <c r="K67" s="70" t="n">
        <v>21.37</v>
      </c>
      <c r="L67" s="70" t="n">
        <v>22.27</v>
      </c>
      <c r="M67" s="70" t="n">
        <v>23.59</v>
      </c>
      <c r="N67" s="85" t="n">
        <f aca="false">+N83</f>
        <v>22.2723636554293</v>
      </c>
      <c r="O67" s="85" t="n">
        <f aca="false">+O83</f>
        <v>22.9458229134124</v>
      </c>
      <c r="P67" s="85" t="n">
        <f aca="false">+P83</f>
        <v>23.2334062637914</v>
      </c>
      <c r="Q67" s="85" t="n">
        <f aca="false">+Q83</f>
        <v>23.8333158802088</v>
      </c>
      <c r="R67" s="85" t="n">
        <f aca="false">+R83</f>
        <v>24.5509288176547</v>
      </c>
      <c r="S67" s="85" t="n">
        <f aca="false">+S83</f>
        <v>25.2819386524369</v>
      </c>
      <c r="T67" s="85" t="n">
        <f aca="false">+T83</f>
        <v>26.1457750270448</v>
      </c>
      <c r="U67" s="85" t="n">
        <f aca="false">+U83</f>
        <v>26.9240362354332</v>
      </c>
      <c r="V67" s="85" t="n">
        <f aca="false">+V83</f>
        <v>27.3657604011821</v>
      </c>
      <c r="W67" s="85" t="n">
        <f aca="false">+W83</f>
        <v>28.23308644757</v>
      </c>
      <c r="X67" s="85" t="n">
        <f aca="false">+X83</f>
        <v>29.238105495144</v>
      </c>
      <c r="Y67" s="85" t="n">
        <f aca="false">+Y83</f>
        <v>30.1571804375245</v>
      </c>
      <c r="Z67" s="85" t="n">
        <f aca="false">+Z83</f>
        <v>31.1036911780475</v>
      </c>
      <c r="AA67" s="86" t="n">
        <f aca="false">+AA83</f>
        <v>30.6412865687943</v>
      </c>
      <c r="AB67" s="86" t="n">
        <f aca="false">+AB83</f>
        <v>31.5441042968325</v>
      </c>
      <c r="AC67" s="86" t="n">
        <f aca="false">+AC83</f>
        <v>32.4729870406583</v>
      </c>
      <c r="AD67" s="86" t="n">
        <f aca="false">+AD83</f>
        <v>33.4287385441677</v>
      </c>
      <c r="AE67" s="86" t="n">
        <f aca="false">+AE83</f>
        <v>34.4121882548414</v>
      </c>
      <c r="AF67" s="86" t="n">
        <f aca="false">+AF83</f>
        <v>35.4241921889604</v>
      </c>
      <c r="AG67" s="86" t="n">
        <f aca="false">+AG83</f>
        <v>36.4656338279047</v>
      </c>
      <c r="AH67" s="86" t="n">
        <f aca="false">+AH83</f>
        <v>37.5374250467365</v>
      </c>
      <c r="AI67" s="86" t="n">
        <f aca="false">+AI83</f>
        <v>38.640507076319</v>
      </c>
      <c r="AJ67" s="86" t="n">
        <f aca="false">+AJ83</f>
        <v>39.7758515002744</v>
      </c>
      <c r="AK67" s="86" t="n">
        <f aca="false">+AK83</f>
        <v>40.9444612881362</v>
      </c>
      <c r="AL67" s="86" t="n">
        <f aca="false">+AL83</f>
        <v>42.1473718661126</v>
      </c>
      <c r="AM67" s="86" t="n">
        <f aca="false">+AM83</f>
        <v>43.3856522269315</v>
      </c>
      <c r="AN67" s="86" t="n">
        <f aca="false">+AN83</f>
        <v>44.6604060803041</v>
      </c>
      <c r="AO67" s="86" t="n">
        <f aca="false">+AO83</f>
        <v>45.9727730456051</v>
      </c>
      <c r="AP67" s="86" t="n">
        <f aca="false">+AP83</f>
        <v>47.3239298884381</v>
      </c>
      <c r="AQ67" s="86" t="n">
        <f aca="false">+AQ83</f>
        <v>48.7150918028224</v>
      </c>
      <c r="AR67" s="25"/>
    </row>
    <row r="68" customFormat="false" ht="13.5" hidden="false" customHeight="false" outlineLevel="0" collapsed="false">
      <c r="A68" s="2"/>
      <c r="B68" s="2" t="s">
        <v>49</v>
      </c>
      <c r="C68" s="2"/>
      <c r="D68" s="2"/>
      <c r="E68" s="2"/>
      <c r="F68" s="3"/>
      <c r="G68" s="3" t="s">
        <v>25</v>
      </c>
      <c r="H68" s="87" t="n">
        <f aca="false">+H25</f>
        <v>1943668.8</v>
      </c>
      <c r="I68" s="87" t="n">
        <f aca="false">+I25</f>
        <v>1943668.8</v>
      </c>
      <c r="J68" s="87" t="n">
        <f aca="false">+J25</f>
        <v>1943668.8</v>
      </c>
      <c r="K68" s="87" t="n">
        <f aca="false">+K25</f>
        <v>1948993.92</v>
      </c>
      <c r="L68" s="87" t="n">
        <f aca="false">+L25</f>
        <v>1943668.8</v>
      </c>
      <c r="M68" s="87" t="n">
        <f aca="false">+M25</f>
        <v>1943668.8</v>
      </c>
      <c r="N68" s="87" t="n">
        <f aca="false">+N25</f>
        <v>1943668.8</v>
      </c>
      <c r="O68" s="87" t="n">
        <f aca="false">+O25</f>
        <v>1948993.92</v>
      </c>
      <c r="P68" s="87" t="n">
        <f aca="false">+P25</f>
        <v>1943668.8</v>
      </c>
      <c r="Q68" s="87" t="n">
        <f aca="false">+Q25</f>
        <v>1943668.8</v>
      </c>
      <c r="R68" s="87" t="n">
        <f aca="false">+R25</f>
        <v>1943668.8</v>
      </c>
      <c r="S68" s="87" t="n">
        <f aca="false">+S25</f>
        <v>1948993.92</v>
      </c>
      <c r="T68" s="87" t="n">
        <f aca="false">+T25</f>
        <v>1943668.8</v>
      </c>
      <c r="U68" s="87" t="n">
        <f aca="false">+U25</f>
        <v>1943668.8</v>
      </c>
      <c r="V68" s="87" t="n">
        <f aca="false">+V25</f>
        <v>1943668.8</v>
      </c>
      <c r="W68" s="87" t="n">
        <f aca="false">+W25</f>
        <v>1948993.92</v>
      </c>
      <c r="X68" s="87" t="n">
        <f aca="false">+X25</f>
        <v>1943668.8</v>
      </c>
      <c r="Y68" s="87" t="n">
        <f aca="false">+Y25</f>
        <v>1943668.8</v>
      </c>
      <c r="Z68" s="87" t="n">
        <f aca="false">+Z25</f>
        <v>1943668.8</v>
      </c>
      <c r="AA68" s="88" t="n">
        <f aca="false">+AA25</f>
        <v>1948993.92</v>
      </c>
      <c r="AB68" s="88" t="n">
        <f aca="false">+AB25</f>
        <v>1943668.8</v>
      </c>
      <c r="AC68" s="88" t="n">
        <f aca="false">+AC25</f>
        <v>1943668.8</v>
      </c>
      <c r="AD68" s="88" t="n">
        <f aca="false">+AD25</f>
        <v>1943668.8</v>
      </c>
      <c r="AE68" s="88" t="n">
        <f aca="false">+AE25</f>
        <v>1948993.92</v>
      </c>
      <c r="AF68" s="88" t="n">
        <f aca="false">+AF25</f>
        <v>1943668.8</v>
      </c>
      <c r="AG68" s="88" t="n">
        <f aca="false">+AG25</f>
        <v>1943668.8</v>
      </c>
      <c r="AH68" s="88" t="n">
        <f aca="false">+AH25</f>
        <v>1943668.8</v>
      </c>
      <c r="AI68" s="88" t="n">
        <f aca="false">+AI25</f>
        <v>1948993.92</v>
      </c>
      <c r="AJ68" s="88" t="n">
        <f aca="false">+AJ25</f>
        <v>1943668.8</v>
      </c>
      <c r="AK68" s="88" t="n">
        <f aca="false">+AK25</f>
        <v>1943668.8</v>
      </c>
      <c r="AL68" s="88" t="n">
        <f aca="false">+AL25</f>
        <v>1943668.8</v>
      </c>
      <c r="AM68" s="88" t="n">
        <f aca="false">+AM25</f>
        <v>1948993.92</v>
      </c>
      <c r="AN68" s="88" t="n">
        <f aca="false">+AN25</f>
        <v>1943668.8</v>
      </c>
      <c r="AO68" s="88" t="n">
        <f aca="false">+AO25</f>
        <v>1943668.8</v>
      </c>
      <c r="AP68" s="88" t="n">
        <f aca="false">+AP25</f>
        <v>1943668.8</v>
      </c>
      <c r="AQ68" s="88" t="n">
        <f aca="false">+AQ25</f>
        <v>1948993.92</v>
      </c>
      <c r="AR68" s="25"/>
    </row>
    <row r="69" customFormat="false" ht="12.75" hidden="false" customHeight="false" outlineLevel="0" collapsed="false">
      <c r="A69" s="2"/>
      <c r="B69" s="2" t="s">
        <v>45</v>
      </c>
      <c r="C69" s="2"/>
      <c r="D69" s="2"/>
      <c r="E69" s="2"/>
      <c r="F69" s="3"/>
      <c r="G69" s="3"/>
      <c r="H69" s="80" t="n">
        <f aca="false">+H67*H68/1000</f>
        <v>35918.999424</v>
      </c>
      <c r="I69" s="80" t="n">
        <f aca="false">+I67*I68/1000</f>
        <v>36832.52376</v>
      </c>
      <c r="J69" s="80" t="n">
        <f aca="false">+J67*J68/1000</f>
        <v>39223.236384</v>
      </c>
      <c r="K69" s="80" t="n">
        <f aca="false">+K67*K68/1000</f>
        <v>41650.0000704</v>
      </c>
      <c r="L69" s="80" t="n">
        <f aca="false">+L67*L68/1000</f>
        <v>43285.504176</v>
      </c>
      <c r="M69" s="80" t="n">
        <f aca="false">+M67*M68/1000</f>
        <v>45851.146992</v>
      </c>
      <c r="N69" s="80" t="n">
        <f aca="false">+N67*N68/1000</f>
        <v>43290.0983393119</v>
      </c>
      <c r="O69" s="80" t="n">
        <f aca="false">+O67*O68/1000</f>
        <v>44721.2693476375</v>
      </c>
      <c r="P69" s="80" t="n">
        <f aca="false">+P67*P68/1000</f>
        <v>45158.046872656</v>
      </c>
      <c r="Q69" s="80" t="n">
        <f aca="false">+Q67*Q68/1000</f>
        <v>46324.0724769065</v>
      </c>
      <c r="R69" s="80" t="n">
        <f aca="false">+R67*R68/1000</f>
        <v>47718.8743538964</v>
      </c>
      <c r="S69" s="80" t="n">
        <f aca="false">+S67*S68/1000</f>
        <v>49274.3447194124</v>
      </c>
      <c r="T69" s="80" t="n">
        <f aca="false">+T67*T68/1000</f>
        <v>50818.7271718862</v>
      </c>
      <c r="U69" s="80" t="n">
        <f aca="false">+U67*U68/1000</f>
        <v>52331.4092008811</v>
      </c>
      <c r="V69" s="80" t="n">
        <f aca="false">+V67*V68/1000</f>
        <v>53189.9746800531</v>
      </c>
      <c r="W69" s="80" t="n">
        <f aca="false">+W67*W68/1000</f>
        <v>55026.1138291484</v>
      </c>
      <c r="X69" s="80" t="n">
        <f aca="false">+X67*X68/1000</f>
        <v>56829.1934220199</v>
      </c>
      <c r="Y69" s="80" t="n">
        <f aca="false">+Y67*Y68/1000</f>
        <v>58615.5707123867</v>
      </c>
      <c r="Z69" s="80" t="n">
        <f aca="false">+Z67*Z68/1000</f>
        <v>60455.2741076062</v>
      </c>
      <c r="AA69" s="81" t="n">
        <f aca="false">+AA67*AA68/1000</f>
        <v>59719.6812235577</v>
      </c>
      <c r="AB69" s="81" t="n">
        <f aca="false">+AB67*AB68/1000</f>
        <v>61311.2913456992</v>
      </c>
      <c r="AC69" s="81" t="n">
        <f aca="false">+AC67*AC68/1000</f>
        <v>63116.731753732</v>
      </c>
      <c r="AD69" s="81" t="n">
        <f aca="false">+AD67*AD68/1000</f>
        <v>64974.3961316561</v>
      </c>
      <c r="AE69" s="81" t="n">
        <f aca="false">+AE67*AE68/1000</f>
        <v>67069.1456825812</v>
      </c>
      <c r="AF69" s="81" t="n">
        <f aca="false">+AF67*AF68/1000</f>
        <v>68852.8971228861</v>
      </c>
      <c r="AG69" s="81" t="n">
        <f aca="false">+AG67*AG68/1000</f>
        <v>70877.114743523</v>
      </c>
      <c r="AH69" s="81" t="n">
        <f aca="false">+AH67*AH68/1000</f>
        <v>72960.3218956802</v>
      </c>
      <c r="AI69" s="81" t="n">
        <f aca="false">+AI67*AI68/1000</f>
        <v>75310.1133574628</v>
      </c>
      <c r="AJ69" s="81" t="n">
        <f aca="false">+AJ67*AJ68/1000</f>
        <v>77311.0815545165</v>
      </c>
      <c r="AK69" s="81" t="n">
        <f aca="false">+AK67*AK68/1000</f>
        <v>79582.4719385582</v>
      </c>
      <c r="AL69" s="81" t="n">
        <f aca="false">+AL67*AL68/1000</f>
        <v>81920.5316981609</v>
      </c>
      <c r="AM69" s="81" t="n">
        <f aca="false">+AM67*AM68/1000</f>
        <v>84558.372405524</v>
      </c>
      <c r="AN69" s="81" t="n">
        <f aca="false">+AN67*AN68/1000</f>
        <v>86805.0378936173</v>
      </c>
      <c r="AO69" s="81" t="n">
        <f aca="false">+AO67*AO68/1000</f>
        <v>89355.8446182235</v>
      </c>
      <c r="AP69" s="81" t="n">
        <f aca="false">+AP67*AP68/1000</f>
        <v>91982.0460175445</v>
      </c>
      <c r="AQ69" s="81" t="n">
        <f aca="false">+AQ67*AQ68/1000</f>
        <v>94945.4177359427</v>
      </c>
      <c r="AR69" s="25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3"/>
      <c r="G70" s="3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  <c r="AA70" s="89"/>
      <c r="AB70" s="89"/>
      <c r="AC70" s="89"/>
      <c r="AD70" s="89"/>
      <c r="AE70" s="89"/>
      <c r="AF70" s="89"/>
      <c r="AG70" s="89"/>
      <c r="AH70" s="89"/>
      <c r="AI70" s="89"/>
      <c r="AJ70" s="89"/>
      <c r="AK70" s="89"/>
      <c r="AL70" s="89"/>
      <c r="AM70" s="89"/>
      <c r="AN70" s="89"/>
      <c r="AO70" s="89"/>
      <c r="AP70" s="89"/>
      <c r="AQ70" s="89"/>
      <c r="AR70" s="25"/>
    </row>
    <row r="71" customFormat="false" ht="12.75" hidden="false" customHeight="false" outlineLevel="0" collapsed="false">
      <c r="A71" s="2"/>
      <c r="B71" s="48" t="s">
        <v>50</v>
      </c>
      <c r="C71" s="2"/>
      <c r="D71" s="2"/>
      <c r="E71" s="2"/>
      <c r="F71" s="3"/>
      <c r="G71" s="3"/>
      <c r="H71" s="90" t="n">
        <v>0</v>
      </c>
      <c r="I71" s="90" t="n">
        <v>0</v>
      </c>
      <c r="J71" s="90" t="n">
        <v>0</v>
      </c>
      <c r="K71" s="90" t="n">
        <v>0</v>
      </c>
      <c r="L71" s="90" t="n">
        <v>0</v>
      </c>
      <c r="M71" s="90" t="n">
        <v>0</v>
      </c>
      <c r="N71" s="90" t="n">
        <v>0</v>
      </c>
      <c r="O71" s="90" t="n">
        <v>0</v>
      </c>
      <c r="P71" s="90" t="n">
        <v>0</v>
      </c>
      <c r="Q71" s="90" t="n">
        <v>0</v>
      </c>
      <c r="R71" s="90" t="n">
        <v>0</v>
      </c>
      <c r="S71" s="90" t="n">
        <v>0</v>
      </c>
      <c r="T71" s="90" t="n">
        <v>0</v>
      </c>
      <c r="U71" s="90" t="n">
        <v>0</v>
      </c>
      <c r="V71" s="90" t="n">
        <v>0</v>
      </c>
      <c r="W71" s="90" t="n">
        <v>0</v>
      </c>
      <c r="X71" s="90" t="n">
        <v>0</v>
      </c>
      <c r="Y71" s="90" t="n">
        <v>0</v>
      </c>
      <c r="Z71" s="90" t="n">
        <v>0</v>
      </c>
      <c r="AA71" s="81" t="n">
        <f aca="false">+AA167</f>
        <v>12965.7977560653</v>
      </c>
      <c r="AB71" s="81" t="n">
        <f aca="false">+AB167</f>
        <v>11907.0588943567</v>
      </c>
      <c r="AC71" s="81" t="n">
        <f aca="false">+AC167</f>
        <v>15481.3228694056</v>
      </c>
      <c r="AD71" s="81" t="n">
        <f aca="false">+AD167</f>
        <v>12503.3097946892</v>
      </c>
      <c r="AE71" s="81" t="n">
        <f aca="false">+AE167</f>
        <v>12746.5535029392</v>
      </c>
      <c r="AF71" s="81" t="n">
        <f aca="false">+AF167</f>
        <v>20555.6570503555</v>
      </c>
      <c r="AG71" s="81" t="n">
        <f aca="false">+AG167</f>
        <v>13319.2191081293</v>
      </c>
      <c r="AH71" s="81" t="n">
        <f aca="false">+AH167</f>
        <v>12231.6211721834</v>
      </c>
      <c r="AI71" s="81" t="n">
        <f aca="false">+AI167</f>
        <v>15903.3123345493</v>
      </c>
      <c r="AJ71" s="81" t="n">
        <f aca="false">+AJ167</f>
        <v>12844.1246628562</v>
      </c>
      <c r="AK71" s="81" t="n">
        <f aca="false">+AK167</f>
        <v>13093.9987012925</v>
      </c>
      <c r="AL71" s="81" t="n">
        <f aca="false">+AL167</f>
        <v>21115.962574472</v>
      </c>
      <c r="AM71" s="81" t="n">
        <f aca="false">+AM167</f>
        <v>13682.2740095085</v>
      </c>
      <c r="AN71" s="81" t="n">
        <f aca="false">+AN167</f>
        <v>12565.0303594882</v>
      </c>
      <c r="AO71" s="81" t="n">
        <f aca="false">+AO167</f>
        <v>16336.804376714</v>
      </c>
      <c r="AP71" s="81" t="n">
        <f aca="false">+AP167</f>
        <v>13194.2294531535</v>
      </c>
      <c r="AQ71" s="81" t="n">
        <f aca="false">+AQ167</f>
        <v>13450.9145511305</v>
      </c>
      <c r="AR71" s="25"/>
    </row>
    <row r="72" customFormat="false" ht="13.5" hidden="false" customHeight="false" outlineLevel="0" collapsed="false">
      <c r="A72" s="2"/>
      <c r="B72" s="2"/>
      <c r="C72" s="2"/>
      <c r="D72" s="2"/>
      <c r="E72" s="2"/>
      <c r="F72" s="3"/>
      <c r="G72" s="3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  <c r="AA72" s="89"/>
      <c r="AB72" s="89"/>
      <c r="AC72" s="89"/>
      <c r="AD72" s="89"/>
      <c r="AE72" s="89"/>
      <c r="AF72" s="89"/>
      <c r="AG72" s="89"/>
      <c r="AH72" s="89"/>
      <c r="AI72" s="89"/>
      <c r="AJ72" s="89"/>
      <c r="AK72" s="89"/>
      <c r="AL72" s="89"/>
      <c r="AM72" s="89"/>
      <c r="AN72" s="89"/>
      <c r="AO72" s="89"/>
      <c r="AP72" s="89"/>
      <c r="AQ72" s="89"/>
      <c r="AR72" s="25"/>
    </row>
    <row r="73" customFormat="false" ht="13.5" hidden="false" customHeight="false" outlineLevel="0" collapsed="false">
      <c r="A73" s="2"/>
      <c r="B73" s="66" t="s">
        <v>51</v>
      </c>
      <c r="C73" s="2"/>
      <c r="D73" s="2"/>
      <c r="E73" s="2"/>
      <c r="F73" s="3"/>
      <c r="G73" s="46"/>
      <c r="H73" s="91" t="n">
        <f aca="false">+H64+H69+H71</f>
        <v>84427.799424</v>
      </c>
      <c r="I73" s="92" t="n">
        <f aca="false">+I64+I69+I71</f>
        <v>86837.96376</v>
      </c>
      <c r="J73" s="92" t="n">
        <f aca="false">+J64+J69+J71</f>
        <v>91027.616424</v>
      </c>
      <c r="K73" s="92" t="n">
        <f aca="false">+K64+K69+K71</f>
        <v>95269.6801104</v>
      </c>
      <c r="L73" s="92" t="n">
        <f aca="false">+L64+L69+L71</f>
        <v>98589.344136</v>
      </c>
      <c r="M73" s="92" t="n">
        <f aca="false">+M64+M69+M71</f>
        <v>103017.607032</v>
      </c>
      <c r="N73" s="92" t="n">
        <f aca="false">+N64+N69+N71</f>
        <v>100751.858339312</v>
      </c>
      <c r="O73" s="92" t="n">
        <f aca="false">+O64+O69+O71</f>
        <v>103638.149347637</v>
      </c>
      <c r="P73" s="92" t="n">
        <f aca="false">+P64+P69+P71</f>
        <v>106118.286872656</v>
      </c>
      <c r="Q73" s="92" t="n">
        <f aca="false">+Q64+Q69+Q71</f>
        <v>109049.032476906</v>
      </c>
      <c r="R73" s="92" t="n">
        <f aca="false">+R64+R69+R71</f>
        <v>112301.434353896</v>
      </c>
      <c r="S73" s="92" t="n">
        <f aca="false">+S64+S69+S71</f>
        <v>115900.264719412</v>
      </c>
      <c r="T73" s="92" t="n">
        <f aca="false">+T64+T69+T71</f>
        <v>118806.887171886</v>
      </c>
      <c r="U73" s="92" t="n">
        <f aca="false">+U64+U69+U71</f>
        <v>120474.369200881</v>
      </c>
      <c r="V73" s="92" t="n">
        <f aca="false">+V64+V69+V71</f>
        <v>121952.134680053</v>
      </c>
      <c r="W73" s="92" t="n">
        <f aca="false">+W64+W69+W71</f>
        <v>123943.073829148</v>
      </c>
      <c r="X73" s="92" t="n">
        <f aca="false">+X64+X69+X71</f>
        <v>128439.67342202</v>
      </c>
      <c r="Y73" s="92" t="n">
        <f aca="false">+Y64+Y69+Y71</f>
        <v>131619.250712387</v>
      </c>
      <c r="Z73" s="93" t="n">
        <f aca="false">+Z64+Z69+Z71</f>
        <v>134975.994107606</v>
      </c>
      <c r="AA73" s="94" t="n">
        <f aca="false">+AA64+AA69+AA71</f>
        <v>87199.2767356883</v>
      </c>
      <c r="AB73" s="94" t="n">
        <f aca="false">+AB64+AB69+AB71</f>
        <v>86673.4091344127</v>
      </c>
      <c r="AC73" s="94" t="n">
        <f aca="false">+AC64+AC69+AC71</f>
        <v>95627.3774925431</v>
      </c>
      <c r="AD73" s="94" t="n">
        <f aca="false">+AD64+AD69+AD71</f>
        <v>91529.0157210345</v>
      </c>
      <c r="AE73" s="94" t="n">
        <f aca="false">+AE64+AE69+AE71</f>
        <v>94110.2526884596</v>
      </c>
      <c r="AF73" s="94" t="n">
        <f aca="false">+AF64+AF69+AF71</f>
        <v>111512.211223597</v>
      </c>
      <c r="AG73" s="94" t="n">
        <f aca="false">+AG64+AG69+AG71</f>
        <v>99063.5529597815</v>
      </c>
      <c r="AH73" s="94" t="n">
        <f aca="false">+AH64+AH69+AH71</f>
        <v>98971.564240047</v>
      </c>
      <c r="AI73" s="94" t="n">
        <f aca="false">+AI64+AI69+AI71</f>
        <v>108664.738026561</v>
      </c>
      <c r="AJ73" s="94" t="n">
        <f aca="false">+AJ64+AJ69+AJ71</f>
        <v>104547.330880229</v>
      </c>
      <c r="AK73" s="94" t="n">
        <f aca="false">+AK64+AK69+AK71</f>
        <v>107318.469341143</v>
      </c>
      <c r="AL73" s="94" t="n">
        <f aca="false">+AL64+AL69+AL71</f>
        <v>125700.456847105</v>
      </c>
      <c r="AM73" s="94" t="n">
        <f aca="false">+AM64+AM69+AM71</f>
        <v>113470.920424541</v>
      </c>
      <c r="AN73" s="94" t="n">
        <f aca="false">+AN64+AN69+AN71</f>
        <v>113483.098612594</v>
      </c>
      <c r="AO73" s="94" t="n">
        <f aca="false">+AO64+AO69+AO71</f>
        <v>123577.453371652</v>
      </c>
      <c r="AP73" s="94" t="n">
        <f aca="false">+AP64+AP69+AP71</f>
        <v>119918.504923852</v>
      </c>
      <c r="AQ73" s="94" t="n">
        <f aca="false">+AQ64+AQ69+AQ71</f>
        <v>123395.246838204</v>
      </c>
      <c r="AR73" s="25"/>
    </row>
    <row r="74" customFormat="false" ht="13.5" hidden="false" customHeight="false" outlineLevel="0" collapsed="false">
      <c r="A74" s="2"/>
      <c r="B74" s="95" t="str">
        <f aca="false">CONCATENATE("NPV ",+$E$16*100," of Cf to Term (2036)")</f>
        <v>NPV 6.25 of Cf to Term (2036)</v>
      </c>
      <c r="C74" s="2"/>
      <c r="D74" s="3"/>
      <c r="E74" s="3"/>
      <c r="F74" s="3"/>
      <c r="G74" s="96" t="n">
        <f aca="false">SUMPRODUCT(Valuation!$H$73:$AQ$73,Valuation!$H$16:$AQ$16)</f>
        <v>1484626.69762458</v>
      </c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5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98"/>
      <c r="G75" s="14"/>
      <c r="H75" s="99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5"/>
    </row>
    <row r="76" customFormat="false" ht="12.75" hidden="false" customHeight="false" outlineLevel="0" collapsed="false">
      <c r="A76" s="2"/>
      <c r="B76" s="66"/>
      <c r="C76" s="66" t="s">
        <v>52</v>
      </c>
      <c r="D76" s="3"/>
      <c r="E76" s="2"/>
      <c r="F76" s="2"/>
      <c r="G76" s="14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5"/>
    </row>
    <row r="77" customFormat="false" ht="13.5" hidden="false" customHeight="false" outlineLevel="0" collapsed="false">
      <c r="A77" s="2"/>
      <c r="B77" s="3"/>
      <c r="C77" s="66" t="s">
        <v>53</v>
      </c>
      <c r="D77" s="3"/>
      <c r="E77" s="2"/>
      <c r="F77" s="2"/>
      <c r="G77" s="14" t="s">
        <v>54</v>
      </c>
      <c r="H77" s="99"/>
      <c r="I77" s="99"/>
      <c r="J77" s="99"/>
      <c r="K77" s="99"/>
      <c r="L77" s="99"/>
      <c r="M77" s="99"/>
      <c r="N77" s="101" t="n">
        <f aca="false">+N31</f>
        <v>2.68387115801579</v>
      </c>
      <c r="O77" s="101" t="n">
        <f aca="false">+O31</f>
        <v>2.75419829772652</v>
      </c>
      <c r="P77" s="101" t="n">
        <f aca="false">+P31</f>
        <v>2.8135802951053</v>
      </c>
      <c r="Q77" s="101" t="n">
        <f aca="false">+Q31</f>
        <v>2.87418531708692</v>
      </c>
      <c r="R77" s="101" t="n">
        <f aca="false">+R31</f>
        <v>2.94902910274387</v>
      </c>
      <c r="S77" s="101" t="n">
        <f aca="false">+S31</f>
        <v>3.02576257902124</v>
      </c>
      <c r="T77" s="101" t="n">
        <f aca="false">+T31</f>
        <v>3.11804833768138</v>
      </c>
      <c r="U77" s="101" t="n">
        <f aca="false">+U31</f>
        <v>3.19899505107665</v>
      </c>
      <c r="V77" s="101" t="n">
        <f aca="false">+V31</f>
        <v>3.28198115530382</v>
      </c>
      <c r="W77" s="101" t="n">
        <f aca="false">+W31</f>
        <v>3.37364930428226</v>
      </c>
      <c r="X77" s="101" t="n">
        <f aca="false">+X31</f>
        <v>3.48269670140645</v>
      </c>
      <c r="Y77" s="101" t="n">
        <f aca="false">+Y31</f>
        <v>3.57977315112835</v>
      </c>
      <c r="Z77" s="101" t="n">
        <f aca="false">+Z31</f>
        <v>3.67948887473382</v>
      </c>
      <c r="AA77" s="102" t="n">
        <f aca="false">+AA31</f>
        <v>3.78617865580025</v>
      </c>
      <c r="AB77" s="102" t="n">
        <f aca="false">+AB31</f>
        <v>3.89596199408931</v>
      </c>
      <c r="AC77" s="102" t="n">
        <f aca="false">+AC31</f>
        <v>4.00892858981589</v>
      </c>
      <c r="AD77" s="102" t="n">
        <f aca="false">+AD31</f>
        <v>4.12517074412581</v>
      </c>
      <c r="AE77" s="102" t="n">
        <f aca="false">+AE31</f>
        <v>4.24478343451185</v>
      </c>
      <c r="AF77" s="102" t="n">
        <f aca="false">+AF31</f>
        <v>4.3678643924167</v>
      </c>
      <c r="AG77" s="102" t="n">
        <f aca="false">+AG31</f>
        <v>4.49451418308593</v>
      </c>
      <c r="AH77" s="102" t="n">
        <f aca="false">+AH31</f>
        <v>4.62483628773643</v>
      </c>
      <c r="AI77" s="102" t="n">
        <f aca="false">+AI31</f>
        <v>4.75893718810737</v>
      </c>
      <c r="AJ77" s="102" t="n">
        <f aca="false">+AJ31</f>
        <v>4.89692645346282</v>
      </c>
      <c r="AK77" s="102" t="n">
        <f aca="false">+AK31</f>
        <v>5.03891683011702</v>
      </c>
      <c r="AL77" s="102" t="n">
        <f aca="false">+AL31</f>
        <v>5.18502433355553</v>
      </c>
      <c r="AM77" s="102" t="n">
        <f aca="false">+AM31</f>
        <v>5.33536834322757</v>
      </c>
      <c r="AN77" s="102" t="n">
        <f aca="false">+AN31</f>
        <v>5.49007170008685</v>
      </c>
      <c r="AO77" s="102" t="n">
        <f aca="false">+AO31</f>
        <v>5.64926080696074</v>
      </c>
      <c r="AP77" s="102" t="n">
        <f aca="false">+AP31</f>
        <v>5.81306573182966</v>
      </c>
      <c r="AQ77" s="102" t="n">
        <f aca="false">+AQ31</f>
        <v>5.98162031410124</v>
      </c>
      <c r="AR77" s="25"/>
    </row>
    <row r="78" customFormat="false" ht="13.5" hidden="false" customHeight="false" outlineLevel="0" collapsed="false">
      <c r="A78" s="2"/>
      <c r="B78" s="3"/>
      <c r="C78" s="66" t="s">
        <v>55</v>
      </c>
      <c r="D78" s="3"/>
      <c r="E78" s="103" t="n">
        <v>0.01</v>
      </c>
      <c r="F78" s="3"/>
      <c r="G78" s="14" t="s">
        <v>54</v>
      </c>
      <c r="H78" s="99"/>
      <c r="I78" s="99"/>
      <c r="J78" s="99"/>
      <c r="K78" s="99"/>
      <c r="L78" s="99"/>
      <c r="M78" s="104"/>
      <c r="N78" s="101" t="n">
        <f aca="false">(+N77/(1-$E$78))-N77</f>
        <v>0.0271098096769271</v>
      </c>
      <c r="O78" s="101" t="n">
        <f aca="false">(+O77/(1-$E$78))-O77</f>
        <v>0.0278201848255204</v>
      </c>
      <c r="P78" s="101" t="n">
        <f aca="false">(+P77/(1-$E$78))-P77</f>
        <v>0.0284200029808614</v>
      </c>
      <c r="Q78" s="101" t="n">
        <f aca="false">(+Q77/(1-$E$78))-Q77</f>
        <v>0.0290321749200699</v>
      </c>
      <c r="R78" s="101" t="n">
        <f aca="false">(+R77/(1-$E$78))-R77</f>
        <v>0.0297881727549885</v>
      </c>
      <c r="S78" s="101" t="n">
        <f aca="false">(+S77/(1-$E$78))-S77</f>
        <v>0.0305632583739519</v>
      </c>
      <c r="T78" s="101" t="n">
        <f aca="false">(+T77/(1-$E$78))-T77</f>
        <v>0.0314954377543573</v>
      </c>
      <c r="U78" s="101" t="n">
        <f aca="false">(+U77/(1-$E$78))-U77</f>
        <v>0.0323130813240065</v>
      </c>
      <c r="V78" s="101" t="n">
        <f aca="false">(+V77/(1-$E$78))-V77</f>
        <v>0.0331513248010489</v>
      </c>
      <c r="W78" s="101" t="n">
        <f aca="false">(+W77/(1-$E$78))-W77</f>
        <v>0.0340772656998207</v>
      </c>
      <c r="X78" s="101" t="n">
        <f aca="false">(+X77/(1-$E$78))-X77</f>
        <v>0.0351787545596611</v>
      </c>
      <c r="Y78" s="101" t="n">
        <f aca="false">(+Y77/(1-$E$78))-Y77</f>
        <v>0.0361593247588723</v>
      </c>
      <c r="Z78" s="101" t="n">
        <f aca="false">(+Z77/(1-$E$78))-Z77</f>
        <v>0.0371665542902409</v>
      </c>
      <c r="AA78" s="102" t="n">
        <f aca="false">(+AA77/(1-$E$78))-AA77</f>
        <v>0.0382442288464673</v>
      </c>
      <c r="AB78" s="102" t="n">
        <f aca="false">(+AB77/(1-$E$78))-AB77</f>
        <v>0.0393531514554475</v>
      </c>
      <c r="AC78" s="102" t="n">
        <f aca="false">(+AC77/(1-$E$78))-AC77</f>
        <v>0.0404942281799583</v>
      </c>
      <c r="AD78" s="102" t="n">
        <f aca="false">(+AD77/(1-$E$78))-AD77</f>
        <v>0.0416683913548059</v>
      </c>
      <c r="AE78" s="102" t="n">
        <f aca="false">(+AE77/(1-$E$78))-AE77</f>
        <v>0.0428766003486043</v>
      </c>
      <c r="AF78" s="102" t="n">
        <f aca="false">(+AF77/(1-$E$78))-AF77</f>
        <v>0.0441198423476434</v>
      </c>
      <c r="AG78" s="102" t="n">
        <f aca="false">(+AG77/(1-$E$78))-AG77</f>
        <v>0.0453991331624843</v>
      </c>
      <c r="AH78" s="102" t="n">
        <f aca="false">(+AH77/(1-$E$78))-AH77</f>
        <v>0.0467155180579439</v>
      </c>
      <c r="AI78" s="102" t="n">
        <f aca="false">(+AI77/(1-$E$78))-AI77</f>
        <v>0.0480700726071452</v>
      </c>
      <c r="AJ78" s="102" t="n">
        <f aca="false">(+AJ77/(1-$E$78))-AJ77</f>
        <v>0.0494639035703317</v>
      </c>
      <c r="AK78" s="102" t="n">
        <f aca="false">(+AK77/(1-$E$78))-AK77</f>
        <v>0.0508981497991616</v>
      </c>
      <c r="AL78" s="102" t="n">
        <f aca="false">(+AL77/(1-$E$78))-AL77</f>
        <v>0.0523739831672279</v>
      </c>
      <c r="AM78" s="102" t="n">
        <f aca="false">(+AM77/(1-$E$78))-AM77</f>
        <v>0.0538926095275514</v>
      </c>
      <c r="AN78" s="102" t="n">
        <f aca="false">(+AN77/(1-$E$78))-AN77</f>
        <v>0.0554552696978474</v>
      </c>
      <c r="AO78" s="102" t="n">
        <f aca="false">(+AO77/(1-$E$78))-AO77</f>
        <v>0.057063240474351</v>
      </c>
      <c r="AP78" s="102" t="n">
        <f aca="false">(+AP77/(1-$E$78))-AP77</f>
        <v>0.0587178356750471</v>
      </c>
      <c r="AQ78" s="102" t="n">
        <f aca="false">(+AQ77/(1-$E$78))-AQ77</f>
        <v>0.0604204072131438</v>
      </c>
      <c r="AR78" s="25"/>
    </row>
    <row r="79" customFormat="false" ht="12.75" hidden="false" customHeight="false" outlineLevel="0" collapsed="false">
      <c r="A79" s="2"/>
      <c r="B79" s="3"/>
      <c r="C79" s="66" t="s">
        <v>56</v>
      </c>
      <c r="D79" s="3"/>
      <c r="E79" s="2"/>
      <c r="F79" s="2"/>
      <c r="G79" s="14" t="s">
        <v>54</v>
      </c>
      <c r="H79" s="99"/>
      <c r="I79" s="99"/>
      <c r="J79" s="99"/>
      <c r="K79" s="99"/>
      <c r="L79" s="99"/>
      <c r="M79" s="99"/>
      <c r="N79" s="101" t="n">
        <f aca="false">+N114</f>
        <v>0.13</v>
      </c>
      <c r="O79" s="101" t="n">
        <f aca="false">+O114</f>
        <v>0.135</v>
      </c>
      <c r="P79" s="105" t="n">
        <f aca="false">+P114</f>
        <v>0.14</v>
      </c>
      <c r="Q79" s="105" t="n">
        <f aca="false">+Q114</f>
        <v>0.145</v>
      </c>
      <c r="R79" s="105" t="n">
        <f aca="false">+R114</f>
        <v>0.15</v>
      </c>
      <c r="S79" s="105" t="n">
        <f aca="false">+S114</f>
        <v>0.155</v>
      </c>
      <c r="T79" s="105" t="n">
        <f aca="false">+T114</f>
        <v>0.16</v>
      </c>
      <c r="U79" s="105" t="n">
        <f aca="false">+U114</f>
        <v>0.165</v>
      </c>
      <c r="V79" s="105" t="n">
        <f aca="false">+V114</f>
        <v>0.17</v>
      </c>
      <c r="W79" s="105" t="n">
        <f aca="false">+W114</f>
        <v>0.175</v>
      </c>
      <c r="X79" s="105" t="n">
        <f aca="false">+X114</f>
        <v>0.18</v>
      </c>
      <c r="Y79" s="105" t="n">
        <f aca="false">+Y114</f>
        <v>0.185</v>
      </c>
      <c r="Z79" s="105" t="n">
        <f aca="false">+Z114</f>
        <v>0.19</v>
      </c>
      <c r="AA79" s="102" t="n">
        <f aca="false">+AA114</f>
        <v>0.195</v>
      </c>
      <c r="AB79" s="102" t="n">
        <f aca="false">+AB114</f>
        <v>0.2</v>
      </c>
      <c r="AC79" s="102" t="n">
        <f aca="false">+AC114</f>
        <v>0.205</v>
      </c>
      <c r="AD79" s="102" t="n">
        <f aca="false">+AD114</f>
        <v>0.21</v>
      </c>
      <c r="AE79" s="102" t="n">
        <f aca="false">+AE114</f>
        <v>0.215</v>
      </c>
      <c r="AF79" s="102" t="n">
        <f aca="false">+AF114</f>
        <v>0.22</v>
      </c>
      <c r="AG79" s="102" t="n">
        <f aca="false">+AG114</f>
        <v>0.225</v>
      </c>
      <c r="AH79" s="102" t="n">
        <f aca="false">+AH114</f>
        <v>0.23</v>
      </c>
      <c r="AI79" s="102" t="n">
        <f aca="false">+AI114</f>
        <v>0.235</v>
      </c>
      <c r="AJ79" s="102" t="n">
        <f aca="false">+AJ114</f>
        <v>0.24</v>
      </c>
      <c r="AK79" s="102" t="n">
        <f aca="false">+AK114</f>
        <v>0.245</v>
      </c>
      <c r="AL79" s="102" t="n">
        <f aca="false">+AL114</f>
        <v>0.25</v>
      </c>
      <c r="AM79" s="102" t="n">
        <f aca="false">+AM114</f>
        <v>0.255</v>
      </c>
      <c r="AN79" s="102" t="n">
        <f aca="false">+AN114</f>
        <v>0.26</v>
      </c>
      <c r="AO79" s="102" t="n">
        <f aca="false">+AO114</f>
        <v>0.265</v>
      </c>
      <c r="AP79" s="102" t="n">
        <f aca="false">+AP114</f>
        <v>0.27</v>
      </c>
      <c r="AQ79" s="102" t="n">
        <f aca="false">+AQ114</f>
        <v>0.275</v>
      </c>
      <c r="AR79" s="25"/>
    </row>
    <row r="80" customFormat="false" ht="13.5" hidden="false" customHeight="false" outlineLevel="0" collapsed="false">
      <c r="A80" s="2"/>
      <c r="B80" s="3"/>
      <c r="C80" s="66" t="s">
        <v>57</v>
      </c>
      <c r="D80" s="3"/>
      <c r="E80" s="2"/>
      <c r="F80" s="2"/>
      <c r="G80" s="14" t="s">
        <v>54</v>
      </c>
      <c r="H80" s="106"/>
      <c r="I80" s="106"/>
      <c r="J80" s="106"/>
      <c r="K80" s="106"/>
      <c r="L80" s="106"/>
      <c r="M80" s="106"/>
      <c r="N80" s="107" t="n">
        <v>0.0655</v>
      </c>
      <c r="O80" s="108" t="n">
        <f aca="false">+N80*(1+0.05)</f>
        <v>0.068775</v>
      </c>
      <c r="P80" s="108" t="n">
        <f aca="false">+O80*(1+0.05)</f>
        <v>0.07221375</v>
      </c>
      <c r="Q80" s="108" t="n">
        <f aca="false">+P80*(1+0.05)</f>
        <v>0.0758244375</v>
      </c>
      <c r="R80" s="108" t="n">
        <f aca="false">+Q80*(1+0.05)</f>
        <v>0.079615659375</v>
      </c>
      <c r="S80" s="108" t="n">
        <f aca="false">+R80*(1+0.05)</f>
        <v>0.08359644234375</v>
      </c>
      <c r="T80" s="108" t="n">
        <f aca="false">+S80*(1+0.05)</f>
        <v>0.0877762644609375</v>
      </c>
      <c r="U80" s="108" t="n">
        <f aca="false">+T80*(1+0.05)</f>
        <v>0.0921650776839844</v>
      </c>
      <c r="V80" s="108" t="n">
        <f aca="false">+U80*(1+0.05)</f>
        <v>0.0967733315681836</v>
      </c>
      <c r="W80" s="108" t="n">
        <f aca="false">+V80*(1+0.05)</f>
        <v>0.101611998146593</v>
      </c>
      <c r="X80" s="108" t="n">
        <f aca="false">+W80*(1+0.05)</f>
        <v>0.106692598053922</v>
      </c>
      <c r="Y80" s="108" t="n">
        <f aca="false">+X80*(1+0.05)</f>
        <v>0.112027227956619</v>
      </c>
      <c r="Z80" s="108" t="n">
        <f aca="false">+Y80*(1+0.05)</f>
        <v>0.11762858935445</v>
      </c>
      <c r="AA80" s="109" t="n">
        <f aca="false">+Z80*(1+0.05)</f>
        <v>0.123510018822172</v>
      </c>
      <c r="AB80" s="109" t="n">
        <f aca="false">+AA80*(1+0.05)</f>
        <v>0.129685519763281</v>
      </c>
      <c r="AC80" s="109" t="n">
        <f aca="false">+AB80*(1+0.05)</f>
        <v>0.136169795751445</v>
      </c>
      <c r="AD80" s="109" t="n">
        <f aca="false">+AC80*(1+0.05)</f>
        <v>0.142978285539017</v>
      </c>
      <c r="AE80" s="109" t="n">
        <f aca="false">+AD80*(1+0.05)</f>
        <v>0.150127199815968</v>
      </c>
      <c r="AF80" s="109" t="n">
        <f aca="false">+AE80*(1+0.05)</f>
        <v>0.157633559806766</v>
      </c>
      <c r="AG80" s="109" t="n">
        <f aca="false">+AF80*(1+0.05)</f>
        <v>0.165515237797104</v>
      </c>
      <c r="AH80" s="109" t="n">
        <f aca="false">+AG80*(1+0.05)</f>
        <v>0.17379099968696</v>
      </c>
      <c r="AI80" s="109" t="n">
        <f aca="false">+AH80*(1+0.05)</f>
        <v>0.182480549671308</v>
      </c>
      <c r="AJ80" s="109" t="n">
        <f aca="false">+AI80*(1+0.05)</f>
        <v>0.191604577154873</v>
      </c>
      <c r="AK80" s="109" t="n">
        <f aca="false">+AJ80*(1+0.05)</f>
        <v>0.201184806012617</v>
      </c>
      <c r="AL80" s="109" t="n">
        <f aca="false">+AK80*(1+0.05)</f>
        <v>0.211244046313248</v>
      </c>
      <c r="AM80" s="109" t="n">
        <f aca="false">+AL80*(1+0.05)</f>
        <v>0.22180624862891</v>
      </c>
      <c r="AN80" s="109" t="n">
        <f aca="false">+AM80*(1+0.05)</f>
        <v>0.232896561060355</v>
      </c>
      <c r="AO80" s="109" t="n">
        <f aca="false">+AN80*(1+0.05)</f>
        <v>0.244541389113373</v>
      </c>
      <c r="AP80" s="109" t="n">
        <f aca="false">+AO80*(1+0.05)</f>
        <v>0.256768458569042</v>
      </c>
      <c r="AQ80" s="109" t="n">
        <f aca="false">+AP80*(1+0.05)</f>
        <v>0.269606881497494</v>
      </c>
      <c r="AR80" s="25"/>
    </row>
    <row r="81" customFormat="false" ht="12.75" hidden="false" customHeight="false" outlineLevel="0" collapsed="false">
      <c r="A81" s="2"/>
      <c r="B81" s="3"/>
      <c r="C81" s="66" t="s">
        <v>58</v>
      </c>
      <c r="D81" s="3"/>
      <c r="E81" s="2"/>
      <c r="F81" s="2"/>
      <c r="G81" s="14" t="s">
        <v>54</v>
      </c>
      <c r="H81" s="99"/>
      <c r="I81" s="99"/>
      <c r="J81" s="99"/>
      <c r="K81" s="99"/>
      <c r="L81" s="99"/>
      <c r="M81" s="99"/>
      <c r="N81" s="105" t="n">
        <f aca="false">SUM(N77:N80)</f>
        <v>2.90648096769272</v>
      </c>
      <c r="O81" s="105" t="n">
        <f aca="false">SUM(O77:O80)</f>
        <v>2.98579348255204</v>
      </c>
      <c r="P81" s="105" t="n">
        <f aca="false">SUM(P77:P80)</f>
        <v>3.05421404808616</v>
      </c>
      <c r="Q81" s="105" t="n">
        <f aca="false">SUM(Q77:Q80)</f>
        <v>3.12404192950699</v>
      </c>
      <c r="R81" s="105" t="n">
        <f aca="false">SUM(R77:R80)</f>
        <v>3.20843293487385</v>
      </c>
      <c r="S81" s="105" t="n">
        <f aca="false">SUM(S77:S80)</f>
        <v>3.29492227973894</v>
      </c>
      <c r="T81" s="105" t="n">
        <f aca="false">SUM(T77:T80)</f>
        <v>3.39732003989668</v>
      </c>
      <c r="U81" s="105" t="n">
        <f aca="false">SUM(U77:U80)</f>
        <v>3.48847321008464</v>
      </c>
      <c r="V81" s="105" t="n">
        <f aca="false">SUM(V77:V80)</f>
        <v>3.58190581167305</v>
      </c>
      <c r="W81" s="105" t="n">
        <f aca="false">SUM(W77:W80)</f>
        <v>3.68433856812867</v>
      </c>
      <c r="X81" s="105" t="n">
        <f aca="false">SUM(X77:X80)</f>
        <v>3.80456805402004</v>
      </c>
      <c r="Y81" s="105" t="n">
        <f aca="false">SUM(Y77:Y80)</f>
        <v>3.91295970384384</v>
      </c>
      <c r="Z81" s="105" t="n">
        <f aca="false">SUM(Z77:Z80)</f>
        <v>4.02428401837851</v>
      </c>
      <c r="AA81" s="110" t="n">
        <f aca="false">SUM(AA77:AA80)</f>
        <v>4.14293290346889</v>
      </c>
      <c r="AB81" s="110" t="n">
        <f aca="false">SUM(AB77:AB80)</f>
        <v>4.26500066530804</v>
      </c>
      <c r="AC81" s="110" t="n">
        <f aca="false">SUM(AC77:AC80)</f>
        <v>4.3905926137473</v>
      </c>
      <c r="AD81" s="110" t="n">
        <f aca="false">SUM(AD77:AD80)</f>
        <v>4.51981742101963</v>
      </c>
      <c r="AE81" s="110" t="n">
        <f aca="false">SUM(AE77:AE80)</f>
        <v>4.65278723467642</v>
      </c>
      <c r="AF81" s="110" t="n">
        <f aca="false">SUM(AF77:AF80)</f>
        <v>4.78961779457111</v>
      </c>
      <c r="AG81" s="110" t="n">
        <f aca="false">SUM(AG77:AG80)</f>
        <v>4.93042855404552</v>
      </c>
      <c r="AH81" s="110" t="n">
        <f aca="false">SUM(AH77:AH80)</f>
        <v>5.07534280548133</v>
      </c>
      <c r="AI81" s="110" t="n">
        <f aca="false">SUM(AI77:AI80)</f>
        <v>5.22448781038583</v>
      </c>
      <c r="AJ81" s="110" t="n">
        <f aca="false">SUM(AJ77:AJ80)</f>
        <v>5.37799493418803</v>
      </c>
      <c r="AK81" s="110" t="n">
        <f aca="false">SUM(AK77:AK80)</f>
        <v>5.53599978592879</v>
      </c>
      <c r="AL81" s="110" t="n">
        <f aca="false">SUM(AL77:AL80)</f>
        <v>5.698642363036</v>
      </c>
      <c r="AM81" s="110" t="n">
        <f aca="false">SUM(AM77:AM80)</f>
        <v>5.86606720138403</v>
      </c>
      <c r="AN81" s="110" t="n">
        <f aca="false">SUM(AN77:AN80)</f>
        <v>6.03842353084506</v>
      </c>
      <c r="AO81" s="110" t="n">
        <f aca="false">SUM(AO77:AO80)</f>
        <v>6.21586543654846</v>
      </c>
      <c r="AP81" s="110" t="n">
        <f aca="false">SUM(AP77:AP80)</f>
        <v>6.39855202607375</v>
      </c>
      <c r="AQ81" s="110" t="n">
        <f aca="false">SUM(AQ77:AQ80)</f>
        <v>6.58664760281188</v>
      </c>
      <c r="AR81" s="25"/>
    </row>
    <row r="82" customFormat="false" ht="13.5" hidden="false" customHeight="false" outlineLevel="0" collapsed="false">
      <c r="A82" s="2"/>
      <c r="B82" s="3"/>
      <c r="C82" s="2" t="s">
        <v>59</v>
      </c>
      <c r="D82" s="3"/>
      <c r="E82" s="2"/>
      <c r="F82" s="2"/>
      <c r="G82" s="14" t="s">
        <v>60</v>
      </c>
      <c r="H82" s="99"/>
      <c r="I82" s="99"/>
      <c r="J82" s="99"/>
      <c r="K82" s="99"/>
      <c r="L82" s="99"/>
      <c r="M82" s="99"/>
      <c r="N82" s="111" t="n">
        <v>7663</v>
      </c>
      <c r="O82" s="111" t="n">
        <v>7685</v>
      </c>
      <c r="P82" s="111" t="n">
        <v>7607</v>
      </c>
      <c r="Q82" s="111" t="n">
        <v>7629</v>
      </c>
      <c r="R82" s="111" t="n">
        <v>7652</v>
      </c>
      <c r="S82" s="111" t="n">
        <v>7673</v>
      </c>
      <c r="T82" s="111" t="n">
        <v>7696</v>
      </c>
      <c r="U82" s="111" t="n">
        <v>7718</v>
      </c>
      <c r="V82" s="111" t="n">
        <v>7640</v>
      </c>
      <c r="W82" s="111" t="n">
        <v>7663</v>
      </c>
      <c r="X82" s="111" t="n">
        <v>7685</v>
      </c>
      <c r="Y82" s="111" t="n">
        <v>7707</v>
      </c>
      <c r="Z82" s="111" t="n">
        <v>7729</v>
      </c>
      <c r="AA82" s="88" t="n">
        <f aca="false">+AA118</f>
        <v>7396.03736839142</v>
      </c>
      <c r="AB82" s="88" t="n">
        <f aca="false">+AB118</f>
        <v>7396.03736839142</v>
      </c>
      <c r="AC82" s="88" t="n">
        <f aca="false">+AC118</f>
        <v>7396.03736839142</v>
      </c>
      <c r="AD82" s="88" t="n">
        <f aca="false">+AD118</f>
        <v>7396.03736839142</v>
      </c>
      <c r="AE82" s="88" t="n">
        <f aca="false">+AE118</f>
        <v>7396.03736839142</v>
      </c>
      <c r="AF82" s="88" t="n">
        <f aca="false">+AF118</f>
        <v>7396.03736839142</v>
      </c>
      <c r="AG82" s="88" t="n">
        <f aca="false">+AG118</f>
        <v>7396.03736839142</v>
      </c>
      <c r="AH82" s="88" t="n">
        <f aca="false">+AH118</f>
        <v>7396.03736839142</v>
      </c>
      <c r="AI82" s="88" t="n">
        <f aca="false">+AI118</f>
        <v>7396.03736839142</v>
      </c>
      <c r="AJ82" s="88" t="n">
        <f aca="false">+AJ118</f>
        <v>7396.03736839142</v>
      </c>
      <c r="AK82" s="88" t="n">
        <f aca="false">+AK118</f>
        <v>7396.03736839142</v>
      </c>
      <c r="AL82" s="88" t="n">
        <f aca="false">+AL118</f>
        <v>7396.03736839142</v>
      </c>
      <c r="AM82" s="88" t="n">
        <f aca="false">+AM118</f>
        <v>7396.03736839142</v>
      </c>
      <c r="AN82" s="88" t="n">
        <f aca="false">+AN118</f>
        <v>7396.03736839142</v>
      </c>
      <c r="AO82" s="88" t="n">
        <f aca="false">+AO118</f>
        <v>7396.03736839142</v>
      </c>
      <c r="AP82" s="88" t="n">
        <f aca="false">+AP118</f>
        <v>7396.03736839142</v>
      </c>
      <c r="AQ82" s="88" t="n">
        <f aca="false">+AQ118</f>
        <v>7396.03736839142</v>
      </c>
      <c r="AR82" s="25"/>
    </row>
    <row r="83" customFormat="false" ht="12.75" hidden="false" customHeight="false" outlineLevel="0" collapsed="false">
      <c r="A83" s="2"/>
      <c r="B83" s="3"/>
      <c r="C83" s="2" t="s">
        <v>61</v>
      </c>
      <c r="D83" s="3"/>
      <c r="E83" s="2"/>
      <c r="F83" s="2"/>
      <c r="G83" s="14" t="s">
        <v>28</v>
      </c>
      <c r="H83" s="99"/>
      <c r="I83" s="99"/>
      <c r="J83" s="99"/>
      <c r="K83" s="99"/>
      <c r="L83" s="99"/>
      <c r="M83" s="99"/>
      <c r="N83" s="99" t="n">
        <f aca="false">+N81*N82/1000</f>
        <v>22.2723636554293</v>
      </c>
      <c r="O83" s="99" t="n">
        <f aca="false">+O81*O82/1000</f>
        <v>22.9458229134124</v>
      </c>
      <c r="P83" s="99" t="n">
        <f aca="false">+P81*P82/1000</f>
        <v>23.2334062637914</v>
      </c>
      <c r="Q83" s="99" t="n">
        <f aca="false">+Q81*Q82/1000</f>
        <v>23.8333158802088</v>
      </c>
      <c r="R83" s="99" t="n">
        <f aca="false">+R81*R82/1000</f>
        <v>24.5509288176547</v>
      </c>
      <c r="S83" s="99" t="n">
        <f aca="false">+S81*S82/1000</f>
        <v>25.2819386524369</v>
      </c>
      <c r="T83" s="99" t="n">
        <f aca="false">+T81*T82/1000</f>
        <v>26.1457750270448</v>
      </c>
      <c r="U83" s="99" t="n">
        <f aca="false">+U81*U82/1000</f>
        <v>26.9240362354332</v>
      </c>
      <c r="V83" s="99" t="n">
        <f aca="false">+V81*V82/1000</f>
        <v>27.3657604011821</v>
      </c>
      <c r="W83" s="99" t="n">
        <f aca="false">+W81*W82/1000</f>
        <v>28.23308644757</v>
      </c>
      <c r="X83" s="99" t="n">
        <f aca="false">+X81*X82/1000</f>
        <v>29.238105495144</v>
      </c>
      <c r="Y83" s="99" t="n">
        <f aca="false">+Y81*Y82/1000</f>
        <v>30.1571804375245</v>
      </c>
      <c r="Z83" s="99" t="n">
        <f aca="false">+Z81*Z82/1000</f>
        <v>31.1036911780475</v>
      </c>
      <c r="AA83" s="112" t="n">
        <f aca="false">+AA81*AA82/1000</f>
        <v>30.6412865687943</v>
      </c>
      <c r="AB83" s="112" t="n">
        <f aca="false">+AB81*AB82/1000</f>
        <v>31.5441042968325</v>
      </c>
      <c r="AC83" s="112" t="n">
        <f aca="false">+AC81*AC82/1000</f>
        <v>32.4729870406583</v>
      </c>
      <c r="AD83" s="112" t="n">
        <f aca="false">+AD81*AD82/1000</f>
        <v>33.4287385441677</v>
      </c>
      <c r="AE83" s="112" t="n">
        <f aca="false">+AE81*AE82/1000</f>
        <v>34.4121882548414</v>
      </c>
      <c r="AF83" s="112" t="n">
        <f aca="false">+AF81*AF82/1000</f>
        <v>35.4241921889604</v>
      </c>
      <c r="AG83" s="112" t="n">
        <f aca="false">+AG81*AG82/1000</f>
        <v>36.4656338279047</v>
      </c>
      <c r="AH83" s="112" t="n">
        <f aca="false">+AH81*AH82/1000</f>
        <v>37.5374250467365</v>
      </c>
      <c r="AI83" s="112" t="n">
        <f aca="false">+AI81*AI82/1000</f>
        <v>38.640507076319</v>
      </c>
      <c r="AJ83" s="112" t="n">
        <f aca="false">+AJ81*AJ82/1000</f>
        <v>39.7758515002744</v>
      </c>
      <c r="AK83" s="112" t="n">
        <f aca="false">+AK81*AK82/1000</f>
        <v>40.9444612881362</v>
      </c>
      <c r="AL83" s="112" t="n">
        <f aca="false">+AL81*AL82/1000</f>
        <v>42.1473718661126</v>
      </c>
      <c r="AM83" s="112" t="n">
        <f aca="false">+AM81*AM82/1000</f>
        <v>43.3856522269315</v>
      </c>
      <c r="AN83" s="112" t="n">
        <f aca="false">+AN81*AN82/1000</f>
        <v>44.6604060803041</v>
      </c>
      <c r="AO83" s="112" t="n">
        <f aca="false">+AO81*AO82/1000</f>
        <v>45.9727730456051</v>
      </c>
      <c r="AP83" s="112" t="n">
        <f aca="false">+AP81*AP82/1000</f>
        <v>47.3239298884381</v>
      </c>
      <c r="AQ83" s="112" t="n">
        <f aca="false">+AQ81*AQ82/1000</f>
        <v>48.7150918028224</v>
      </c>
      <c r="AR83" s="25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98"/>
      <c r="G84" s="14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  <c r="W84" s="99"/>
      <c r="X84" s="99"/>
      <c r="Y84" s="99"/>
      <c r="Z84" s="99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5"/>
    </row>
    <row r="85" customFormat="false" ht="12.75" hidden="false" customHeight="false" outlineLevel="0" collapsed="false">
      <c r="A85" s="48"/>
      <c r="B85" s="48" t="s">
        <v>62</v>
      </c>
      <c r="C85" s="3"/>
      <c r="D85" s="3"/>
      <c r="E85" s="3"/>
      <c r="F85" s="3"/>
      <c r="G85" s="14" t="s">
        <v>28</v>
      </c>
      <c r="H85" s="65" t="n">
        <f aca="false">+H73/H25*1000</f>
        <v>43.4373384107416</v>
      </c>
      <c r="I85" s="65" t="n">
        <f aca="false">+I73/I25*1000</f>
        <v>44.6773461404536</v>
      </c>
      <c r="J85" s="65" t="n">
        <f aca="false">+J73/J25*1000</f>
        <v>46.8328845037797</v>
      </c>
      <c r="K85" s="65" t="n">
        <f aca="false">+K73/K25*1000</f>
        <v>48.8814660388474</v>
      </c>
      <c r="L85" s="65" t="n">
        <f aca="false">+L73/L25*1000</f>
        <v>50.7233249491889</v>
      </c>
      <c r="M85" s="65" t="n">
        <f aca="false">+M73/M25*1000</f>
        <v>53.0016261165483</v>
      </c>
      <c r="N85" s="65" t="n">
        <f aca="false">+N73/N25*1000</f>
        <v>51.8359189278091</v>
      </c>
      <c r="O85" s="65" t="n">
        <f aca="false">+O73/O25*1000</f>
        <v>53.1752040291832</v>
      </c>
      <c r="P85" s="65" t="n">
        <f aca="false">+P73/P25*1000</f>
        <v>54.5968978216124</v>
      </c>
      <c r="Q85" s="65" t="n">
        <f aca="false">+Q73/Q25*1000</f>
        <v>56.1047399005975</v>
      </c>
      <c r="R85" s="65" t="n">
        <f aca="false">+R73/R25*1000</f>
        <v>57.7780712196936</v>
      </c>
      <c r="S85" s="65" t="n">
        <f aca="false">+S73/S25*1000</f>
        <v>59.4667143545591</v>
      </c>
      <c r="T85" s="65" t="n">
        <f aca="false">+T73/T25*1000</f>
        <v>61.1250677954424</v>
      </c>
      <c r="U85" s="65" t="n">
        <f aca="false">+U73/U25*1000</f>
        <v>61.9829722023017</v>
      </c>
      <c r="V85" s="65" t="n">
        <f aca="false">+V73/V25*1000</f>
        <v>62.7432691619339</v>
      </c>
      <c r="W85" s="65" t="n">
        <f aca="false">+W73/W25*1000</f>
        <v>63.5933609424233</v>
      </c>
      <c r="X85" s="65" t="n">
        <f aca="false">+X73/X25*1000</f>
        <v>66.0810491077595</v>
      </c>
      <c r="Y85" s="65" t="n">
        <f aca="false">+Y73/Y25*1000</f>
        <v>67.7169128363776</v>
      </c>
      <c r="Z85" s="65" t="n">
        <f aca="false">+Z73/Z25*1000</f>
        <v>69.443926921915</v>
      </c>
      <c r="AA85" s="113" t="n">
        <f aca="false">+AA73/AA25*1000</f>
        <v>44.7406612411025</v>
      </c>
      <c r="AB85" s="65" t="n">
        <f aca="false">+AB73/AB25*1000</f>
        <v>44.5926842754345</v>
      </c>
      <c r="AC85" s="65" t="n">
        <f aca="false">+AC73/AC25*1000</f>
        <v>49.1994199282013</v>
      </c>
      <c r="AD85" s="65" t="n">
        <f aca="false">+AD73/AD25*1000</f>
        <v>47.090849902532</v>
      </c>
      <c r="AE85" s="65" t="n">
        <f aca="false">+AE73/AE25*1000</f>
        <v>48.286580949652</v>
      </c>
      <c r="AF85" s="65" t="n">
        <f aca="false">+AF73/AF25*1000</f>
        <v>57.3720230646276</v>
      </c>
      <c r="AG85" s="65" t="n">
        <f aca="false">+AG73/AG25*1000</f>
        <v>50.9673010956298</v>
      </c>
      <c r="AH85" s="65" t="n">
        <f aca="false">+AH73/AH25*1000</f>
        <v>50.9199737321745</v>
      </c>
      <c r="AI85" s="65" t="n">
        <f aca="false">+AI73/AI25*1000</f>
        <v>55.7542724538419</v>
      </c>
      <c r="AJ85" s="65" t="n">
        <f aca="false">+AJ73/AJ25*1000</f>
        <v>53.7886551866392</v>
      </c>
      <c r="AK85" s="65" t="n">
        <f aca="false">+AK73/AK25*1000</f>
        <v>55.21438083543</v>
      </c>
      <c r="AL85" s="65" t="n">
        <f aca="false">+AL73/AL25*1000</f>
        <v>64.6717469803008</v>
      </c>
      <c r="AM85" s="65" t="n">
        <f aca="false">+AM73/AM25*1000</f>
        <v>58.2202536704378</v>
      </c>
      <c r="AN85" s="65" t="n">
        <f aca="false">+AN73/AN25*1000</f>
        <v>58.3860267822345</v>
      </c>
      <c r="AO85" s="65" t="n">
        <f aca="false">+AO73/AO25*1000</f>
        <v>63.5794809134414</v>
      </c>
      <c r="AP85" s="65" t="n">
        <f aca="false">+AP73/AP25*1000</f>
        <v>61.6969850644572</v>
      </c>
      <c r="AQ85" s="65" t="n">
        <f aca="false">+AQ73/AQ25*1000</f>
        <v>63.3122790030067</v>
      </c>
      <c r="AR85" s="25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98"/>
      <c r="G86" s="14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99"/>
      <c r="X86" s="99"/>
      <c r="Y86" s="99"/>
      <c r="Z86" s="99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5"/>
    </row>
    <row r="87" customFormat="false" ht="12.75" hidden="false" customHeight="false" outlineLevel="0" collapsed="false">
      <c r="A87" s="2"/>
      <c r="B87" s="48" t="s">
        <v>63</v>
      </c>
      <c r="C87" s="2"/>
      <c r="D87" s="2"/>
      <c r="E87" s="2"/>
      <c r="F87" s="98"/>
      <c r="G87" s="14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5"/>
    </row>
    <row r="88" customFormat="false" ht="12.75" hidden="false" customHeight="false" outlineLevel="0" collapsed="false">
      <c r="A88" s="2"/>
      <c r="B88" s="2" t="s">
        <v>64</v>
      </c>
      <c r="C88" s="2"/>
      <c r="D88" s="2"/>
      <c r="E88" s="2"/>
      <c r="F88" s="98"/>
      <c r="G88" s="14" t="s">
        <v>25</v>
      </c>
      <c r="H88" s="114" t="n">
        <f aca="false">+H25</f>
        <v>1943668.8</v>
      </c>
      <c r="I88" s="114" t="n">
        <f aca="false">+I25</f>
        <v>1943668.8</v>
      </c>
      <c r="J88" s="114" t="n">
        <f aca="false">+J25</f>
        <v>1943668.8</v>
      </c>
      <c r="K88" s="114" t="n">
        <f aca="false">+K25</f>
        <v>1948993.92</v>
      </c>
      <c r="L88" s="114" t="n">
        <f aca="false">+L25</f>
        <v>1943668.8</v>
      </c>
      <c r="M88" s="114" t="n">
        <f aca="false">+M25</f>
        <v>1943668.8</v>
      </c>
      <c r="N88" s="114" t="n">
        <f aca="false">+N25</f>
        <v>1943668.8</v>
      </c>
      <c r="O88" s="114" t="n">
        <f aca="false">+O25</f>
        <v>1948993.92</v>
      </c>
      <c r="P88" s="114" t="n">
        <f aca="false">+P25</f>
        <v>1943668.8</v>
      </c>
      <c r="Q88" s="114" t="n">
        <f aca="false">+Q25</f>
        <v>1943668.8</v>
      </c>
      <c r="R88" s="114" t="n">
        <f aca="false">+R25</f>
        <v>1943668.8</v>
      </c>
      <c r="S88" s="114" t="n">
        <f aca="false">+S25</f>
        <v>1948993.92</v>
      </c>
      <c r="T88" s="114" t="n">
        <f aca="false">+T25</f>
        <v>1943668.8</v>
      </c>
      <c r="U88" s="114" t="n">
        <f aca="false">+U25</f>
        <v>1943668.8</v>
      </c>
      <c r="V88" s="114" t="n">
        <f aca="false">+V25</f>
        <v>1943668.8</v>
      </c>
      <c r="W88" s="114" t="n">
        <f aca="false">+W25</f>
        <v>1948993.92</v>
      </c>
      <c r="X88" s="114" t="n">
        <f aca="false">+X25</f>
        <v>1943668.8</v>
      </c>
      <c r="Y88" s="114" t="n">
        <f aca="false">+Y25</f>
        <v>1943668.8</v>
      </c>
      <c r="Z88" s="114" t="n">
        <f aca="false">+Z25</f>
        <v>1943668.8</v>
      </c>
      <c r="AA88" s="115" t="n">
        <f aca="false">+AA25</f>
        <v>1948993.92</v>
      </c>
      <c r="AB88" s="115" t="n">
        <f aca="false">+AB25</f>
        <v>1943668.8</v>
      </c>
      <c r="AC88" s="115" t="n">
        <f aca="false">+AC25</f>
        <v>1943668.8</v>
      </c>
      <c r="AD88" s="115" t="n">
        <f aca="false">+AD25</f>
        <v>1943668.8</v>
      </c>
      <c r="AE88" s="115" t="n">
        <f aca="false">+AE25</f>
        <v>1948993.92</v>
      </c>
      <c r="AF88" s="115" t="n">
        <f aca="false">+AF25</f>
        <v>1943668.8</v>
      </c>
      <c r="AG88" s="115" t="n">
        <f aca="false">+AG25</f>
        <v>1943668.8</v>
      </c>
      <c r="AH88" s="115" t="n">
        <f aca="false">+AH25</f>
        <v>1943668.8</v>
      </c>
      <c r="AI88" s="115" t="n">
        <f aca="false">+AI25</f>
        <v>1948993.92</v>
      </c>
      <c r="AJ88" s="115" t="n">
        <f aca="false">+AJ25</f>
        <v>1943668.8</v>
      </c>
      <c r="AK88" s="115" t="n">
        <f aca="false">+AK25</f>
        <v>1943668.8</v>
      </c>
      <c r="AL88" s="115" t="n">
        <f aca="false">+AL25</f>
        <v>1943668.8</v>
      </c>
      <c r="AM88" s="115" t="n">
        <f aca="false">+AM25</f>
        <v>1948993.92</v>
      </c>
      <c r="AN88" s="115" t="n">
        <f aca="false">+AN25</f>
        <v>1943668.8</v>
      </c>
      <c r="AO88" s="115" t="n">
        <f aca="false">+AO25</f>
        <v>1943668.8</v>
      </c>
      <c r="AP88" s="115" t="n">
        <f aca="false">+AP25</f>
        <v>1943668.8</v>
      </c>
      <c r="AQ88" s="115" t="n">
        <f aca="false">+AQ25</f>
        <v>1948993.92</v>
      </c>
      <c r="AR88" s="25"/>
    </row>
    <row r="89" customFormat="false" ht="13.5" hidden="false" customHeight="false" outlineLevel="0" collapsed="false">
      <c r="A89" s="2"/>
      <c r="B89" s="2" t="s">
        <v>65</v>
      </c>
      <c r="C89" s="2"/>
      <c r="D89" s="2"/>
      <c r="E89" s="2"/>
      <c r="F89" s="98"/>
      <c r="G89" s="14" t="s">
        <v>28</v>
      </c>
      <c r="H89" s="116" t="n">
        <f aca="false">+H85-H35</f>
        <v>6.19497136531726</v>
      </c>
      <c r="I89" s="116" t="n">
        <f aca="false">+I85-I35</f>
        <v>13.5636154364974</v>
      </c>
      <c r="J89" s="116" t="n">
        <f aca="false">+J85-J35</f>
        <v>16.8811127969267</v>
      </c>
      <c r="K89" s="116" t="n">
        <f aca="false">+K85-K35</f>
        <v>17.3580537811752</v>
      </c>
      <c r="L89" s="116" t="n">
        <f aca="false">+L85-L35</f>
        <v>16.788095849743</v>
      </c>
      <c r="M89" s="116" t="n">
        <f aca="false">+M85-M35</f>
        <v>17.9095541020251</v>
      </c>
      <c r="N89" s="116" t="n">
        <f aca="false">+N85-N35</f>
        <v>14.9223140760008</v>
      </c>
      <c r="O89" s="116" t="n">
        <f aca="false">+O85-O35</f>
        <v>13.4427928566358</v>
      </c>
      <c r="P89" s="116" t="n">
        <f aca="false">+P85-P35</f>
        <v>13.9845087530618</v>
      </c>
      <c r="Q89" s="116" t="n">
        <f aca="false">+Q85-Q35</f>
        <v>14.4453393745254</v>
      </c>
      <c r="R89" s="116" t="n">
        <f aca="false">+R85-R35</f>
        <v>14.8912205792194</v>
      </c>
      <c r="S89" s="116" t="n">
        <f aca="false">+S85-S35</f>
        <v>15.8254814740281</v>
      </c>
      <c r="T89" s="116" t="n">
        <f aca="false">+T85-T35</f>
        <v>16.524345768931</v>
      </c>
      <c r="U89" s="116" t="n">
        <f aca="false">+U85-U35</f>
        <v>15.5456371426888</v>
      </c>
      <c r="V89" s="116" t="n">
        <f aca="false">+V85-V35</f>
        <v>17.6085589493518</v>
      </c>
      <c r="W89" s="116" t="n">
        <f aca="false">+W85-W35</f>
        <v>17.612657461882</v>
      </c>
      <c r="X89" s="116" t="n">
        <f aca="false">+X85-X35</f>
        <v>19.3617018116971</v>
      </c>
      <c r="Y89" s="116" t="n">
        <f aca="false">+Y85-Y35</f>
        <v>20.425396205837</v>
      </c>
      <c r="Z89" s="116" t="n">
        <f aca="false">+Z85-Z35</f>
        <v>20.5271733348808</v>
      </c>
      <c r="AA89" s="117" t="n">
        <f aca="false">+AA85-AA35</f>
        <v>-5.17180817837411</v>
      </c>
      <c r="AB89" s="117" t="n">
        <f aca="false">+AB85-AB35</f>
        <v>-6.33576908395827</v>
      </c>
      <c r="AC89" s="117" t="n">
        <f aca="false">+AC85-AC35</f>
        <v>-2.76569804225414</v>
      </c>
      <c r="AD89" s="117" t="n">
        <f aca="false">+AD85-AD35</f>
        <v>-5.93203431166759</v>
      </c>
      <c r="AE89" s="117" t="n">
        <f aca="false">+AE85-AE35</f>
        <v>-5.81560067131228</v>
      </c>
      <c r="AF89" s="117" t="n">
        <f aca="false">+AF85-AF35</f>
        <v>2.16857460031451</v>
      </c>
      <c r="AG89" s="117" t="n">
        <f aca="false">+AG85-AG35</f>
        <v>-5.35983084337531</v>
      </c>
      <c r="AH89" s="117" t="n">
        <f aca="false">+AH85-AH35</f>
        <v>-6.5537146104143</v>
      </c>
      <c r="AI89" s="117" t="n">
        <f aca="false">+AI85-AI35</f>
        <v>-2.88931080684994</v>
      </c>
      <c r="AJ89" s="117" t="n">
        <f aca="false">+AJ85-AJ35</f>
        <v>-6.04863656944423</v>
      </c>
      <c r="AK89" s="117" t="n">
        <f aca="false">+AK85-AK35</f>
        <v>-5.84091772615412</v>
      </c>
      <c r="AL89" s="117" t="n">
        <f aca="false">+AL85-AL35</f>
        <v>2.37364870339835</v>
      </c>
      <c r="AM89" s="117" t="n">
        <f aca="false">+AM85-AM35</f>
        <v>-5.34594189904129</v>
      </c>
      <c r="AN89" s="117" t="n">
        <f aca="false">+AN85-AN35</f>
        <v>-6.47407859718408</v>
      </c>
      <c r="AO89" s="117" t="n">
        <f aca="false">+AO85-AO35</f>
        <v>-2.60087221515087</v>
      </c>
      <c r="AP89" s="117" t="n">
        <f aca="false">+AP85-AP35</f>
        <v>-5.83048986954103</v>
      </c>
      <c r="AQ89" s="117" t="n">
        <f aca="false">+AQ85-AQ35</f>
        <v>-5.58973882245722</v>
      </c>
      <c r="AR89" s="25"/>
    </row>
    <row r="90" customFormat="false" ht="13.5" hidden="false" customHeight="false" outlineLevel="0" collapsed="false">
      <c r="A90" s="3"/>
      <c r="B90" s="66" t="s">
        <v>63</v>
      </c>
      <c r="C90" s="48"/>
      <c r="D90" s="48"/>
      <c r="E90" s="46"/>
      <c r="F90" s="46"/>
      <c r="G90" s="46"/>
      <c r="H90" s="91" t="n">
        <f aca="false">+H88*H89/1000</f>
        <v>12040.9725596606</v>
      </c>
      <c r="I90" s="92" t="n">
        <f aca="false">+I88*I89/1000</f>
        <v>26363.1761391183</v>
      </c>
      <c r="J90" s="92" t="n">
        <f aca="false">+J88*J89/1000</f>
        <v>32811.2922526673</v>
      </c>
      <c r="K90" s="92" t="n">
        <f aca="false">+K88*K89/1000</f>
        <v>33830.7412825436</v>
      </c>
      <c r="L90" s="92" t="n">
        <f aca="false">+L88*L89/1000</f>
        <v>32630.4981145549</v>
      </c>
      <c r="M90" s="92" t="n">
        <f aca="false">+M88*M89/1000</f>
        <v>34810.2415300182</v>
      </c>
      <c r="N90" s="92" t="n">
        <f aca="false">+N88*N89/1000</f>
        <v>29004.0362933237</v>
      </c>
      <c r="O90" s="92" t="n">
        <f aca="false">+O88*O89/1000</f>
        <v>26199.9215454026</v>
      </c>
      <c r="P90" s="92" t="n">
        <f aca="false">+P88*P89/1000</f>
        <v>27181.253346653</v>
      </c>
      <c r="Q90" s="92" t="n">
        <f aca="false">+Q88*Q89/1000</f>
        <v>28076.9554476766</v>
      </c>
      <c r="R90" s="92" t="n">
        <f aca="false">+R88*R89/1000</f>
        <v>28943.6008337467</v>
      </c>
      <c r="S90" s="92" t="n">
        <f aca="false">+S88*S89/1000</f>
        <v>30843.7671739535</v>
      </c>
      <c r="T90" s="92" t="n">
        <f aca="false">+T88*T89/1000</f>
        <v>32117.8553114831</v>
      </c>
      <c r="U90" s="92" t="n">
        <f aca="false">+U88*U89/1000</f>
        <v>30215.5698903655</v>
      </c>
      <c r="V90" s="92" t="n">
        <f aca="false">+V88*V89/1000</f>
        <v>34225.2066428159</v>
      </c>
      <c r="W90" s="92" t="n">
        <f aca="false">+W88*W89/1000</f>
        <v>34326.9623082506</v>
      </c>
      <c r="X90" s="92" t="n">
        <f aca="false">+X88*X89/1000</f>
        <v>37632.7357262992</v>
      </c>
      <c r="Y90" s="92" t="n">
        <f aca="false">+Y88*Y89/1000</f>
        <v>39700.2053329237</v>
      </c>
      <c r="Z90" s="93" t="n">
        <f aca="false">+Z88*Z89/1000</f>
        <v>39898.0263631997</v>
      </c>
      <c r="AA90" s="118" t="n">
        <f aca="false">+AA88*AA89/1000</f>
        <v>-10079.8226950574</v>
      </c>
      <c r="AB90" s="118" t="n">
        <f aca="false">+AB88*AB89/1000</f>
        <v>-12314.6366924943</v>
      </c>
      <c r="AC90" s="118" t="n">
        <f aca="false">+AC88*AC89/1000</f>
        <v>-5375.60099495045</v>
      </c>
      <c r="AD90" s="118" t="n">
        <f aca="false">+AD88*AD89/1000</f>
        <v>-11529.9100121178</v>
      </c>
      <c r="AE90" s="118" t="n">
        <f aca="false">+AE88*AE89/1000</f>
        <v>-11334.5703495355</v>
      </c>
      <c r="AF90" s="118" t="n">
        <f aca="false">+AF88*AF89/1000</f>
        <v>4214.99079110378</v>
      </c>
      <c r="AG90" s="118" t="n">
        <f aca="false">+AG88*AG89/1000</f>
        <v>-10417.7359835463</v>
      </c>
      <c r="AH90" s="118" t="n">
        <f aca="false">+AH88*AH89/1000</f>
        <v>-12738.2506123664</v>
      </c>
      <c r="AI90" s="118" t="n">
        <f aca="false">+AI88*AI89/1000</f>
        <v>-5631.24919554083</v>
      </c>
      <c r="AJ90" s="118" t="n">
        <f aca="false">+AJ88*AJ89/1000</f>
        <v>-11756.5461825678</v>
      </c>
      <c r="AK90" s="118" t="n">
        <f aca="false">+AK88*AK89/1000</f>
        <v>-11352.8095476927</v>
      </c>
      <c r="AL90" s="118" t="n">
        <f aca="false">+AL88*AL89/1000</f>
        <v>4613.58692695582</v>
      </c>
      <c r="AM90" s="118" t="n">
        <f aca="false">+AM88*AM89/1000</f>
        <v>-10419.2082579047</v>
      </c>
      <c r="AN90" s="118" t="n">
        <f aca="false">+AN88*AN89/1000</f>
        <v>-12583.4645780945</v>
      </c>
      <c r="AO90" s="118" t="n">
        <f aca="false">+AO88*AO89/1000</f>
        <v>-5055.23417737564</v>
      </c>
      <c r="AP90" s="118" t="n">
        <f aca="false">+AP88*AP89/1000</f>
        <v>-11332.541248143</v>
      </c>
      <c r="AQ90" s="118" t="n">
        <f aca="false">+AQ88*AQ89/1000</f>
        <v>-10894.3669793571</v>
      </c>
      <c r="AR90" s="25"/>
    </row>
    <row r="91" customFormat="false" ht="13.5" hidden="false" customHeight="false" outlineLevel="0" collapsed="false">
      <c r="A91" s="3"/>
      <c r="B91" s="95" t="str">
        <f aca="false">CONCATENATE("NPV ",+$E$16*100," of Cf to Term (2036)")</f>
        <v>NPV 6.25 of Cf to Term (2036)</v>
      </c>
      <c r="C91" s="2"/>
      <c r="D91" s="3"/>
      <c r="E91" s="3"/>
      <c r="F91" s="3"/>
      <c r="G91" s="96" t="n">
        <f aca="false">SUMPRODUCT(H90:AQ90,H16:AQ16)</f>
        <v>298809.72001337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5"/>
    </row>
    <row r="92" customFormat="false" ht="12.75" hidden="false" customHeight="false" outlineLevel="0" collapsed="false">
      <c r="A92" s="3"/>
      <c r="B92" s="2"/>
      <c r="C92" s="2"/>
      <c r="D92" s="2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5"/>
    </row>
    <row r="93" customFormat="false" ht="12.75" hidden="false" customHeight="false" outlineLevel="0" collapsed="false">
      <c r="A93" s="3"/>
      <c r="B93" s="2"/>
      <c r="C93" s="2"/>
      <c r="D93" s="2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5"/>
    </row>
    <row r="94" customFormat="false" ht="12.75" hidden="false" customHeight="false" outlineLevel="0" collapsed="false">
      <c r="A94" s="3"/>
      <c r="B94" s="2"/>
      <c r="C94" s="2"/>
      <c r="D94" s="2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5"/>
    </row>
    <row r="95" customFormat="false" ht="16.5" hidden="false" customHeight="false" outlineLevel="0" collapsed="false">
      <c r="A95" s="23"/>
      <c r="B95" s="2"/>
      <c r="C95" s="2"/>
      <c r="D95" s="2"/>
      <c r="E95" s="2"/>
      <c r="F95" s="3"/>
      <c r="G95" s="3"/>
      <c r="H95" s="20" t="n">
        <f aca="false">+H$9</f>
        <v>2001</v>
      </c>
      <c r="I95" s="20" t="n">
        <f aca="false">+I$9</f>
        <v>2002</v>
      </c>
      <c r="J95" s="20" t="n">
        <f aca="false">+J$9</f>
        <v>2003</v>
      </c>
      <c r="K95" s="20" t="n">
        <f aca="false">+K$9</f>
        <v>2004</v>
      </c>
      <c r="L95" s="20" t="n">
        <f aca="false">+L$9</f>
        <v>2005</v>
      </c>
      <c r="M95" s="20" t="n">
        <f aca="false">+M$9</f>
        <v>2006</v>
      </c>
      <c r="N95" s="20" t="n">
        <f aca="false">+N$9</f>
        <v>2007</v>
      </c>
      <c r="O95" s="20" t="n">
        <f aca="false">+O$9</f>
        <v>2008</v>
      </c>
      <c r="P95" s="20" t="n">
        <f aca="false">+P$9</f>
        <v>2009</v>
      </c>
      <c r="Q95" s="20" t="n">
        <f aca="false">+Q$9</f>
        <v>2010</v>
      </c>
      <c r="R95" s="20" t="n">
        <f aca="false">+R$9</f>
        <v>2011</v>
      </c>
      <c r="S95" s="20" t="n">
        <f aca="false">+S$9</f>
        <v>2012</v>
      </c>
      <c r="T95" s="20" t="n">
        <f aca="false">+T$9</f>
        <v>2013</v>
      </c>
      <c r="U95" s="20" t="n">
        <f aca="false">+U$9</f>
        <v>2014</v>
      </c>
      <c r="V95" s="20" t="n">
        <f aca="false">+V$9</f>
        <v>2015</v>
      </c>
      <c r="W95" s="20" t="n">
        <f aca="false">+W$9</f>
        <v>2016</v>
      </c>
      <c r="X95" s="20" t="n">
        <f aca="false">+X$9</f>
        <v>2017</v>
      </c>
      <c r="Y95" s="20" t="n">
        <f aca="false">+Y$9</f>
        <v>2018</v>
      </c>
      <c r="Z95" s="20" t="n">
        <f aca="false">+Z$9</f>
        <v>2019</v>
      </c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5"/>
    </row>
    <row r="96" customFormat="false" ht="15.75" hidden="false" customHeight="false" outlineLevel="0" collapsed="false">
      <c r="A96" s="23" t="s">
        <v>66</v>
      </c>
      <c r="B96" s="2"/>
      <c r="C96" s="2"/>
      <c r="D96" s="2"/>
      <c r="E96" s="2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5"/>
    </row>
    <row r="97" customFormat="false" ht="15.75" hidden="false" customHeight="false" outlineLevel="0" collapsed="false">
      <c r="A97" s="23"/>
      <c r="B97" s="2"/>
      <c r="C97" s="2"/>
      <c r="D97" s="2"/>
      <c r="E97" s="2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119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5"/>
    </row>
    <row r="98" customFormat="false" ht="12.75" hidden="false" customHeight="false" outlineLevel="0" collapsed="false">
      <c r="A98" s="48" t="s">
        <v>67</v>
      </c>
      <c r="B98" s="3"/>
      <c r="C98" s="2"/>
      <c r="D98" s="2"/>
      <c r="E98" s="2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119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5"/>
    </row>
    <row r="99" customFormat="false" ht="12.75" hidden="false" customHeight="false" outlineLevel="0" collapsed="false">
      <c r="A99" s="66" t="s">
        <v>68</v>
      </c>
      <c r="B99" s="3"/>
      <c r="C99" s="66"/>
      <c r="D99" s="66"/>
      <c r="E99" s="66"/>
      <c r="F99" s="3"/>
      <c r="G99" s="120" t="n">
        <f aca="false">+G102-G101-G100</f>
        <v>129618</v>
      </c>
      <c r="H99" s="121" t="n">
        <f aca="false">+G99/$G$102</f>
        <v>0.319965440631943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119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5"/>
    </row>
    <row r="100" customFormat="false" ht="12.75" hidden="false" customHeight="false" outlineLevel="0" collapsed="false">
      <c r="A100" s="66" t="s">
        <v>69</v>
      </c>
      <c r="B100" s="3"/>
      <c r="C100" s="66"/>
      <c r="D100" s="66"/>
      <c r="E100" s="66"/>
      <c r="F100" s="3"/>
      <c r="G100" s="90" t="n">
        <v>130000</v>
      </c>
      <c r="H100" s="121" t="n">
        <f aca="false">+G100/$G$102</f>
        <v>0.320908417674648</v>
      </c>
      <c r="I100" s="3"/>
      <c r="J100" s="122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119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5"/>
    </row>
    <row r="101" customFormat="false" ht="13.5" hidden="false" customHeight="false" outlineLevel="0" collapsed="false">
      <c r="A101" s="66" t="s">
        <v>70</v>
      </c>
      <c r="B101" s="3"/>
      <c r="C101" s="66"/>
      <c r="D101" s="66"/>
      <c r="E101" s="66"/>
      <c r="F101" s="3"/>
      <c r="G101" s="90" t="n">
        <v>145482</v>
      </c>
      <c r="H101" s="121" t="n">
        <f aca="false">+G101/$G$102</f>
        <v>0.359126141693409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119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5"/>
    </row>
    <row r="102" customFormat="false" ht="13.5" hidden="false" customHeight="false" outlineLevel="0" collapsed="false">
      <c r="A102" s="48" t="s">
        <v>71</v>
      </c>
      <c r="B102" s="97"/>
      <c r="C102" s="48"/>
      <c r="D102" s="48"/>
      <c r="E102" s="48"/>
      <c r="F102" s="46"/>
      <c r="G102" s="123" t="n">
        <v>405100</v>
      </c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118"/>
      <c r="AB102" s="118"/>
      <c r="AC102" s="118"/>
      <c r="AD102" s="118"/>
      <c r="AE102" s="118"/>
      <c r="AF102" s="118"/>
      <c r="AG102" s="118"/>
      <c r="AH102" s="118"/>
      <c r="AI102" s="118"/>
      <c r="AJ102" s="118"/>
      <c r="AK102" s="118"/>
      <c r="AL102" s="118"/>
      <c r="AM102" s="118"/>
      <c r="AN102" s="118"/>
      <c r="AO102" s="118"/>
      <c r="AP102" s="118"/>
      <c r="AQ102" s="118"/>
      <c r="AR102" s="124"/>
    </row>
    <row r="103" customFormat="false" ht="12.75" hidden="false" customHeight="false" outlineLevel="0" collapsed="false">
      <c r="A103" s="66" t="s">
        <v>72</v>
      </c>
      <c r="B103" s="97"/>
      <c r="C103" s="48"/>
      <c r="D103" s="48"/>
      <c r="E103" s="48"/>
      <c r="F103" s="46"/>
      <c r="G103" s="80" t="n">
        <f aca="false">-(+SUM(G99:G100)+SUM(G104:G107))</f>
        <v>-231240.144515734</v>
      </c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118"/>
      <c r="AB103" s="118"/>
      <c r="AC103" s="118"/>
      <c r="AD103" s="118"/>
      <c r="AE103" s="118"/>
      <c r="AF103" s="118"/>
      <c r="AG103" s="118"/>
      <c r="AH103" s="118"/>
      <c r="AI103" s="118"/>
      <c r="AJ103" s="118"/>
      <c r="AK103" s="118"/>
      <c r="AL103" s="118"/>
      <c r="AM103" s="118"/>
      <c r="AN103" s="118"/>
      <c r="AO103" s="118"/>
      <c r="AP103" s="118"/>
      <c r="AQ103" s="118"/>
      <c r="AR103" s="124"/>
    </row>
    <row r="104" customFormat="false" ht="12.75" hidden="false" customHeight="false" outlineLevel="0" collapsed="false">
      <c r="A104" s="66" t="s">
        <v>73</v>
      </c>
      <c r="B104" s="97"/>
      <c r="C104" s="66"/>
      <c r="D104" s="66"/>
      <c r="E104" s="66"/>
      <c r="F104" s="14"/>
      <c r="G104" s="90" t="n">
        <v>-7723.85548426643</v>
      </c>
      <c r="H104" s="97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25"/>
      <c r="V104" s="125"/>
      <c r="W104" s="125"/>
      <c r="X104" s="125"/>
      <c r="Y104" s="125"/>
      <c r="Z104" s="125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18"/>
      <c r="AL104" s="118"/>
      <c r="AM104" s="118"/>
      <c r="AN104" s="118"/>
      <c r="AO104" s="118"/>
      <c r="AP104" s="118"/>
      <c r="AQ104" s="118"/>
      <c r="AR104" s="124"/>
      <c r="BD104" s="114"/>
      <c r="BE104" s="114"/>
      <c r="BF104" s="114"/>
      <c r="BG104" s="114"/>
      <c r="BH104" s="114"/>
    </row>
    <row r="105" customFormat="false" ht="12.75" hidden="false" customHeight="false" outlineLevel="0" collapsed="false">
      <c r="A105" s="66" t="s">
        <v>74</v>
      </c>
      <c r="B105" s="97"/>
      <c r="C105" s="66"/>
      <c r="D105" s="66"/>
      <c r="E105" s="66"/>
      <c r="F105" s="14"/>
      <c r="G105" s="90" t="n">
        <v>-4110</v>
      </c>
      <c r="H105" s="97"/>
      <c r="I105" s="126" t="n">
        <f aca="false">-SUM(G104:G107)</f>
        <v>28377.8554842664</v>
      </c>
      <c r="J105" s="127" t="s">
        <v>75</v>
      </c>
      <c r="K105" s="127"/>
      <c r="L105" s="127"/>
      <c r="M105" s="127"/>
      <c r="N105" s="127"/>
      <c r="O105" s="125"/>
      <c r="P105" s="125"/>
      <c r="Q105" s="125"/>
      <c r="R105" s="125"/>
      <c r="S105" s="125"/>
      <c r="T105" s="125"/>
      <c r="U105" s="125"/>
      <c r="V105" s="125"/>
      <c r="W105" s="125"/>
      <c r="X105" s="125"/>
      <c r="Y105" s="125"/>
      <c r="Z105" s="125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8"/>
      <c r="AK105" s="118"/>
      <c r="AL105" s="118"/>
      <c r="AM105" s="118"/>
      <c r="AN105" s="118"/>
      <c r="AO105" s="118"/>
      <c r="AP105" s="118"/>
      <c r="AQ105" s="118"/>
      <c r="AR105" s="124"/>
      <c r="BD105" s="114"/>
      <c r="BE105" s="114"/>
      <c r="BF105" s="114"/>
      <c r="BG105" s="114"/>
      <c r="BH105" s="114"/>
    </row>
    <row r="106" customFormat="false" ht="12.75" hidden="false" customHeight="false" outlineLevel="0" collapsed="false">
      <c r="A106" s="66" t="s">
        <v>76</v>
      </c>
      <c r="B106" s="97"/>
      <c r="C106" s="66"/>
      <c r="D106" s="66"/>
      <c r="E106" s="66"/>
      <c r="F106" s="14"/>
      <c r="G106" s="90" t="n">
        <f aca="false">-1194-350</f>
        <v>-1544</v>
      </c>
      <c r="H106" s="97"/>
      <c r="I106" s="126"/>
      <c r="J106" s="127"/>
      <c r="K106" s="127"/>
      <c r="L106" s="127"/>
      <c r="M106" s="127"/>
      <c r="N106" s="127"/>
      <c r="O106" s="125"/>
      <c r="P106" s="125"/>
      <c r="Q106" s="125"/>
      <c r="R106" s="125"/>
      <c r="S106" s="125"/>
      <c r="T106" s="125"/>
      <c r="U106" s="125"/>
      <c r="V106" s="125"/>
      <c r="W106" s="125"/>
      <c r="X106" s="125"/>
      <c r="Y106" s="125"/>
      <c r="Z106" s="125"/>
      <c r="AA106" s="118"/>
      <c r="AB106" s="118"/>
      <c r="AC106" s="118"/>
      <c r="AD106" s="118"/>
      <c r="AE106" s="118"/>
      <c r="AF106" s="118"/>
      <c r="AG106" s="118"/>
      <c r="AH106" s="118"/>
      <c r="AI106" s="118"/>
      <c r="AJ106" s="118"/>
      <c r="AK106" s="118"/>
      <c r="AL106" s="118"/>
      <c r="AM106" s="118"/>
      <c r="AN106" s="118"/>
      <c r="AO106" s="118"/>
      <c r="AP106" s="118"/>
      <c r="AQ106" s="118"/>
      <c r="AR106" s="124"/>
      <c r="BD106" s="114"/>
      <c r="BE106" s="114"/>
      <c r="BF106" s="114"/>
      <c r="BG106" s="114"/>
      <c r="BH106" s="114"/>
    </row>
    <row r="107" customFormat="false" ht="12.75" hidden="false" customHeight="false" outlineLevel="0" collapsed="false">
      <c r="A107" s="66" t="s">
        <v>77</v>
      </c>
      <c r="B107" s="97"/>
      <c r="C107" s="66"/>
      <c r="D107" s="66"/>
      <c r="E107" s="66"/>
      <c r="F107" s="14"/>
      <c r="G107" s="90" t="n">
        <v>-15000</v>
      </c>
      <c r="H107" s="97"/>
      <c r="I107" s="125"/>
      <c r="J107" s="125"/>
      <c r="K107" s="125"/>
      <c r="L107" s="125"/>
      <c r="M107" s="125"/>
      <c r="N107" s="125"/>
      <c r="O107" s="125"/>
      <c r="P107" s="125"/>
      <c r="Q107" s="125"/>
      <c r="R107" s="125"/>
      <c r="S107" s="125"/>
      <c r="T107" s="125"/>
      <c r="U107" s="125"/>
      <c r="V107" s="125"/>
      <c r="W107" s="125"/>
      <c r="X107" s="125"/>
      <c r="Y107" s="125"/>
      <c r="Z107" s="125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8"/>
      <c r="AK107" s="118"/>
      <c r="AL107" s="118"/>
      <c r="AM107" s="118"/>
      <c r="AN107" s="118"/>
      <c r="AO107" s="118"/>
      <c r="AP107" s="118"/>
      <c r="AQ107" s="118"/>
      <c r="AR107" s="128" t="s">
        <v>78</v>
      </c>
      <c r="BD107" s="114"/>
      <c r="BE107" s="114"/>
      <c r="BF107" s="114"/>
      <c r="BG107" s="114"/>
      <c r="BH107" s="114"/>
    </row>
    <row r="108" customFormat="false" ht="12.75" hidden="false" customHeight="false" outlineLevel="0" collapsed="false">
      <c r="A108" s="48"/>
      <c r="B108" s="97"/>
      <c r="C108" s="2"/>
      <c r="D108" s="2"/>
      <c r="E108" s="2"/>
      <c r="F108" s="3"/>
      <c r="G108" s="125"/>
      <c r="H108" s="97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8"/>
      <c r="AN108" s="118"/>
      <c r="AO108" s="118"/>
      <c r="AP108" s="118"/>
      <c r="AQ108" s="118"/>
      <c r="AR108" s="124"/>
      <c r="BD108" s="114"/>
      <c r="BE108" s="114"/>
      <c r="BF108" s="114"/>
      <c r="BG108" s="114"/>
      <c r="BH108" s="114"/>
    </row>
    <row r="109" customFormat="false" ht="12.75" hidden="false" customHeight="false" outlineLevel="0" collapsed="false">
      <c r="A109" s="48" t="s">
        <v>79</v>
      </c>
      <c r="B109" s="97"/>
      <c r="C109" s="2"/>
      <c r="D109" s="2"/>
      <c r="E109" s="2"/>
      <c r="F109" s="3"/>
      <c r="G109" s="129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8"/>
      <c r="AN109" s="118"/>
      <c r="AO109" s="118"/>
      <c r="AP109" s="118"/>
      <c r="AQ109" s="118"/>
      <c r="AR109" s="124"/>
    </row>
    <row r="110" customFormat="false" ht="12.75" hidden="false" customHeight="false" outlineLevel="0" collapsed="false">
      <c r="A110" s="48"/>
      <c r="B110" s="97"/>
      <c r="C110" s="2"/>
      <c r="D110" s="2"/>
      <c r="E110" s="2"/>
      <c r="F110" s="3"/>
      <c r="G110" s="129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18"/>
      <c r="AK110" s="118"/>
      <c r="AL110" s="118"/>
      <c r="AM110" s="118"/>
      <c r="AN110" s="118"/>
      <c r="AO110" s="118"/>
      <c r="AP110" s="118"/>
      <c r="AQ110" s="118"/>
      <c r="AR110" s="124"/>
    </row>
    <row r="111" customFormat="false" ht="12.75" hidden="false" customHeight="false" outlineLevel="0" collapsed="false">
      <c r="A111" s="48"/>
      <c r="B111" s="48" t="s">
        <v>80</v>
      </c>
      <c r="C111" s="2"/>
      <c r="D111" s="2"/>
      <c r="E111" s="2"/>
      <c r="F111" s="3"/>
      <c r="G111" s="129"/>
      <c r="H111" s="83" t="s">
        <v>81</v>
      </c>
      <c r="I111" s="83"/>
      <c r="J111" s="83"/>
      <c r="K111" s="83"/>
      <c r="L111" s="83"/>
      <c r="M111" s="83"/>
      <c r="N111" s="84" t="s">
        <v>82</v>
      </c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118"/>
      <c r="AB111" s="118"/>
      <c r="AC111" s="118"/>
      <c r="AD111" s="118"/>
      <c r="AE111" s="118"/>
      <c r="AF111" s="118"/>
      <c r="AG111" s="118"/>
      <c r="AH111" s="118"/>
      <c r="AI111" s="118"/>
      <c r="AJ111" s="118"/>
      <c r="AK111" s="118"/>
      <c r="AL111" s="118"/>
      <c r="AM111" s="118"/>
      <c r="AN111" s="118"/>
      <c r="AO111" s="118"/>
      <c r="AP111" s="118"/>
      <c r="AQ111" s="118"/>
      <c r="AR111" s="124"/>
    </row>
    <row r="112" customFormat="false" ht="12.75" hidden="false" customHeight="false" outlineLevel="0" collapsed="false">
      <c r="A112" s="48"/>
      <c r="B112" s="66" t="s">
        <v>53</v>
      </c>
      <c r="C112" s="3"/>
      <c r="D112" s="2"/>
      <c r="E112" s="2"/>
      <c r="F112" s="3"/>
      <c r="G112" s="14" t="s">
        <v>54</v>
      </c>
      <c r="H112" s="130" t="n">
        <v>2.39294</v>
      </c>
      <c r="I112" s="130" t="n">
        <v>2.51262</v>
      </c>
      <c r="J112" s="130" t="n">
        <v>2.64</v>
      </c>
      <c r="K112" s="130" t="n">
        <v>2.77046</v>
      </c>
      <c r="L112" s="130" t="n">
        <v>2.90890019901103</v>
      </c>
      <c r="M112" s="130" t="n">
        <v>2.97876216605765</v>
      </c>
      <c r="N112" s="101" t="n">
        <f aca="false">+N31</f>
        <v>2.68387115801579</v>
      </c>
      <c r="O112" s="101" t="n">
        <f aca="false">+O31</f>
        <v>2.75419829772652</v>
      </c>
      <c r="P112" s="101" t="n">
        <f aca="false">+P31</f>
        <v>2.8135802951053</v>
      </c>
      <c r="Q112" s="101" t="n">
        <f aca="false">+Q31</f>
        <v>2.87418531708692</v>
      </c>
      <c r="R112" s="101" t="n">
        <f aca="false">+R31</f>
        <v>2.94902910274387</v>
      </c>
      <c r="S112" s="101" t="n">
        <f aca="false">+S31</f>
        <v>3.02576257902124</v>
      </c>
      <c r="T112" s="101" t="n">
        <f aca="false">+T31</f>
        <v>3.11804833768138</v>
      </c>
      <c r="U112" s="101" t="n">
        <f aca="false">+U31</f>
        <v>3.19899505107665</v>
      </c>
      <c r="V112" s="101" t="n">
        <f aca="false">+V31</f>
        <v>3.28198115530382</v>
      </c>
      <c r="W112" s="101" t="n">
        <f aca="false">+W31</f>
        <v>3.37364930428226</v>
      </c>
      <c r="X112" s="101" t="n">
        <f aca="false">+X31</f>
        <v>3.48269670140645</v>
      </c>
      <c r="Y112" s="101" t="n">
        <f aca="false">+Y31</f>
        <v>3.57977315112835</v>
      </c>
      <c r="Z112" s="101" t="n">
        <f aca="false">+Z31</f>
        <v>3.67948887473382</v>
      </c>
      <c r="AA112" s="102" t="n">
        <f aca="false">+AA31</f>
        <v>3.78617865580025</v>
      </c>
      <c r="AB112" s="102" t="n">
        <f aca="false">+AB31</f>
        <v>3.89596199408931</v>
      </c>
      <c r="AC112" s="102" t="n">
        <f aca="false">+AC31</f>
        <v>4.00892858981589</v>
      </c>
      <c r="AD112" s="102" t="n">
        <f aca="false">+AD31</f>
        <v>4.12517074412581</v>
      </c>
      <c r="AE112" s="102" t="n">
        <f aca="false">+AE31</f>
        <v>4.24478343451185</v>
      </c>
      <c r="AF112" s="102" t="n">
        <f aca="false">+AF31</f>
        <v>4.3678643924167</v>
      </c>
      <c r="AG112" s="102" t="n">
        <f aca="false">+AG31</f>
        <v>4.49451418308593</v>
      </c>
      <c r="AH112" s="102" t="n">
        <f aca="false">+AH31</f>
        <v>4.62483628773643</v>
      </c>
      <c r="AI112" s="102" t="n">
        <f aca="false">+AI31</f>
        <v>4.75893718810737</v>
      </c>
      <c r="AJ112" s="102" t="n">
        <f aca="false">+AJ31</f>
        <v>4.89692645346282</v>
      </c>
      <c r="AK112" s="102" t="n">
        <f aca="false">+AK31</f>
        <v>5.03891683011702</v>
      </c>
      <c r="AL112" s="102" t="n">
        <f aca="false">+AL31</f>
        <v>5.18502433355553</v>
      </c>
      <c r="AM112" s="102" t="n">
        <f aca="false">+AM31</f>
        <v>5.33536834322757</v>
      </c>
      <c r="AN112" s="102" t="n">
        <f aca="false">+AN31</f>
        <v>5.49007170008685</v>
      </c>
      <c r="AO112" s="102" t="n">
        <f aca="false">+AO31</f>
        <v>5.64926080696074</v>
      </c>
      <c r="AP112" s="102" t="n">
        <f aca="false">+AP31</f>
        <v>5.81306573182966</v>
      </c>
      <c r="AQ112" s="102" t="n">
        <f aca="false">+AQ31</f>
        <v>5.98162031410124</v>
      </c>
      <c r="AR112" s="124"/>
    </row>
    <row r="113" customFormat="false" ht="12.75" hidden="false" customHeight="false" outlineLevel="0" collapsed="false">
      <c r="A113" s="48"/>
      <c r="B113" s="66" t="s">
        <v>55</v>
      </c>
      <c r="C113" s="3"/>
      <c r="D113" s="97"/>
      <c r="E113" s="131" t="n">
        <f aca="false">+E78</f>
        <v>0.01</v>
      </c>
      <c r="F113" s="3"/>
      <c r="G113" s="14" t="s">
        <v>54</v>
      </c>
      <c r="H113" s="101" t="n">
        <f aca="false">(+H112/(1-$E$78))-H112</f>
        <v>0.0241711111111109</v>
      </c>
      <c r="I113" s="101" t="n">
        <f aca="false">(+I112/(1-$E$78))-I112</f>
        <v>0.0253800000000002</v>
      </c>
      <c r="J113" s="101" t="n">
        <f aca="false">(+J112/(1-$E$78))-J112</f>
        <v>0.0266666666666668</v>
      </c>
      <c r="K113" s="101" t="n">
        <f aca="false">(+K112/(1-$E$78))-K112</f>
        <v>0.0279844444444444</v>
      </c>
      <c r="L113" s="101" t="n">
        <f aca="false">(+L112/(1-$E$78))-L112</f>
        <v>0.0293828302930406</v>
      </c>
      <c r="M113" s="101" t="n">
        <f aca="false">(+M112/(1-$E$78))-M112</f>
        <v>0.0300885067278549</v>
      </c>
      <c r="N113" s="101" t="n">
        <f aca="false">(+N112/(1-$E$78))-N112</f>
        <v>0.0271098096769271</v>
      </c>
      <c r="O113" s="101" t="n">
        <f aca="false">(+O112/(1-$E$78))-O112</f>
        <v>0.0278201848255204</v>
      </c>
      <c r="P113" s="101" t="n">
        <f aca="false">(+P112/(1-$E$78))-P112</f>
        <v>0.0284200029808614</v>
      </c>
      <c r="Q113" s="101" t="n">
        <f aca="false">(+Q112/(1-$E$78))-Q112</f>
        <v>0.0290321749200699</v>
      </c>
      <c r="R113" s="101" t="n">
        <f aca="false">(+R112/(1-$E$78))-R112</f>
        <v>0.0297881727549885</v>
      </c>
      <c r="S113" s="101" t="n">
        <f aca="false">(+S112/(1-$E$78))-S112</f>
        <v>0.0305632583739519</v>
      </c>
      <c r="T113" s="101" t="n">
        <f aca="false">(+T112/(1-$E$78))-T112</f>
        <v>0.0314954377543573</v>
      </c>
      <c r="U113" s="101" t="n">
        <f aca="false">(+U112/(1-$E$78))-U112</f>
        <v>0.0323130813240065</v>
      </c>
      <c r="V113" s="101" t="n">
        <f aca="false">(+V112/(1-$E$78))-V112</f>
        <v>0.0331513248010489</v>
      </c>
      <c r="W113" s="101" t="n">
        <f aca="false">(+W112/(1-$E$78))-W112</f>
        <v>0.0340772656998207</v>
      </c>
      <c r="X113" s="101" t="n">
        <f aca="false">(+X112/(1-$E$78))-X112</f>
        <v>0.0351787545596611</v>
      </c>
      <c r="Y113" s="101" t="n">
        <f aca="false">(+Y112/(1-$E$78))-Y112</f>
        <v>0.0361593247588723</v>
      </c>
      <c r="Z113" s="101" t="n">
        <f aca="false">(+Z112/(1-$E$78))-Z112</f>
        <v>0.0371665542902409</v>
      </c>
      <c r="AA113" s="102" t="n">
        <f aca="false">(+AA112/(1-$E$78))-AA112</f>
        <v>0.0382442288464673</v>
      </c>
      <c r="AB113" s="102" t="n">
        <f aca="false">(+AB112/(1-$E$78))-AB112</f>
        <v>0.0393531514554475</v>
      </c>
      <c r="AC113" s="102" t="n">
        <f aca="false">(+AC112/(1-$E$78))-AC112</f>
        <v>0.0404942281799583</v>
      </c>
      <c r="AD113" s="102" t="n">
        <f aca="false">(+AD112/(1-$E$78))-AD112</f>
        <v>0.0416683913548059</v>
      </c>
      <c r="AE113" s="102" t="n">
        <f aca="false">(+AE112/(1-$E$78))-AE112</f>
        <v>0.0428766003486043</v>
      </c>
      <c r="AF113" s="102" t="n">
        <f aca="false">(+AF112/(1-$E$78))-AF112</f>
        <v>0.0441198423476434</v>
      </c>
      <c r="AG113" s="102" t="n">
        <f aca="false">(+AG112/(1-$E$78))-AG112</f>
        <v>0.0453991331624843</v>
      </c>
      <c r="AH113" s="102" t="n">
        <f aca="false">(+AH112/(1-$E$78))-AH112</f>
        <v>0.0467155180579439</v>
      </c>
      <c r="AI113" s="102" t="n">
        <f aca="false">(+AI112/(1-$E$78))-AI112</f>
        <v>0.0480700726071452</v>
      </c>
      <c r="AJ113" s="102" t="n">
        <f aca="false">(+AJ112/(1-$E$78))-AJ112</f>
        <v>0.0494639035703317</v>
      </c>
      <c r="AK113" s="102" t="n">
        <f aca="false">(+AK112/(1-$E$78))-AK112</f>
        <v>0.0508981497991616</v>
      </c>
      <c r="AL113" s="102" t="n">
        <f aca="false">(+AL112/(1-$E$78))-AL112</f>
        <v>0.0523739831672279</v>
      </c>
      <c r="AM113" s="102" t="n">
        <f aca="false">(+AM112/(1-$E$78))-AM112</f>
        <v>0.0538926095275514</v>
      </c>
      <c r="AN113" s="102" t="n">
        <f aca="false">(+AN112/(1-$E$78))-AN112</f>
        <v>0.0554552696978474</v>
      </c>
      <c r="AO113" s="102" t="n">
        <f aca="false">(+AO112/(1-$E$78))-AO112</f>
        <v>0.057063240474351</v>
      </c>
      <c r="AP113" s="102" t="n">
        <f aca="false">(+AP112/(1-$E$78))-AP112</f>
        <v>0.0587178356750471</v>
      </c>
      <c r="AQ113" s="102" t="n">
        <f aca="false">(+AQ112/(1-$E$78))-AQ112</f>
        <v>0.0604204072131438</v>
      </c>
      <c r="AR113" s="124"/>
    </row>
    <row r="114" customFormat="false" ht="12.75" hidden="false" customHeight="false" outlineLevel="0" collapsed="false">
      <c r="A114" s="48"/>
      <c r="B114" s="66" t="s">
        <v>56</v>
      </c>
      <c r="C114" s="3"/>
      <c r="D114" s="2"/>
      <c r="E114" s="2"/>
      <c r="F114" s="3"/>
      <c r="G114" s="14" t="s">
        <v>54</v>
      </c>
      <c r="H114" s="130" t="n">
        <v>0.1</v>
      </c>
      <c r="I114" s="101" t="n">
        <f aca="false">+H114+0.005</f>
        <v>0.105</v>
      </c>
      <c r="J114" s="101" t="n">
        <f aca="false">+I114+0.005</f>
        <v>0.11</v>
      </c>
      <c r="K114" s="101" t="n">
        <f aca="false">+J114+0.005</f>
        <v>0.115</v>
      </c>
      <c r="L114" s="101" t="n">
        <f aca="false">+K114+0.005</f>
        <v>0.12</v>
      </c>
      <c r="M114" s="101" t="n">
        <f aca="false">+L114+0.005</f>
        <v>0.125</v>
      </c>
      <c r="N114" s="101" t="n">
        <f aca="false">+M114+0.005</f>
        <v>0.13</v>
      </c>
      <c r="O114" s="101" t="n">
        <f aca="false">+N114+0.005</f>
        <v>0.135</v>
      </c>
      <c r="P114" s="101" t="n">
        <f aca="false">+O114+0.005</f>
        <v>0.14</v>
      </c>
      <c r="Q114" s="101" t="n">
        <f aca="false">+P114+0.005</f>
        <v>0.145</v>
      </c>
      <c r="R114" s="101" t="n">
        <f aca="false">+Q114+0.005</f>
        <v>0.15</v>
      </c>
      <c r="S114" s="101" t="n">
        <f aca="false">+R114+0.005</f>
        <v>0.155</v>
      </c>
      <c r="T114" s="101" t="n">
        <f aca="false">+S114+0.005</f>
        <v>0.16</v>
      </c>
      <c r="U114" s="101" t="n">
        <f aca="false">+T114+0.005</f>
        <v>0.165</v>
      </c>
      <c r="V114" s="101" t="n">
        <f aca="false">+U114+0.005</f>
        <v>0.17</v>
      </c>
      <c r="W114" s="101" t="n">
        <f aca="false">+V114+0.005</f>
        <v>0.175</v>
      </c>
      <c r="X114" s="101" t="n">
        <f aca="false">+W114+0.005</f>
        <v>0.18</v>
      </c>
      <c r="Y114" s="101" t="n">
        <f aca="false">+X114+0.005</f>
        <v>0.185</v>
      </c>
      <c r="Z114" s="101" t="n">
        <f aca="false">+Y114+0.005</f>
        <v>0.19</v>
      </c>
      <c r="AA114" s="102" t="n">
        <f aca="false">+Z114+0.005</f>
        <v>0.195</v>
      </c>
      <c r="AB114" s="102" t="n">
        <f aca="false">+AA114+0.005</f>
        <v>0.2</v>
      </c>
      <c r="AC114" s="102" t="n">
        <f aca="false">+AB114+0.005</f>
        <v>0.205</v>
      </c>
      <c r="AD114" s="102" t="n">
        <f aca="false">+AC114+0.005</f>
        <v>0.21</v>
      </c>
      <c r="AE114" s="102" t="n">
        <f aca="false">+AD114+0.005</f>
        <v>0.215</v>
      </c>
      <c r="AF114" s="102" t="n">
        <f aca="false">+AE114+0.005</f>
        <v>0.22</v>
      </c>
      <c r="AG114" s="102" t="n">
        <f aca="false">+AF114+0.005</f>
        <v>0.225</v>
      </c>
      <c r="AH114" s="102" t="n">
        <f aca="false">+AG114+0.005</f>
        <v>0.23</v>
      </c>
      <c r="AI114" s="102" t="n">
        <f aca="false">+AH114+0.005</f>
        <v>0.235</v>
      </c>
      <c r="AJ114" s="102" t="n">
        <f aca="false">+AI114+0.005</f>
        <v>0.24</v>
      </c>
      <c r="AK114" s="102" t="n">
        <f aca="false">+AJ114+0.005</f>
        <v>0.245</v>
      </c>
      <c r="AL114" s="102" t="n">
        <f aca="false">+AK114+0.005</f>
        <v>0.25</v>
      </c>
      <c r="AM114" s="102" t="n">
        <f aca="false">+AL114+0.005</f>
        <v>0.255</v>
      </c>
      <c r="AN114" s="102" t="n">
        <f aca="false">+AM114+0.005</f>
        <v>0.26</v>
      </c>
      <c r="AO114" s="102" t="n">
        <f aca="false">+AN114+0.005</f>
        <v>0.265</v>
      </c>
      <c r="AP114" s="102" t="n">
        <f aca="false">+AO114+0.005</f>
        <v>0.27</v>
      </c>
      <c r="AQ114" s="102" t="n">
        <f aca="false">+AP114+0.005</f>
        <v>0.275</v>
      </c>
      <c r="AR114" s="124"/>
    </row>
    <row r="115" customFormat="false" ht="13.5" hidden="false" customHeight="false" outlineLevel="0" collapsed="false">
      <c r="A115" s="48"/>
      <c r="B115" s="66" t="s">
        <v>83</v>
      </c>
      <c r="C115" s="3"/>
      <c r="D115" s="2"/>
      <c r="E115" s="2"/>
      <c r="F115" s="3"/>
      <c r="G115" s="14" t="s">
        <v>54</v>
      </c>
      <c r="H115" s="107" t="n">
        <v>0.04</v>
      </c>
      <c r="I115" s="132" t="n">
        <f aca="false">+H115*(1+I54)</f>
        <v>0.0410903188796035</v>
      </c>
      <c r="J115" s="132" t="n">
        <f aca="false">+I115*(1+J54)</f>
        <v>0.0422103576406874</v>
      </c>
      <c r="K115" s="132" t="n">
        <f aca="false">+J115*(1+K54)</f>
        <v>0.0433609263869488</v>
      </c>
      <c r="L115" s="132" t="n">
        <f aca="false">+K115*(1+L54)</f>
        <v>0.0445428573038685</v>
      </c>
      <c r="M115" s="132" t="n">
        <f aca="false">+L115*(1+M54)</f>
        <v>0.0457570052606157</v>
      </c>
      <c r="N115" s="132" t="n">
        <f aca="false">+M115*(1+N54)</f>
        <v>0.0470042484283598</v>
      </c>
      <c r="O115" s="132" t="n">
        <f aca="false">+N115*(1+O54)</f>
        <v>0.0482854889154351</v>
      </c>
      <c r="P115" s="132" t="n">
        <f aca="false">+O115*(1+P54)</f>
        <v>0.0496016534198197</v>
      </c>
      <c r="Q115" s="132" t="n">
        <f aca="false">+P115*(1+Q54)</f>
        <v>0.0509536938993991</v>
      </c>
      <c r="R115" s="132" t="n">
        <f aca="false">+Q115*(1+R54)</f>
        <v>0.0523425882605004</v>
      </c>
      <c r="S115" s="132" t="n">
        <f aca="false">+R115*(1+S54)</f>
        <v>0.0537693410651937</v>
      </c>
      <c r="T115" s="132" t="n">
        <f aca="false">+S115*(1+T54)</f>
        <v>0.0552349842578742</v>
      </c>
      <c r="U115" s="132" t="n">
        <f aca="false">+T115*(1+U54)</f>
        <v>0.0567405779116482</v>
      </c>
      <c r="V115" s="132" t="n">
        <f aca="false">+U115*(1+V54)</f>
        <v>0.0582872109950652</v>
      </c>
      <c r="W115" s="132" t="n">
        <f aca="false">+V115*(1+W54)</f>
        <v>0.059876002159749</v>
      </c>
      <c r="X115" s="132" t="n">
        <f aca="false">+W115*(1+X54)</f>
        <v>0.0615081005494978</v>
      </c>
      <c r="Y115" s="132" t="n">
        <f aca="false">+X115*(1+Y54)</f>
        <v>0.0631846866314394</v>
      </c>
      <c r="Z115" s="132" t="n">
        <f aca="false">+Y115*(1+Z54)</f>
        <v>0.0649069730498416</v>
      </c>
      <c r="AA115" s="133" t="n">
        <f aca="false">+Z115*(1+AA54)</f>
        <v>0.0666762055031955</v>
      </c>
      <c r="AB115" s="133" t="n">
        <f aca="false">+AA115*(1+AB54)</f>
        <v>0.0684936636452068</v>
      </c>
      <c r="AC115" s="133" t="n">
        <f aca="false">+AB115*(1+AC54)</f>
        <v>0.0703606620103463</v>
      </c>
      <c r="AD115" s="133" t="n">
        <f aca="false">+AC115*(1+AD54)</f>
        <v>0.0722785509646282</v>
      </c>
      <c r="AE115" s="133" t="n">
        <f aca="false">+AD115*(1+AE54)</f>
        <v>0.0742487176823061</v>
      </c>
      <c r="AF115" s="133" t="n">
        <f aca="false">+AE115*(1+AF54)</f>
        <v>0.0762725871491902</v>
      </c>
      <c r="AG115" s="133" t="n">
        <f aca="false">+AF115*(1+AG54)</f>
        <v>0.0783516231933143</v>
      </c>
      <c r="AH115" s="133" t="n">
        <f aca="false">+AG115*(1+AH54)</f>
        <v>0.0804873295436955</v>
      </c>
      <c r="AI115" s="133" t="n">
        <f aca="false">+AH115*(1+AI54)</f>
        <v>0.0826812509179544</v>
      </c>
      <c r="AJ115" s="133" t="n">
        <f aca="false">+AI115*(1+AJ54)</f>
        <v>0.0849349741395813</v>
      </c>
      <c r="AK115" s="133" t="n">
        <f aca="false">+AJ115*(1+AK54)</f>
        <v>0.0872501292856567</v>
      </c>
      <c r="AL115" s="133" t="n">
        <f aca="false">+AK115*(1+AL54)</f>
        <v>0.0896283908658566</v>
      </c>
      <c r="AM115" s="133" t="n">
        <f aca="false">+AL115*(1+AM54)</f>
        <v>0.0920714790335946</v>
      </c>
      <c r="AN115" s="133" t="n">
        <f aca="false">+AM115*(1+AN54)</f>
        <v>0.0945811608301782</v>
      </c>
      <c r="AO115" s="133" t="n">
        <f aca="false">+AN115*(1+AO54)</f>
        <v>0.097159251462877</v>
      </c>
      <c r="AP115" s="133" t="n">
        <f aca="false">+AO115*(1+AP54)</f>
        <v>0.0998076156178299</v>
      </c>
      <c r="AQ115" s="133" t="n">
        <f aca="false">+AP115*(1+AQ54)</f>
        <v>0.102528168808738</v>
      </c>
      <c r="AR115" s="124"/>
    </row>
    <row r="116" customFormat="false" ht="12.75" hidden="false" customHeight="false" outlineLevel="0" collapsed="false">
      <c r="A116" s="48"/>
      <c r="B116" s="66" t="s">
        <v>58</v>
      </c>
      <c r="C116" s="3"/>
      <c r="D116" s="2"/>
      <c r="E116" s="2"/>
      <c r="F116" s="3"/>
      <c r="G116" s="14" t="s">
        <v>54</v>
      </c>
      <c r="H116" s="105" t="n">
        <f aca="false">SUM(H112:H115)</f>
        <v>2.55711111111111</v>
      </c>
      <c r="I116" s="105" t="n">
        <f aca="false">SUM(I112:I115)</f>
        <v>2.6840903188796</v>
      </c>
      <c r="J116" s="105" t="n">
        <f aca="false">SUM(J112:J115)</f>
        <v>2.81887702430735</v>
      </c>
      <c r="K116" s="105" t="n">
        <f aca="false">SUM(K112:K115)</f>
        <v>2.95680537083139</v>
      </c>
      <c r="L116" s="105" t="n">
        <f aca="false">SUM(L112:L115)</f>
        <v>3.10282588660794</v>
      </c>
      <c r="M116" s="105" t="n">
        <f aca="false">SUM(M112:M115)</f>
        <v>3.17960767804612</v>
      </c>
      <c r="N116" s="105" t="n">
        <f aca="false">SUM(N112:N115)</f>
        <v>2.88798521612108</v>
      </c>
      <c r="O116" s="105" t="n">
        <f aca="false">SUM(O112:O115)</f>
        <v>2.96530397146747</v>
      </c>
      <c r="P116" s="105" t="n">
        <f aca="false">SUM(P112:P115)</f>
        <v>3.03160195150598</v>
      </c>
      <c r="Q116" s="105" t="n">
        <f aca="false">SUM(Q112:Q115)</f>
        <v>3.09917118590639</v>
      </c>
      <c r="R116" s="105" t="n">
        <f aca="false">SUM(R112:R115)</f>
        <v>3.18115986375935</v>
      </c>
      <c r="S116" s="105" t="n">
        <f aca="false">SUM(S112:S115)</f>
        <v>3.26509517846038</v>
      </c>
      <c r="T116" s="105" t="n">
        <f aca="false">SUM(T112:T115)</f>
        <v>3.36477875969362</v>
      </c>
      <c r="U116" s="105" t="n">
        <f aca="false">SUM(U112:U115)</f>
        <v>3.4530487103123</v>
      </c>
      <c r="V116" s="105" t="n">
        <f aca="false">SUM(V112:V115)</f>
        <v>3.54341969109993</v>
      </c>
      <c r="W116" s="105" t="n">
        <f aca="false">SUM(W112:W115)</f>
        <v>3.64260257214183</v>
      </c>
      <c r="X116" s="105" t="n">
        <f aca="false">SUM(X112:X115)</f>
        <v>3.75938355651561</v>
      </c>
      <c r="Y116" s="105" t="n">
        <f aca="false">SUM(Y112:Y115)</f>
        <v>3.86411716251866</v>
      </c>
      <c r="Z116" s="105" t="n">
        <f aca="false">SUM(Z112:Z115)</f>
        <v>3.9715624020739</v>
      </c>
      <c r="AA116" s="102" t="n">
        <f aca="false">SUM(AA112:AA115)</f>
        <v>4.08609909014991</v>
      </c>
      <c r="AB116" s="102" t="n">
        <f aca="false">SUM(AB112:AB115)</f>
        <v>4.20380880918996</v>
      </c>
      <c r="AC116" s="102" t="n">
        <f aca="false">SUM(AC112:AC115)</f>
        <v>4.3247834800062</v>
      </c>
      <c r="AD116" s="102" t="n">
        <f aca="false">SUM(AD112:AD115)</f>
        <v>4.44911768644524</v>
      </c>
      <c r="AE116" s="102" t="n">
        <f aca="false">SUM(AE112:AE115)</f>
        <v>4.57690875254276</v>
      </c>
      <c r="AF116" s="102" t="n">
        <f aca="false">SUM(AF112:AF115)</f>
        <v>4.70825682191353</v>
      </c>
      <c r="AG116" s="102" t="n">
        <f aca="false">SUM(AG112:AG115)</f>
        <v>4.84326493944173</v>
      </c>
      <c r="AH116" s="102" t="n">
        <f aca="false">SUM(AH112:AH115)</f>
        <v>4.98203913533807</v>
      </c>
      <c r="AI116" s="102" t="n">
        <f aca="false">SUM(AI112:AI115)</f>
        <v>5.12468851163247</v>
      </c>
      <c r="AJ116" s="102" t="n">
        <f aca="false">SUM(AJ112:AJ115)</f>
        <v>5.27132533117274</v>
      </c>
      <c r="AK116" s="102" t="n">
        <f aca="false">SUM(AK112:AK115)</f>
        <v>5.42206510920183</v>
      </c>
      <c r="AL116" s="102" t="n">
        <f aca="false">SUM(AL112:AL115)</f>
        <v>5.57702670758861</v>
      </c>
      <c r="AM116" s="102" t="n">
        <f aca="false">SUM(AM112:AM115)</f>
        <v>5.73633243178872</v>
      </c>
      <c r="AN116" s="102" t="n">
        <f aca="false">SUM(AN112:AN115)</f>
        <v>5.90010813061488</v>
      </c>
      <c r="AO116" s="102" t="n">
        <f aca="false">SUM(AO112:AO115)</f>
        <v>6.06848329889797</v>
      </c>
      <c r="AP116" s="102" t="n">
        <f aca="false">SUM(AP112:AP115)</f>
        <v>6.24159118312254</v>
      </c>
      <c r="AQ116" s="102" t="n">
        <f aca="false">SUM(AQ112:AQ115)</f>
        <v>6.41956889012312</v>
      </c>
      <c r="AR116" s="124"/>
    </row>
    <row r="117" customFormat="false" ht="12.75" hidden="false" customHeight="false" outlineLevel="0" collapsed="false">
      <c r="A117" s="48"/>
      <c r="B117" s="66"/>
      <c r="C117" s="3"/>
      <c r="D117" s="2"/>
      <c r="E117" s="2"/>
      <c r="F117" s="3"/>
      <c r="G117" s="14"/>
      <c r="H117" s="105"/>
      <c r="I117" s="105"/>
      <c r="J117" s="105"/>
      <c r="K117" s="105"/>
      <c r="L117" s="105"/>
      <c r="M117" s="105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118"/>
      <c r="AB117" s="118"/>
      <c r="AC117" s="118"/>
      <c r="AD117" s="118"/>
      <c r="AE117" s="118"/>
      <c r="AF117" s="118"/>
      <c r="AG117" s="118"/>
      <c r="AH117" s="118"/>
      <c r="AI117" s="118"/>
      <c r="AJ117" s="118"/>
      <c r="AK117" s="118"/>
      <c r="AL117" s="118"/>
      <c r="AM117" s="118"/>
      <c r="AN117" s="118"/>
      <c r="AO117" s="118"/>
      <c r="AP117" s="118"/>
      <c r="AQ117" s="118"/>
      <c r="AR117" s="124"/>
    </row>
    <row r="118" customFormat="false" ht="12.75" hidden="false" customHeight="false" outlineLevel="0" collapsed="false">
      <c r="A118" s="48"/>
      <c r="B118" s="66" t="s">
        <v>84</v>
      </c>
      <c r="C118" s="3"/>
      <c r="D118" s="2"/>
      <c r="E118" s="2"/>
      <c r="F118" s="3"/>
      <c r="G118" s="80" t="s">
        <v>60</v>
      </c>
      <c r="H118" s="49" t="n">
        <v>7612.10128103457</v>
      </c>
      <c r="I118" s="49" t="n">
        <v>7627.5153972479</v>
      </c>
      <c r="J118" s="49" t="n">
        <v>7581.31869531897</v>
      </c>
      <c r="K118" s="49" t="n">
        <v>7616.76460649011</v>
      </c>
      <c r="L118" s="49" t="n">
        <v>7631.12905229368</v>
      </c>
      <c r="M118" s="49" t="n">
        <v>7597.35660345488</v>
      </c>
      <c r="N118" s="49" t="n">
        <v>7625.42628652725</v>
      </c>
      <c r="O118" s="49" t="n">
        <v>7637.25111366853</v>
      </c>
      <c r="P118" s="49" t="n">
        <v>7582.02228239575</v>
      </c>
      <c r="Q118" s="49" t="n">
        <v>7616.85033766272</v>
      </c>
      <c r="R118" s="49" t="n">
        <v>7631.12905229368</v>
      </c>
      <c r="S118" s="49" t="n">
        <v>7597.88057993781</v>
      </c>
      <c r="T118" s="49" t="n">
        <v>7625.00246686335</v>
      </c>
      <c r="U118" s="49" t="n">
        <v>7637.43355454673</v>
      </c>
      <c r="V118" s="49" t="n">
        <v>7582.02228239575</v>
      </c>
      <c r="W118" s="49" t="n">
        <v>7616.1009771201</v>
      </c>
      <c r="X118" s="49" t="n">
        <v>7630.97755452695</v>
      </c>
      <c r="Y118" s="49" t="n">
        <v>7597.35660345489</v>
      </c>
      <c r="Z118" s="49" t="n">
        <v>7624.7807921561</v>
      </c>
      <c r="AA118" s="50" t="n">
        <f aca="false">+Z118*(1-$G$171)</f>
        <v>7396.03736839142</v>
      </c>
      <c r="AB118" s="50" t="n">
        <f aca="false">+AA118</f>
        <v>7396.03736839142</v>
      </c>
      <c r="AC118" s="50" t="n">
        <f aca="false">+AB118</f>
        <v>7396.03736839142</v>
      </c>
      <c r="AD118" s="50" t="n">
        <f aca="false">+AC118</f>
        <v>7396.03736839142</v>
      </c>
      <c r="AE118" s="50" t="n">
        <f aca="false">+AD118</f>
        <v>7396.03736839142</v>
      </c>
      <c r="AF118" s="50" t="n">
        <f aca="false">+AE118</f>
        <v>7396.03736839142</v>
      </c>
      <c r="AG118" s="50" t="n">
        <f aca="false">+AF118</f>
        <v>7396.03736839142</v>
      </c>
      <c r="AH118" s="50" t="n">
        <f aca="false">+AG118</f>
        <v>7396.03736839142</v>
      </c>
      <c r="AI118" s="50" t="n">
        <f aca="false">+AH118</f>
        <v>7396.03736839142</v>
      </c>
      <c r="AJ118" s="50" t="n">
        <f aca="false">+AI118</f>
        <v>7396.03736839142</v>
      </c>
      <c r="AK118" s="50" t="n">
        <f aca="false">+AJ118</f>
        <v>7396.03736839142</v>
      </c>
      <c r="AL118" s="50" t="n">
        <f aca="false">+AK118</f>
        <v>7396.03736839142</v>
      </c>
      <c r="AM118" s="50" t="n">
        <f aca="false">+AL118</f>
        <v>7396.03736839142</v>
      </c>
      <c r="AN118" s="50" t="n">
        <f aca="false">+AM118</f>
        <v>7396.03736839142</v>
      </c>
      <c r="AO118" s="50" t="n">
        <f aca="false">+AN118</f>
        <v>7396.03736839142</v>
      </c>
      <c r="AP118" s="50" t="n">
        <f aca="false">+AO118</f>
        <v>7396.03736839142</v>
      </c>
      <c r="AQ118" s="50" t="n">
        <f aca="false">+AP118</f>
        <v>7396.03736839142</v>
      </c>
      <c r="AR118" s="124"/>
    </row>
    <row r="119" customFormat="false" ht="12.75" hidden="false" customHeight="false" outlineLevel="0" collapsed="false">
      <c r="A119" s="48"/>
      <c r="B119" s="66" t="s">
        <v>85</v>
      </c>
      <c r="C119" s="3"/>
      <c r="D119" s="2"/>
      <c r="E119" s="2"/>
      <c r="F119" s="3"/>
      <c r="G119" s="80" t="s">
        <v>25</v>
      </c>
      <c r="H119" s="114" t="n">
        <f aca="false">+H88</f>
        <v>1943668.8</v>
      </c>
      <c r="I119" s="114" t="n">
        <f aca="false">+I88</f>
        <v>1943668.8</v>
      </c>
      <c r="J119" s="114" t="n">
        <f aca="false">+J88</f>
        <v>1943668.8</v>
      </c>
      <c r="K119" s="114" t="n">
        <f aca="false">+K88</f>
        <v>1948993.92</v>
      </c>
      <c r="L119" s="114" t="n">
        <f aca="false">+L88</f>
        <v>1943668.8</v>
      </c>
      <c r="M119" s="114" t="n">
        <f aca="false">+M88</f>
        <v>1943668.8</v>
      </c>
      <c r="N119" s="114" t="n">
        <f aca="false">+N88</f>
        <v>1943668.8</v>
      </c>
      <c r="O119" s="114" t="n">
        <f aca="false">+O88</f>
        <v>1948993.92</v>
      </c>
      <c r="P119" s="114" t="n">
        <f aca="false">+P88</f>
        <v>1943668.8</v>
      </c>
      <c r="Q119" s="114" t="n">
        <f aca="false">+Q88</f>
        <v>1943668.8</v>
      </c>
      <c r="R119" s="114" t="n">
        <f aca="false">+R88</f>
        <v>1943668.8</v>
      </c>
      <c r="S119" s="114" t="n">
        <f aca="false">+S88</f>
        <v>1948993.92</v>
      </c>
      <c r="T119" s="114" t="n">
        <f aca="false">+T88</f>
        <v>1943668.8</v>
      </c>
      <c r="U119" s="114" t="n">
        <f aca="false">+U88</f>
        <v>1943668.8</v>
      </c>
      <c r="V119" s="114" t="n">
        <f aca="false">+V88</f>
        <v>1943668.8</v>
      </c>
      <c r="W119" s="114" t="n">
        <f aca="false">+W88</f>
        <v>1948993.92</v>
      </c>
      <c r="X119" s="114" t="n">
        <f aca="false">+X88</f>
        <v>1943668.8</v>
      </c>
      <c r="Y119" s="114" t="n">
        <f aca="false">+Y88</f>
        <v>1943668.8</v>
      </c>
      <c r="Z119" s="114" t="n">
        <f aca="false">+Z88</f>
        <v>1943668.8</v>
      </c>
      <c r="AA119" s="115" t="n">
        <f aca="false">+AA88</f>
        <v>1948993.92</v>
      </c>
      <c r="AB119" s="115" t="n">
        <f aca="false">+AB88</f>
        <v>1943668.8</v>
      </c>
      <c r="AC119" s="115" t="n">
        <f aca="false">+AC88</f>
        <v>1943668.8</v>
      </c>
      <c r="AD119" s="115" t="n">
        <f aca="false">+AD88</f>
        <v>1943668.8</v>
      </c>
      <c r="AE119" s="115" t="n">
        <f aca="false">+AE88</f>
        <v>1948993.92</v>
      </c>
      <c r="AF119" s="115" t="n">
        <f aca="false">+AF88</f>
        <v>1943668.8</v>
      </c>
      <c r="AG119" s="115" t="n">
        <f aca="false">+AG88</f>
        <v>1943668.8</v>
      </c>
      <c r="AH119" s="115" t="n">
        <f aca="false">+AH88</f>
        <v>1943668.8</v>
      </c>
      <c r="AI119" s="115" t="n">
        <f aca="false">+AI88</f>
        <v>1948993.92</v>
      </c>
      <c r="AJ119" s="115" t="n">
        <f aca="false">+AJ88</f>
        <v>1943668.8</v>
      </c>
      <c r="AK119" s="115" t="n">
        <f aca="false">+AK88</f>
        <v>1943668.8</v>
      </c>
      <c r="AL119" s="115" t="n">
        <f aca="false">+AL88</f>
        <v>1943668.8</v>
      </c>
      <c r="AM119" s="115" t="n">
        <f aca="false">+AM88</f>
        <v>1948993.92</v>
      </c>
      <c r="AN119" s="115" t="n">
        <f aca="false">+AN88</f>
        <v>1943668.8</v>
      </c>
      <c r="AO119" s="115" t="n">
        <f aca="false">+AO88</f>
        <v>1943668.8</v>
      </c>
      <c r="AP119" s="115" t="n">
        <f aca="false">+AP88</f>
        <v>1943668.8</v>
      </c>
      <c r="AQ119" s="115" t="n">
        <f aca="false">+AQ88</f>
        <v>1948993.92</v>
      </c>
      <c r="AR119" s="124"/>
    </row>
    <row r="120" customFormat="false" ht="12.75" hidden="false" customHeight="false" outlineLevel="0" collapsed="false">
      <c r="A120" s="48"/>
      <c r="B120" s="66" t="s">
        <v>86</v>
      </c>
      <c r="C120" s="3"/>
      <c r="D120" s="2"/>
      <c r="E120" s="2"/>
      <c r="F120" s="3"/>
      <c r="G120" s="80" t="s">
        <v>87</v>
      </c>
      <c r="H120" s="114" t="n">
        <f aca="false">H118*H119*1000/1000000</f>
        <v>14795403.7623869</v>
      </c>
      <c r="I120" s="114" t="n">
        <f aca="false">I118*I119*1000/1000000</f>
        <v>14825363.6991504</v>
      </c>
      <c r="J120" s="114" t="n">
        <f aca="false">J118*J119*1000/1000000</f>
        <v>14735572.6109482</v>
      </c>
      <c r="K120" s="114" t="n">
        <f aca="false">K118*K119*1000/1000000</f>
        <v>14845027.9081204</v>
      </c>
      <c r="L120" s="114" t="n">
        <f aca="false">L118*L119*1000/1000000</f>
        <v>14832387.4477168</v>
      </c>
      <c r="M120" s="114" t="n">
        <f aca="false">M118*M119*1000/1000000</f>
        <v>14766744.9926092</v>
      </c>
      <c r="N120" s="114" t="n">
        <f aca="false">N118*N119*1000/1000000</f>
        <v>14821303.1598229</v>
      </c>
      <c r="O120" s="114" t="n">
        <f aca="false">O118*O119*1000/1000000</f>
        <v>14884955.9860532</v>
      </c>
      <c r="P120" s="114" t="n">
        <f aca="false">P118*P119*1000/1000000</f>
        <v>14736940.1511974</v>
      </c>
      <c r="Q120" s="114" t="n">
        <f aca="false">Q118*Q119*1000/1000000</f>
        <v>14804634.3555845</v>
      </c>
      <c r="R120" s="114" t="n">
        <f aca="false">R118*R119*1000/1000000</f>
        <v>14832387.4477168</v>
      </c>
      <c r="S120" s="114" t="n">
        <f aca="false">S118*S119*1000/1000000</f>
        <v>14808223.0551849</v>
      </c>
      <c r="T120" s="114" t="n">
        <f aca="false">T118*T119*1000/1000000</f>
        <v>14820479.3947653</v>
      </c>
      <c r="U120" s="114" t="n">
        <f aca="false">U118*U119*1000/1000000</f>
        <v>14844641.3120456</v>
      </c>
      <c r="V120" s="114" t="n">
        <f aca="false">V118*V119*1000/1000000</f>
        <v>14736940.1511974</v>
      </c>
      <c r="W120" s="114" t="n">
        <f aca="false">W118*W119*1000/1000000</f>
        <v>14843734.4985131</v>
      </c>
      <c r="X120" s="114" t="n">
        <f aca="false">X118*X119*1000/1000000</f>
        <v>14832092.9862343</v>
      </c>
      <c r="Y120" s="114" t="n">
        <f aca="false">Y118*Y119*1000/1000000</f>
        <v>14766744.9926092</v>
      </c>
      <c r="Z120" s="114" t="n">
        <f aca="false">Z118*Z119*1000/1000000</f>
        <v>14820048.5325531</v>
      </c>
      <c r="AA120" s="115" t="n">
        <f aca="false">AA118*AA119*1000/1000000</f>
        <v>14414831.8630877</v>
      </c>
      <c r="AB120" s="115" t="n">
        <f aca="false">AB118*AB119*1000/1000000</f>
        <v>14375447.0765765</v>
      </c>
      <c r="AC120" s="115" t="n">
        <f aca="false">AC118*AC119*1000/1000000</f>
        <v>14375447.0765765</v>
      </c>
      <c r="AD120" s="115" t="n">
        <f aca="false">AD118*AD119*1000/1000000</f>
        <v>14375447.0765765</v>
      </c>
      <c r="AE120" s="115" t="n">
        <f aca="false">AE118*AE119*1000/1000000</f>
        <v>14414831.8630877</v>
      </c>
      <c r="AF120" s="115" t="n">
        <f aca="false">AF118*AF119*1000/1000000</f>
        <v>14375447.0765765</v>
      </c>
      <c r="AG120" s="115" t="n">
        <f aca="false">AG118*AG119*1000/1000000</f>
        <v>14375447.0765765</v>
      </c>
      <c r="AH120" s="115" t="n">
        <f aca="false">AH118*AH119*1000/1000000</f>
        <v>14375447.0765765</v>
      </c>
      <c r="AI120" s="115" t="n">
        <f aca="false">AI118*AI119*1000/1000000</f>
        <v>14414831.8630877</v>
      </c>
      <c r="AJ120" s="115" t="n">
        <f aca="false">AJ118*AJ119*1000/1000000</f>
        <v>14375447.0765765</v>
      </c>
      <c r="AK120" s="115" t="n">
        <f aca="false">AK118*AK119*1000/1000000</f>
        <v>14375447.0765765</v>
      </c>
      <c r="AL120" s="115" t="n">
        <f aca="false">AL118*AL119*1000/1000000</f>
        <v>14375447.0765765</v>
      </c>
      <c r="AM120" s="115" t="n">
        <f aca="false">AM118*AM119*1000/1000000</f>
        <v>14414831.8630877</v>
      </c>
      <c r="AN120" s="115" t="n">
        <f aca="false">AN118*AN119*1000/1000000</f>
        <v>14375447.0765765</v>
      </c>
      <c r="AO120" s="115" t="n">
        <f aca="false">AO118*AO119*1000/1000000</f>
        <v>14375447.0765765</v>
      </c>
      <c r="AP120" s="115" t="n">
        <f aca="false">AP118*AP119*1000/1000000</f>
        <v>14375447.0765765</v>
      </c>
      <c r="AQ120" s="115" t="n">
        <f aca="false">AQ118*AQ119*1000/1000000</f>
        <v>14414831.8630877</v>
      </c>
      <c r="AR120" s="124"/>
    </row>
    <row r="121" customFormat="false" ht="12.75" hidden="false" customHeight="false" outlineLevel="0" collapsed="false">
      <c r="A121" s="48"/>
      <c r="B121" s="66"/>
      <c r="C121" s="3"/>
      <c r="D121" s="2"/>
      <c r="E121" s="2"/>
      <c r="F121" s="3"/>
      <c r="G121" s="80"/>
      <c r="H121" s="114"/>
      <c r="I121" s="114"/>
      <c r="J121" s="114"/>
      <c r="K121" s="114"/>
      <c r="L121" s="114"/>
      <c r="M121" s="114"/>
      <c r="N121" s="114"/>
      <c r="O121" s="114"/>
      <c r="P121" s="114"/>
      <c r="Q121" s="114"/>
      <c r="R121" s="114"/>
      <c r="S121" s="114"/>
      <c r="T121" s="114"/>
      <c r="U121" s="114"/>
      <c r="V121" s="114"/>
      <c r="W121" s="114"/>
      <c r="X121" s="114"/>
      <c r="Y121" s="114"/>
      <c r="Z121" s="114"/>
      <c r="AA121" s="115"/>
      <c r="AB121" s="115"/>
      <c r="AC121" s="115"/>
      <c r="AD121" s="115"/>
      <c r="AE121" s="115"/>
      <c r="AF121" s="115"/>
      <c r="AG121" s="115"/>
      <c r="AH121" s="115"/>
      <c r="AI121" s="115"/>
      <c r="AJ121" s="115"/>
      <c r="AK121" s="115"/>
      <c r="AL121" s="115"/>
      <c r="AM121" s="115"/>
      <c r="AN121" s="115"/>
      <c r="AO121" s="115"/>
      <c r="AP121" s="115"/>
      <c r="AQ121" s="115"/>
      <c r="AR121" s="124"/>
    </row>
    <row r="122" customFormat="false" ht="12.75" hidden="false" customHeight="false" outlineLevel="0" collapsed="false">
      <c r="A122" s="134"/>
      <c r="B122" s="66" t="s">
        <v>88</v>
      </c>
      <c r="C122" s="66"/>
      <c r="D122" s="66"/>
      <c r="E122" s="66"/>
      <c r="F122" s="14"/>
      <c r="G122" s="135"/>
      <c r="H122" s="97" t="n">
        <f aca="false">+H116*H120/1000</f>
        <v>37833.4913541747</v>
      </c>
      <c r="I122" s="97" t="n">
        <f aca="false">+I116*I120/1000</f>
        <v>39792.6151787586</v>
      </c>
      <c r="J122" s="97" t="n">
        <f aca="false">+J116*J120/1000</f>
        <v>41537.7670730146</v>
      </c>
      <c r="K122" s="97" t="n">
        <f aca="false">+K116*K120/1000</f>
        <v>43893.8582488724</v>
      </c>
      <c r="L122" s="97" t="n">
        <f aca="false">+L116*L120/1000</f>
        <v>46022.3157329743</v>
      </c>
      <c r="M122" s="97" t="n">
        <f aca="false">+M116*M120/1000</f>
        <v>46952.4557582494</v>
      </c>
      <c r="N122" s="97" t="n">
        <f aca="false">+N116*N120/1000</f>
        <v>42803.7044092171</v>
      </c>
      <c r="O122" s="97" t="n">
        <f aca="false">+O116*O120/1000</f>
        <v>44138.4191005621</v>
      </c>
      <c r="P122" s="97" t="n">
        <f aca="false">+P116*P120/1000</f>
        <v>44676.5365215969</v>
      </c>
      <c r="Q122" s="97" t="n">
        <f aca="false">+Q116*Q120/1000</f>
        <v>45882.0962127073</v>
      </c>
      <c r="R122" s="97" t="n">
        <f aca="false">+R116*R120/1000</f>
        <v>47184.1956324047</v>
      </c>
      <c r="S122" s="97" t="n">
        <f aca="false">+S116*S120/1000</f>
        <v>48350.2576990499</v>
      </c>
      <c r="T122" s="97" t="n">
        <f aca="false">+T116*T120/1000</f>
        <v>49867.6342759832</v>
      </c>
      <c r="U122" s="97" t="n">
        <f aca="false">+U116*U120/1000</f>
        <v>51259.2695376078</v>
      </c>
      <c r="V122" s="97" t="n">
        <f aca="false">+V116*V120/1000</f>
        <v>52219.1639183141</v>
      </c>
      <c r="W122" s="97" t="n">
        <f aca="false">+W116*W120/1000</f>
        <v>54069.8254644744</v>
      </c>
      <c r="X122" s="97" t="n">
        <f aca="false">+X116*X120/1000</f>
        <v>55759.5264811599</v>
      </c>
      <c r="Y122" s="97" t="n">
        <f aca="false">+Y116*Y120/1000</f>
        <v>57060.4327604778</v>
      </c>
      <c r="Z122" s="97" t="n">
        <f aca="false">+Z116*Z120/1000</f>
        <v>58858.7475487984</v>
      </c>
      <c r="AA122" s="118" t="n">
        <f aca="false">+AA116*AA120/1000</f>
        <v>58900.4313604265</v>
      </c>
      <c r="AB122" s="118" t="n">
        <f aca="false">+AB116*AB120/1000</f>
        <v>60431.6310565564</v>
      </c>
      <c r="AC122" s="118" t="n">
        <f aca="false">+AC116*AC120/1000</f>
        <v>62170.6960344814</v>
      </c>
      <c r="AD122" s="118" t="n">
        <f aca="false">+AD116*AD120/1000</f>
        <v>63958.055838954</v>
      </c>
      <c r="AE122" s="118" t="n">
        <f aca="false">+AE116*AE120/1000</f>
        <v>65975.3701205982</v>
      </c>
      <c r="AF122" s="118" t="n">
        <f aca="false">+AF116*AF120/1000</f>
        <v>67683.2967663483</v>
      </c>
      <c r="AG122" s="118" t="n">
        <f aca="false">+AG116*AG120/1000</f>
        <v>69624.0988147831</v>
      </c>
      <c r="AH122" s="118" t="n">
        <f aca="false">+AH116*AH120/1000</f>
        <v>71619.0399234853</v>
      </c>
      <c r="AI122" s="118" t="n">
        <f aca="false">+AI116*AI120/1000</f>
        <v>73871.5232458791</v>
      </c>
      <c r="AJ122" s="118" t="n">
        <f aca="false">+AJ116*AJ120/1000</f>
        <v>75777.6583216908</v>
      </c>
      <c r="AK122" s="118" t="n">
        <f aca="false">+AK116*AK120/1000</f>
        <v>77944.610023083</v>
      </c>
      <c r="AL122" s="118" t="n">
        <f aca="false">+AL116*AL120/1000</f>
        <v>80172.2522795938</v>
      </c>
      <c r="AM122" s="118" t="n">
        <f aca="false">+AM116*AM120/1000</f>
        <v>82688.2675150112</v>
      </c>
      <c r="AN122" s="118" t="n">
        <f aca="false">+AN116*AN120/1000</f>
        <v>84816.6921777329</v>
      </c>
      <c r="AO122" s="118" t="n">
        <f aca="false">+AO116*AO120/1000</f>
        <v>87237.1604983961</v>
      </c>
      <c r="AP122" s="118" t="n">
        <f aca="false">+AP116*AP120/1000</f>
        <v>89725.6637266046</v>
      </c>
      <c r="AQ122" s="118" t="n">
        <f aca="false">+AQ116*AQ120/1000</f>
        <v>92537.0061846331</v>
      </c>
      <c r="AR122" s="124"/>
      <c r="BD122" s="135"/>
      <c r="BE122" s="135"/>
      <c r="BF122" s="135"/>
      <c r="BG122" s="135"/>
      <c r="BH122" s="135"/>
    </row>
    <row r="123" customFormat="false" ht="13.5" hidden="false" customHeight="false" outlineLevel="0" collapsed="false">
      <c r="A123" s="97"/>
      <c r="B123" s="97" t="s">
        <v>89</v>
      </c>
      <c r="C123" s="2"/>
      <c r="D123" s="2"/>
      <c r="E123" s="2"/>
      <c r="F123" s="3"/>
      <c r="G123" s="129"/>
      <c r="H123" s="136" t="n">
        <v>4380</v>
      </c>
      <c r="I123" s="136" t="n">
        <v>4599</v>
      </c>
      <c r="J123" s="136" t="n">
        <v>4827.125</v>
      </c>
      <c r="K123" s="136" t="n">
        <v>5073.5</v>
      </c>
      <c r="L123" s="136" t="n">
        <v>5329</v>
      </c>
      <c r="M123" s="136" t="n">
        <v>5593.625</v>
      </c>
      <c r="N123" s="136" t="n">
        <v>0</v>
      </c>
      <c r="O123" s="136" t="n">
        <v>0</v>
      </c>
      <c r="P123" s="136" t="n">
        <v>0</v>
      </c>
      <c r="Q123" s="136" t="n">
        <v>0</v>
      </c>
      <c r="R123" s="136" t="n">
        <v>0</v>
      </c>
      <c r="S123" s="136" t="n">
        <v>0</v>
      </c>
      <c r="T123" s="136" t="n">
        <v>0</v>
      </c>
      <c r="U123" s="136" t="n">
        <v>0</v>
      </c>
      <c r="V123" s="136" t="n">
        <v>0</v>
      </c>
      <c r="W123" s="136" t="n">
        <v>0</v>
      </c>
      <c r="X123" s="136" t="n">
        <v>0</v>
      </c>
      <c r="Y123" s="136" t="n">
        <v>0</v>
      </c>
      <c r="Z123" s="136" t="n">
        <v>0</v>
      </c>
      <c r="AA123" s="137" t="n">
        <v>0</v>
      </c>
      <c r="AB123" s="137" t="n">
        <v>0</v>
      </c>
      <c r="AC123" s="137" t="n">
        <v>0</v>
      </c>
      <c r="AD123" s="137" t="n">
        <v>0</v>
      </c>
      <c r="AE123" s="137" t="n">
        <v>0</v>
      </c>
      <c r="AF123" s="137" t="n">
        <v>0</v>
      </c>
      <c r="AG123" s="137" t="n">
        <v>0</v>
      </c>
      <c r="AH123" s="137" t="n">
        <v>0</v>
      </c>
      <c r="AI123" s="137" t="n">
        <v>0</v>
      </c>
      <c r="AJ123" s="137" t="n">
        <v>0</v>
      </c>
      <c r="AK123" s="137" t="n">
        <v>0</v>
      </c>
      <c r="AL123" s="137" t="n">
        <v>0</v>
      </c>
      <c r="AM123" s="137" t="n">
        <v>0</v>
      </c>
      <c r="AN123" s="137" t="n">
        <v>0</v>
      </c>
      <c r="AO123" s="137" t="n">
        <v>0</v>
      </c>
      <c r="AP123" s="137" t="n">
        <v>0</v>
      </c>
      <c r="AQ123" s="137" t="n">
        <v>0</v>
      </c>
      <c r="AR123" s="124"/>
      <c r="BD123" s="114"/>
      <c r="BE123" s="114"/>
      <c r="BF123" s="114"/>
      <c r="BG123" s="114"/>
      <c r="BH123" s="114"/>
    </row>
    <row r="124" customFormat="false" ht="12.75" hidden="false" customHeight="false" outlineLevel="0" collapsed="false">
      <c r="A124" s="2"/>
      <c r="B124" s="2" t="s">
        <v>90</v>
      </c>
      <c r="C124" s="2"/>
      <c r="D124" s="2"/>
      <c r="E124" s="2"/>
      <c r="F124" s="3"/>
      <c r="G124" s="129"/>
      <c r="H124" s="97" t="n">
        <f aca="false">SUM(H122:H123)</f>
        <v>42213.4913541747</v>
      </c>
      <c r="I124" s="97" t="n">
        <f aca="false">SUM(I122:I123)</f>
        <v>44391.6151787586</v>
      </c>
      <c r="J124" s="97" t="n">
        <f aca="false">SUM(J122:J123)</f>
        <v>46364.8920730146</v>
      </c>
      <c r="K124" s="97" t="n">
        <f aca="false">SUM(K122:K123)</f>
        <v>48967.3582488724</v>
      </c>
      <c r="L124" s="97" t="n">
        <f aca="false">SUM(L122:L123)</f>
        <v>51351.3157329743</v>
      </c>
      <c r="M124" s="97" t="n">
        <f aca="false">SUM(M122:M123)</f>
        <v>52546.0807582494</v>
      </c>
      <c r="N124" s="97" t="n">
        <f aca="false">SUM(N122:N123)</f>
        <v>42803.7044092171</v>
      </c>
      <c r="O124" s="97" t="n">
        <f aca="false">SUM(O122:O123)</f>
        <v>44138.4191005621</v>
      </c>
      <c r="P124" s="97" t="n">
        <f aca="false">SUM(P122:P123)</f>
        <v>44676.5365215969</v>
      </c>
      <c r="Q124" s="97" t="n">
        <f aca="false">SUM(Q122:Q123)</f>
        <v>45882.0962127073</v>
      </c>
      <c r="R124" s="97" t="n">
        <f aca="false">SUM(R122:R123)</f>
        <v>47184.1956324047</v>
      </c>
      <c r="S124" s="97" t="n">
        <f aca="false">SUM(S122:S123)</f>
        <v>48350.2576990499</v>
      </c>
      <c r="T124" s="97" t="n">
        <f aca="false">SUM(T122:T123)</f>
        <v>49867.6342759832</v>
      </c>
      <c r="U124" s="97" t="n">
        <f aca="false">SUM(U122:U123)</f>
        <v>51259.2695376078</v>
      </c>
      <c r="V124" s="97" t="n">
        <f aca="false">SUM(V122:V123)</f>
        <v>52219.1639183141</v>
      </c>
      <c r="W124" s="97" t="n">
        <f aca="false">SUM(W122:W123)</f>
        <v>54069.8254644744</v>
      </c>
      <c r="X124" s="97" t="n">
        <f aca="false">SUM(X122:X123)</f>
        <v>55759.5264811599</v>
      </c>
      <c r="Y124" s="97" t="n">
        <f aca="false">SUM(Y122:Y123)</f>
        <v>57060.4327604778</v>
      </c>
      <c r="Z124" s="97" t="n">
        <f aca="false">SUM(Z122:Z123)</f>
        <v>58858.7475487984</v>
      </c>
      <c r="AA124" s="118" t="n">
        <f aca="false">SUM(AA122:AA123)</f>
        <v>58900.4313604265</v>
      </c>
      <c r="AB124" s="118" t="n">
        <f aca="false">SUM(AB122:AB123)</f>
        <v>60431.6310565564</v>
      </c>
      <c r="AC124" s="118" t="n">
        <f aca="false">SUM(AC122:AC123)</f>
        <v>62170.6960344814</v>
      </c>
      <c r="AD124" s="118" t="n">
        <f aca="false">SUM(AD122:AD123)</f>
        <v>63958.055838954</v>
      </c>
      <c r="AE124" s="118" t="n">
        <f aca="false">SUM(AE122:AE123)</f>
        <v>65975.3701205982</v>
      </c>
      <c r="AF124" s="118" t="n">
        <f aca="false">SUM(AF122:AF123)</f>
        <v>67683.2967663483</v>
      </c>
      <c r="AG124" s="118" t="n">
        <f aca="false">SUM(AG122:AG123)</f>
        <v>69624.0988147831</v>
      </c>
      <c r="AH124" s="118" t="n">
        <f aca="false">SUM(AH122:AH123)</f>
        <v>71619.0399234853</v>
      </c>
      <c r="AI124" s="118" t="n">
        <f aca="false">SUM(AI122:AI123)</f>
        <v>73871.5232458791</v>
      </c>
      <c r="AJ124" s="118" t="n">
        <f aca="false">SUM(AJ122:AJ123)</f>
        <v>75777.6583216908</v>
      </c>
      <c r="AK124" s="118" t="n">
        <f aca="false">SUM(AK122:AK123)</f>
        <v>77944.610023083</v>
      </c>
      <c r="AL124" s="118" t="n">
        <f aca="false">SUM(AL122:AL123)</f>
        <v>80172.2522795938</v>
      </c>
      <c r="AM124" s="118" t="n">
        <f aca="false">SUM(AM122:AM123)</f>
        <v>82688.2675150112</v>
      </c>
      <c r="AN124" s="118" t="n">
        <f aca="false">SUM(AN122:AN123)</f>
        <v>84816.6921777329</v>
      </c>
      <c r="AO124" s="118" t="n">
        <f aca="false">SUM(AO122:AO123)</f>
        <v>87237.1604983961</v>
      </c>
      <c r="AP124" s="118" t="n">
        <f aca="false">SUM(AP122:AP123)</f>
        <v>89725.6637266046</v>
      </c>
      <c r="AQ124" s="118" t="n">
        <f aca="false">SUM(AQ122:AQ123)</f>
        <v>92537.0061846331</v>
      </c>
      <c r="AR124" s="124"/>
    </row>
    <row r="125" customFormat="false" ht="12.75" hidden="false" customHeight="false" outlineLevel="0" collapsed="false">
      <c r="A125" s="2"/>
      <c r="B125" s="48"/>
      <c r="C125" s="2"/>
      <c r="D125" s="2"/>
      <c r="E125" s="2"/>
      <c r="F125" s="3"/>
      <c r="G125" s="129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118"/>
      <c r="AB125" s="118"/>
      <c r="AC125" s="118"/>
      <c r="AD125" s="118"/>
      <c r="AE125" s="118"/>
      <c r="AF125" s="118"/>
      <c r="AG125" s="118"/>
      <c r="AH125" s="118"/>
      <c r="AI125" s="118"/>
      <c r="AJ125" s="118"/>
      <c r="AK125" s="118"/>
      <c r="AL125" s="118"/>
      <c r="AM125" s="118"/>
      <c r="AN125" s="118"/>
      <c r="AO125" s="118"/>
      <c r="AP125" s="118"/>
      <c r="AQ125" s="118"/>
      <c r="AR125" s="124"/>
    </row>
    <row r="126" customFormat="false" ht="12.75" hidden="false" customHeight="false" outlineLevel="0" collapsed="false">
      <c r="A126" s="2"/>
      <c r="B126" s="48" t="s">
        <v>91</v>
      </c>
      <c r="C126" s="2"/>
      <c r="D126" s="2"/>
      <c r="E126" s="2"/>
      <c r="F126" s="3"/>
      <c r="G126" s="129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97"/>
      <c r="X126" s="97"/>
      <c r="Y126" s="97"/>
      <c r="Z126" s="97"/>
      <c r="AA126" s="118"/>
      <c r="AB126" s="118"/>
      <c r="AC126" s="118"/>
      <c r="AD126" s="118"/>
      <c r="AE126" s="118"/>
      <c r="AF126" s="118"/>
      <c r="AG126" s="118"/>
      <c r="AH126" s="118"/>
      <c r="AI126" s="118"/>
      <c r="AJ126" s="118"/>
      <c r="AK126" s="118"/>
      <c r="AL126" s="118"/>
      <c r="AM126" s="118"/>
      <c r="AN126" s="118"/>
      <c r="AO126" s="118"/>
      <c r="AP126" s="118"/>
      <c r="AQ126" s="118"/>
      <c r="AR126" s="128" t="s">
        <v>92</v>
      </c>
    </row>
    <row r="127" customFormat="false" ht="12.75" hidden="false" customHeight="false" outlineLevel="0" collapsed="false">
      <c r="A127" s="97"/>
      <c r="B127" s="2" t="s">
        <v>93</v>
      </c>
      <c r="C127" s="2"/>
      <c r="D127" s="2"/>
      <c r="E127" s="2"/>
      <c r="F127" s="3"/>
      <c r="G127" s="114"/>
      <c r="H127" s="90" t="n">
        <v>1564.16</v>
      </c>
      <c r="I127" s="90" t="n">
        <v>1626.7264</v>
      </c>
      <c r="J127" s="90" t="n">
        <v>1691.795456</v>
      </c>
      <c r="K127" s="90" t="n">
        <v>1759.46727424</v>
      </c>
      <c r="L127" s="90" t="n">
        <v>1829.8459652096</v>
      </c>
      <c r="M127" s="90" t="n">
        <v>1903.03980381798</v>
      </c>
      <c r="N127" s="90" t="n">
        <v>1979.1613959707</v>
      </c>
      <c r="O127" s="90" t="n">
        <v>2058.32785180953</v>
      </c>
      <c r="P127" s="90" t="n">
        <v>2140.66096588191</v>
      </c>
      <c r="Q127" s="90" t="n">
        <v>2226.28740451719</v>
      </c>
      <c r="R127" s="90" t="n">
        <v>2315.33890069788</v>
      </c>
      <c r="S127" s="90" t="n">
        <v>2407.95245672579</v>
      </c>
      <c r="T127" s="90" t="n">
        <v>2504.27055499483</v>
      </c>
      <c r="U127" s="90" t="n">
        <v>2604.44137719462</v>
      </c>
      <c r="V127" s="90" t="n">
        <v>2708.6190322824</v>
      </c>
      <c r="W127" s="90" t="n">
        <v>2816.9637935737</v>
      </c>
      <c r="X127" s="90" t="n">
        <v>2929.64234531665</v>
      </c>
      <c r="Y127" s="90" t="n">
        <v>3046.82803912931</v>
      </c>
      <c r="Z127" s="90" t="n">
        <v>3168.70116069449</v>
      </c>
      <c r="AA127" s="118"/>
      <c r="AB127" s="118"/>
      <c r="AC127" s="118"/>
      <c r="AD127" s="118"/>
      <c r="AE127" s="118"/>
      <c r="AF127" s="118"/>
      <c r="AG127" s="118"/>
      <c r="AH127" s="118"/>
      <c r="AI127" s="118"/>
      <c r="AJ127" s="118"/>
      <c r="AK127" s="118"/>
      <c r="AL127" s="118"/>
      <c r="AM127" s="118"/>
      <c r="AN127" s="118"/>
      <c r="AO127" s="118"/>
      <c r="AP127" s="118"/>
      <c r="AQ127" s="118"/>
      <c r="AR127" s="128" t="s">
        <v>92</v>
      </c>
      <c r="BD127" s="114"/>
      <c r="BE127" s="114"/>
      <c r="BF127" s="114"/>
      <c r="BG127" s="114"/>
      <c r="BH127" s="114"/>
    </row>
    <row r="128" customFormat="false" ht="12.75" hidden="false" customHeight="false" outlineLevel="0" collapsed="false">
      <c r="A128" s="97"/>
      <c r="B128" s="2" t="s">
        <v>94</v>
      </c>
      <c r="C128" s="2"/>
      <c r="D128" s="2"/>
      <c r="E128" s="2"/>
      <c r="F128" s="3"/>
      <c r="G128" s="114"/>
      <c r="H128" s="90" t="n">
        <v>72.2983333333333</v>
      </c>
      <c r="I128" s="90" t="n">
        <v>74.5004200694444</v>
      </c>
      <c r="J128" s="90" t="n">
        <v>76.6950782773235</v>
      </c>
      <c r="K128" s="90" t="n">
        <v>78.8984639636658</v>
      </c>
      <c r="L128" s="90" t="n">
        <v>81.1257018526401</v>
      </c>
      <c r="M128" s="90" t="n">
        <v>83.3620670337112</v>
      </c>
      <c r="N128" s="90" t="n">
        <v>85.6069380305399</v>
      </c>
      <c r="O128" s="90" t="n">
        <v>87.869458063572</v>
      </c>
      <c r="P128" s="90" t="n">
        <v>90.1525994822571</v>
      </c>
      <c r="Q128" s="90" t="n">
        <v>92.4590034856782</v>
      </c>
      <c r="R128" s="90" t="n">
        <v>94.7974457821702</v>
      </c>
      <c r="S128" s="90" t="n">
        <v>97.1760716925878</v>
      </c>
      <c r="T128" s="90" t="n">
        <v>99.6212645965525</v>
      </c>
      <c r="U128" s="90" t="n">
        <v>102.163267198175</v>
      </c>
      <c r="V128" s="90" t="n">
        <v>104.810998539727</v>
      </c>
      <c r="W128" s="90" t="n">
        <v>107.58062917614</v>
      </c>
      <c r="X128" s="90" t="n">
        <v>110.476341111464</v>
      </c>
      <c r="Y128" s="90" t="n">
        <v>113.488202361015</v>
      </c>
      <c r="Z128" s="90" t="n">
        <v>116.64695732673</v>
      </c>
      <c r="AA128" s="118"/>
      <c r="AB128" s="118"/>
      <c r="AC128" s="118"/>
      <c r="AD128" s="118"/>
      <c r="AE128" s="118"/>
      <c r="AF128" s="118"/>
      <c r="AG128" s="118"/>
      <c r="AH128" s="118"/>
      <c r="AI128" s="118"/>
      <c r="AJ128" s="118"/>
      <c r="AK128" s="118"/>
      <c r="AL128" s="118"/>
      <c r="AM128" s="118"/>
      <c r="AN128" s="118"/>
      <c r="AO128" s="118"/>
      <c r="AP128" s="118"/>
      <c r="AQ128" s="118"/>
      <c r="AR128" s="128" t="s">
        <v>92</v>
      </c>
      <c r="BD128" s="114"/>
      <c r="BE128" s="114"/>
      <c r="BF128" s="114"/>
      <c r="BG128" s="114"/>
      <c r="BH128" s="114"/>
    </row>
    <row r="129" customFormat="false" ht="12.75" hidden="false" customHeight="false" outlineLevel="0" collapsed="false">
      <c r="A129" s="97"/>
      <c r="B129" s="2" t="s">
        <v>95</v>
      </c>
      <c r="C129" s="2"/>
      <c r="D129" s="2"/>
      <c r="E129" s="2"/>
      <c r="F129" s="3"/>
      <c r="G129" s="114"/>
      <c r="H129" s="90" t="n">
        <v>1534.79033333333</v>
      </c>
      <c r="I129" s="90" t="n">
        <v>1581.53748890278</v>
      </c>
      <c r="J129" s="90" t="n">
        <v>1628.12694743004</v>
      </c>
      <c r="K129" s="90" t="n">
        <v>1674.90167785725</v>
      </c>
      <c r="L129" s="90" t="n">
        <v>1722.18275647176</v>
      </c>
      <c r="M129" s="90" t="n">
        <v>1769.6575944585</v>
      </c>
      <c r="N129" s="90" t="n">
        <v>1817.3129987626</v>
      </c>
      <c r="O129" s="90" t="n">
        <v>1865.3430668924</v>
      </c>
      <c r="P129" s="90" t="n">
        <v>1913.81089758049</v>
      </c>
      <c r="Q129" s="90" t="n">
        <v>1962.77255971025</v>
      </c>
      <c r="R129" s="90" t="n">
        <v>2012.41434903293</v>
      </c>
      <c r="S129" s="90" t="n">
        <v>2062.90917907408</v>
      </c>
      <c r="T129" s="90" t="n">
        <v>2114.81713129253</v>
      </c>
      <c r="U129" s="90" t="n">
        <v>2168.78021509268</v>
      </c>
      <c r="V129" s="90" t="n">
        <v>2224.9877690005</v>
      </c>
      <c r="W129" s="90" t="n">
        <v>2283.78307079633</v>
      </c>
      <c r="X129" s="90" t="n">
        <v>2345.25489845194</v>
      </c>
      <c r="Y129" s="90" t="n">
        <v>2409.19241012098</v>
      </c>
      <c r="Z129" s="90" t="n">
        <v>2476.24826553602</v>
      </c>
      <c r="AA129" s="118"/>
      <c r="AB129" s="118"/>
      <c r="AC129" s="118"/>
      <c r="AD129" s="118"/>
      <c r="AE129" s="118"/>
      <c r="AF129" s="118"/>
      <c r="AG129" s="118"/>
      <c r="AH129" s="118"/>
      <c r="AI129" s="118"/>
      <c r="AJ129" s="118"/>
      <c r="AK129" s="118"/>
      <c r="AL129" s="118"/>
      <c r="AM129" s="118"/>
      <c r="AN129" s="118"/>
      <c r="AO129" s="118"/>
      <c r="AP129" s="118"/>
      <c r="AQ129" s="118"/>
      <c r="AR129" s="128" t="s">
        <v>92</v>
      </c>
      <c r="BD129" s="114"/>
      <c r="BE129" s="114"/>
      <c r="BF129" s="114"/>
      <c r="BG129" s="114"/>
      <c r="BH129" s="114"/>
    </row>
    <row r="130" customFormat="false" ht="12.75" hidden="false" customHeight="false" outlineLevel="0" collapsed="false">
      <c r="A130" s="97"/>
      <c r="B130" s="2" t="s">
        <v>96</v>
      </c>
      <c r="C130" s="2"/>
      <c r="D130" s="2"/>
      <c r="E130" s="2"/>
      <c r="F130" s="3"/>
      <c r="G130" s="114"/>
      <c r="H130" s="90" t="n">
        <v>16.5253333333333</v>
      </c>
      <c r="I130" s="90" t="n">
        <v>17.0286674444444</v>
      </c>
      <c r="J130" s="90" t="n">
        <v>17.5303036062454</v>
      </c>
      <c r="K130" s="90" t="n">
        <v>18.0339346202665</v>
      </c>
      <c r="L130" s="90" t="n">
        <v>18.5430175663177</v>
      </c>
      <c r="M130" s="90" t="n">
        <v>19.0541867505626</v>
      </c>
      <c r="N130" s="90" t="n">
        <v>19.5673001212663</v>
      </c>
      <c r="O130" s="90" t="n">
        <v>20.0844475573879</v>
      </c>
      <c r="P130" s="90" t="n">
        <v>20.6063084530873</v>
      </c>
      <c r="Q130" s="90" t="n">
        <v>21.1334865110122</v>
      </c>
      <c r="R130" s="90" t="n">
        <v>21.6679876073532</v>
      </c>
      <c r="S130" s="90" t="n">
        <v>22.2116735297343</v>
      </c>
      <c r="T130" s="90" t="n">
        <v>22.7705747649263</v>
      </c>
      <c r="U130" s="90" t="n">
        <v>23.3516039310113</v>
      </c>
      <c r="V130" s="90" t="n">
        <v>23.9567996662234</v>
      </c>
      <c r="W130" s="90" t="n">
        <v>24.5898580974033</v>
      </c>
      <c r="X130" s="90" t="n">
        <v>25.2517351111918</v>
      </c>
      <c r="Y130" s="90" t="n">
        <v>25.9401605396606</v>
      </c>
      <c r="Z130" s="90" t="n">
        <v>26.6621616746812</v>
      </c>
      <c r="AA130" s="118"/>
      <c r="AB130" s="118"/>
      <c r="AC130" s="118"/>
      <c r="AD130" s="118"/>
      <c r="AE130" s="118"/>
      <c r="AF130" s="118"/>
      <c r="AG130" s="118"/>
      <c r="AH130" s="118"/>
      <c r="AI130" s="118"/>
      <c r="AJ130" s="118"/>
      <c r="AK130" s="118"/>
      <c r="AL130" s="118"/>
      <c r="AM130" s="118"/>
      <c r="AN130" s="118"/>
      <c r="AO130" s="118"/>
      <c r="AP130" s="118"/>
      <c r="AQ130" s="118"/>
      <c r="AR130" s="128" t="s">
        <v>92</v>
      </c>
      <c r="BD130" s="114"/>
      <c r="BE130" s="114"/>
      <c r="BF130" s="114"/>
      <c r="BG130" s="114"/>
      <c r="BH130" s="114"/>
    </row>
    <row r="131" customFormat="false" ht="12.75" hidden="false" customHeight="false" outlineLevel="0" collapsed="false">
      <c r="A131" s="97"/>
      <c r="B131" s="2" t="s">
        <v>97</v>
      </c>
      <c r="C131" s="2"/>
      <c r="D131" s="2"/>
      <c r="E131" s="2"/>
      <c r="F131" s="3"/>
      <c r="G131" s="114"/>
      <c r="H131" s="90" t="n">
        <v>139.05</v>
      </c>
      <c r="I131" s="90" t="n">
        <v>143.2215</v>
      </c>
      <c r="J131" s="90" t="n">
        <v>147.518145</v>
      </c>
      <c r="K131" s="90" t="n">
        <v>151.94368935</v>
      </c>
      <c r="L131" s="90" t="n">
        <v>156.5020000305</v>
      </c>
      <c r="M131" s="90" t="n">
        <v>161.197060031415</v>
      </c>
      <c r="N131" s="90" t="n">
        <v>166.032971832357</v>
      </c>
      <c r="O131" s="90" t="n">
        <v>171.013960987328</v>
      </c>
      <c r="P131" s="90" t="n">
        <v>176.144379816948</v>
      </c>
      <c r="Q131" s="90" t="n">
        <v>181.428711211457</v>
      </c>
      <c r="R131" s="90" t="n">
        <v>186.8715725478</v>
      </c>
      <c r="S131" s="90" t="n">
        <v>192.477719724234</v>
      </c>
      <c r="T131" s="90" t="n">
        <v>198.252051315961</v>
      </c>
      <c r="U131" s="90" t="n">
        <v>204.19961285544</v>
      </c>
      <c r="V131" s="90" t="n">
        <v>210.325601241103</v>
      </c>
      <c r="W131" s="90" t="n">
        <v>216.635369278336</v>
      </c>
      <c r="X131" s="90" t="n">
        <v>223.134430356687</v>
      </c>
      <c r="Y131" s="90" t="n">
        <v>229.828463267387</v>
      </c>
      <c r="Z131" s="90" t="n">
        <v>236.723317165409</v>
      </c>
      <c r="AA131" s="118"/>
      <c r="AB131" s="118"/>
      <c r="AC131" s="118"/>
      <c r="AD131" s="118"/>
      <c r="AE131" s="118"/>
      <c r="AF131" s="118"/>
      <c r="AG131" s="118"/>
      <c r="AH131" s="118"/>
      <c r="AI131" s="118"/>
      <c r="AJ131" s="118"/>
      <c r="AK131" s="118"/>
      <c r="AL131" s="118"/>
      <c r="AM131" s="118"/>
      <c r="AN131" s="118"/>
      <c r="AO131" s="118"/>
      <c r="AP131" s="118"/>
      <c r="AQ131" s="118"/>
      <c r="AR131" s="128" t="s">
        <v>92</v>
      </c>
      <c r="BD131" s="114"/>
      <c r="BE131" s="114"/>
      <c r="BF131" s="114"/>
      <c r="BG131" s="114"/>
      <c r="BH131" s="114"/>
    </row>
    <row r="132" customFormat="false" ht="12.75" hidden="false" customHeight="false" outlineLevel="0" collapsed="false">
      <c r="A132" s="97"/>
      <c r="B132" s="2" t="s">
        <v>98</v>
      </c>
      <c r="C132" s="2"/>
      <c r="D132" s="2"/>
      <c r="E132" s="2"/>
      <c r="F132" s="3"/>
      <c r="G132" s="114"/>
      <c r="H132" s="90" t="n">
        <v>141.11</v>
      </c>
      <c r="I132" s="90" t="n">
        <v>145.3433</v>
      </c>
      <c r="J132" s="90" t="n">
        <v>149.703599</v>
      </c>
      <c r="K132" s="90" t="n">
        <v>154.19470697</v>
      </c>
      <c r="L132" s="90" t="n">
        <v>158.8205481791</v>
      </c>
      <c r="M132" s="90" t="n">
        <v>163.585164624473</v>
      </c>
      <c r="N132" s="90" t="n">
        <v>168.492719563207</v>
      </c>
      <c r="O132" s="90" t="n">
        <v>173.547501150103</v>
      </c>
      <c r="P132" s="90" t="n">
        <v>178.753926184607</v>
      </c>
      <c r="Q132" s="90" t="n">
        <v>184.116543970145</v>
      </c>
      <c r="R132" s="90" t="n">
        <v>189.640040289249</v>
      </c>
      <c r="S132" s="90" t="n">
        <v>195.329241497927</v>
      </c>
      <c r="T132" s="90" t="n">
        <v>201.189118742864</v>
      </c>
      <c r="U132" s="90" t="n">
        <v>207.22479230515</v>
      </c>
      <c r="V132" s="90" t="n">
        <v>213.441536074305</v>
      </c>
      <c r="W132" s="90" t="n">
        <v>219.844782156534</v>
      </c>
      <c r="X132" s="90" t="n">
        <v>226.44012562123</v>
      </c>
      <c r="Y132" s="90" t="n">
        <v>233.233329389867</v>
      </c>
      <c r="Z132" s="90" t="n">
        <v>240.230329271563</v>
      </c>
      <c r="AA132" s="118"/>
      <c r="AB132" s="118"/>
      <c r="AC132" s="118"/>
      <c r="AD132" s="118"/>
      <c r="AE132" s="118"/>
      <c r="AF132" s="118"/>
      <c r="AG132" s="118"/>
      <c r="AH132" s="118"/>
      <c r="AI132" s="118"/>
      <c r="AJ132" s="118"/>
      <c r="AK132" s="118"/>
      <c r="AL132" s="118"/>
      <c r="AM132" s="118"/>
      <c r="AN132" s="118"/>
      <c r="AO132" s="118"/>
      <c r="AP132" s="118"/>
      <c r="AQ132" s="118"/>
      <c r="AR132" s="128" t="s">
        <v>92</v>
      </c>
      <c r="BD132" s="114"/>
      <c r="BE132" s="114"/>
      <c r="BF132" s="114"/>
      <c r="BG132" s="114"/>
      <c r="BH132" s="114"/>
    </row>
    <row r="133" customFormat="false" ht="12.75" hidden="false" customHeight="false" outlineLevel="0" collapsed="false">
      <c r="A133" s="97"/>
      <c r="B133" s="2" t="s">
        <v>99</v>
      </c>
      <c r="C133" s="2"/>
      <c r="D133" s="2"/>
      <c r="E133" s="2"/>
      <c r="F133" s="3"/>
      <c r="G133" s="114"/>
      <c r="H133" s="90" t="n">
        <v>123.97624406994</v>
      </c>
      <c r="I133" s="90" t="n">
        <v>127.750133652536</v>
      </c>
      <c r="J133" s="90" t="n">
        <v>131.511154115169</v>
      </c>
      <c r="K133" s="90" t="n">
        <v>135.287012760726</v>
      </c>
      <c r="L133" s="90" t="n">
        <v>139.103638952739</v>
      </c>
      <c r="M133" s="90" t="n">
        <v>142.935780487099</v>
      </c>
      <c r="N133" s="90" t="n">
        <v>146.78237527421</v>
      </c>
      <c r="O133" s="90" t="n">
        <v>150.659097203397</v>
      </c>
      <c r="P133" s="90" t="n">
        <v>154.571041488475</v>
      </c>
      <c r="Q133" s="90" t="n">
        <v>158.522734160722</v>
      </c>
      <c r="R133" s="90" t="n">
        <v>162.529219775201</v>
      </c>
      <c r="S133" s="90" t="n">
        <v>166.604459572601</v>
      </c>
      <c r="T133" s="90" t="n">
        <v>170.793682093272</v>
      </c>
      <c r="U133" s="90" t="n">
        <v>175.148729340137</v>
      </c>
      <c r="V133" s="90" t="n">
        <v>179.684883682382</v>
      </c>
      <c r="W133" s="90" t="n">
        <v>184.429856084609</v>
      </c>
      <c r="X133" s="90" t="n">
        <v>189.390807790149</v>
      </c>
      <c r="Y133" s="90" t="n">
        <v>194.550700462567</v>
      </c>
      <c r="Z133" s="90" t="n">
        <v>199.962222571297</v>
      </c>
      <c r="AA133" s="118"/>
      <c r="AB133" s="118"/>
      <c r="AC133" s="118"/>
      <c r="AD133" s="118"/>
      <c r="AE133" s="118"/>
      <c r="AF133" s="118"/>
      <c r="AG133" s="118"/>
      <c r="AH133" s="118"/>
      <c r="AI133" s="118"/>
      <c r="AJ133" s="118"/>
      <c r="AK133" s="118"/>
      <c r="AL133" s="118"/>
      <c r="AM133" s="118"/>
      <c r="AN133" s="118"/>
      <c r="AO133" s="118"/>
      <c r="AP133" s="118"/>
      <c r="AQ133" s="118"/>
      <c r="AR133" s="128" t="s">
        <v>92</v>
      </c>
      <c r="BD133" s="114"/>
      <c r="BE133" s="114"/>
      <c r="BF133" s="114"/>
      <c r="BG133" s="114"/>
      <c r="BH133" s="114"/>
    </row>
    <row r="134" customFormat="false" ht="12.75" hidden="false" customHeight="false" outlineLevel="0" collapsed="false">
      <c r="A134" s="97"/>
      <c r="B134" s="2" t="s">
        <v>100</v>
      </c>
      <c r="C134" s="2"/>
      <c r="D134" s="2"/>
      <c r="E134" s="2"/>
      <c r="F134" s="3"/>
      <c r="G134" s="114"/>
      <c r="H134" s="90" t="n">
        <v>56.8058333333333</v>
      </c>
      <c r="I134" s="90" t="n">
        <v>58.5360443402778</v>
      </c>
      <c r="J134" s="90" t="n">
        <v>60.2604186464685</v>
      </c>
      <c r="K134" s="90" t="n">
        <v>61.991650257166</v>
      </c>
      <c r="L134" s="90" t="n">
        <v>63.7416228842172</v>
      </c>
      <c r="M134" s="90" t="n">
        <v>65.4987669550588</v>
      </c>
      <c r="N134" s="90" t="n">
        <v>67.2625941668528</v>
      </c>
      <c r="O134" s="90" t="n">
        <v>69.0402884785209</v>
      </c>
      <c r="P134" s="90" t="n">
        <v>70.8341853074878</v>
      </c>
      <c r="Q134" s="90" t="n">
        <v>72.6463598816043</v>
      </c>
      <c r="R134" s="90" t="n">
        <v>74.4837074002766</v>
      </c>
      <c r="S134" s="90" t="n">
        <v>76.3526277584618</v>
      </c>
      <c r="T134" s="90" t="n">
        <v>78.2738507544341</v>
      </c>
      <c r="U134" s="90" t="n">
        <v>80.2711385128514</v>
      </c>
      <c r="V134" s="90" t="n">
        <v>82.3514988526428</v>
      </c>
      <c r="W134" s="90" t="n">
        <v>84.5276372098239</v>
      </c>
      <c r="X134" s="90" t="n">
        <v>86.8028394447217</v>
      </c>
      <c r="Y134" s="90" t="n">
        <v>89.1693018550834</v>
      </c>
      <c r="Z134" s="90" t="n">
        <v>91.6511807567166</v>
      </c>
      <c r="AA134" s="118"/>
      <c r="AB134" s="118"/>
      <c r="AC134" s="118"/>
      <c r="AD134" s="118"/>
      <c r="AE134" s="118"/>
      <c r="AF134" s="118"/>
      <c r="AG134" s="118"/>
      <c r="AH134" s="118"/>
      <c r="AI134" s="118"/>
      <c r="AJ134" s="118"/>
      <c r="AK134" s="118"/>
      <c r="AL134" s="118"/>
      <c r="AM134" s="118"/>
      <c r="AN134" s="118"/>
      <c r="AO134" s="118"/>
      <c r="AP134" s="118"/>
      <c r="AQ134" s="118"/>
      <c r="AR134" s="128" t="s">
        <v>92</v>
      </c>
      <c r="BD134" s="114"/>
      <c r="BE134" s="114"/>
      <c r="BF134" s="114"/>
      <c r="BG134" s="114"/>
      <c r="BH134" s="114"/>
    </row>
    <row r="135" customFormat="false" ht="12.75" hidden="false" customHeight="false" outlineLevel="0" collapsed="false">
      <c r="A135" s="97"/>
      <c r="B135" s="2" t="s">
        <v>101</v>
      </c>
      <c r="C135" s="2"/>
      <c r="D135" s="2"/>
      <c r="E135" s="2"/>
      <c r="F135" s="3"/>
      <c r="G135" s="114"/>
      <c r="H135" s="90" t="n">
        <v>7.22983333333333</v>
      </c>
      <c r="I135" s="90" t="n">
        <v>7.45004200694445</v>
      </c>
      <c r="J135" s="90" t="n">
        <v>7.66950782773235</v>
      </c>
      <c r="K135" s="90" t="n">
        <v>7.88984639636658</v>
      </c>
      <c r="L135" s="90" t="n">
        <v>8.11257018526401</v>
      </c>
      <c r="M135" s="90" t="n">
        <v>8.33620670337112</v>
      </c>
      <c r="N135" s="90" t="n">
        <v>8.56069380305399</v>
      </c>
      <c r="O135" s="90" t="n">
        <v>8.7869458063572</v>
      </c>
      <c r="P135" s="90" t="n">
        <v>9.01525994822572</v>
      </c>
      <c r="Q135" s="90" t="n">
        <v>9.24590034856782</v>
      </c>
      <c r="R135" s="90" t="n">
        <v>9.47974457821702</v>
      </c>
      <c r="S135" s="90" t="n">
        <v>9.71760716925878</v>
      </c>
      <c r="T135" s="90" t="n">
        <v>9.96212645965525</v>
      </c>
      <c r="U135" s="90" t="n">
        <v>10.2163267198175</v>
      </c>
      <c r="V135" s="90" t="n">
        <v>10.4810998539727</v>
      </c>
      <c r="W135" s="90" t="n">
        <v>10.758062917614</v>
      </c>
      <c r="X135" s="90" t="n">
        <v>11.0476341111464</v>
      </c>
      <c r="Y135" s="90" t="n">
        <v>11.3488202361015</v>
      </c>
      <c r="Z135" s="90" t="n">
        <v>11.664695732673</v>
      </c>
      <c r="AA135" s="118"/>
      <c r="AB135" s="118"/>
      <c r="AC135" s="118"/>
      <c r="AD135" s="118"/>
      <c r="AE135" s="118"/>
      <c r="AF135" s="118"/>
      <c r="AG135" s="118"/>
      <c r="AH135" s="118"/>
      <c r="AI135" s="118"/>
      <c r="AJ135" s="118"/>
      <c r="AK135" s="118"/>
      <c r="AL135" s="118"/>
      <c r="AM135" s="118"/>
      <c r="AN135" s="118"/>
      <c r="AO135" s="118"/>
      <c r="AP135" s="118"/>
      <c r="AQ135" s="118"/>
      <c r="AR135" s="128" t="s">
        <v>92</v>
      </c>
      <c r="BD135" s="114"/>
      <c r="BE135" s="114"/>
      <c r="BF135" s="114"/>
      <c r="BG135" s="114"/>
      <c r="BH135" s="114"/>
    </row>
    <row r="136" customFormat="false" ht="12.75" hidden="false" customHeight="false" outlineLevel="0" collapsed="false">
      <c r="A136" s="97"/>
      <c r="B136" s="2" t="s">
        <v>102</v>
      </c>
      <c r="C136" s="2"/>
      <c r="D136" s="2"/>
      <c r="E136" s="2"/>
      <c r="F136" s="2"/>
      <c r="G136" s="114"/>
      <c r="H136" s="90" t="n">
        <v>449.2825</v>
      </c>
      <c r="I136" s="90" t="n">
        <v>462.966896145833</v>
      </c>
      <c r="J136" s="90" t="n">
        <v>476.605129294796</v>
      </c>
      <c r="K136" s="90" t="n">
        <v>490.297597488494</v>
      </c>
      <c r="L136" s="90" t="n">
        <v>504.138290084264</v>
      </c>
      <c r="M136" s="90" t="n">
        <v>518.03570228092</v>
      </c>
      <c r="N136" s="90" t="n">
        <v>531.985972046926</v>
      </c>
      <c r="O136" s="90" t="n">
        <v>546.045917966483</v>
      </c>
      <c r="P136" s="90" t="n">
        <v>560.234011068312</v>
      </c>
      <c r="Q136" s="90" t="n">
        <v>574.566664518143</v>
      </c>
      <c r="R136" s="90" t="n">
        <v>589.098413074915</v>
      </c>
      <c r="S136" s="90" t="n">
        <v>603.879874089653</v>
      </c>
      <c r="T136" s="90" t="n">
        <v>619.075001421434</v>
      </c>
      <c r="U136" s="90" t="n">
        <v>634.87173187437</v>
      </c>
      <c r="V136" s="90" t="n">
        <v>651.325490925448</v>
      </c>
      <c r="W136" s="90" t="n">
        <v>668.536767023153</v>
      </c>
      <c r="X136" s="90" t="n">
        <v>686.531548335526</v>
      </c>
      <c r="Y136" s="90" t="n">
        <v>705.248114672023</v>
      </c>
      <c r="Z136" s="90" t="n">
        <v>724.877520530395</v>
      </c>
      <c r="AA136" s="118"/>
      <c r="AB136" s="118"/>
      <c r="AC136" s="118"/>
      <c r="AD136" s="118"/>
      <c r="AE136" s="118"/>
      <c r="AF136" s="118"/>
      <c r="AG136" s="118"/>
      <c r="AH136" s="118"/>
      <c r="AI136" s="118"/>
      <c r="AJ136" s="118"/>
      <c r="AK136" s="118"/>
      <c r="AL136" s="118"/>
      <c r="AM136" s="118"/>
      <c r="AN136" s="118"/>
      <c r="AO136" s="118"/>
      <c r="AP136" s="118"/>
      <c r="AQ136" s="118"/>
      <c r="AR136" s="128" t="s">
        <v>92</v>
      </c>
      <c r="BD136" s="114"/>
      <c r="BE136" s="114"/>
      <c r="BF136" s="114"/>
      <c r="BG136" s="114"/>
      <c r="BH136" s="114"/>
    </row>
    <row r="137" customFormat="false" ht="12.75" hidden="false" customHeight="false" outlineLevel="0" collapsed="false">
      <c r="A137" s="97"/>
      <c r="B137" s="2" t="s">
        <v>103</v>
      </c>
      <c r="C137" s="2"/>
      <c r="D137" s="2"/>
      <c r="E137" s="97"/>
      <c r="F137" s="3"/>
      <c r="G137" s="114"/>
      <c r="H137" s="90" t="n">
        <v>40.2805</v>
      </c>
      <c r="I137" s="90" t="n">
        <v>41.5073768958333</v>
      </c>
      <c r="J137" s="90" t="n">
        <v>42.7301150402231</v>
      </c>
      <c r="K137" s="90" t="n">
        <v>43.9577156368995</v>
      </c>
      <c r="L137" s="90" t="n">
        <v>45.1986053178995</v>
      </c>
      <c r="M137" s="90" t="n">
        <v>46.4445802044962</v>
      </c>
      <c r="N137" s="90" t="n">
        <v>47.6952940455865</v>
      </c>
      <c r="O137" s="90" t="n">
        <v>48.955840921133</v>
      </c>
      <c r="P137" s="90" t="n">
        <v>50.2278768544004</v>
      </c>
      <c r="Q137" s="90" t="n">
        <v>51.5128733705921</v>
      </c>
      <c r="R137" s="90" t="n">
        <v>52.8157197929234</v>
      </c>
      <c r="S137" s="90" t="n">
        <v>54.1409542287275</v>
      </c>
      <c r="T137" s="90" t="n">
        <v>55.5032759895078</v>
      </c>
      <c r="U137" s="90" t="n">
        <v>56.9195345818401</v>
      </c>
      <c r="V137" s="90" t="n">
        <v>58.3946991864195</v>
      </c>
      <c r="W137" s="90" t="n">
        <v>59.9377791124206</v>
      </c>
      <c r="X137" s="90" t="n">
        <v>61.5511043335299</v>
      </c>
      <c r="Y137" s="90" t="n">
        <v>63.2291413154228</v>
      </c>
      <c r="Z137" s="90" t="n">
        <v>64.9890190820354</v>
      </c>
      <c r="AA137" s="118"/>
      <c r="AB137" s="118"/>
      <c r="AC137" s="118"/>
      <c r="AD137" s="118"/>
      <c r="AE137" s="118"/>
      <c r="AF137" s="118"/>
      <c r="AG137" s="118"/>
      <c r="AH137" s="118"/>
      <c r="AI137" s="118"/>
      <c r="AJ137" s="118"/>
      <c r="AK137" s="118"/>
      <c r="AL137" s="118"/>
      <c r="AM137" s="118"/>
      <c r="AN137" s="118"/>
      <c r="AO137" s="118"/>
      <c r="AP137" s="118"/>
      <c r="AQ137" s="118"/>
      <c r="AR137" s="128" t="s">
        <v>92</v>
      </c>
      <c r="BD137" s="114"/>
      <c r="BE137" s="114"/>
      <c r="BF137" s="114"/>
      <c r="BG137" s="114"/>
      <c r="BH137" s="114"/>
    </row>
    <row r="138" customFormat="false" ht="12.75" hidden="false" customHeight="false" outlineLevel="0" collapsed="false">
      <c r="A138" s="97"/>
      <c r="B138" s="2" t="s">
        <v>104</v>
      </c>
      <c r="C138" s="2"/>
      <c r="D138" s="2"/>
      <c r="E138" s="2"/>
      <c r="F138" s="3"/>
      <c r="G138" s="114"/>
      <c r="H138" s="90" t="n">
        <v>7.22983333333333</v>
      </c>
      <c r="I138" s="90" t="n">
        <v>7.45004200694445</v>
      </c>
      <c r="J138" s="90" t="n">
        <v>7.66950782773235</v>
      </c>
      <c r="K138" s="90" t="n">
        <v>7.88984639636658</v>
      </c>
      <c r="L138" s="90" t="n">
        <v>8.11257018526401</v>
      </c>
      <c r="M138" s="90" t="n">
        <v>8.33620670337112</v>
      </c>
      <c r="N138" s="90" t="n">
        <v>8.56069380305399</v>
      </c>
      <c r="O138" s="90" t="n">
        <v>8.7869458063572</v>
      </c>
      <c r="P138" s="90" t="n">
        <v>9.01525994822572</v>
      </c>
      <c r="Q138" s="90" t="n">
        <v>9.24590034856782</v>
      </c>
      <c r="R138" s="90" t="n">
        <v>9.47974457821702</v>
      </c>
      <c r="S138" s="90" t="n">
        <v>9.71760716925878</v>
      </c>
      <c r="T138" s="90" t="n">
        <v>9.96212645965525</v>
      </c>
      <c r="U138" s="90" t="n">
        <v>10.2163267198175</v>
      </c>
      <c r="V138" s="90" t="n">
        <v>10.4810998539727</v>
      </c>
      <c r="W138" s="90" t="n">
        <v>10.758062917614</v>
      </c>
      <c r="X138" s="90" t="n">
        <v>11.0476341111464</v>
      </c>
      <c r="Y138" s="90" t="n">
        <v>11.3488202361015</v>
      </c>
      <c r="Z138" s="90" t="n">
        <v>11.664695732673</v>
      </c>
      <c r="AA138" s="118"/>
      <c r="AB138" s="118"/>
      <c r="AC138" s="118"/>
      <c r="AD138" s="118"/>
      <c r="AE138" s="118"/>
      <c r="AF138" s="118"/>
      <c r="AG138" s="118"/>
      <c r="AH138" s="118"/>
      <c r="AI138" s="118"/>
      <c r="AJ138" s="118"/>
      <c r="AK138" s="118"/>
      <c r="AL138" s="118"/>
      <c r="AM138" s="118"/>
      <c r="AN138" s="118"/>
      <c r="AO138" s="118"/>
      <c r="AP138" s="118"/>
      <c r="AQ138" s="118"/>
      <c r="AR138" s="128" t="s">
        <v>92</v>
      </c>
      <c r="BD138" s="114"/>
      <c r="BE138" s="114"/>
      <c r="BF138" s="114"/>
      <c r="BG138" s="114"/>
      <c r="BH138" s="114"/>
    </row>
    <row r="139" customFormat="false" ht="12.75" hidden="false" customHeight="false" outlineLevel="0" collapsed="false">
      <c r="A139" s="97"/>
      <c r="B139" s="2" t="s">
        <v>105</v>
      </c>
      <c r="C139" s="2"/>
      <c r="D139" s="2"/>
      <c r="E139" s="2"/>
      <c r="F139" s="3"/>
      <c r="G139" s="114"/>
      <c r="H139" s="90" t="n">
        <v>18.591</v>
      </c>
      <c r="I139" s="90" t="n">
        <v>19.157250875</v>
      </c>
      <c r="J139" s="90" t="n">
        <v>19.721591557026</v>
      </c>
      <c r="K139" s="90" t="n">
        <v>20.2881764477998</v>
      </c>
      <c r="L139" s="90" t="n">
        <v>20.8608947621075</v>
      </c>
      <c r="M139" s="90" t="n">
        <v>21.4359600943829</v>
      </c>
      <c r="N139" s="90" t="n">
        <v>22.0132126364245</v>
      </c>
      <c r="O139" s="90" t="n">
        <v>22.5950035020614</v>
      </c>
      <c r="P139" s="90" t="n">
        <v>23.1820970097233</v>
      </c>
      <c r="Q139" s="90" t="n">
        <v>23.7751723248887</v>
      </c>
      <c r="R139" s="90" t="n">
        <v>24.3764860582723</v>
      </c>
      <c r="S139" s="90" t="n">
        <v>24.9881327209511</v>
      </c>
      <c r="T139" s="90" t="n">
        <v>25.6168966105421</v>
      </c>
      <c r="U139" s="90" t="n">
        <v>26.2705544223877</v>
      </c>
      <c r="V139" s="90" t="n">
        <v>26.9513996245013</v>
      </c>
      <c r="W139" s="90" t="n">
        <v>27.6635903595787</v>
      </c>
      <c r="X139" s="90" t="n">
        <v>28.4082020000907</v>
      </c>
      <c r="Y139" s="90" t="n">
        <v>29.1826806071182</v>
      </c>
      <c r="Z139" s="90" t="n">
        <v>29.9949318840163</v>
      </c>
      <c r="AA139" s="118"/>
      <c r="AB139" s="118"/>
      <c r="AC139" s="118"/>
      <c r="AD139" s="118"/>
      <c r="AE139" s="118"/>
      <c r="AF139" s="118"/>
      <c r="AG139" s="118"/>
      <c r="AH139" s="118"/>
      <c r="AI139" s="118"/>
      <c r="AJ139" s="118"/>
      <c r="AK139" s="118"/>
      <c r="AL139" s="118"/>
      <c r="AM139" s="118"/>
      <c r="AN139" s="118"/>
      <c r="AO139" s="118"/>
      <c r="AP139" s="118"/>
      <c r="AQ139" s="118"/>
      <c r="AR139" s="128" t="s">
        <v>92</v>
      </c>
      <c r="BD139" s="114"/>
      <c r="BE139" s="114"/>
      <c r="BF139" s="114"/>
      <c r="BG139" s="114"/>
      <c r="BH139" s="114"/>
    </row>
    <row r="140" customFormat="false" ht="12.75" hidden="false" customHeight="false" outlineLevel="0" collapsed="false">
      <c r="A140" s="97"/>
      <c r="B140" s="2" t="s">
        <v>106</v>
      </c>
      <c r="C140" s="2"/>
      <c r="D140" s="2"/>
      <c r="E140" s="2"/>
      <c r="F140" s="3"/>
      <c r="G140" s="114"/>
      <c r="H140" s="90" t="n">
        <v>61.97</v>
      </c>
      <c r="I140" s="90" t="n">
        <v>63.8575029166667</v>
      </c>
      <c r="J140" s="90" t="n">
        <v>65.7386385234202</v>
      </c>
      <c r="K140" s="90" t="n">
        <v>67.6272548259992</v>
      </c>
      <c r="L140" s="90" t="n">
        <v>69.5363158736915</v>
      </c>
      <c r="M140" s="90" t="n">
        <v>71.4532003146096</v>
      </c>
      <c r="N140" s="90" t="n">
        <v>73.3773754547485</v>
      </c>
      <c r="O140" s="90" t="n">
        <v>75.3166783402046</v>
      </c>
      <c r="P140" s="90" t="n">
        <v>77.2736566990776</v>
      </c>
      <c r="Q140" s="90" t="n">
        <v>79.2505744162956</v>
      </c>
      <c r="R140" s="90" t="n">
        <v>81.2549535275744</v>
      </c>
      <c r="S140" s="90" t="n">
        <v>83.2937757365038</v>
      </c>
      <c r="T140" s="90" t="n">
        <v>85.3896553684736</v>
      </c>
      <c r="U140" s="90" t="n">
        <v>87.5685147412925</v>
      </c>
      <c r="V140" s="90" t="n">
        <v>89.8379987483376</v>
      </c>
      <c r="W140" s="90" t="n">
        <v>92.2119678652625</v>
      </c>
      <c r="X140" s="90" t="n">
        <v>94.6940066669691</v>
      </c>
      <c r="Y140" s="90" t="n">
        <v>97.2756020237273</v>
      </c>
      <c r="Z140" s="90" t="n">
        <v>99.9831062800544</v>
      </c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18"/>
      <c r="AK140" s="118"/>
      <c r="AL140" s="118"/>
      <c r="AM140" s="118"/>
      <c r="AN140" s="118"/>
      <c r="AO140" s="118"/>
      <c r="AP140" s="118"/>
      <c r="AQ140" s="118"/>
      <c r="AR140" s="128" t="s">
        <v>92</v>
      </c>
      <c r="BD140" s="114"/>
      <c r="BE140" s="114"/>
      <c r="BF140" s="114"/>
      <c r="BG140" s="114"/>
      <c r="BH140" s="114"/>
    </row>
    <row r="141" customFormat="false" ht="12.75" hidden="false" customHeight="false" outlineLevel="0" collapsed="false">
      <c r="A141" s="97"/>
      <c r="B141" s="2" t="s">
        <v>107</v>
      </c>
      <c r="C141" s="2"/>
      <c r="D141" s="2"/>
      <c r="E141" s="2"/>
      <c r="F141" s="3"/>
      <c r="G141" s="114"/>
      <c r="H141" s="90" t="n">
        <v>-1127.96034531828</v>
      </c>
      <c r="I141" s="90" t="n">
        <v>0</v>
      </c>
      <c r="J141" s="90" t="n">
        <v>0</v>
      </c>
      <c r="K141" s="90" t="n">
        <v>0</v>
      </c>
      <c r="L141" s="90" t="n">
        <v>0</v>
      </c>
      <c r="M141" s="90" t="n">
        <v>0</v>
      </c>
      <c r="N141" s="90" t="n">
        <v>0</v>
      </c>
      <c r="O141" s="90" t="n">
        <v>0</v>
      </c>
      <c r="P141" s="90" t="n">
        <v>0</v>
      </c>
      <c r="Q141" s="90" t="n">
        <v>0</v>
      </c>
      <c r="R141" s="90" t="n">
        <v>0</v>
      </c>
      <c r="S141" s="90" t="n">
        <v>0</v>
      </c>
      <c r="T141" s="90" t="n">
        <v>0</v>
      </c>
      <c r="U141" s="90" t="n">
        <v>0</v>
      </c>
      <c r="V141" s="90" t="n">
        <v>0</v>
      </c>
      <c r="W141" s="90" t="n">
        <v>0</v>
      </c>
      <c r="X141" s="90" t="n">
        <v>0</v>
      </c>
      <c r="Y141" s="90" t="n">
        <v>0</v>
      </c>
      <c r="Z141" s="90" t="n">
        <v>0</v>
      </c>
      <c r="AA141" s="118"/>
      <c r="AB141" s="118"/>
      <c r="AC141" s="118"/>
      <c r="AD141" s="118"/>
      <c r="AE141" s="118"/>
      <c r="AF141" s="118"/>
      <c r="AG141" s="118"/>
      <c r="AH141" s="118"/>
      <c r="AI141" s="118"/>
      <c r="AJ141" s="118"/>
      <c r="AK141" s="118"/>
      <c r="AL141" s="118"/>
      <c r="AM141" s="118"/>
      <c r="AN141" s="118"/>
      <c r="AO141" s="118"/>
      <c r="AP141" s="118"/>
      <c r="AQ141" s="118"/>
      <c r="AR141" s="128" t="s">
        <v>92</v>
      </c>
      <c r="BD141" s="114"/>
      <c r="BE141" s="114"/>
      <c r="BF141" s="114"/>
      <c r="BG141" s="114"/>
      <c r="BH141" s="114"/>
    </row>
    <row r="142" customFormat="false" ht="12.75" hidden="false" customHeight="false" outlineLevel="0" collapsed="false">
      <c r="A142" s="97"/>
      <c r="B142" s="2" t="s">
        <v>108</v>
      </c>
      <c r="C142" s="2"/>
      <c r="D142" s="2"/>
      <c r="E142" s="2"/>
      <c r="F142" s="3"/>
      <c r="G142" s="114"/>
      <c r="H142" s="90" t="n">
        <v>6908.112</v>
      </c>
      <c r="I142" s="90" t="n">
        <v>660.574</v>
      </c>
      <c r="J142" s="90" t="n">
        <v>617.562</v>
      </c>
      <c r="K142" s="90" t="n">
        <v>4009</v>
      </c>
      <c r="L142" s="90" t="n">
        <v>709.071</v>
      </c>
      <c r="M142" s="90" t="n">
        <v>698.601</v>
      </c>
      <c r="N142" s="90" t="n">
        <v>10662</v>
      </c>
      <c r="O142" s="90" t="n">
        <v>923.894</v>
      </c>
      <c r="P142" s="90" t="n">
        <v>860.22</v>
      </c>
      <c r="Q142" s="90" t="n">
        <v>9210</v>
      </c>
      <c r="R142" s="90" t="n">
        <v>709</v>
      </c>
      <c r="S142" s="90" t="n">
        <v>2227.746</v>
      </c>
      <c r="T142" s="90" t="n">
        <v>8987</v>
      </c>
      <c r="U142" s="90" t="n">
        <v>964</v>
      </c>
      <c r="V142" s="90" t="n">
        <v>870.804</v>
      </c>
      <c r="W142" s="90" t="n">
        <v>2811</v>
      </c>
      <c r="X142" s="90" t="n">
        <v>1017</v>
      </c>
      <c r="Y142" s="90" t="n">
        <v>818.536</v>
      </c>
      <c r="Z142" s="90" t="n">
        <v>8524</v>
      </c>
      <c r="AA142" s="118"/>
      <c r="AB142" s="118"/>
      <c r="AC142" s="118"/>
      <c r="AD142" s="118"/>
      <c r="AE142" s="118"/>
      <c r="AF142" s="118"/>
      <c r="AG142" s="118"/>
      <c r="AH142" s="118"/>
      <c r="AI142" s="118"/>
      <c r="AJ142" s="118"/>
      <c r="AK142" s="118"/>
      <c r="AL142" s="118"/>
      <c r="AM142" s="118"/>
      <c r="AN142" s="118"/>
      <c r="AO142" s="118"/>
      <c r="AP142" s="118"/>
      <c r="AQ142" s="118"/>
      <c r="AR142" s="128" t="s">
        <v>92</v>
      </c>
      <c r="BD142" s="114"/>
      <c r="BE142" s="114"/>
      <c r="BF142" s="114"/>
      <c r="BG142" s="114"/>
      <c r="BH142" s="114"/>
    </row>
    <row r="143" customFormat="false" ht="12.75" hidden="false" customHeight="false" outlineLevel="0" collapsed="false">
      <c r="A143" s="97"/>
      <c r="B143" s="2" t="s">
        <v>109</v>
      </c>
      <c r="C143" s="2"/>
      <c r="D143" s="2"/>
      <c r="E143" s="2"/>
      <c r="F143" s="3"/>
      <c r="G143" s="114"/>
      <c r="H143" s="90" t="n">
        <v>51.549</v>
      </c>
      <c r="I143" s="90" t="n">
        <v>987.409</v>
      </c>
      <c r="J143" s="90" t="n">
        <v>55.193</v>
      </c>
      <c r="K143" s="90" t="n">
        <v>66.955</v>
      </c>
      <c r="L143" s="90" t="n">
        <v>231.384</v>
      </c>
      <c r="M143" s="90" t="n">
        <v>71.619</v>
      </c>
      <c r="N143" s="90" t="n">
        <v>63.327</v>
      </c>
      <c r="O143" s="90" t="n">
        <v>1141.993</v>
      </c>
      <c r="P143" s="90" t="n">
        <v>67.86</v>
      </c>
      <c r="Q143" s="90" t="n">
        <v>82.003</v>
      </c>
      <c r="R143" s="90" t="n">
        <v>282.327</v>
      </c>
      <c r="S143" s="90" t="n">
        <v>87.783</v>
      </c>
      <c r="T143" s="90" t="n">
        <v>77.995</v>
      </c>
      <c r="U143" s="90" t="n">
        <v>1363.599</v>
      </c>
      <c r="V143" s="90" t="n">
        <v>83.65</v>
      </c>
      <c r="W143" s="90" t="n">
        <v>100.672</v>
      </c>
      <c r="X143" s="90" t="n">
        <v>345.209</v>
      </c>
      <c r="Y143" s="90" t="n">
        <v>107.851</v>
      </c>
      <c r="Z143" s="90" t="n">
        <v>96.318</v>
      </c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8"/>
      <c r="AK143" s="118"/>
      <c r="AL143" s="118"/>
      <c r="AM143" s="118"/>
      <c r="AN143" s="118"/>
      <c r="AO143" s="118"/>
      <c r="AP143" s="118"/>
      <c r="AQ143" s="118"/>
      <c r="AR143" s="128" t="s">
        <v>92</v>
      </c>
      <c r="BD143" s="114"/>
      <c r="BE143" s="114"/>
      <c r="BF143" s="114"/>
      <c r="BG143" s="114"/>
      <c r="BH143" s="114"/>
    </row>
    <row r="144" customFormat="false" ht="12.75" hidden="false" customHeight="false" outlineLevel="0" collapsed="false">
      <c r="A144" s="97"/>
      <c r="B144" s="2" t="s">
        <v>110</v>
      </c>
      <c r="C144" s="2"/>
      <c r="D144" s="2"/>
      <c r="E144" s="2"/>
      <c r="F144" s="3"/>
      <c r="G144" s="114"/>
      <c r="H144" s="90" t="n">
        <v>945.388</v>
      </c>
      <c r="I144" s="90" t="n">
        <v>11</v>
      </c>
      <c r="J144" s="90" t="n">
        <v>45.502</v>
      </c>
      <c r="K144" s="90" t="n">
        <v>12</v>
      </c>
      <c r="L144" s="90" t="n">
        <v>48.936</v>
      </c>
      <c r="M144" s="90" t="n">
        <v>1061</v>
      </c>
      <c r="N144" s="90" t="n">
        <v>53.722</v>
      </c>
      <c r="O144" s="90" t="n">
        <v>13</v>
      </c>
      <c r="P144" s="90" t="n">
        <v>58.896</v>
      </c>
      <c r="Q144" s="90" t="n">
        <v>14</v>
      </c>
      <c r="R144" s="90" t="n">
        <v>1279.498</v>
      </c>
      <c r="S144" s="90" t="n">
        <v>15</v>
      </c>
      <c r="T144" s="90" t="n">
        <v>70.572</v>
      </c>
      <c r="U144" s="90" t="n">
        <v>16</v>
      </c>
      <c r="V144" s="90" t="n">
        <v>77.165</v>
      </c>
      <c r="W144" s="90" t="n">
        <v>1426</v>
      </c>
      <c r="X144" s="90" t="n">
        <v>84.332</v>
      </c>
      <c r="Y144" s="90" t="n">
        <v>18</v>
      </c>
      <c r="Z144" s="90" t="n">
        <v>92.132</v>
      </c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18"/>
      <c r="AL144" s="118"/>
      <c r="AM144" s="118"/>
      <c r="AN144" s="118"/>
      <c r="AO144" s="118"/>
      <c r="AP144" s="118"/>
      <c r="AQ144" s="118"/>
      <c r="AR144" s="128" t="s">
        <v>92</v>
      </c>
      <c r="BD144" s="114"/>
      <c r="BE144" s="114"/>
      <c r="BF144" s="114"/>
      <c r="BG144" s="114"/>
      <c r="BH144" s="114"/>
    </row>
    <row r="145" customFormat="false" ht="12.75" hidden="false" customHeight="false" outlineLevel="0" collapsed="false">
      <c r="A145" s="97"/>
      <c r="B145" s="2" t="s">
        <v>111</v>
      </c>
      <c r="C145" s="2"/>
      <c r="D145" s="2"/>
      <c r="E145" s="2"/>
      <c r="F145" s="3"/>
      <c r="G145" s="114"/>
      <c r="H145" s="90" t="n">
        <v>24.942</v>
      </c>
      <c r="I145" s="90" t="n">
        <v>43.127</v>
      </c>
      <c r="J145" s="90" t="n">
        <v>26.561</v>
      </c>
      <c r="K145" s="90" t="n">
        <v>27.411</v>
      </c>
      <c r="L145" s="90" t="n">
        <v>28.291</v>
      </c>
      <c r="M145" s="90" t="n">
        <v>29.199</v>
      </c>
      <c r="N145" s="90" t="n">
        <v>30.137</v>
      </c>
      <c r="O145" s="90" t="n">
        <v>51.869</v>
      </c>
      <c r="P145" s="90" t="n">
        <v>32.107</v>
      </c>
      <c r="Q145" s="90" t="n">
        <v>33.142</v>
      </c>
      <c r="R145" s="90" t="n">
        <v>34.212</v>
      </c>
      <c r="S145" s="90" t="n">
        <v>35.318</v>
      </c>
      <c r="T145" s="90" t="n">
        <v>36.461</v>
      </c>
      <c r="U145" s="90" t="n">
        <v>62.433</v>
      </c>
      <c r="V145" s="90" t="n">
        <v>38.861</v>
      </c>
      <c r="W145" s="90" t="n">
        <v>40.125</v>
      </c>
      <c r="X145" s="90" t="n">
        <v>41.43</v>
      </c>
      <c r="Y145" s="90" t="n">
        <v>42.777</v>
      </c>
      <c r="Z145" s="90" t="n">
        <v>44.174</v>
      </c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  <c r="AL145" s="118"/>
      <c r="AM145" s="118"/>
      <c r="AN145" s="118"/>
      <c r="AO145" s="118"/>
      <c r="AP145" s="118"/>
      <c r="AQ145" s="118"/>
      <c r="AR145" s="128" t="s">
        <v>92</v>
      </c>
      <c r="BD145" s="114"/>
      <c r="BE145" s="114"/>
      <c r="BF145" s="114"/>
      <c r="BG145" s="114"/>
      <c r="BH145" s="114"/>
    </row>
    <row r="146" customFormat="false" ht="12.75" hidden="false" customHeight="false" outlineLevel="0" collapsed="false">
      <c r="A146" s="97"/>
      <c r="B146" s="2" t="s">
        <v>112</v>
      </c>
      <c r="C146" s="2"/>
      <c r="D146" s="2"/>
      <c r="E146" s="2"/>
      <c r="F146" s="3"/>
      <c r="G146" s="114"/>
      <c r="H146" s="90" t="n">
        <v>63.679</v>
      </c>
      <c r="I146" s="90" t="n">
        <v>169.888</v>
      </c>
      <c r="J146" s="90" t="n">
        <v>202.483</v>
      </c>
      <c r="K146" s="90" t="n">
        <v>175.196</v>
      </c>
      <c r="L146" s="90" t="n">
        <v>85.568</v>
      </c>
      <c r="M146" s="90" t="n">
        <v>468.708</v>
      </c>
      <c r="N146" s="90" t="n">
        <v>46.903</v>
      </c>
      <c r="O146" s="90" t="n">
        <v>250.99</v>
      </c>
      <c r="P146" s="90" t="n">
        <v>225.341</v>
      </c>
      <c r="Q146" s="90" t="n">
        <v>31.28</v>
      </c>
      <c r="R146" s="90" t="n">
        <v>215.145</v>
      </c>
      <c r="S146" s="90" t="n">
        <v>471.656</v>
      </c>
      <c r="T146" s="90" t="n">
        <v>43.166</v>
      </c>
      <c r="U146" s="90" t="n">
        <v>270.399</v>
      </c>
      <c r="V146" s="90" t="n">
        <v>348.209</v>
      </c>
      <c r="W146" s="90" t="n">
        <v>282.935</v>
      </c>
      <c r="X146" s="90" t="n">
        <v>25.728</v>
      </c>
      <c r="Y146" s="90" t="n">
        <v>504.88</v>
      </c>
      <c r="Z146" s="90" t="n">
        <v>66.872</v>
      </c>
      <c r="AA146" s="118"/>
      <c r="AB146" s="118"/>
      <c r="AC146" s="118"/>
      <c r="AD146" s="118"/>
      <c r="AE146" s="118"/>
      <c r="AF146" s="118"/>
      <c r="AG146" s="118"/>
      <c r="AH146" s="118"/>
      <c r="AI146" s="118"/>
      <c r="AJ146" s="118"/>
      <c r="AK146" s="118"/>
      <c r="AL146" s="118"/>
      <c r="AM146" s="118"/>
      <c r="AN146" s="118"/>
      <c r="AO146" s="118"/>
      <c r="AP146" s="118"/>
      <c r="AQ146" s="118"/>
      <c r="AR146" s="128" t="s">
        <v>92</v>
      </c>
      <c r="BD146" s="114"/>
      <c r="BE146" s="114"/>
      <c r="BF146" s="114"/>
      <c r="BG146" s="114"/>
      <c r="BH146" s="114"/>
    </row>
    <row r="147" customFormat="false" ht="13.5" hidden="false" customHeight="false" outlineLevel="0" collapsed="false">
      <c r="A147" s="97"/>
      <c r="B147" s="2" t="s">
        <v>113</v>
      </c>
      <c r="C147" s="2"/>
      <c r="D147" s="2"/>
      <c r="E147" s="2"/>
      <c r="F147" s="3"/>
      <c r="G147" s="114"/>
      <c r="H147" s="136" t="n">
        <v>36</v>
      </c>
      <c r="I147" s="136" t="n">
        <v>37.0958553067378</v>
      </c>
      <c r="J147" s="136" t="n">
        <v>38.1879737014392</v>
      </c>
      <c r="K147" s="136" t="n">
        <v>39.2844007811576</v>
      </c>
      <c r="L147" s="136" t="n">
        <v>40.3926658680961</v>
      </c>
      <c r="M147" s="136" t="n">
        <v>41.5054362723933</v>
      </c>
      <c r="N147" s="136" t="n">
        <v>42.6224035863722</v>
      </c>
      <c r="O147" s="136" t="n">
        <v>43.7481191659794</v>
      </c>
      <c r="P147" s="136" t="n">
        <v>44.8840625502892</v>
      </c>
      <c r="Q147" s="136" t="n">
        <v>46.031548000168</v>
      </c>
      <c r="R147" s="136" t="n">
        <v>47.1949441266055</v>
      </c>
      <c r="S147" s="136" t="n">
        <v>48.3783049697008</v>
      </c>
      <c r="T147" s="136" t="n">
        <v>49.5947639121019</v>
      </c>
      <c r="U147" s="136" t="n">
        <v>50.8593747418887</v>
      </c>
      <c r="V147" s="136" t="n">
        <v>52.1765751260905</v>
      </c>
      <c r="W147" s="136" t="n">
        <v>53.5544117250423</v>
      </c>
      <c r="X147" s="136" t="n">
        <v>54.994964007774</v>
      </c>
      <c r="Y147" s="136" t="n">
        <v>56.4932844126273</v>
      </c>
      <c r="Z147" s="136" t="n">
        <v>58.0646725231137</v>
      </c>
      <c r="AA147" s="118"/>
      <c r="AB147" s="118"/>
      <c r="AC147" s="118"/>
      <c r="AD147" s="118"/>
      <c r="AE147" s="118"/>
      <c r="AF147" s="118"/>
      <c r="AG147" s="118"/>
      <c r="AH147" s="118"/>
      <c r="AI147" s="118"/>
      <c r="AJ147" s="118"/>
      <c r="AK147" s="118"/>
      <c r="AL147" s="118"/>
      <c r="AM147" s="118"/>
      <c r="AN147" s="118"/>
      <c r="AO147" s="118"/>
      <c r="AP147" s="118"/>
      <c r="AQ147" s="118"/>
      <c r="AR147" s="128" t="s">
        <v>92</v>
      </c>
      <c r="BD147" s="114"/>
      <c r="BE147" s="114"/>
      <c r="BF147" s="114"/>
      <c r="BG147" s="114"/>
      <c r="BH147" s="114"/>
    </row>
    <row r="148" customFormat="false" ht="12.75" hidden="false" customHeight="false" outlineLevel="0" collapsed="false">
      <c r="A148" s="2"/>
      <c r="B148" s="2" t="s">
        <v>114</v>
      </c>
      <c r="C148" s="2"/>
      <c r="D148" s="2"/>
      <c r="E148" s="2"/>
      <c r="F148" s="3"/>
      <c r="G148" s="129"/>
      <c r="H148" s="97" t="n">
        <f aca="false">SUM(H127:H147)</f>
        <v>11135.0093987517</v>
      </c>
      <c r="I148" s="97" t="n">
        <f aca="false">SUM(I127:I147)</f>
        <v>6286.12692056344</v>
      </c>
      <c r="J148" s="97" t="n">
        <f aca="false">SUM(J127:J147)</f>
        <v>5508.76456584762</v>
      </c>
      <c r="K148" s="97" t="n">
        <f aca="false">SUM(K127:K147)</f>
        <v>9002.51524799216</v>
      </c>
      <c r="L148" s="97" t="n">
        <f aca="false">SUM(L127:L147)</f>
        <v>5969.46716342346</v>
      </c>
      <c r="M148" s="97" t="n">
        <f aca="false">SUM(M127:M147)</f>
        <v>7353.00471673235</v>
      </c>
      <c r="N148" s="97" t="n">
        <f aca="false">SUM(N127:N147)</f>
        <v>16041.1239390979</v>
      </c>
      <c r="O148" s="97" t="n">
        <f aca="false">SUM(O127:O147)</f>
        <v>7731.86712365082</v>
      </c>
      <c r="P148" s="97" t="n">
        <f aca="false">SUM(P127:P147)</f>
        <v>6763.79052827352</v>
      </c>
      <c r="Q148" s="97" t="n">
        <f aca="false">SUM(Q127:Q147)</f>
        <v>15063.4204367753</v>
      </c>
      <c r="R148" s="97" t="n">
        <f aca="false">SUM(R127:R147)</f>
        <v>8391.62522886958</v>
      </c>
      <c r="S148" s="97" t="n">
        <f aca="false">SUM(S127:S147)</f>
        <v>8892.63268565947</v>
      </c>
      <c r="T148" s="97" t="n">
        <f aca="false">SUM(T127:T147)</f>
        <v>15460.2860747767</v>
      </c>
      <c r="U148" s="97" t="n">
        <f aca="false">SUM(U127:U147)</f>
        <v>9118.93410023147</v>
      </c>
      <c r="V148" s="97" t="n">
        <f aca="false">SUM(V127:V147)</f>
        <v>8066.51548265803</v>
      </c>
      <c r="W148" s="97" t="n">
        <f aca="false">SUM(W127:W147)</f>
        <v>11522.5076382936</v>
      </c>
      <c r="X148" s="97" t="n">
        <f aca="false">SUM(X127:X147)</f>
        <v>8598.36761677021</v>
      </c>
      <c r="Y148" s="97" t="n">
        <f aca="false">SUM(Y127:Y147)</f>
        <v>8808.401070629</v>
      </c>
      <c r="Z148" s="97" t="n">
        <f aca="false">SUM(Z127:Z147)</f>
        <v>16381.5602367619</v>
      </c>
      <c r="AA148" s="118"/>
      <c r="AB148" s="118"/>
      <c r="AC148" s="118"/>
      <c r="AD148" s="118"/>
      <c r="AE148" s="118"/>
      <c r="AF148" s="118"/>
      <c r="AG148" s="118"/>
      <c r="AH148" s="118"/>
      <c r="AI148" s="118"/>
      <c r="AJ148" s="118"/>
      <c r="AK148" s="118"/>
      <c r="AL148" s="118"/>
      <c r="AM148" s="118"/>
      <c r="AN148" s="118"/>
      <c r="AO148" s="118"/>
      <c r="AP148" s="118"/>
      <c r="AQ148" s="118"/>
      <c r="AR148" s="128" t="s">
        <v>92</v>
      </c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3"/>
      <c r="G149" s="129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118"/>
      <c r="AB149" s="118"/>
      <c r="AC149" s="118"/>
      <c r="AD149" s="118"/>
      <c r="AE149" s="118"/>
      <c r="AF149" s="118"/>
      <c r="AG149" s="118"/>
      <c r="AH149" s="118"/>
      <c r="AI149" s="118"/>
      <c r="AJ149" s="118"/>
      <c r="AK149" s="118"/>
      <c r="AL149" s="118"/>
      <c r="AM149" s="118"/>
      <c r="AN149" s="118"/>
      <c r="AO149" s="118"/>
      <c r="AP149" s="118"/>
      <c r="AQ149" s="118"/>
      <c r="AR149" s="128" t="s">
        <v>92</v>
      </c>
    </row>
    <row r="150" customFormat="false" ht="12.75" hidden="false" customHeight="false" outlineLevel="0" collapsed="false">
      <c r="A150" s="2"/>
      <c r="B150" s="48" t="s">
        <v>115</v>
      </c>
      <c r="C150" s="2"/>
      <c r="D150" s="2"/>
      <c r="E150" s="2"/>
      <c r="F150" s="3"/>
      <c r="G150" s="129"/>
      <c r="H150" s="97" t="n">
        <f aca="false">+H148+H124</f>
        <v>53348.5007529264</v>
      </c>
      <c r="I150" s="97" t="n">
        <f aca="false">+I148+I124</f>
        <v>50677.742099322</v>
      </c>
      <c r="J150" s="97" t="n">
        <f aca="false">+J148+J124</f>
        <v>51873.6566388622</v>
      </c>
      <c r="K150" s="97" t="n">
        <f aca="false">+K148+K124</f>
        <v>57969.8734968645</v>
      </c>
      <c r="L150" s="97" t="n">
        <f aca="false">+L148+L124</f>
        <v>57320.7828963978</v>
      </c>
      <c r="M150" s="97" t="n">
        <f aca="false">+M148+M124</f>
        <v>59899.0854749817</v>
      </c>
      <c r="N150" s="97" t="n">
        <f aca="false">+N148+N124</f>
        <v>58844.828348315</v>
      </c>
      <c r="O150" s="97" t="n">
        <f aca="false">+O148+O124</f>
        <v>51870.2862242129</v>
      </c>
      <c r="P150" s="97" t="n">
        <f aca="false">+P148+P124</f>
        <v>51440.3270498704</v>
      </c>
      <c r="Q150" s="97" t="n">
        <f aca="false">+Q148+Q124</f>
        <v>60945.5166494826</v>
      </c>
      <c r="R150" s="97" t="n">
        <f aca="false">+R148+R124</f>
        <v>55575.8208612743</v>
      </c>
      <c r="S150" s="97" t="n">
        <f aca="false">+S148+S124</f>
        <v>57242.8903847094</v>
      </c>
      <c r="T150" s="97" t="n">
        <f aca="false">+T148+T124</f>
        <v>65327.92035076</v>
      </c>
      <c r="U150" s="97" t="n">
        <f aca="false">+U148+U124</f>
        <v>60378.2036378392</v>
      </c>
      <c r="V150" s="97" t="n">
        <f aca="false">+V148+V124</f>
        <v>60285.6794009721</v>
      </c>
      <c r="W150" s="97" t="n">
        <f aca="false">+W148+W124</f>
        <v>65592.3331027679</v>
      </c>
      <c r="X150" s="97" t="n">
        <f aca="false">+X148+X124</f>
        <v>64357.8940979301</v>
      </c>
      <c r="Y150" s="97" t="n">
        <f aca="false">+Y148+Y124</f>
        <v>65868.8338311068</v>
      </c>
      <c r="Z150" s="97" t="n">
        <f aca="false">+Z148+Z124</f>
        <v>75240.3077855603</v>
      </c>
      <c r="AA150" s="118"/>
      <c r="AB150" s="118"/>
      <c r="AC150" s="118"/>
      <c r="AD150" s="118"/>
      <c r="AE150" s="118"/>
      <c r="AF150" s="118"/>
      <c r="AG150" s="118"/>
      <c r="AH150" s="118"/>
      <c r="AI150" s="118"/>
      <c r="AJ150" s="118"/>
      <c r="AK150" s="118"/>
      <c r="AL150" s="118"/>
      <c r="AM150" s="118"/>
      <c r="AN150" s="118"/>
      <c r="AO150" s="118"/>
      <c r="AP150" s="118"/>
      <c r="AQ150" s="118"/>
      <c r="AR150" s="128" t="s">
        <v>92</v>
      </c>
    </row>
    <row r="151" customFormat="false" ht="12.75" hidden="false" customHeight="false" outlineLevel="0" collapsed="false">
      <c r="A151" s="2"/>
      <c r="B151" s="48"/>
      <c r="C151" s="2"/>
      <c r="D151" s="2"/>
      <c r="E151" s="2"/>
      <c r="F151" s="3"/>
      <c r="G151" s="129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118"/>
      <c r="AB151" s="118"/>
      <c r="AC151" s="118"/>
      <c r="AD151" s="118"/>
      <c r="AE151" s="118"/>
      <c r="AF151" s="118"/>
      <c r="AG151" s="118"/>
      <c r="AH151" s="118"/>
      <c r="AI151" s="118"/>
      <c r="AJ151" s="118"/>
      <c r="AK151" s="118"/>
      <c r="AL151" s="118"/>
      <c r="AM151" s="118"/>
      <c r="AN151" s="118"/>
      <c r="AO151" s="118"/>
      <c r="AP151" s="118"/>
      <c r="AQ151" s="118"/>
      <c r="AR151" s="128" t="s">
        <v>92</v>
      </c>
    </row>
    <row r="152" customFormat="false" ht="12.75" hidden="false" customHeight="false" outlineLevel="0" collapsed="false">
      <c r="A152" s="2"/>
      <c r="B152" s="48"/>
      <c r="C152" s="2"/>
      <c r="D152" s="2"/>
      <c r="E152" s="2"/>
      <c r="F152" s="3"/>
      <c r="G152" s="129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118"/>
      <c r="AB152" s="118"/>
      <c r="AC152" s="118"/>
      <c r="AD152" s="118"/>
      <c r="AE152" s="118"/>
      <c r="AF152" s="118"/>
      <c r="AG152" s="118"/>
      <c r="AH152" s="118"/>
      <c r="AI152" s="118"/>
      <c r="AJ152" s="118"/>
      <c r="AK152" s="118"/>
      <c r="AL152" s="118"/>
      <c r="AM152" s="118"/>
      <c r="AN152" s="118"/>
      <c r="AO152" s="118"/>
      <c r="AP152" s="118"/>
      <c r="AQ152" s="118"/>
      <c r="AR152" s="128" t="s">
        <v>92</v>
      </c>
    </row>
    <row r="153" customFormat="false" ht="16.5" hidden="false" customHeight="false" outlineLevel="0" collapsed="false">
      <c r="A153" s="23"/>
      <c r="B153" s="48"/>
      <c r="C153" s="2"/>
      <c r="D153" s="2"/>
      <c r="E153" s="2"/>
      <c r="F153" s="3"/>
      <c r="G153" s="129"/>
      <c r="H153" s="20" t="n">
        <f aca="false">+H$9</f>
        <v>2001</v>
      </c>
      <c r="I153" s="20" t="n">
        <f aca="false">+I$9</f>
        <v>2002</v>
      </c>
      <c r="J153" s="20" t="n">
        <f aca="false">+J$9</f>
        <v>2003</v>
      </c>
      <c r="K153" s="20" t="n">
        <f aca="false">+K$9</f>
        <v>2004</v>
      </c>
      <c r="L153" s="20" t="n">
        <f aca="false">+L$9</f>
        <v>2005</v>
      </c>
      <c r="M153" s="20" t="n">
        <f aca="false">+M$9</f>
        <v>2006</v>
      </c>
      <c r="N153" s="20" t="n">
        <f aca="false">+N$9</f>
        <v>2007</v>
      </c>
      <c r="O153" s="20" t="n">
        <f aca="false">+O$9</f>
        <v>2008</v>
      </c>
      <c r="P153" s="20" t="n">
        <f aca="false">+P$9</f>
        <v>2009</v>
      </c>
      <c r="Q153" s="20" t="n">
        <f aca="false">+Q$9</f>
        <v>2010</v>
      </c>
      <c r="R153" s="20" t="n">
        <f aca="false">+R$9</f>
        <v>2011</v>
      </c>
      <c r="S153" s="20" t="n">
        <f aca="false">+S$9</f>
        <v>2012</v>
      </c>
      <c r="T153" s="20" t="n">
        <f aca="false">+T$9</f>
        <v>2013</v>
      </c>
      <c r="U153" s="20" t="n">
        <f aca="false">+U$9</f>
        <v>2014</v>
      </c>
      <c r="V153" s="20" t="n">
        <f aca="false">+V$9</f>
        <v>2015</v>
      </c>
      <c r="W153" s="20" t="n">
        <f aca="false">+W$9</f>
        <v>2016</v>
      </c>
      <c r="X153" s="20" t="n">
        <f aca="false">+X$9</f>
        <v>2017</v>
      </c>
      <c r="Y153" s="20" t="n">
        <f aca="false">+Y$9</f>
        <v>2018</v>
      </c>
      <c r="Z153" s="20" t="n">
        <f aca="false">+Z$9</f>
        <v>2019</v>
      </c>
      <c r="AA153" s="118"/>
      <c r="AB153" s="118"/>
      <c r="AC153" s="118"/>
      <c r="AD153" s="118"/>
      <c r="AE153" s="118"/>
      <c r="AF153" s="118"/>
      <c r="AG153" s="118"/>
      <c r="AH153" s="118"/>
      <c r="AI153" s="118"/>
      <c r="AJ153" s="118"/>
      <c r="AK153" s="118"/>
      <c r="AL153" s="118"/>
      <c r="AM153" s="118"/>
      <c r="AN153" s="118"/>
      <c r="AO153" s="118"/>
      <c r="AP153" s="118"/>
      <c r="AQ153" s="118"/>
      <c r="AR153" s="124"/>
    </row>
    <row r="154" customFormat="false" ht="15.75" hidden="false" customHeight="false" outlineLevel="0" collapsed="false">
      <c r="A154" s="23" t="s">
        <v>116</v>
      </c>
      <c r="B154" s="48"/>
      <c r="C154" s="2"/>
      <c r="D154" s="2"/>
      <c r="E154" s="2"/>
      <c r="F154" s="3"/>
      <c r="G154" s="129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118"/>
      <c r="AB154" s="118"/>
      <c r="AC154" s="118"/>
      <c r="AD154" s="118"/>
      <c r="AE154" s="118"/>
      <c r="AF154" s="118"/>
      <c r="AG154" s="118"/>
      <c r="AH154" s="118"/>
      <c r="AI154" s="118"/>
      <c r="AJ154" s="118"/>
      <c r="AK154" s="118"/>
      <c r="AL154" s="118"/>
      <c r="AM154" s="118"/>
      <c r="AN154" s="118"/>
      <c r="AO154" s="118"/>
      <c r="AP154" s="118"/>
      <c r="AQ154" s="118"/>
      <c r="AR154" s="124"/>
    </row>
    <row r="155" customFormat="false" ht="15.75" hidden="false" customHeight="false" outlineLevel="0" collapsed="false">
      <c r="A155" s="23"/>
      <c r="B155" s="48"/>
      <c r="C155" s="2"/>
      <c r="D155" s="2"/>
      <c r="E155" s="2"/>
      <c r="F155" s="3"/>
      <c r="G155" s="129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118"/>
      <c r="AB155" s="118"/>
      <c r="AC155" s="118"/>
      <c r="AD155" s="118"/>
      <c r="AE155" s="118"/>
      <c r="AF155" s="118"/>
      <c r="AG155" s="118"/>
      <c r="AH155" s="118"/>
      <c r="AI155" s="118"/>
      <c r="AJ155" s="118"/>
      <c r="AK155" s="118"/>
      <c r="AL155" s="118"/>
      <c r="AM155" s="118"/>
      <c r="AN155" s="118"/>
      <c r="AO155" s="118"/>
      <c r="AP155" s="118"/>
      <c r="AQ155" s="118"/>
      <c r="AR155" s="124"/>
    </row>
    <row r="156" customFormat="false" ht="12.75" hidden="false" customHeight="false" outlineLevel="0" collapsed="false">
      <c r="A156" s="2"/>
      <c r="B156" s="48" t="str">
        <f aca="false">+B150</f>
        <v>O&amp;M - Total</v>
      </c>
      <c r="C156" s="2"/>
      <c r="D156" s="2"/>
      <c r="E156" s="2"/>
      <c r="F156" s="3"/>
      <c r="G156" s="129"/>
      <c r="H156" s="97" t="n">
        <f aca="false">+H150</f>
        <v>53348.5007529264</v>
      </c>
      <c r="I156" s="97" t="n">
        <f aca="false">+I150</f>
        <v>50677.742099322</v>
      </c>
      <c r="J156" s="97" t="n">
        <f aca="false">+J150</f>
        <v>51873.6566388622</v>
      </c>
      <c r="K156" s="97" t="n">
        <f aca="false">+K150</f>
        <v>57969.8734968645</v>
      </c>
      <c r="L156" s="97" t="n">
        <f aca="false">+L150</f>
        <v>57320.7828963978</v>
      </c>
      <c r="M156" s="97" t="n">
        <f aca="false">+M150</f>
        <v>59899.0854749817</v>
      </c>
      <c r="N156" s="97" t="n">
        <f aca="false">+N150</f>
        <v>58844.828348315</v>
      </c>
      <c r="O156" s="97" t="n">
        <f aca="false">+O150</f>
        <v>51870.2862242129</v>
      </c>
      <c r="P156" s="97" t="n">
        <f aca="false">+P150</f>
        <v>51440.3270498704</v>
      </c>
      <c r="Q156" s="97" t="n">
        <f aca="false">+Q150</f>
        <v>60945.5166494826</v>
      </c>
      <c r="R156" s="97" t="n">
        <f aca="false">+R150</f>
        <v>55575.8208612743</v>
      </c>
      <c r="S156" s="97" t="n">
        <f aca="false">+S150</f>
        <v>57242.8903847094</v>
      </c>
      <c r="T156" s="97" t="n">
        <f aca="false">+T150</f>
        <v>65327.92035076</v>
      </c>
      <c r="U156" s="97" t="n">
        <f aca="false">+U150</f>
        <v>60378.2036378392</v>
      </c>
      <c r="V156" s="97" t="n">
        <f aca="false">+V150</f>
        <v>60285.6794009721</v>
      </c>
      <c r="W156" s="97" t="n">
        <f aca="false">+W150</f>
        <v>65592.3331027679</v>
      </c>
      <c r="X156" s="97" t="n">
        <f aca="false">+X150</f>
        <v>64357.8940979301</v>
      </c>
      <c r="Y156" s="97" t="n">
        <f aca="false">+Y150</f>
        <v>65868.8338311068</v>
      </c>
      <c r="Z156" s="97" t="n">
        <f aca="false">+Z150</f>
        <v>75240.3077855603</v>
      </c>
      <c r="AA156" s="118"/>
      <c r="AB156" s="118"/>
      <c r="AC156" s="118"/>
      <c r="AD156" s="118"/>
      <c r="AE156" s="118"/>
      <c r="AF156" s="118"/>
      <c r="AG156" s="118"/>
      <c r="AH156" s="118"/>
      <c r="AI156" s="118"/>
      <c r="AJ156" s="118"/>
      <c r="AK156" s="118"/>
      <c r="AL156" s="118"/>
      <c r="AM156" s="118"/>
      <c r="AN156" s="118"/>
      <c r="AO156" s="118"/>
      <c r="AP156" s="118"/>
      <c r="AQ156" s="118"/>
      <c r="AR156" s="128" t="s">
        <v>92</v>
      </c>
    </row>
    <row r="157" customFormat="false" ht="12.75" hidden="false" customHeight="false" outlineLevel="0" collapsed="false">
      <c r="A157" s="2"/>
      <c r="B157" s="48"/>
      <c r="C157" s="2"/>
      <c r="D157" s="2"/>
      <c r="E157" s="2"/>
      <c r="F157" s="3"/>
      <c r="G157" s="129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97"/>
      <c r="X157" s="97"/>
      <c r="Y157" s="97"/>
      <c r="Z157" s="97"/>
      <c r="AA157" s="118"/>
      <c r="AB157" s="118"/>
      <c r="AC157" s="118"/>
      <c r="AD157" s="118"/>
      <c r="AE157" s="118"/>
      <c r="AF157" s="118"/>
      <c r="AG157" s="118"/>
      <c r="AH157" s="118"/>
      <c r="AI157" s="118"/>
      <c r="AJ157" s="118"/>
      <c r="AK157" s="118"/>
      <c r="AL157" s="118"/>
      <c r="AM157" s="118"/>
      <c r="AN157" s="118"/>
      <c r="AO157" s="118"/>
      <c r="AP157" s="118"/>
      <c r="AQ157" s="118"/>
      <c r="AR157" s="128" t="s">
        <v>92</v>
      </c>
    </row>
    <row r="158" customFormat="false" ht="12.75" hidden="false" customHeight="false" outlineLevel="0" collapsed="false">
      <c r="A158" s="2"/>
      <c r="B158" s="48" t="s">
        <v>117</v>
      </c>
      <c r="C158" s="2"/>
      <c r="D158" s="2"/>
      <c r="E158" s="2"/>
      <c r="F158" s="3"/>
      <c r="G158" s="129"/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97"/>
      <c r="X158" s="97"/>
      <c r="Y158" s="97"/>
      <c r="Z158" s="97"/>
      <c r="AA158" s="118"/>
      <c r="AB158" s="118"/>
      <c r="AC158" s="118"/>
      <c r="AD158" s="118"/>
      <c r="AE158" s="118"/>
      <c r="AF158" s="118"/>
      <c r="AG158" s="118"/>
      <c r="AH158" s="118"/>
      <c r="AI158" s="118"/>
      <c r="AJ158" s="118"/>
      <c r="AK158" s="118"/>
      <c r="AL158" s="118"/>
      <c r="AM158" s="118"/>
      <c r="AN158" s="118"/>
      <c r="AO158" s="118"/>
      <c r="AP158" s="118"/>
      <c r="AQ158" s="118"/>
      <c r="AR158" s="128" t="s">
        <v>92</v>
      </c>
    </row>
    <row r="159" customFormat="false" ht="12.75" hidden="false" customHeight="false" outlineLevel="0" collapsed="false">
      <c r="A159" s="97"/>
      <c r="B159" s="2" t="s">
        <v>118</v>
      </c>
      <c r="C159" s="2"/>
      <c r="D159" s="2"/>
      <c r="E159" s="2"/>
      <c r="F159" s="3"/>
      <c r="G159" s="114"/>
      <c r="H159" s="90" t="n">
        <v>1811.10773155623</v>
      </c>
      <c r="I159" s="90" t="n">
        <v>1803.69174830337</v>
      </c>
      <c r="J159" s="90" t="n">
        <v>1796.44781670992</v>
      </c>
      <c r="K159" s="90" t="n">
        <v>1789.37390316855</v>
      </c>
      <c r="L159" s="90" t="n">
        <v>1782.47695130978</v>
      </c>
      <c r="M159" s="90" t="n">
        <v>1775.74720347885</v>
      </c>
      <c r="N159" s="90" t="n">
        <v>2457.25779792134</v>
      </c>
      <c r="O159" s="90" t="n">
        <v>2448.43076059563</v>
      </c>
      <c r="P159" s="90" t="n">
        <v>2439.88895624801</v>
      </c>
      <c r="Q159" s="90" t="n">
        <v>2431.59791051149</v>
      </c>
      <c r="R159" s="90" t="n">
        <v>2423.61851580684</v>
      </c>
      <c r="S159" s="90" t="n">
        <v>2415.8974313075</v>
      </c>
      <c r="T159" s="90" t="n">
        <v>2408.49561604628</v>
      </c>
      <c r="U159" s="90" t="n">
        <v>2401.39268891427</v>
      </c>
      <c r="V159" s="90" t="n">
        <v>2394.61669946279</v>
      </c>
      <c r="W159" s="90" t="n">
        <v>2388.18307773782</v>
      </c>
      <c r="X159" s="90" t="n">
        <v>2382.10772718623</v>
      </c>
      <c r="Y159" s="90" t="n">
        <v>2376.3882002666</v>
      </c>
      <c r="Z159" s="90" t="n">
        <v>2371.06113978351</v>
      </c>
      <c r="AA159" s="118"/>
      <c r="AB159" s="118"/>
      <c r="AC159" s="118"/>
      <c r="AD159" s="118"/>
      <c r="AE159" s="118"/>
      <c r="AF159" s="118"/>
      <c r="AG159" s="118"/>
      <c r="AH159" s="118"/>
      <c r="AI159" s="118"/>
      <c r="AJ159" s="118"/>
      <c r="AK159" s="118"/>
      <c r="AL159" s="118"/>
      <c r="AM159" s="118"/>
      <c r="AN159" s="118"/>
      <c r="AO159" s="118"/>
      <c r="AP159" s="118"/>
      <c r="AQ159" s="118"/>
      <c r="AR159" s="128" t="s">
        <v>92</v>
      </c>
      <c r="BD159" s="114"/>
      <c r="BE159" s="114"/>
      <c r="BF159" s="114"/>
      <c r="BG159" s="114"/>
      <c r="BH159" s="114"/>
    </row>
    <row r="160" customFormat="false" ht="12.75" hidden="false" customHeight="false" outlineLevel="0" collapsed="false">
      <c r="A160" s="97"/>
      <c r="B160" s="2" t="s">
        <v>119</v>
      </c>
      <c r="C160" s="2"/>
      <c r="D160" s="2"/>
      <c r="E160" s="2"/>
      <c r="F160" s="3"/>
      <c r="G160" s="114"/>
      <c r="H160" s="90" t="n">
        <v>320.178333333333</v>
      </c>
      <c r="I160" s="90" t="n">
        <v>329.930431736111</v>
      </c>
      <c r="J160" s="90" t="n">
        <v>339.649632371004</v>
      </c>
      <c r="K160" s="90" t="n">
        <v>349.407483267663</v>
      </c>
      <c r="L160" s="90" t="n">
        <v>359.270965347406</v>
      </c>
      <c r="M160" s="90" t="n">
        <v>369.17486829215</v>
      </c>
      <c r="N160" s="90" t="n">
        <v>379.116439849534</v>
      </c>
      <c r="O160" s="90" t="n">
        <v>389.13617142439</v>
      </c>
      <c r="P160" s="90" t="n">
        <v>399.247226278567</v>
      </c>
      <c r="Q160" s="90" t="n">
        <v>409.461301150861</v>
      </c>
      <c r="R160" s="90" t="n">
        <v>419.817259892468</v>
      </c>
      <c r="S160" s="90" t="n">
        <v>430.351174638603</v>
      </c>
      <c r="T160" s="90" t="n">
        <v>441.179886070447</v>
      </c>
      <c r="U160" s="90" t="n">
        <v>452.437326163344</v>
      </c>
      <c r="V160" s="90" t="n">
        <v>464.162993533078</v>
      </c>
      <c r="W160" s="90" t="n">
        <v>476.428500637189</v>
      </c>
      <c r="X160" s="90" t="n">
        <v>489.25236777934</v>
      </c>
      <c r="Y160" s="90" t="n">
        <v>502.590610455925</v>
      </c>
      <c r="Z160" s="90" t="n">
        <v>516.579382446948</v>
      </c>
      <c r="AA160" s="118"/>
      <c r="AB160" s="118"/>
      <c r="AC160" s="118"/>
      <c r="AD160" s="118"/>
      <c r="AE160" s="118"/>
      <c r="AF160" s="118"/>
      <c r="AG160" s="118"/>
      <c r="AH160" s="118"/>
      <c r="AI160" s="118"/>
      <c r="AJ160" s="118"/>
      <c r="AK160" s="118"/>
      <c r="AL160" s="118"/>
      <c r="AM160" s="118"/>
      <c r="AN160" s="118"/>
      <c r="AO160" s="118"/>
      <c r="AP160" s="118"/>
      <c r="AQ160" s="118"/>
      <c r="AR160" s="128" t="s">
        <v>92</v>
      </c>
      <c r="BD160" s="114"/>
      <c r="BE160" s="114"/>
      <c r="BF160" s="114"/>
      <c r="BG160" s="114"/>
      <c r="BH160" s="114"/>
    </row>
    <row r="161" customFormat="false" ht="13.5" hidden="false" customHeight="false" outlineLevel="0" collapsed="false">
      <c r="A161" s="97"/>
      <c r="B161" s="2" t="s">
        <v>120</v>
      </c>
      <c r="C161" s="2"/>
      <c r="D161" s="2"/>
      <c r="E161" s="2"/>
      <c r="F161" s="3"/>
      <c r="G161" s="114"/>
      <c r="H161" s="136" t="n">
        <v>332</v>
      </c>
      <c r="I161" s="136" t="n">
        <v>350.803528583333</v>
      </c>
      <c r="J161" s="136" t="n">
        <v>361.142535845316</v>
      </c>
      <c r="K161" s="136" t="n">
        <v>371.52291266584</v>
      </c>
      <c r="L161" s="136" t="n">
        <v>382.015890152493</v>
      </c>
      <c r="M161" s="136" t="n">
        <v>392.552137952004</v>
      </c>
      <c r="N161" s="136" t="n">
        <v>403.128721959275</v>
      </c>
      <c r="O161" s="136" t="n">
        <v>413.788704990786</v>
      </c>
      <c r="P161" s="136" t="n">
        <v>424.546086622749</v>
      </c>
      <c r="Q161" s="136" t="n">
        <v>435.413310013184</v>
      </c>
      <c r="R161" s="136" t="n">
        <v>446.431705606709</v>
      </c>
      <c r="S161" s="136" t="n">
        <v>457.63964057856</v>
      </c>
      <c r="T161" s="136" t="n">
        <v>469.16137456935</v>
      </c>
      <c r="U161" s="136" t="n">
        <v>481.13934914379</v>
      </c>
      <c r="V161" s="136" t="n">
        <v>493.615586823481</v>
      </c>
      <c r="W161" s="136" t="n">
        <v>506.666268549333</v>
      </c>
      <c r="X161" s="136" t="n">
        <v>520.311107579214</v>
      </c>
      <c r="Y161" s="136" t="n">
        <v>534.503352639951</v>
      </c>
      <c r="Z161" s="136" t="n">
        <v>549.387837420648</v>
      </c>
      <c r="AA161" s="118"/>
      <c r="AB161" s="118"/>
      <c r="AC161" s="118"/>
      <c r="AD161" s="118"/>
      <c r="AE161" s="118"/>
      <c r="AF161" s="118"/>
      <c r="AG161" s="118"/>
      <c r="AH161" s="118"/>
      <c r="AI161" s="118"/>
      <c r="AJ161" s="118"/>
      <c r="AK161" s="118"/>
      <c r="AL161" s="118"/>
      <c r="AM161" s="118"/>
      <c r="AN161" s="118"/>
      <c r="AO161" s="118"/>
      <c r="AP161" s="118"/>
      <c r="AQ161" s="118"/>
      <c r="AR161" s="128" t="s">
        <v>92</v>
      </c>
      <c r="BD161" s="114"/>
      <c r="BE161" s="114"/>
      <c r="BF161" s="114"/>
      <c r="BG161" s="114"/>
      <c r="BH161" s="114"/>
    </row>
    <row r="162" customFormat="false" ht="12.75" hidden="false" customHeight="false" outlineLevel="0" collapsed="false">
      <c r="A162" s="2"/>
      <c r="B162" s="2" t="s">
        <v>121</v>
      </c>
      <c r="C162" s="2"/>
      <c r="D162" s="2"/>
      <c r="E162" s="2"/>
      <c r="F162" s="3"/>
      <c r="G162" s="129"/>
      <c r="H162" s="97" t="n">
        <f aca="false">SUM(H159:H161)</f>
        <v>2463.28606488956</v>
      </c>
      <c r="I162" s="97" t="n">
        <f aca="false">SUM(I159:I161)</f>
        <v>2484.42570862282</v>
      </c>
      <c r="J162" s="97" t="n">
        <f aca="false">SUM(J159:J161)</f>
        <v>2497.23998492624</v>
      </c>
      <c r="K162" s="97" t="n">
        <f aca="false">SUM(K159:K161)</f>
        <v>2510.30429910205</v>
      </c>
      <c r="L162" s="97" t="n">
        <f aca="false">SUM(L159:L161)</f>
        <v>2523.76380680968</v>
      </c>
      <c r="M162" s="97" t="n">
        <f aca="false">SUM(M159:M161)</f>
        <v>2537.47420972301</v>
      </c>
      <c r="N162" s="97" t="n">
        <f aca="false">SUM(N159:N161)</f>
        <v>3239.50295973015</v>
      </c>
      <c r="O162" s="97" t="n">
        <f aca="false">SUM(O159:O161)</f>
        <v>3251.35563701081</v>
      </c>
      <c r="P162" s="97" t="n">
        <f aca="false">SUM(P159:P161)</f>
        <v>3263.68226914933</v>
      </c>
      <c r="Q162" s="97" t="n">
        <f aca="false">SUM(Q159:Q161)</f>
        <v>3276.47252167553</v>
      </c>
      <c r="R162" s="97" t="n">
        <f aca="false">SUM(R159:R161)</f>
        <v>3289.86748130601</v>
      </c>
      <c r="S162" s="97" t="n">
        <f aca="false">SUM(S159:S161)</f>
        <v>3303.88824652467</v>
      </c>
      <c r="T162" s="97" t="n">
        <f aca="false">SUM(T159:T161)</f>
        <v>3318.83687668608</v>
      </c>
      <c r="U162" s="97" t="n">
        <f aca="false">SUM(U159:U161)</f>
        <v>3334.96936422141</v>
      </c>
      <c r="V162" s="97" t="n">
        <f aca="false">SUM(V159:V161)</f>
        <v>3352.39527981934</v>
      </c>
      <c r="W162" s="97" t="n">
        <f aca="false">SUM(W159:W161)</f>
        <v>3371.27784692434</v>
      </c>
      <c r="X162" s="97" t="n">
        <f aca="false">SUM(X159:X161)</f>
        <v>3391.67120254479</v>
      </c>
      <c r="Y162" s="97" t="n">
        <f aca="false">SUM(Y159:Y161)</f>
        <v>3413.48216336247</v>
      </c>
      <c r="Z162" s="97" t="n">
        <f aca="false">SUM(Z159:Z161)</f>
        <v>3437.0283596511</v>
      </c>
      <c r="AA162" s="118"/>
      <c r="AB162" s="118"/>
      <c r="AC162" s="118"/>
      <c r="AD162" s="118"/>
      <c r="AE162" s="118"/>
      <c r="AF162" s="118"/>
      <c r="AG162" s="118"/>
      <c r="AH162" s="118"/>
      <c r="AI162" s="118"/>
      <c r="AJ162" s="118"/>
      <c r="AK162" s="118"/>
      <c r="AL162" s="118"/>
      <c r="AM162" s="118"/>
      <c r="AN162" s="118"/>
      <c r="AO162" s="118"/>
      <c r="AP162" s="118"/>
      <c r="AQ162" s="118"/>
      <c r="AR162" s="128" t="s">
        <v>92</v>
      </c>
    </row>
    <row r="163" customFormat="false" ht="12.75" hidden="false" customHeight="false" outlineLevel="0" collapsed="false">
      <c r="A163" s="2"/>
      <c r="B163" s="48"/>
      <c r="C163" s="2"/>
      <c r="D163" s="2"/>
      <c r="E163" s="2"/>
      <c r="F163" s="3"/>
      <c r="G163" s="129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118"/>
      <c r="AB163" s="118"/>
      <c r="AC163" s="118"/>
      <c r="AD163" s="118"/>
      <c r="AE163" s="118"/>
      <c r="AF163" s="118"/>
      <c r="AG163" s="118"/>
      <c r="AH163" s="118"/>
      <c r="AI163" s="118"/>
      <c r="AJ163" s="118"/>
      <c r="AK163" s="118"/>
      <c r="AL163" s="118"/>
      <c r="AM163" s="118"/>
      <c r="AN163" s="118"/>
      <c r="AO163" s="118"/>
      <c r="AP163" s="118"/>
      <c r="AQ163" s="118"/>
      <c r="AR163" s="128" t="s">
        <v>92</v>
      </c>
    </row>
    <row r="164" customFormat="false" ht="12.75" hidden="false" customHeight="false" outlineLevel="0" collapsed="false">
      <c r="A164" s="2"/>
      <c r="B164" s="48" t="s">
        <v>122</v>
      </c>
      <c r="C164" s="2"/>
      <c r="D164" s="2"/>
      <c r="E164" s="2"/>
      <c r="F164" s="3"/>
      <c r="G164" s="114"/>
      <c r="H164" s="90" t="n">
        <v>118.810567233693</v>
      </c>
      <c r="I164" s="90" t="n">
        <v>122.427211417014</v>
      </c>
      <c r="J164" s="90" t="n">
        <v>126.031522693704</v>
      </c>
      <c r="K164" s="90" t="n">
        <v>129.650053895696</v>
      </c>
      <c r="L164" s="90" t="n">
        <v>133.307653996375</v>
      </c>
      <c r="M164" s="90" t="n">
        <v>136.980122966803</v>
      </c>
      <c r="N164" s="90" t="n">
        <v>140.666442971118</v>
      </c>
      <c r="O164" s="90" t="n">
        <v>144.381634819922</v>
      </c>
      <c r="P164" s="90" t="n">
        <v>148.130581426455</v>
      </c>
      <c r="Q164" s="90" t="n">
        <v>151.917620237359</v>
      </c>
      <c r="R164" s="90" t="n">
        <v>155.757168951234</v>
      </c>
      <c r="S164" s="90" t="n">
        <v>159.662607090409</v>
      </c>
      <c r="T164" s="90" t="n">
        <v>163.677278672719</v>
      </c>
      <c r="U164" s="90" t="n">
        <v>167.850865617632</v>
      </c>
      <c r="V164" s="90" t="n">
        <v>172.19801352895</v>
      </c>
      <c r="W164" s="90" t="n">
        <v>176.74527874775</v>
      </c>
      <c r="X164" s="90" t="n">
        <v>181.499524132226</v>
      </c>
      <c r="Y164" s="90" t="n">
        <v>186.444421276627</v>
      </c>
      <c r="Z164" s="90" t="n">
        <v>191.630463297493</v>
      </c>
      <c r="AA164" s="118"/>
      <c r="AB164" s="118"/>
      <c r="AC164" s="118"/>
      <c r="AD164" s="118"/>
      <c r="AE164" s="118"/>
      <c r="AF164" s="118"/>
      <c r="AG164" s="118"/>
      <c r="AH164" s="118"/>
      <c r="AI164" s="118"/>
      <c r="AJ164" s="118"/>
      <c r="AK164" s="118"/>
      <c r="AL164" s="118"/>
      <c r="AM164" s="118"/>
      <c r="AN164" s="118"/>
      <c r="AO164" s="118"/>
      <c r="AP164" s="118"/>
      <c r="AQ164" s="118"/>
      <c r="AR164" s="128" t="s">
        <v>92</v>
      </c>
      <c r="BD164" s="114"/>
      <c r="BE164" s="114"/>
      <c r="BF164" s="114"/>
      <c r="BG164" s="114"/>
      <c r="BH164" s="114"/>
    </row>
    <row r="165" customFormat="false" ht="12.75" hidden="false" customHeight="false" outlineLevel="0" collapsed="false">
      <c r="A165" s="2"/>
      <c r="B165" s="66"/>
      <c r="C165" s="2"/>
      <c r="D165" s="2"/>
      <c r="E165" s="2"/>
      <c r="F165" s="3"/>
      <c r="G165" s="114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  <c r="AA165" s="118"/>
      <c r="AB165" s="118"/>
      <c r="AC165" s="118"/>
      <c r="AD165" s="118"/>
      <c r="AE165" s="118"/>
      <c r="AF165" s="118"/>
      <c r="AG165" s="118"/>
      <c r="AH165" s="118"/>
      <c r="AI165" s="118"/>
      <c r="AJ165" s="118"/>
      <c r="AK165" s="118"/>
      <c r="AL165" s="118"/>
      <c r="AM165" s="118"/>
      <c r="AN165" s="118"/>
      <c r="AO165" s="118"/>
      <c r="AP165" s="118"/>
      <c r="AQ165" s="118"/>
      <c r="AR165" s="128" t="s">
        <v>92</v>
      </c>
      <c r="BD165" s="114"/>
      <c r="BE165" s="114"/>
      <c r="BF165" s="114"/>
      <c r="BG165" s="114"/>
      <c r="BH165" s="114"/>
    </row>
    <row r="166" customFormat="false" ht="12.75" hidden="false" customHeight="false" outlineLevel="0" collapsed="false">
      <c r="A166" s="2"/>
      <c r="B166" s="48" t="s">
        <v>123</v>
      </c>
      <c r="C166" s="2"/>
      <c r="D166" s="2"/>
      <c r="E166" s="2"/>
      <c r="F166" s="3"/>
      <c r="G166" s="114"/>
      <c r="H166" s="80" t="n">
        <f aca="false">+H124</f>
        <v>42213.4913541747</v>
      </c>
      <c r="I166" s="80" t="n">
        <f aca="false">+I124</f>
        <v>44391.6151787586</v>
      </c>
      <c r="J166" s="80" t="n">
        <f aca="false">+J124</f>
        <v>46364.8920730146</v>
      </c>
      <c r="K166" s="80" t="n">
        <f aca="false">+K124</f>
        <v>48967.3582488724</v>
      </c>
      <c r="L166" s="80" t="n">
        <f aca="false">+L124</f>
        <v>51351.3157329743</v>
      </c>
      <c r="M166" s="80" t="n">
        <f aca="false">+M124</f>
        <v>52546.0807582494</v>
      </c>
      <c r="N166" s="80" t="n">
        <f aca="false">+N124</f>
        <v>42803.7044092171</v>
      </c>
      <c r="O166" s="80" t="n">
        <f aca="false">+O124</f>
        <v>44138.4191005621</v>
      </c>
      <c r="P166" s="80" t="n">
        <f aca="false">+P124</f>
        <v>44676.5365215969</v>
      </c>
      <c r="Q166" s="80" t="n">
        <f aca="false">+Q124</f>
        <v>45882.0962127073</v>
      </c>
      <c r="R166" s="80" t="n">
        <f aca="false">+R124</f>
        <v>47184.1956324047</v>
      </c>
      <c r="S166" s="80" t="n">
        <f aca="false">+S124</f>
        <v>48350.2576990499</v>
      </c>
      <c r="T166" s="80" t="n">
        <f aca="false">+T124</f>
        <v>49867.6342759832</v>
      </c>
      <c r="U166" s="80" t="n">
        <f aca="false">+U124</f>
        <v>51259.2695376078</v>
      </c>
      <c r="V166" s="80" t="n">
        <f aca="false">+V124</f>
        <v>52219.1639183141</v>
      </c>
      <c r="W166" s="80" t="n">
        <f aca="false">+W124</f>
        <v>54069.8254644744</v>
      </c>
      <c r="X166" s="80" t="n">
        <f aca="false">+X124</f>
        <v>55759.5264811599</v>
      </c>
      <c r="Y166" s="80" t="n">
        <f aca="false">+Y124</f>
        <v>57060.4327604778</v>
      </c>
      <c r="Z166" s="80" t="n">
        <f aca="false">+Z124</f>
        <v>58858.7475487984</v>
      </c>
      <c r="AA166" s="81" t="n">
        <f aca="false">+AA124</f>
        <v>58900.4313604265</v>
      </c>
      <c r="AB166" s="81" t="n">
        <f aca="false">+AB124</f>
        <v>60431.6310565564</v>
      </c>
      <c r="AC166" s="81" t="n">
        <f aca="false">+AC124</f>
        <v>62170.6960344814</v>
      </c>
      <c r="AD166" s="81" t="n">
        <f aca="false">+AD124</f>
        <v>63958.055838954</v>
      </c>
      <c r="AE166" s="81" t="n">
        <f aca="false">+AE124</f>
        <v>65975.3701205982</v>
      </c>
      <c r="AF166" s="81" t="n">
        <f aca="false">+AF124</f>
        <v>67683.2967663483</v>
      </c>
      <c r="AG166" s="81" t="n">
        <f aca="false">+AG124</f>
        <v>69624.0988147831</v>
      </c>
      <c r="AH166" s="81" t="n">
        <f aca="false">+AH124</f>
        <v>71619.0399234853</v>
      </c>
      <c r="AI166" s="81" t="n">
        <f aca="false">+AI124</f>
        <v>73871.5232458791</v>
      </c>
      <c r="AJ166" s="81" t="n">
        <f aca="false">+AJ124</f>
        <v>75777.6583216908</v>
      </c>
      <c r="AK166" s="81" t="n">
        <f aca="false">+AK124</f>
        <v>77944.610023083</v>
      </c>
      <c r="AL166" s="81" t="n">
        <f aca="false">+AL124</f>
        <v>80172.2522795938</v>
      </c>
      <c r="AM166" s="81" t="n">
        <f aca="false">+AM124</f>
        <v>82688.2675150112</v>
      </c>
      <c r="AN166" s="81" t="n">
        <f aca="false">+AN124</f>
        <v>84816.6921777329</v>
      </c>
      <c r="AO166" s="81" t="n">
        <f aca="false">+AO124</f>
        <v>87237.1604983961</v>
      </c>
      <c r="AP166" s="81" t="n">
        <f aca="false">+AP124</f>
        <v>89725.6637266046</v>
      </c>
      <c r="AQ166" s="81" t="n">
        <f aca="false">+AQ124</f>
        <v>92537.0061846331</v>
      </c>
      <c r="AR166" s="124"/>
      <c r="BD166" s="114"/>
      <c r="BE166" s="114"/>
      <c r="BF166" s="114"/>
      <c r="BG166" s="114"/>
      <c r="BH166" s="114"/>
    </row>
    <row r="167" customFormat="false" ht="13.5" hidden="false" customHeight="false" outlineLevel="0" collapsed="false">
      <c r="A167" s="2"/>
      <c r="B167" s="48" t="s">
        <v>124</v>
      </c>
      <c r="C167" s="2"/>
      <c r="D167" s="2"/>
      <c r="E167" s="2"/>
      <c r="F167" s="98" t="s">
        <v>125</v>
      </c>
      <c r="G167" s="73" t="n">
        <f aca="false">+'PACE CPI (1998=100)'!$C$6</f>
        <v>0.0272579719900865</v>
      </c>
      <c r="H167" s="138" t="n">
        <f aca="false">+H164+H162+H148</f>
        <v>13717.1060308749</v>
      </c>
      <c r="I167" s="138" t="n">
        <f aca="false">+I164+I162+I148</f>
        <v>8892.97984060327</v>
      </c>
      <c r="J167" s="138" t="n">
        <f aca="false">+J164+J162+J148</f>
        <v>8132.03607346756</v>
      </c>
      <c r="K167" s="138" t="n">
        <f aca="false">+K164+K162+K148</f>
        <v>11642.4696009899</v>
      </c>
      <c r="L167" s="138" t="n">
        <f aca="false">+L164+L162+L148</f>
        <v>8626.53862422952</v>
      </c>
      <c r="M167" s="138" t="n">
        <f aca="false">+M164+M162+M148</f>
        <v>10027.4590494222</v>
      </c>
      <c r="N167" s="138" t="n">
        <f aca="false">+N164+N162+N148</f>
        <v>19421.2933417992</v>
      </c>
      <c r="O167" s="138" t="n">
        <f aca="false">+O164+O162+O148</f>
        <v>11127.6043954815</v>
      </c>
      <c r="P167" s="138" t="n">
        <f aca="false">+P164+P162+P148</f>
        <v>10175.6033788493</v>
      </c>
      <c r="Q167" s="138" t="n">
        <f aca="false">+Q164+Q162+Q148</f>
        <v>18491.8105786882</v>
      </c>
      <c r="R167" s="138" t="n">
        <f aca="false">+R164+R162+R148</f>
        <v>11837.2498791268</v>
      </c>
      <c r="S167" s="138" t="n">
        <f aca="false">+S164+S162+S148</f>
        <v>12356.1835392745</v>
      </c>
      <c r="T167" s="138" t="n">
        <f aca="false">+T164+T162+T148</f>
        <v>18942.8002301355</v>
      </c>
      <c r="U167" s="138" t="n">
        <f aca="false">+U164+U162+U148</f>
        <v>12621.7543300705</v>
      </c>
      <c r="V167" s="138" t="n">
        <f aca="false">+V164+V162+V148</f>
        <v>11591.1087760063</v>
      </c>
      <c r="W167" s="138" t="n">
        <f aca="false">+W164+W162+W148</f>
        <v>15070.5307639657</v>
      </c>
      <c r="X167" s="138" t="n">
        <f aca="false">+X164+X162+X148</f>
        <v>12171.5383434472</v>
      </c>
      <c r="Y167" s="138" t="n">
        <f aca="false">+Y164+Y162+Y148</f>
        <v>12408.3276552681</v>
      </c>
      <c r="Z167" s="138" t="n">
        <f aca="false">+Z164+Z162+Z148</f>
        <v>20010.2190597105</v>
      </c>
      <c r="AA167" s="139" t="n">
        <f aca="false">U167*(1+$G$167)</f>
        <v>12965.7977560653</v>
      </c>
      <c r="AB167" s="139" t="n">
        <f aca="false">V167*(1+$G$167)</f>
        <v>11907.0588943567</v>
      </c>
      <c r="AC167" s="139" t="n">
        <f aca="false">W167*(1+$G$167)</f>
        <v>15481.3228694056</v>
      </c>
      <c r="AD167" s="139" t="n">
        <f aca="false">X167*(1+$G$167)</f>
        <v>12503.3097946892</v>
      </c>
      <c r="AE167" s="139" t="n">
        <f aca="false">Y167*(1+$G$167)</f>
        <v>12746.5535029392</v>
      </c>
      <c r="AF167" s="139" t="n">
        <f aca="false">Z167*(1+$G$167)</f>
        <v>20555.6570503555</v>
      </c>
      <c r="AG167" s="139" t="n">
        <f aca="false">+AA167*(1+$G$167)</f>
        <v>13319.2191081293</v>
      </c>
      <c r="AH167" s="139" t="n">
        <f aca="false">+AB167*(1+$G$167)</f>
        <v>12231.6211721834</v>
      </c>
      <c r="AI167" s="139" t="n">
        <f aca="false">+AC167*(1+$G$167)</f>
        <v>15903.3123345493</v>
      </c>
      <c r="AJ167" s="139" t="n">
        <f aca="false">+AD167*(1+$G$167)</f>
        <v>12844.1246628562</v>
      </c>
      <c r="AK167" s="139" t="n">
        <f aca="false">+AE167*(1+$G$167)</f>
        <v>13093.9987012925</v>
      </c>
      <c r="AL167" s="139" t="n">
        <f aca="false">+AF167*(1+$G$167)</f>
        <v>21115.962574472</v>
      </c>
      <c r="AM167" s="139" t="n">
        <f aca="false">+AG167*(1+$G$167)</f>
        <v>13682.2740095085</v>
      </c>
      <c r="AN167" s="139" t="n">
        <f aca="false">+AH167*(1+$G$167)</f>
        <v>12565.0303594882</v>
      </c>
      <c r="AO167" s="139" t="n">
        <f aca="false">+AI167*(1+$G$167)</f>
        <v>16336.804376714</v>
      </c>
      <c r="AP167" s="139" t="n">
        <f aca="false">+AJ167*(1+$G$167)</f>
        <v>13194.2294531535</v>
      </c>
      <c r="AQ167" s="140" t="n">
        <f aca="false">+AK167*(1+$G$167)</f>
        <v>13450.9145511305</v>
      </c>
      <c r="AR167" s="128" t="s">
        <v>126</v>
      </c>
      <c r="BD167" s="114"/>
      <c r="BE167" s="114"/>
      <c r="BF167" s="114"/>
      <c r="BG167" s="114"/>
      <c r="BH167" s="114"/>
    </row>
    <row r="168" customFormat="false" ht="12.75" hidden="false" customHeight="false" outlineLevel="0" collapsed="false">
      <c r="A168" s="2"/>
      <c r="B168" s="48" t="s">
        <v>127</v>
      </c>
      <c r="C168" s="2"/>
      <c r="D168" s="2"/>
      <c r="E168" s="2"/>
      <c r="F168" s="3"/>
      <c r="G168" s="129"/>
      <c r="H168" s="97" t="n">
        <f aca="false">+H166+H167</f>
        <v>55930.5973850496</v>
      </c>
      <c r="I168" s="97" t="n">
        <f aca="false">+I166+I167</f>
        <v>53284.5950193618</v>
      </c>
      <c r="J168" s="97" t="n">
        <f aca="false">+J166+J167</f>
        <v>54496.9281464821</v>
      </c>
      <c r="K168" s="97" t="n">
        <f aca="false">+K166+K167</f>
        <v>60609.8278498623</v>
      </c>
      <c r="L168" s="97" t="n">
        <f aca="false">+L166+L167</f>
        <v>59977.8543572038</v>
      </c>
      <c r="M168" s="97" t="n">
        <f aca="false">+M166+M167</f>
        <v>62573.5398076715</v>
      </c>
      <c r="N168" s="97" t="n">
        <f aca="false">+N166+N167</f>
        <v>62224.9977510163</v>
      </c>
      <c r="O168" s="97" t="n">
        <f aca="false">+O166+O167</f>
        <v>55266.0234960436</v>
      </c>
      <c r="P168" s="97" t="n">
        <f aca="false">+P166+P167</f>
        <v>54852.1399004462</v>
      </c>
      <c r="Q168" s="97" t="n">
        <f aca="false">+Q166+Q167</f>
        <v>64373.9067913955</v>
      </c>
      <c r="R168" s="97" t="n">
        <f aca="false">+R166+R167</f>
        <v>59021.4455115315</v>
      </c>
      <c r="S168" s="97" t="n">
        <f aca="false">+S166+S167</f>
        <v>60706.4412383245</v>
      </c>
      <c r="T168" s="97" t="n">
        <f aca="false">+T166+T167</f>
        <v>68810.4345061188</v>
      </c>
      <c r="U168" s="97" t="n">
        <f aca="false">+U166+U167</f>
        <v>63881.0238676783</v>
      </c>
      <c r="V168" s="97" t="n">
        <f aca="false">+V166+V167</f>
        <v>63810.2726943204</v>
      </c>
      <c r="W168" s="97" t="n">
        <f aca="false">+W166+W167</f>
        <v>69140.35622844</v>
      </c>
      <c r="X168" s="97" t="n">
        <f aca="false">+X166+X167</f>
        <v>67931.0648246071</v>
      </c>
      <c r="Y168" s="97" t="n">
        <f aca="false">+Y166+Y167</f>
        <v>69468.7604157459</v>
      </c>
      <c r="Z168" s="97" t="n">
        <f aca="false">+Z166+Z167</f>
        <v>78868.9666085089</v>
      </c>
      <c r="AA168" s="118" t="n">
        <f aca="false">+AA166+AA167</f>
        <v>71866.2291164918</v>
      </c>
      <c r="AB168" s="118" t="n">
        <f aca="false">+AB166+AB167</f>
        <v>72338.6899509131</v>
      </c>
      <c r="AC168" s="118" t="n">
        <f aca="false">+AC166+AC167</f>
        <v>77652.018903887</v>
      </c>
      <c r="AD168" s="118" t="n">
        <f aca="false">+AD166+AD167</f>
        <v>76461.3656336432</v>
      </c>
      <c r="AE168" s="118" t="n">
        <f aca="false">+AE166+AE167</f>
        <v>78721.9236235374</v>
      </c>
      <c r="AF168" s="118" t="n">
        <f aca="false">+AF166+AF167</f>
        <v>88238.9538167038</v>
      </c>
      <c r="AG168" s="118" t="n">
        <f aca="false">+AG166+AG167</f>
        <v>82943.3179229124</v>
      </c>
      <c r="AH168" s="118" t="n">
        <f aca="false">+AH166+AH167</f>
        <v>83850.6610956688</v>
      </c>
      <c r="AI168" s="118" t="n">
        <f aca="false">+AI166+AI167</f>
        <v>89774.8355804284</v>
      </c>
      <c r="AJ168" s="118" t="n">
        <f aca="false">+AJ166+AJ167</f>
        <v>88621.782984547</v>
      </c>
      <c r="AK168" s="118" t="n">
        <f aca="false">+AK166+AK167</f>
        <v>91038.6087243754</v>
      </c>
      <c r="AL168" s="118" t="n">
        <f aca="false">+AL166+AL167</f>
        <v>101288.214854066</v>
      </c>
      <c r="AM168" s="118" t="n">
        <f aca="false">+AM166+AM167</f>
        <v>96370.5415245197</v>
      </c>
      <c r="AN168" s="118" t="n">
        <f aca="false">+AN166+AN167</f>
        <v>97381.7225372211</v>
      </c>
      <c r="AO168" s="118" t="n">
        <f aca="false">+AO166+AO167</f>
        <v>103573.96487511</v>
      </c>
      <c r="AP168" s="118" t="n">
        <f aca="false">+AP166+AP167</f>
        <v>102919.893179758</v>
      </c>
      <c r="AQ168" s="118" t="n">
        <f aca="false">+AQ166+AQ167</f>
        <v>105987.920735764</v>
      </c>
      <c r="AR168" s="124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3"/>
      <c r="G169" s="129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97"/>
      <c r="X169" s="97"/>
      <c r="Y169" s="97"/>
      <c r="Z169" s="97"/>
      <c r="AA169" s="118"/>
      <c r="AB169" s="118"/>
      <c r="AC169" s="118"/>
      <c r="AD169" s="118"/>
      <c r="AE169" s="118"/>
      <c r="AF169" s="118"/>
      <c r="AG169" s="118"/>
      <c r="AH169" s="118"/>
      <c r="AI169" s="118"/>
      <c r="AJ169" s="118"/>
      <c r="AK169" s="118"/>
      <c r="AL169" s="118"/>
      <c r="AM169" s="118"/>
      <c r="AN169" s="118"/>
      <c r="AO169" s="118"/>
      <c r="AP169" s="118"/>
      <c r="AQ169" s="118"/>
      <c r="AR169" s="124"/>
    </row>
    <row r="170" customFormat="false" ht="13.5" hidden="false" customHeight="false" outlineLevel="0" collapsed="false">
      <c r="A170" s="2"/>
      <c r="B170" s="48" t="s">
        <v>128</v>
      </c>
      <c r="C170" s="2"/>
      <c r="D170" s="2"/>
      <c r="E170" s="2"/>
      <c r="F170" s="3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97"/>
      <c r="X170" s="97"/>
      <c r="Y170" s="97"/>
      <c r="Z170" s="97"/>
      <c r="AA170" s="118"/>
      <c r="AB170" s="118"/>
      <c r="AC170" s="118"/>
      <c r="AD170" s="118"/>
      <c r="AE170" s="118"/>
      <c r="AF170" s="118"/>
      <c r="AG170" s="118"/>
      <c r="AH170" s="118"/>
      <c r="AI170" s="118"/>
      <c r="AJ170" s="118"/>
      <c r="AK170" s="118"/>
      <c r="AL170" s="118"/>
      <c r="AM170" s="118"/>
      <c r="AN170" s="118"/>
      <c r="AO170" s="118"/>
      <c r="AP170" s="118"/>
      <c r="AQ170" s="118"/>
      <c r="AR170" s="141"/>
    </row>
    <row r="171" customFormat="false" ht="13.5" hidden="false" customHeight="false" outlineLevel="0" collapsed="false">
      <c r="A171" s="142"/>
      <c r="B171" s="66" t="s">
        <v>129</v>
      </c>
      <c r="C171" s="143"/>
      <c r="D171" s="142"/>
      <c r="E171" s="142"/>
      <c r="F171" s="144"/>
      <c r="G171" s="145" t="n">
        <v>0.03</v>
      </c>
      <c r="H171" s="97" t="n">
        <f aca="false">(+H116/1000000*(H118*(1-$G$171))*H119)-H122</f>
        <v>-1135.00474062523</v>
      </c>
      <c r="I171" s="97" t="n">
        <f aca="false">(+I116/1000000*(I118*(1-$G$171))*I119)-I122</f>
        <v>-1193.77845536276</v>
      </c>
      <c r="J171" s="97" t="n">
        <f aca="false">(+J116/1000000*(J118*(1-$G$171))*J119)-J122</f>
        <v>-1246.13301219044</v>
      </c>
      <c r="K171" s="97" t="n">
        <f aca="false">(+K116/1000000*(K118*(1-$G$171))*K119)-K122</f>
        <v>-1316.81574746617</v>
      </c>
      <c r="L171" s="97" t="n">
        <f aca="false">(+L116/1000000*(L118*(1-$G$171))*L119)-L122</f>
        <v>-1380.66947198923</v>
      </c>
      <c r="M171" s="97" t="n">
        <f aca="false">(+M116/1000000*(M118*(1-$G$171))*M119)-M122</f>
        <v>-1408.57367274748</v>
      </c>
      <c r="N171" s="97" t="n">
        <f aca="false">(+N116/1000000*(N118*(1-$G$171))*N119)-N122</f>
        <v>-1284.11113227652</v>
      </c>
      <c r="O171" s="97" t="n">
        <f aca="false">(+O116/1000000*(O118*(1-$G$171))*O119)-O122</f>
        <v>-1324.15257301686</v>
      </c>
      <c r="P171" s="97" t="n">
        <f aca="false">(+P116/1000000*(P118*(1-$G$171))*P119)-P122</f>
        <v>-1340.2960956479</v>
      </c>
      <c r="Q171" s="97" t="n">
        <f aca="false">(+Q116/1000000*(Q118*(1-$G$171))*Q119)-Q122</f>
        <v>-1376.46288638123</v>
      </c>
      <c r="R171" s="97" t="n">
        <f aca="false">(+R116/1000000*(R118*(1-$G$171))*R119)-R122</f>
        <v>-1415.52586897215</v>
      </c>
      <c r="S171" s="97" t="n">
        <f aca="false">(+S116/1000000*(S118*(1-$G$171))*S119)-S122</f>
        <v>-1450.5077309715</v>
      </c>
      <c r="T171" s="97" t="n">
        <f aca="false">(+T116/1000000*(T118*(1-$G$171))*T119)-T122</f>
        <v>-1496.0290282795</v>
      </c>
      <c r="U171" s="97" t="n">
        <f aca="false">(+U116/1000000*(U118*(1-$G$171))*U119)-U122</f>
        <v>-1537.77808612824</v>
      </c>
      <c r="V171" s="97" t="n">
        <f aca="false">(+V116/1000000*(V118*(1-$G$171))*V119)-V122</f>
        <v>-1566.57491754943</v>
      </c>
      <c r="W171" s="97" t="n">
        <f aca="false">(+W116/1000000*(W118*(1-$G$171))*W119)-W122</f>
        <v>-1622.09476393423</v>
      </c>
      <c r="X171" s="97" t="n">
        <f aca="false">(+X116/1000000*(X118*(1-$G$171))*X119)-X122</f>
        <v>-1672.78579443481</v>
      </c>
      <c r="Y171" s="97" t="n">
        <f aca="false">(+Y116/1000000*(Y118*(1-$G$171))*Y119)-Y122</f>
        <v>-1711.81298281434</v>
      </c>
      <c r="Z171" s="97" t="n">
        <f aca="false">(+Z116/1000000*(Z118*(1-$G$171))*Z119)-Z122</f>
        <v>-1765.76242646395</v>
      </c>
      <c r="AA171" s="146"/>
      <c r="AB171" s="118"/>
      <c r="AC171" s="118"/>
      <c r="AD171" s="118"/>
      <c r="AE171" s="118"/>
      <c r="AF171" s="118"/>
      <c r="AG171" s="118"/>
      <c r="AH171" s="118"/>
      <c r="AI171" s="118"/>
      <c r="AJ171" s="118"/>
      <c r="AK171" s="118"/>
      <c r="AL171" s="118"/>
      <c r="AM171" s="118"/>
      <c r="AN171" s="118"/>
      <c r="AO171" s="118"/>
      <c r="AP171" s="118"/>
      <c r="AQ171" s="118"/>
      <c r="AR171" s="141"/>
      <c r="AS171" s="147" t="s">
        <v>130</v>
      </c>
    </row>
    <row r="172" customFormat="false" ht="13.5" hidden="false" customHeight="false" outlineLevel="0" collapsed="false">
      <c r="A172" s="142"/>
      <c r="B172" s="66" t="s">
        <v>131</v>
      </c>
      <c r="C172" s="143"/>
      <c r="D172" s="142"/>
      <c r="E172" s="142"/>
      <c r="F172" s="144"/>
      <c r="G172" s="143"/>
      <c r="H172" s="134" t="n">
        <f aca="false">-SUM(H131:H133)</f>
        <v>-404.13624406994</v>
      </c>
      <c r="I172" s="134" t="n">
        <f aca="false">-SUM(I131:I133)</f>
        <v>-416.314933652536</v>
      </c>
      <c r="J172" s="134" t="n">
        <f aca="false">-SUM(J131:J133)</f>
        <v>-428.732898115169</v>
      </c>
      <c r="K172" s="134" t="n">
        <f aca="false">-SUM(K131:K133)</f>
        <v>-441.425409080726</v>
      </c>
      <c r="L172" s="134" t="n">
        <f aca="false">-SUM(L131:L133)</f>
        <v>-454.42618716234</v>
      </c>
      <c r="M172" s="134" t="n">
        <f aca="false">-SUM(M131:M133)</f>
        <v>-467.718005142987</v>
      </c>
      <c r="N172" s="134" t="n">
        <f aca="false">-SUM(N131:N133)</f>
        <v>-481.308066669775</v>
      </c>
      <c r="O172" s="134" t="n">
        <f aca="false">-SUM(O131:O133)</f>
        <v>-495.220559340828</v>
      </c>
      <c r="P172" s="134" t="n">
        <f aca="false">-SUM(P131:P133)</f>
        <v>-509.46934749003</v>
      </c>
      <c r="Q172" s="134" t="n">
        <f aca="false">-SUM(Q131:Q133)</f>
        <v>-524.067989342323</v>
      </c>
      <c r="R172" s="134" t="n">
        <f aca="false">-SUM(R131:R133)</f>
        <v>-539.04083261225</v>
      </c>
      <c r="S172" s="134" t="n">
        <f aca="false">-SUM(S131:S133)</f>
        <v>-554.411420794761</v>
      </c>
      <c r="T172" s="134" t="n">
        <f aca="false">-SUM(T131:T133)</f>
        <v>-570.234852152098</v>
      </c>
      <c r="U172" s="134" t="n">
        <f aca="false">-SUM(U131:U133)</f>
        <v>-586.573134500728</v>
      </c>
      <c r="V172" s="134" t="n">
        <f aca="false">-SUM(V131:V133)</f>
        <v>-603.45202099779</v>
      </c>
      <c r="W172" s="134" t="n">
        <f aca="false">-SUM(W131:W133)</f>
        <v>-620.910007519479</v>
      </c>
      <c r="X172" s="134" t="n">
        <f aca="false">-SUM(X131:X133)</f>
        <v>-638.965363768065</v>
      </c>
      <c r="Y172" s="134" t="n">
        <f aca="false">-SUM(Y131:Y133)</f>
        <v>-657.612493119821</v>
      </c>
      <c r="Z172" s="134" t="n">
        <f aca="false">-SUM(Z131:Z133)</f>
        <v>-676.915869008269</v>
      </c>
      <c r="AA172" s="146"/>
      <c r="AB172" s="118"/>
      <c r="AC172" s="118"/>
      <c r="AD172" s="118"/>
      <c r="AE172" s="118"/>
      <c r="AF172" s="118"/>
      <c r="AG172" s="118"/>
      <c r="AH172" s="118"/>
      <c r="AI172" s="118"/>
      <c r="AJ172" s="118"/>
      <c r="AK172" s="118"/>
      <c r="AL172" s="118"/>
      <c r="AM172" s="118"/>
      <c r="AN172" s="118"/>
      <c r="AO172" s="118"/>
      <c r="AP172" s="118"/>
      <c r="AQ172" s="118"/>
      <c r="AR172" s="128" t="s">
        <v>126</v>
      </c>
      <c r="AS172" s="147" t="s">
        <v>132</v>
      </c>
    </row>
    <row r="173" customFormat="false" ht="13.5" hidden="false" customHeight="false" outlineLevel="0" collapsed="false">
      <c r="A173" s="142"/>
      <c r="B173" s="66" t="s">
        <v>133</v>
      </c>
      <c r="C173" s="143"/>
      <c r="D173" s="142"/>
      <c r="E173" s="142"/>
      <c r="F173" s="144"/>
      <c r="G173" s="145" t="n">
        <v>0</v>
      </c>
      <c r="H173" s="134" t="n">
        <f aca="false">(-H168+H124-H172)*$G$173</f>
        <v>-0</v>
      </c>
      <c r="I173" s="134" t="n">
        <f aca="false">(-I168+I124-I172)*$G$173</f>
        <v>-0</v>
      </c>
      <c r="J173" s="134" t="n">
        <f aca="false">(-J168+J124-J172)*$G$173</f>
        <v>-0</v>
      </c>
      <c r="K173" s="134" t="n">
        <f aca="false">(-K168+K124-K172)*$G$173</f>
        <v>-0</v>
      </c>
      <c r="L173" s="134" t="n">
        <f aca="false">(-L168+L124-L172)*$G$173</f>
        <v>-0</v>
      </c>
      <c r="M173" s="134" t="n">
        <f aca="false">(-M168+M124-M172)*$G$173</f>
        <v>-0</v>
      </c>
      <c r="N173" s="134" t="n">
        <f aca="false">(-N168+N124-N172)*$G$173</f>
        <v>-0</v>
      </c>
      <c r="O173" s="134" t="n">
        <f aca="false">(-O168+O124-O172)*$G$173</f>
        <v>-0</v>
      </c>
      <c r="P173" s="134" t="n">
        <f aca="false">(-P168+P124-P172)*$G$173</f>
        <v>-0</v>
      </c>
      <c r="Q173" s="134" t="n">
        <f aca="false">(-Q168+Q124-Q172)*$G$173</f>
        <v>-0</v>
      </c>
      <c r="R173" s="134" t="n">
        <f aca="false">(-R168+R124-R172)*$G$173</f>
        <v>-0</v>
      </c>
      <c r="S173" s="134" t="n">
        <f aca="false">(-S168+S124-S172)*$G$173</f>
        <v>-0</v>
      </c>
      <c r="T173" s="134" t="n">
        <f aca="false">(-T168+T124-T172)*$G$173</f>
        <v>-0</v>
      </c>
      <c r="U173" s="134" t="n">
        <f aca="false">(-U168+U124-U172)*$G$173</f>
        <v>-0</v>
      </c>
      <c r="V173" s="134" t="n">
        <f aca="false">(-V168+V124-V172)*$G$173</f>
        <v>-0</v>
      </c>
      <c r="W173" s="134" t="n">
        <f aca="false">(-W168+W124-W172)*$G$173</f>
        <v>-0</v>
      </c>
      <c r="X173" s="134" t="n">
        <f aca="false">(-X168+X124-X172)*$G$173</f>
        <v>-0</v>
      </c>
      <c r="Y173" s="134" t="n">
        <f aca="false">(-Y168+Y124-Y172)*$G$173</f>
        <v>-0</v>
      </c>
      <c r="Z173" s="134" t="n">
        <f aca="false">(-Z168+Z124-Z172)*$G$173</f>
        <v>-0</v>
      </c>
      <c r="AA173" s="118"/>
      <c r="AB173" s="118"/>
      <c r="AC173" s="118"/>
      <c r="AD173" s="118"/>
      <c r="AE173" s="118"/>
      <c r="AF173" s="118"/>
      <c r="AG173" s="118"/>
      <c r="AH173" s="118"/>
      <c r="AI173" s="118"/>
      <c r="AJ173" s="118"/>
      <c r="AK173" s="118"/>
      <c r="AL173" s="118"/>
      <c r="AM173" s="118"/>
      <c r="AN173" s="118"/>
      <c r="AO173" s="118"/>
      <c r="AP173" s="118"/>
      <c r="AQ173" s="118"/>
      <c r="AR173" s="141"/>
    </row>
    <row r="174" customFormat="false" ht="12.75" hidden="false" customHeight="false" outlineLevel="0" collapsed="false">
      <c r="A174" s="142"/>
      <c r="B174" s="66"/>
      <c r="C174" s="143"/>
      <c r="D174" s="142"/>
      <c r="E174" s="142"/>
      <c r="F174" s="144"/>
      <c r="G174" s="143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  <c r="R174" s="134"/>
      <c r="S174" s="134"/>
      <c r="T174" s="134"/>
      <c r="U174" s="134"/>
      <c r="V174" s="134"/>
      <c r="W174" s="134"/>
      <c r="X174" s="134"/>
      <c r="Y174" s="134"/>
      <c r="Z174" s="134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1"/>
    </row>
    <row r="175" customFormat="false" ht="12.75" hidden="false" customHeight="false" outlineLevel="0" collapsed="false">
      <c r="A175" s="142"/>
      <c r="B175" s="48" t="s">
        <v>134</v>
      </c>
      <c r="C175" s="143"/>
      <c r="D175" s="142"/>
      <c r="E175" s="142"/>
      <c r="F175" s="144"/>
      <c r="G175" s="143"/>
      <c r="H175" s="134" t="n">
        <f aca="false">+H227</f>
        <v>39397.6825197938</v>
      </c>
      <c r="I175" s="134" t="n">
        <f aca="false">+I227</f>
        <v>39397.6825197938</v>
      </c>
      <c r="J175" s="134" t="n">
        <f aca="false">+J227</f>
        <v>39397.6825197938</v>
      </c>
      <c r="K175" s="134" t="n">
        <f aca="false">+K227</f>
        <v>39397.6825197938</v>
      </c>
      <c r="L175" s="134" t="n">
        <f aca="false">+L227</f>
        <v>39397.6825197938</v>
      </c>
      <c r="M175" s="134" t="n">
        <f aca="false">+M227</f>
        <v>39397.6825197938</v>
      </c>
      <c r="N175" s="134" t="n">
        <f aca="false">+N227</f>
        <v>39397.6825197938</v>
      </c>
      <c r="O175" s="134" t="n">
        <f aca="false">+O227</f>
        <v>39397.6825197938</v>
      </c>
      <c r="P175" s="134" t="n">
        <f aca="false">+P227</f>
        <v>39397.6825197938</v>
      </c>
      <c r="Q175" s="134" t="n">
        <f aca="false">+Q227</f>
        <v>39397.6825197938</v>
      </c>
      <c r="R175" s="134" t="n">
        <f aca="false">+R227</f>
        <v>39397.6825197938</v>
      </c>
      <c r="S175" s="134" t="n">
        <f aca="false">+S227</f>
        <v>39397.6825197938</v>
      </c>
      <c r="T175" s="134" t="n">
        <f aca="false">+T227</f>
        <v>39397.6825197938</v>
      </c>
      <c r="U175" s="134" t="n">
        <f aca="false">+U227</f>
        <v>22034.0297564955</v>
      </c>
      <c r="V175" s="134" t="n">
        <f aca="false">+V227</f>
        <v>22034.0297564955</v>
      </c>
      <c r="W175" s="134" t="n">
        <f aca="false">+W227</f>
        <v>22034.0297564955</v>
      </c>
      <c r="X175" s="134" t="n">
        <f aca="false">+X227</f>
        <v>22034.0297564955</v>
      </c>
      <c r="Y175" s="134" t="n">
        <f aca="false">+Y227</f>
        <v>22034.0297564955</v>
      </c>
      <c r="Z175" s="134" t="n">
        <f aca="false">+Z227</f>
        <v>22034.0297564955</v>
      </c>
      <c r="AA175" s="94" t="n">
        <f aca="false">+AA227</f>
        <v>22034.0297564955</v>
      </c>
      <c r="AB175" s="94" t="n">
        <f aca="false">+AB227</f>
        <v>22034.0297564955</v>
      </c>
      <c r="AC175" s="94" t="n">
        <f aca="false">+AC227</f>
        <v>22034.0297564955</v>
      </c>
      <c r="AD175" s="94" t="n">
        <f aca="false">+AD227</f>
        <v>22034.0297564955</v>
      </c>
      <c r="AE175" s="94" t="n">
        <f aca="false">+AE227</f>
        <v>22034.0297564955</v>
      </c>
      <c r="AF175" s="94" t="n">
        <f aca="false">+AF227</f>
        <v>22034.0297564955</v>
      </c>
      <c r="AG175" s="94" t="n">
        <f aca="false">+AG227</f>
        <v>0</v>
      </c>
      <c r="AH175" s="94" t="n">
        <f aca="false">+AH227</f>
        <v>0</v>
      </c>
      <c r="AI175" s="94" t="n">
        <f aca="false">+AI227</f>
        <v>0</v>
      </c>
      <c r="AJ175" s="94" t="n">
        <f aca="false">+AJ227</f>
        <v>0</v>
      </c>
      <c r="AK175" s="94" t="n">
        <f aca="false">+AK227</f>
        <v>0</v>
      </c>
      <c r="AL175" s="94" t="n">
        <f aca="false">+AL227</f>
        <v>0</v>
      </c>
      <c r="AM175" s="94" t="n">
        <f aca="false">+AM227</f>
        <v>0</v>
      </c>
      <c r="AN175" s="94" t="n">
        <f aca="false">+AN227</f>
        <v>0</v>
      </c>
      <c r="AO175" s="94" t="n">
        <f aca="false">+AO227</f>
        <v>0</v>
      </c>
      <c r="AP175" s="94" t="n">
        <f aca="false">+AP227</f>
        <v>0</v>
      </c>
      <c r="AQ175" s="94" t="n">
        <f aca="false">+AQ227</f>
        <v>0</v>
      </c>
      <c r="AR175" s="141"/>
    </row>
    <row r="176" customFormat="false" ht="13.5" hidden="false" customHeight="false" outlineLevel="0" collapsed="false">
      <c r="A176" s="142"/>
      <c r="B176" s="66"/>
      <c r="C176" s="143"/>
      <c r="D176" s="142"/>
      <c r="E176" s="142"/>
      <c r="F176" s="144"/>
      <c r="G176" s="143"/>
      <c r="H176" s="149"/>
      <c r="I176" s="149"/>
      <c r="J176" s="149"/>
      <c r="K176" s="149"/>
      <c r="L176" s="149"/>
      <c r="M176" s="149"/>
      <c r="N176" s="149"/>
      <c r="O176" s="149"/>
      <c r="P176" s="149"/>
      <c r="Q176" s="149"/>
      <c r="R176" s="149"/>
      <c r="S176" s="149"/>
      <c r="T176" s="149"/>
      <c r="U176" s="149"/>
      <c r="V176" s="149"/>
      <c r="W176" s="149"/>
      <c r="X176" s="149"/>
      <c r="Y176" s="149"/>
      <c r="Z176" s="149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1"/>
    </row>
    <row r="177" customFormat="false" ht="13.5" hidden="false" customHeight="false" outlineLevel="0" collapsed="false">
      <c r="A177" s="2"/>
      <c r="B177" s="48" t="s">
        <v>51</v>
      </c>
      <c r="C177" s="147"/>
      <c r="D177" s="48"/>
      <c r="E177" s="48"/>
      <c r="F177" s="46"/>
      <c r="G177" s="143"/>
      <c r="H177" s="91" t="n">
        <f aca="false">SUM(H168:H175)</f>
        <v>93789.1389201483</v>
      </c>
      <c r="I177" s="92" t="n">
        <f aca="false">SUM(I168:I175)</f>
        <v>91072.1841501404</v>
      </c>
      <c r="J177" s="92" t="n">
        <f aca="false">SUM(J168:J175)</f>
        <v>92219.7447559703</v>
      </c>
      <c r="K177" s="92" t="n">
        <f aca="false">SUM(K168:K175)</f>
        <v>98249.2692131092</v>
      </c>
      <c r="L177" s="92" t="n">
        <f aca="false">SUM(L168:L175)</f>
        <v>97540.4412178461</v>
      </c>
      <c r="M177" s="92" t="n">
        <f aca="false">SUM(M168:M175)</f>
        <v>100094.930649575</v>
      </c>
      <c r="N177" s="92" t="n">
        <f aca="false">SUM(N168:N175)</f>
        <v>99857.2610718638</v>
      </c>
      <c r="O177" s="92" t="n">
        <f aca="false">SUM(O168:O175)</f>
        <v>92844.3328834797</v>
      </c>
      <c r="P177" s="92" t="n">
        <f aca="false">SUM(P168:P175)</f>
        <v>92400.0569771021</v>
      </c>
      <c r="Q177" s="92" t="n">
        <f aca="false">SUM(Q168:Q175)</f>
        <v>101871.058435466</v>
      </c>
      <c r="R177" s="92" t="n">
        <f aca="false">SUM(R168:R175)</f>
        <v>96464.5613297409</v>
      </c>
      <c r="S177" s="92" t="n">
        <f aca="false">SUM(S168:S175)</f>
        <v>98099.204606352</v>
      </c>
      <c r="T177" s="92" t="n">
        <f aca="false">SUM(T168:T175)</f>
        <v>106141.853145481</v>
      </c>
      <c r="U177" s="92" t="n">
        <f aca="false">SUM(U168:U175)</f>
        <v>83790.7024035449</v>
      </c>
      <c r="V177" s="92" t="n">
        <f aca="false">SUM(V168:V175)</f>
        <v>83674.2755122687</v>
      </c>
      <c r="W177" s="92" t="n">
        <f aca="false">SUM(W168:W175)</f>
        <v>88931.3812134818</v>
      </c>
      <c r="X177" s="92" t="n">
        <f aca="false">SUM(X168:X175)</f>
        <v>87653.3434228998</v>
      </c>
      <c r="Y177" s="92" t="n">
        <f aca="false">SUM(Y168:Y175)</f>
        <v>89133.3646963073</v>
      </c>
      <c r="Z177" s="93" t="n">
        <f aca="false">SUM(Z168:Z175)</f>
        <v>98460.3180695322</v>
      </c>
      <c r="AA177" s="94" t="n">
        <f aca="false">SUM(AA168:AA175)</f>
        <v>93900.2588729874</v>
      </c>
      <c r="AB177" s="94" t="n">
        <f aca="false">SUM(AB168:AB175)</f>
        <v>94372.7197074087</v>
      </c>
      <c r="AC177" s="94" t="n">
        <f aca="false">SUM(AC168:AC175)</f>
        <v>99686.0486603825</v>
      </c>
      <c r="AD177" s="94" t="n">
        <f aca="false">SUM(AD168:AD175)</f>
        <v>98495.3953901387</v>
      </c>
      <c r="AE177" s="94" t="n">
        <f aca="false">SUM(AE168:AE175)</f>
        <v>100755.953380033</v>
      </c>
      <c r="AF177" s="94" t="n">
        <f aca="false">SUM(AF168:AF175)</f>
        <v>110272.983573199</v>
      </c>
      <c r="AG177" s="94" t="n">
        <f aca="false">SUM(AG168:AG175)</f>
        <v>82943.3179229124</v>
      </c>
      <c r="AH177" s="94" t="n">
        <f aca="false">SUM(AH168:AH175)</f>
        <v>83850.6610956688</v>
      </c>
      <c r="AI177" s="94" t="n">
        <f aca="false">SUM(AI168:AI175)</f>
        <v>89774.8355804284</v>
      </c>
      <c r="AJ177" s="94" t="n">
        <f aca="false">SUM(AJ168:AJ175)</f>
        <v>88621.782984547</v>
      </c>
      <c r="AK177" s="94" t="n">
        <f aca="false">SUM(AK168:AK175)</f>
        <v>91038.6087243754</v>
      </c>
      <c r="AL177" s="94" t="n">
        <f aca="false">SUM(AL168:AL175)</f>
        <v>101288.214854066</v>
      </c>
      <c r="AM177" s="94" t="n">
        <f aca="false">SUM(AM168:AM175)</f>
        <v>96370.5415245197</v>
      </c>
      <c r="AN177" s="94" t="n">
        <f aca="false">SUM(AN168:AN175)</f>
        <v>97381.7225372211</v>
      </c>
      <c r="AO177" s="94" t="n">
        <f aca="false">SUM(AO168:AO175)</f>
        <v>103573.96487511</v>
      </c>
      <c r="AP177" s="94" t="n">
        <f aca="false">SUM(AP168:AP175)</f>
        <v>102919.893179758</v>
      </c>
      <c r="AQ177" s="94" t="n">
        <f aca="false">SUM(AQ168:AQ175)</f>
        <v>105987.920735764</v>
      </c>
      <c r="AR177" s="124"/>
    </row>
    <row r="178" customFormat="false" ht="13.5" hidden="false" customHeight="false" outlineLevel="0" collapsed="false">
      <c r="A178" s="2"/>
      <c r="B178" s="48" t="s">
        <v>135</v>
      </c>
      <c r="C178" s="48"/>
      <c r="D178" s="150" t="n">
        <f aca="false">+$D$74</f>
        <v>0</v>
      </c>
      <c r="E178" s="48"/>
      <c r="F178" s="46"/>
      <c r="G178" s="151" t="n">
        <f aca="false">SUMPRODUCT(H177:AQ177,H16:AQ16)+G177</f>
        <v>1349577.75687723</v>
      </c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5"/>
    </row>
    <row r="179" customFormat="false" ht="13.5" hidden="false" customHeight="false" outlineLevel="0" collapsed="false">
      <c r="A179" s="2"/>
      <c r="B179" s="48"/>
      <c r="C179" s="48"/>
      <c r="D179" s="150"/>
      <c r="E179" s="48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5"/>
    </row>
    <row r="180" customFormat="false" ht="12.75" hidden="false" customHeight="false" outlineLevel="0" collapsed="false">
      <c r="A180" s="2"/>
      <c r="B180" s="48" t="s">
        <v>136</v>
      </c>
      <c r="C180" s="2"/>
      <c r="D180" s="2"/>
      <c r="E180" s="2"/>
      <c r="F180" s="3"/>
      <c r="G180" s="152" t="n">
        <f aca="false">+Valuation!G74-G178</f>
        <v>135048.940747345</v>
      </c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5"/>
    </row>
    <row r="181" customFormat="false" ht="15.75" hidden="false" customHeight="false" outlineLevel="0" collapsed="false">
      <c r="A181" s="2"/>
      <c r="B181" s="48" t="s">
        <v>137</v>
      </c>
      <c r="C181" s="66"/>
      <c r="D181" s="48"/>
      <c r="E181" s="48"/>
      <c r="F181" s="46"/>
      <c r="G181" s="153" t="n">
        <f aca="false">IF(+G206="Yes",-6888,0)</f>
        <v>-6888</v>
      </c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5"/>
    </row>
    <row r="182" customFormat="false" ht="13.5" hidden="false" customHeight="false" outlineLevel="0" collapsed="false">
      <c r="A182" s="2"/>
      <c r="B182" s="48" t="s">
        <v>138</v>
      </c>
      <c r="C182" s="66"/>
      <c r="D182" s="66"/>
      <c r="E182" s="66"/>
      <c r="F182" s="14"/>
      <c r="G182" s="154" t="n">
        <f aca="false">SUM(G180:G181)</f>
        <v>128160.940747345</v>
      </c>
      <c r="H182" s="155" t="s">
        <v>139</v>
      </c>
      <c r="I182" s="156" t="n">
        <f aca="false">+G182/$G$91</f>
        <v>0.428904858722838</v>
      </c>
      <c r="J182" s="157" t="str">
        <f aca="false">IF(I182&gt;0,"Savings to Brazos","Cost to Brazos")</f>
        <v>Savings to Brazos</v>
      </c>
      <c r="K182" s="158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5"/>
    </row>
    <row r="183" customFormat="false" ht="12.75" hidden="false" customHeight="false" outlineLevel="0" collapsed="false">
      <c r="A183" s="2"/>
      <c r="B183" s="48"/>
      <c r="C183" s="2"/>
      <c r="D183" s="2"/>
      <c r="E183" s="2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5"/>
    </row>
    <row r="184" customFormat="false" ht="12.75" hidden="false" customHeight="false" outlineLevel="0" collapsed="false">
      <c r="A184" s="2"/>
      <c r="B184" s="48" t="s">
        <v>140</v>
      </c>
      <c r="C184" s="48"/>
      <c r="D184" s="48"/>
      <c r="E184" s="48"/>
      <c r="F184" s="46"/>
      <c r="G184" s="14" t="s">
        <v>28</v>
      </c>
      <c r="H184" s="65" t="n">
        <f aca="false">+H177/H$25*1000</f>
        <v>48.2536628257593</v>
      </c>
      <c r="I184" s="65" t="n">
        <f aca="false">+I177/I$25*1000</f>
        <v>46.8558141953713</v>
      </c>
      <c r="J184" s="65" t="n">
        <f aca="false">+J177/J$25*1000</f>
        <v>47.4462237372799</v>
      </c>
      <c r="K184" s="65" t="n">
        <f aca="false">+K177/K$25*1000</f>
        <v>50.4102492085297</v>
      </c>
      <c r="L184" s="65" t="n">
        <f aca="false">+L177/L$25*1000</f>
        <v>50.1836738943621</v>
      </c>
      <c r="M184" s="65" t="n">
        <f aca="false">+M177/M$25*1000</f>
        <v>51.4979355791351</v>
      </c>
      <c r="N184" s="65" t="n">
        <f aca="false">+N177/N$25*1000</f>
        <v>51.375656733217</v>
      </c>
      <c r="O184" s="65" t="n">
        <f aca="false">+O177/O$25*1000</f>
        <v>47.637056191268</v>
      </c>
      <c r="P184" s="65" t="n">
        <f aca="false">+P177/P$25*1000</f>
        <v>47.5389927425403</v>
      </c>
      <c r="Q184" s="65" t="n">
        <f aca="false">+Q177/Q$25*1000</f>
        <v>52.4117372442598</v>
      </c>
      <c r="R184" s="65" t="n">
        <f aca="false">+R177/R$25*1000</f>
        <v>49.6301434327396</v>
      </c>
      <c r="S184" s="65" t="n">
        <f aca="false">+S177/S$25*1000</f>
        <v>50.3332532747727</v>
      </c>
      <c r="T184" s="65" t="n">
        <f aca="false">+T177/T$25*1000</f>
        <v>54.6090224556164</v>
      </c>
      <c r="U184" s="65" t="n">
        <f aca="false">+U177/U$25*1000</f>
        <v>43.1095577618702</v>
      </c>
      <c r="V184" s="65" t="n">
        <f aca="false">+V177/V$25*1000</f>
        <v>43.0496571804151</v>
      </c>
      <c r="W184" s="65" t="n">
        <f aca="false">+W177/W$25*1000</f>
        <v>45.6293784710636</v>
      </c>
      <c r="X184" s="65" t="n">
        <f aca="false">+X177/X$25*1000</f>
        <v>45.0968515947263</v>
      </c>
      <c r="Y184" s="65" t="n">
        <f aca="false">+Y177/Y$25*1000</f>
        <v>45.8583091400692</v>
      </c>
      <c r="Z184" s="65" t="n">
        <f aca="false">+Z177/Z$25*1000</f>
        <v>50.6569422061682</v>
      </c>
      <c r="AA184" s="65" t="n">
        <f aca="false">+AA177/AA$25*1000</f>
        <v>48.1788362238644</v>
      </c>
      <c r="AB184" s="65" t="n">
        <f aca="false">+AB177/AB$25*1000</f>
        <v>48.5539098571777</v>
      </c>
      <c r="AC184" s="65" t="n">
        <f aca="false">+AC177/AC$25*1000</f>
        <v>51.2875694976338</v>
      </c>
      <c r="AD184" s="65" t="n">
        <f aca="false">+AD177/AD$25*1000</f>
        <v>50.674989170037</v>
      </c>
      <c r="AE184" s="65" t="n">
        <f aca="false">+AE177/AE$25*1000</f>
        <v>51.6963918389407</v>
      </c>
      <c r="AF184" s="65" t="n">
        <f aca="false">+AF177/AF$25*1000</f>
        <v>56.7344516582246</v>
      </c>
      <c r="AG184" s="65" t="n">
        <f aca="false">+AG177/AG$25*1000</f>
        <v>42.6735861186393</v>
      </c>
      <c r="AH184" s="65" t="n">
        <f aca="false">+AH177/AH$25*1000</f>
        <v>43.1404059661136</v>
      </c>
      <c r="AI184" s="65" t="n">
        <f aca="false">+AI177/AI$25*1000</f>
        <v>46.0621424516442</v>
      </c>
      <c r="AJ184" s="65" t="n">
        <f aca="false">+AJ177/AJ$25*1000</f>
        <v>45.59510498113</v>
      </c>
      <c r="AK184" s="65" t="n">
        <f aca="false">+AK177/AK$25*1000</f>
        <v>46.8385399428007</v>
      </c>
      <c r="AL184" s="65" t="n">
        <f aca="false">+AL177/AL$25*1000</f>
        <v>52.1118694985821</v>
      </c>
      <c r="AM184" s="65" t="n">
        <f aca="false">+AM177/AM$25*1000</f>
        <v>49.4463017742609</v>
      </c>
      <c r="AN184" s="65" t="n">
        <f aca="false">+AN177/AN$25*1000</f>
        <v>50.1020145701886</v>
      </c>
      <c r="AO184" s="65" t="n">
        <f aca="false">+AO177/AO$25*1000</f>
        <v>53.2878671896725</v>
      </c>
      <c r="AP184" s="65" t="n">
        <f aca="false">+AP177/AP$25*1000</f>
        <v>52.951353224252</v>
      </c>
      <c r="AQ184" s="65" t="n">
        <f aca="false">+AQ177/AQ$25*1000</f>
        <v>54.3808370298886</v>
      </c>
      <c r="AR184" s="15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3"/>
      <c r="G185" s="159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5"/>
    </row>
    <row r="186" customFormat="false" ht="12.75" hidden="false" customHeight="false" outlineLevel="0" collapsed="false">
      <c r="A186" s="2"/>
      <c r="B186" s="48" t="s">
        <v>63</v>
      </c>
      <c r="C186" s="2"/>
      <c r="D186" s="2"/>
      <c r="E186" s="3"/>
      <c r="F186" s="3"/>
      <c r="G186" s="159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5"/>
    </row>
    <row r="187" customFormat="false" ht="12.75" hidden="false" customHeight="false" outlineLevel="0" collapsed="false">
      <c r="A187" s="2"/>
      <c r="B187" s="2" t="s">
        <v>24</v>
      </c>
      <c r="C187" s="2"/>
      <c r="D187" s="2"/>
      <c r="E187" s="3"/>
      <c r="F187" s="3"/>
      <c r="G187" s="159" t="s">
        <v>25</v>
      </c>
      <c r="H187" s="76" t="n">
        <f aca="false">+H25</f>
        <v>1943668.8</v>
      </c>
      <c r="I187" s="76" t="n">
        <f aca="false">+I25</f>
        <v>1943668.8</v>
      </c>
      <c r="J187" s="76" t="n">
        <f aca="false">+J25</f>
        <v>1943668.8</v>
      </c>
      <c r="K187" s="76" t="n">
        <f aca="false">+K25</f>
        <v>1948993.92</v>
      </c>
      <c r="L187" s="76" t="n">
        <f aca="false">+L25</f>
        <v>1943668.8</v>
      </c>
      <c r="M187" s="76" t="n">
        <f aca="false">+M25</f>
        <v>1943668.8</v>
      </c>
      <c r="N187" s="76" t="n">
        <f aca="false">+N25</f>
        <v>1943668.8</v>
      </c>
      <c r="O187" s="76" t="n">
        <f aca="false">+O25</f>
        <v>1948993.92</v>
      </c>
      <c r="P187" s="76" t="n">
        <f aca="false">+P25</f>
        <v>1943668.8</v>
      </c>
      <c r="Q187" s="76" t="n">
        <f aca="false">+Q25</f>
        <v>1943668.8</v>
      </c>
      <c r="R187" s="76" t="n">
        <f aca="false">+R25</f>
        <v>1943668.8</v>
      </c>
      <c r="S187" s="76" t="n">
        <f aca="false">+S25</f>
        <v>1948993.92</v>
      </c>
      <c r="T187" s="76" t="n">
        <f aca="false">+T25</f>
        <v>1943668.8</v>
      </c>
      <c r="U187" s="76" t="n">
        <f aca="false">+U25</f>
        <v>1943668.8</v>
      </c>
      <c r="V187" s="76" t="n">
        <f aca="false">+V25</f>
        <v>1943668.8</v>
      </c>
      <c r="W187" s="76" t="n">
        <f aca="false">+W25</f>
        <v>1948993.92</v>
      </c>
      <c r="X187" s="76" t="n">
        <f aca="false">+X25</f>
        <v>1943668.8</v>
      </c>
      <c r="Y187" s="76" t="n">
        <f aca="false">+Y25</f>
        <v>1943668.8</v>
      </c>
      <c r="Z187" s="76" t="n">
        <f aca="false">+Z25</f>
        <v>1943668.8</v>
      </c>
      <c r="AA187" s="77" t="n">
        <f aca="false">+AA25</f>
        <v>1948993.92</v>
      </c>
      <c r="AB187" s="77" t="n">
        <f aca="false">+AB25</f>
        <v>1943668.8</v>
      </c>
      <c r="AC187" s="77" t="n">
        <f aca="false">+AC25</f>
        <v>1943668.8</v>
      </c>
      <c r="AD187" s="77" t="n">
        <f aca="false">+AD25</f>
        <v>1943668.8</v>
      </c>
      <c r="AE187" s="77" t="n">
        <f aca="false">+AE25</f>
        <v>1948993.92</v>
      </c>
      <c r="AF187" s="77" t="n">
        <f aca="false">+AF25</f>
        <v>1943668.8</v>
      </c>
      <c r="AG187" s="77" t="n">
        <f aca="false">+AG25</f>
        <v>1943668.8</v>
      </c>
      <c r="AH187" s="77" t="n">
        <f aca="false">+AH25</f>
        <v>1943668.8</v>
      </c>
      <c r="AI187" s="77" t="n">
        <f aca="false">+AI25</f>
        <v>1948993.92</v>
      </c>
      <c r="AJ187" s="77" t="n">
        <f aca="false">+AJ25</f>
        <v>1943668.8</v>
      </c>
      <c r="AK187" s="77" t="n">
        <f aca="false">+AK25</f>
        <v>1943668.8</v>
      </c>
      <c r="AL187" s="77" t="n">
        <f aca="false">+AL25</f>
        <v>1943668.8</v>
      </c>
      <c r="AM187" s="77" t="n">
        <f aca="false">+AM25</f>
        <v>1948993.92</v>
      </c>
      <c r="AN187" s="77" t="n">
        <f aca="false">+AN25</f>
        <v>1943668.8</v>
      </c>
      <c r="AO187" s="77" t="n">
        <f aca="false">+AO25</f>
        <v>1943668.8</v>
      </c>
      <c r="AP187" s="77" t="n">
        <f aca="false">+AP25</f>
        <v>1943668.8</v>
      </c>
      <c r="AQ187" s="77" t="n">
        <f aca="false">+AQ25</f>
        <v>1948993.92</v>
      </c>
      <c r="AR187" s="25"/>
    </row>
    <row r="188" customFormat="false" ht="13.5" hidden="false" customHeight="false" outlineLevel="0" collapsed="false">
      <c r="A188" s="2"/>
      <c r="B188" s="2" t="s">
        <v>141</v>
      </c>
      <c r="C188" s="2"/>
      <c r="D188" s="2"/>
      <c r="E188" s="3"/>
      <c r="F188" s="3"/>
      <c r="G188" s="159" t="s">
        <v>28</v>
      </c>
      <c r="H188" s="160" t="n">
        <f aca="false">+H184-H35</f>
        <v>11.011295780335</v>
      </c>
      <c r="I188" s="160" t="n">
        <f aca="false">+I184-I35</f>
        <v>15.7420834914151</v>
      </c>
      <c r="J188" s="160" t="n">
        <f aca="false">+J184-J35</f>
        <v>17.494452030427</v>
      </c>
      <c r="K188" s="160" t="n">
        <f aca="false">+K184-K35</f>
        <v>18.8868369508576</v>
      </c>
      <c r="L188" s="160" t="n">
        <f aca="false">+L184-L35</f>
        <v>16.2484447949162</v>
      </c>
      <c r="M188" s="160" t="n">
        <f aca="false">+M184-M35</f>
        <v>16.405863564612</v>
      </c>
      <c r="N188" s="160" t="n">
        <f aca="false">+N184-N35</f>
        <v>14.4620518814088</v>
      </c>
      <c r="O188" s="160" t="n">
        <f aca="false">+O184-O35</f>
        <v>7.90464501872069</v>
      </c>
      <c r="P188" s="160" t="n">
        <f aca="false">+P184-P35</f>
        <v>6.9266036739897</v>
      </c>
      <c r="Q188" s="160" t="n">
        <f aca="false">+Q184-Q35</f>
        <v>10.7523367181877</v>
      </c>
      <c r="R188" s="160" t="n">
        <f aca="false">+R184-R35</f>
        <v>6.74329279226543</v>
      </c>
      <c r="S188" s="160" t="n">
        <f aca="false">+S184-S35</f>
        <v>6.69202039424168</v>
      </c>
      <c r="T188" s="160" t="n">
        <f aca="false">+T184-T35</f>
        <v>10.0083004291049</v>
      </c>
      <c r="U188" s="160" t="n">
        <f aca="false">+U184-U35</f>
        <v>-3.32777729774269</v>
      </c>
      <c r="V188" s="160" t="n">
        <f aca="false">+V184-V35</f>
        <v>-2.08505303216705</v>
      </c>
      <c r="W188" s="160" t="n">
        <f aca="false">+W184-W35</f>
        <v>-0.351325009477669</v>
      </c>
      <c r="X188" s="160" t="n">
        <f aca="false">+X184-X35</f>
        <v>-1.62249570133602</v>
      </c>
      <c r="Y188" s="160" t="n">
        <f aca="false">+Y184-Y35</f>
        <v>-1.43320749047149</v>
      </c>
      <c r="Z188" s="160" t="n">
        <f aca="false">+Z184-Z35</f>
        <v>1.74018861913392</v>
      </c>
      <c r="AA188" s="161" t="n">
        <f aca="false">+AA184-AA35</f>
        <v>-1.73363319561221</v>
      </c>
      <c r="AB188" s="161" t="n">
        <f aca="false">+AB184-AB35</f>
        <v>-2.37454350221515</v>
      </c>
      <c r="AC188" s="161" t="n">
        <f aca="false">+AC184-AC35</f>
        <v>-0.677548472821599</v>
      </c>
      <c r="AD188" s="161" t="n">
        <f aca="false">+AD184-AD35</f>
        <v>-2.34789504416263</v>
      </c>
      <c r="AE188" s="161" t="n">
        <f aca="false">+AE184-AE35</f>
        <v>-2.40578978202365</v>
      </c>
      <c r="AF188" s="161" t="n">
        <f aca="false">+AF184-AF35</f>
        <v>1.53100319391144</v>
      </c>
      <c r="AG188" s="161" t="n">
        <f aca="false">+AG184-AG35</f>
        <v>-13.6535458203658</v>
      </c>
      <c r="AH188" s="161" t="n">
        <f aca="false">+AH184-AH35</f>
        <v>-14.3332823764752</v>
      </c>
      <c r="AI188" s="161" t="n">
        <f aca="false">+AI184-AI35</f>
        <v>-12.5814408090477</v>
      </c>
      <c r="AJ188" s="161" t="n">
        <f aca="false">+AJ184-AJ35</f>
        <v>-14.2421867749535</v>
      </c>
      <c r="AK188" s="161" t="n">
        <f aca="false">+AK184-AK35</f>
        <v>-14.2167586187834</v>
      </c>
      <c r="AL188" s="161" t="n">
        <f aca="false">+AL184-AL35</f>
        <v>-10.1862287783203</v>
      </c>
      <c r="AM188" s="161" t="n">
        <f aca="false">+AM184-AM35</f>
        <v>-14.1198937952183</v>
      </c>
      <c r="AN188" s="161" t="n">
        <f aca="false">+AN184-AN35</f>
        <v>-14.75809080923</v>
      </c>
      <c r="AO188" s="161" t="n">
        <f aca="false">+AO184-AO35</f>
        <v>-12.8924859389198</v>
      </c>
      <c r="AP188" s="161" t="n">
        <f aca="false">+AP184-AP35</f>
        <v>-14.5761217097462</v>
      </c>
      <c r="AQ188" s="161" t="n">
        <f aca="false">+AQ184-AQ35</f>
        <v>-14.5211807955754</v>
      </c>
      <c r="AR188" s="25"/>
    </row>
    <row r="189" customFormat="false" ht="13.5" hidden="false" customHeight="false" outlineLevel="0" collapsed="false">
      <c r="A189" s="2"/>
      <c r="B189" s="48" t="s">
        <v>63</v>
      </c>
      <c r="C189" s="48"/>
      <c r="D189" s="48"/>
      <c r="E189" s="46"/>
      <c r="F189" s="46"/>
      <c r="G189" s="46"/>
      <c r="H189" s="91" t="n">
        <f aca="false">+H187*H188/1000</f>
        <v>21402.3120558088</v>
      </c>
      <c r="I189" s="92" t="n">
        <f aca="false">+I187*I188/1000</f>
        <v>30597.3965292586</v>
      </c>
      <c r="J189" s="92" t="n">
        <f aca="false">+J187*J188/1000</f>
        <v>34003.4205846376</v>
      </c>
      <c r="K189" s="92" t="n">
        <f aca="false">+K187*K188/1000</f>
        <v>36810.3303852527</v>
      </c>
      <c r="L189" s="92" t="n">
        <f aca="false">+L187*L188/1000</f>
        <v>31581.5951964009</v>
      </c>
      <c r="M189" s="92" t="n">
        <f aca="false">+M187*M188/1000</f>
        <v>31887.565147593</v>
      </c>
      <c r="N189" s="92" t="n">
        <f aca="false">+N187*N188/1000</f>
        <v>28109.4390258756</v>
      </c>
      <c r="O189" s="92" t="n">
        <f aca="false">+O187*O188/1000</f>
        <v>15406.1050812449</v>
      </c>
      <c r="P189" s="92" t="n">
        <f aca="false">+P187*P188/1000</f>
        <v>13463.0234510991</v>
      </c>
      <c r="Q189" s="92" t="n">
        <f aca="false">+Q187*Q188/1000</f>
        <v>20898.9814062359</v>
      </c>
      <c r="R189" s="92" t="n">
        <f aca="false">+R187*R188/1000</f>
        <v>13106.7278095912</v>
      </c>
      <c r="S189" s="92" t="n">
        <f aca="false">+S187*S188/1000</f>
        <v>13042.707060893</v>
      </c>
      <c r="T189" s="92" t="n">
        <f aca="false">+T187*T188/1000</f>
        <v>19452.8212850779</v>
      </c>
      <c r="U189" s="92" t="n">
        <f aca="false">+U187*U188/1000</f>
        <v>-6468.09690697077</v>
      </c>
      <c r="V189" s="92" t="n">
        <f aca="false">+V187*V188/1000</f>
        <v>-4052.6525249685</v>
      </c>
      <c r="W189" s="92" t="n">
        <f aca="false">+W187*W188/1000</f>
        <v>-684.73030741592</v>
      </c>
      <c r="X189" s="92" t="n">
        <f aca="false">+X187*X188/1000</f>
        <v>-3153.59427282094</v>
      </c>
      <c r="Y189" s="92" t="n">
        <f aca="false">+Y187*Y188/1000</f>
        <v>-2785.68068315573</v>
      </c>
      <c r="Z189" s="93" t="n">
        <f aca="false">+Z187*Z188/1000</f>
        <v>3382.35032512568</v>
      </c>
      <c r="AA189" s="94" t="n">
        <f aca="false">+AA187*AA188/1000</f>
        <v>-3378.84055775838</v>
      </c>
      <c r="AB189" s="94" t="n">
        <f aca="false">+AB187*AB188/1000</f>
        <v>-4615.32611949833</v>
      </c>
      <c r="AC189" s="94" t="n">
        <f aca="false">+AC187*AC188/1000</f>
        <v>-1316.92982711099</v>
      </c>
      <c r="AD189" s="94" t="n">
        <f aca="false">+AD187*AD188/1000</f>
        <v>-4563.53034301353</v>
      </c>
      <c r="AE189" s="94" t="n">
        <f aca="false">+AE187*AE188/1000</f>
        <v>-4688.86965796223</v>
      </c>
      <c r="AF189" s="94" t="n">
        <f aca="false">+AF187*AF188/1000</f>
        <v>2975.76314070601</v>
      </c>
      <c r="AG189" s="94" t="n">
        <f aca="false">+AG187*AG188/1000</f>
        <v>-26537.9710204155</v>
      </c>
      <c r="AH189" s="94" t="n">
        <f aca="false">+AH187*AH188/1000</f>
        <v>-27859.1537567447</v>
      </c>
      <c r="AI189" s="94" t="n">
        <f aca="false">+AI187*AI188/1000</f>
        <v>-24521.1516416738</v>
      </c>
      <c r="AJ189" s="94" t="n">
        <f aca="false">+AJ187*AJ188/1000</f>
        <v>-27682.0940782497</v>
      </c>
      <c r="AK189" s="94" t="n">
        <f aca="false">+AK187*AK188/1000</f>
        <v>-27632.6701644604</v>
      </c>
      <c r="AL189" s="94" t="n">
        <f aca="false">+AL187*AL188/1000</f>
        <v>-19798.6550660833</v>
      </c>
      <c r="AM189" s="94" t="n">
        <f aca="false">+AM187*AM188/1000</f>
        <v>-27519.5871579261</v>
      </c>
      <c r="AN189" s="94" t="n">
        <f aca="false">+AN187*AN188/1000</f>
        <v>-28684.8406534671</v>
      </c>
      <c r="AO189" s="94" t="n">
        <f aca="false">+AO187*AO188/1000</f>
        <v>-25058.7226739171</v>
      </c>
      <c r="AP189" s="94" t="n">
        <f aca="false">+AP187*AP188/1000</f>
        <v>-28331.1529922364</v>
      </c>
      <c r="AQ189" s="94" t="n">
        <f aca="false">+AQ187*AQ188/1000</f>
        <v>-28301.6930817972</v>
      </c>
      <c r="AR189" s="25"/>
    </row>
    <row r="190" customFormat="false" ht="13.5" hidden="false" customHeight="false" outlineLevel="0" collapsed="false">
      <c r="A190" s="2"/>
      <c r="B190" s="95" t="str">
        <f aca="false">CONCATENATE("NPV ",+$E$16*100," of Cf to Term (2036)")</f>
        <v>NPV 6.25 of Cf to Term (2036)</v>
      </c>
      <c r="C190" s="2"/>
      <c r="D190" s="3"/>
      <c r="E190" s="3"/>
      <c r="F190" s="46"/>
      <c r="G190" s="162" t="n">
        <f aca="false">SUMPRODUCT(H189:AQ189,H16:AQ16)</f>
        <v>163760.779266024</v>
      </c>
      <c r="H190" s="159"/>
      <c r="I190" s="159"/>
      <c r="J190" s="159"/>
      <c r="K190" s="159"/>
      <c r="L190" s="159"/>
      <c r="M190" s="159"/>
      <c r="N190" s="159"/>
      <c r="O190" s="159"/>
      <c r="P190" s="159"/>
      <c r="Q190" s="159"/>
      <c r="R190" s="159"/>
      <c r="S190" s="159"/>
      <c r="T190" s="159"/>
      <c r="U190" s="159"/>
      <c r="V190" s="159"/>
      <c r="W190" s="159"/>
      <c r="X190" s="159"/>
      <c r="Y190" s="159"/>
      <c r="Z190" s="159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5"/>
    </row>
    <row r="191" customFormat="false" ht="12.75" hidden="false" customHeight="false" outlineLevel="0" collapsed="false">
      <c r="A191" s="2"/>
      <c r="B191" s="48"/>
      <c r="C191" s="48"/>
      <c r="D191" s="150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5"/>
    </row>
    <row r="192" customFormat="false" ht="13.5" hidden="false" customHeight="false" outlineLevel="0" collapsed="false">
      <c r="A192" s="2"/>
      <c r="B192" s="2"/>
      <c r="C192" s="2"/>
      <c r="D192" s="2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5"/>
    </row>
    <row r="193" customFormat="false" ht="13.5" hidden="false" customHeight="false" outlineLevel="0" collapsed="false">
      <c r="A193" s="2"/>
      <c r="B193" s="48" t="s">
        <v>142</v>
      </c>
      <c r="C193" s="2"/>
      <c r="D193" s="2"/>
      <c r="E193" s="3"/>
      <c r="F193" s="3"/>
      <c r="G193" s="96" t="n">
        <f aca="false">+G91-G190</f>
        <v>135048.940747345</v>
      </c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5"/>
    </row>
    <row r="194" customFormat="false" ht="12.75" hidden="false" customHeight="false" outlineLevel="0" collapsed="false">
      <c r="A194" s="2"/>
      <c r="B194" s="2"/>
      <c r="C194" s="2"/>
      <c r="D194" s="2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5"/>
    </row>
    <row r="195" customFormat="false" ht="12.75" hidden="false" customHeight="false" outlineLevel="0" collapsed="false">
      <c r="A195" s="2"/>
      <c r="B195" s="2"/>
      <c r="C195" s="2"/>
      <c r="D195" s="2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5"/>
    </row>
    <row r="196" customFormat="false" ht="12.75" hidden="false" customHeight="false" outlineLevel="0" collapsed="false">
      <c r="A196" s="3"/>
      <c r="B196" s="48" t="s">
        <v>143</v>
      </c>
      <c r="C196" s="2"/>
      <c r="D196" s="2"/>
      <c r="E196" s="2"/>
      <c r="F196" s="3"/>
      <c r="G196" s="16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5"/>
    </row>
    <row r="197" customFormat="false" ht="12.75" hidden="false" customHeight="false" outlineLevel="0" collapsed="false">
      <c r="A197" s="2"/>
      <c r="B197" s="2" t="s">
        <v>144</v>
      </c>
      <c r="C197" s="2"/>
      <c r="D197" s="2"/>
      <c r="E197" s="2"/>
      <c r="F197" s="3"/>
      <c r="G197" s="163"/>
      <c r="H197" s="97" t="n">
        <f aca="false">+SUM(H168:H173)-H73</f>
        <v>-30036.3430236455</v>
      </c>
      <c r="I197" s="97" t="n">
        <f aca="false">+SUM(I168:I173)-I73</f>
        <v>-35163.4621296535</v>
      </c>
      <c r="J197" s="97" t="n">
        <f aca="false">+SUM(J168:J173)-J73</f>
        <v>-38205.5541878235</v>
      </c>
      <c r="K197" s="97" t="n">
        <f aca="false">+SUM(K168:K173)-K73</f>
        <v>-36418.0934170846</v>
      </c>
      <c r="L197" s="97" t="n">
        <f aca="false">+SUM(L168:L173)-L73</f>
        <v>-40446.5854379478</v>
      </c>
      <c r="M197" s="97" t="n">
        <f aca="false">+SUM(M168:M173)-M73</f>
        <v>-42320.358902219</v>
      </c>
      <c r="N197" s="97" t="n">
        <f aca="false">+SUM(N168:N173)-N73</f>
        <v>-40292.2797872419</v>
      </c>
      <c r="O197" s="97" t="n">
        <f aca="false">+SUM(O168:O173)-O73</f>
        <v>-50191.4989839515</v>
      </c>
      <c r="P197" s="97" t="n">
        <f aca="false">+SUM(P168:P173)-P73</f>
        <v>-53115.9124153477</v>
      </c>
      <c r="Q197" s="97" t="n">
        <f aca="false">+SUM(Q168:Q173)-Q73</f>
        <v>-46575.6565612345</v>
      </c>
      <c r="R197" s="97" t="n">
        <f aca="false">+SUM(R168:R173)-R73</f>
        <v>-55234.5555439493</v>
      </c>
      <c r="S197" s="97" t="n">
        <f aca="false">+SUM(S168:S173)-S73</f>
        <v>-57198.7426328542</v>
      </c>
      <c r="T197" s="97" t="n">
        <f aca="false">+SUM(T168:T173)-T73</f>
        <v>-52062.716546199</v>
      </c>
      <c r="U197" s="97" t="n">
        <f aca="false">+SUM(U168:U173)-U73</f>
        <v>-58717.6965538318</v>
      </c>
      <c r="V197" s="97" t="n">
        <f aca="false">+SUM(V168:V173)-V73</f>
        <v>-60311.88892428</v>
      </c>
      <c r="W197" s="97" t="n">
        <f aca="false">+SUM(W168:W173)-W73</f>
        <v>-57045.7223721621</v>
      </c>
      <c r="X197" s="97" t="n">
        <f aca="false">+SUM(X168:X173)-X73</f>
        <v>-62820.3597556157</v>
      </c>
      <c r="Y197" s="97" t="n">
        <f aca="false">+SUM(Y168:Y173)-Y73</f>
        <v>-64519.9157725749</v>
      </c>
      <c r="Z197" s="97" t="n">
        <f aca="false">+SUM(Z168:Z173)-Z73</f>
        <v>-58549.7057945696</v>
      </c>
      <c r="AA197" s="118" t="n">
        <f aca="false">+SUM(AA168:AA173)-AA73</f>
        <v>-15333.0476191965</v>
      </c>
      <c r="AB197" s="118" t="n">
        <f aca="false">+SUM(AB168:AB173)-AB73</f>
        <v>-14334.7191834996</v>
      </c>
      <c r="AC197" s="118" t="n">
        <f aca="false">+SUM(AC168:AC173)-AC73</f>
        <v>-17975.3585886561</v>
      </c>
      <c r="AD197" s="118" t="n">
        <f aca="false">+SUM(AD168:AD173)-AD73</f>
        <v>-15067.6500873913</v>
      </c>
      <c r="AE197" s="118" t="n">
        <f aca="false">+SUM(AE168:AE173)-AE73</f>
        <v>-15388.3290649222</v>
      </c>
      <c r="AF197" s="118" t="n">
        <f aca="false">+SUM(AF168:AF173)-AF73</f>
        <v>-23273.2574068933</v>
      </c>
      <c r="AG197" s="118"/>
      <c r="AH197" s="118"/>
      <c r="AI197" s="118"/>
      <c r="AJ197" s="118"/>
      <c r="AK197" s="118"/>
      <c r="AL197" s="118"/>
      <c r="AM197" s="118"/>
      <c r="AN197" s="118"/>
      <c r="AO197" s="118"/>
      <c r="AP197" s="118"/>
      <c r="AQ197" s="118"/>
      <c r="AR197" s="25"/>
    </row>
    <row r="198" customFormat="false" ht="13.5" hidden="false" customHeight="false" outlineLevel="0" collapsed="false">
      <c r="A198" s="2"/>
      <c r="B198" s="2" t="s">
        <v>145</v>
      </c>
      <c r="C198" s="2"/>
      <c r="D198" s="2"/>
      <c r="E198" s="164" t="n">
        <f aca="false">+G212</f>
        <v>25</v>
      </c>
      <c r="F198" s="165" t="s">
        <v>146</v>
      </c>
      <c r="G198" s="131" t="n">
        <f aca="false">1/$E$198</f>
        <v>0.04</v>
      </c>
      <c r="H198" s="166" t="n">
        <f aca="false">IF(+H13&lt;=$E$198,$G$102/$E$198,0)</f>
        <v>16204</v>
      </c>
      <c r="I198" s="166" t="n">
        <f aca="false">IF(+I13&lt;=$E$198,$G$102/$E$198,0)</f>
        <v>16204</v>
      </c>
      <c r="J198" s="166" t="n">
        <f aca="false">IF(+J13&lt;=$E$198,$G$102/$E$198,0)</f>
        <v>16204</v>
      </c>
      <c r="K198" s="166" t="n">
        <f aca="false">IF(+K13&lt;=$E$198,$G$102/$E$198,0)</f>
        <v>16204</v>
      </c>
      <c r="L198" s="166" t="n">
        <f aca="false">IF(+L13&lt;=$E$198,$G$102/$E$198,0)</f>
        <v>16204</v>
      </c>
      <c r="M198" s="166" t="n">
        <f aca="false">IF(+M13&lt;=$E$198,$G$102/$E$198,0)</f>
        <v>16204</v>
      </c>
      <c r="N198" s="166" t="n">
        <f aca="false">IF(+N13&lt;=$E$198,$G$102/$E$198,0)</f>
        <v>16204</v>
      </c>
      <c r="O198" s="166" t="n">
        <f aca="false">IF(+O13&lt;=$E$198,$G$102/$E$198,0)</f>
        <v>16204</v>
      </c>
      <c r="P198" s="166" t="n">
        <f aca="false">IF(+P13&lt;=$E$198,$G$102/$E$198,0)</f>
        <v>16204</v>
      </c>
      <c r="Q198" s="166" t="n">
        <f aca="false">IF(+Q13&lt;=$E$198,$G$102/$E$198,0)</f>
        <v>16204</v>
      </c>
      <c r="R198" s="166" t="n">
        <f aca="false">IF(+R13&lt;=$E$198,$G$102/$E$198,0)</f>
        <v>16204</v>
      </c>
      <c r="S198" s="166" t="n">
        <f aca="false">IF(+S13&lt;=$E$198,$G$102/$E$198,0)</f>
        <v>16204</v>
      </c>
      <c r="T198" s="166" t="n">
        <f aca="false">IF(+T13&lt;=$E$198,$G$102/$E$198,0)</f>
        <v>16204</v>
      </c>
      <c r="U198" s="166" t="n">
        <f aca="false">IF(+U13&lt;=$E$198,$G$102/$E$198,0)</f>
        <v>16204</v>
      </c>
      <c r="V198" s="166" t="n">
        <f aca="false">IF(+V13&lt;=$E$198,$G$102/$E$198,0)</f>
        <v>16204</v>
      </c>
      <c r="W198" s="166" t="n">
        <f aca="false">IF(+W13&lt;=$E$198,$G$102/$E$198,0)</f>
        <v>16204</v>
      </c>
      <c r="X198" s="166" t="n">
        <f aca="false">IF(+X13&lt;=$E$198,$G$102/$E$198,0)</f>
        <v>16204</v>
      </c>
      <c r="Y198" s="166" t="n">
        <f aca="false">IF(+Y13&lt;=$E$198,$G$102/$E$198,0)</f>
        <v>16204</v>
      </c>
      <c r="Z198" s="166" t="n">
        <f aca="false">IF(+Z13&lt;=$E$198,$G$102/$E$198,0)</f>
        <v>16204</v>
      </c>
      <c r="AA198" s="139" t="n">
        <f aca="false">IF(+AA13&lt;=$E$198,$G$102/$E$198,0)</f>
        <v>16204</v>
      </c>
      <c r="AB198" s="139" t="n">
        <f aca="false">IF(+AB13&lt;=$E$198,$G$102/$E$198,0)</f>
        <v>16204</v>
      </c>
      <c r="AC198" s="139" t="n">
        <f aca="false">IF(+AC13&lt;=$E$198,$G$102/$E$198,0)</f>
        <v>16204</v>
      </c>
      <c r="AD198" s="139" t="n">
        <f aca="false">IF(+AD13&lt;=$E$198,$G$102/$E$198,0)</f>
        <v>16204</v>
      </c>
      <c r="AE198" s="139" t="n">
        <f aca="false">IF(+AE13&lt;=$E$198,$G$102/$E$198,0)</f>
        <v>16204</v>
      </c>
      <c r="AF198" s="139" t="n">
        <f aca="false">IF(+AF13&lt;=$E$198,$G$102/$E$198,0)</f>
        <v>16204</v>
      </c>
      <c r="AG198" s="139"/>
      <c r="AH198" s="139"/>
      <c r="AI198" s="139"/>
      <c r="AJ198" s="139"/>
      <c r="AK198" s="139"/>
      <c r="AL198" s="139"/>
      <c r="AM198" s="139"/>
      <c r="AN198" s="139"/>
      <c r="AO198" s="139"/>
      <c r="AP198" s="139"/>
      <c r="AQ198" s="139"/>
      <c r="AR198" s="25"/>
    </row>
    <row r="199" customFormat="false" ht="12.75" hidden="false" customHeight="false" outlineLevel="0" collapsed="false">
      <c r="A199" s="2"/>
      <c r="B199" s="2" t="s">
        <v>147</v>
      </c>
      <c r="C199" s="2"/>
      <c r="D199" s="2"/>
      <c r="E199" s="2"/>
      <c r="F199" s="2"/>
      <c r="G199" s="3"/>
      <c r="H199" s="97" t="n">
        <f aca="false">-H197-H198</f>
        <v>13832.3430236455</v>
      </c>
      <c r="I199" s="97" t="n">
        <f aca="false">-I197-I198</f>
        <v>18959.4621296535</v>
      </c>
      <c r="J199" s="97" t="n">
        <f aca="false">-J197-J198</f>
        <v>22001.5541878235</v>
      </c>
      <c r="K199" s="97" t="n">
        <f aca="false">-K197-K198</f>
        <v>20214.0934170846</v>
      </c>
      <c r="L199" s="97" t="n">
        <f aca="false">-L197-L198</f>
        <v>24242.5854379478</v>
      </c>
      <c r="M199" s="97" t="n">
        <f aca="false">-M197-M198</f>
        <v>26116.358902219</v>
      </c>
      <c r="N199" s="97" t="n">
        <f aca="false">-N197-N198</f>
        <v>24088.2797872419</v>
      </c>
      <c r="O199" s="97" t="n">
        <f aca="false">-O197-O198</f>
        <v>33987.4989839515</v>
      </c>
      <c r="P199" s="97" t="n">
        <f aca="false">-P197-P198</f>
        <v>36911.9124153477</v>
      </c>
      <c r="Q199" s="97" t="n">
        <f aca="false">-Q197-Q198</f>
        <v>30371.6565612345</v>
      </c>
      <c r="R199" s="97" t="n">
        <f aca="false">-R197-R198</f>
        <v>39030.5555439493</v>
      </c>
      <c r="S199" s="97" t="n">
        <f aca="false">-S197-S198</f>
        <v>40994.7426328542</v>
      </c>
      <c r="T199" s="97" t="n">
        <f aca="false">-T197-T198</f>
        <v>35858.716546199</v>
      </c>
      <c r="U199" s="97" t="n">
        <f aca="false">-U197-U198</f>
        <v>42513.6965538318</v>
      </c>
      <c r="V199" s="97" t="n">
        <f aca="false">-V197-V198</f>
        <v>44107.88892428</v>
      </c>
      <c r="W199" s="97" t="n">
        <f aca="false">-W197-W198</f>
        <v>40841.7223721621</v>
      </c>
      <c r="X199" s="97" t="n">
        <f aca="false">-X197-X198</f>
        <v>46616.3597556157</v>
      </c>
      <c r="Y199" s="97" t="n">
        <f aca="false">-Y197-Y198</f>
        <v>48315.9157725749</v>
      </c>
      <c r="Z199" s="97" t="n">
        <f aca="false">-Z197-Z198</f>
        <v>42345.7057945696</v>
      </c>
      <c r="AA199" s="118" t="n">
        <f aca="false">-AA197-AA198</f>
        <v>-870.952380803516</v>
      </c>
      <c r="AB199" s="118" t="n">
        <f aca="false">-AB197-AB198</f>
        <v>-1869.2808165004</v>
      </c>
      <c r="AC199" s="118" t="n">
        <f aca="false">-AC197-AC198</f>
        <v>1771.35858865608</v>
      </c>
      <c r="AD199" s="118" t="n">
        <f aca="false">-AD197-AD198</f>
        <v>-1136.34991260871</v>
      </c>
      <c r="AE199" s="118" t="n">
        <f aca="false">-AE197-AE198</f>
        <v>-815.670935077767</v>
      </c>
      <c r="AF199" s="118" t="n">
        <f aca="false">-AF197-AF198</f>
        <v>7069.25740689332</v>
      </c>
      <c r="AG199" s="118"/>
      <c r="AH199" s="118"/>
      <c r="AI199" s="118"/>
      <c r="AJ199" s="118"/>
      <c r="AK199" s="118"/>
      <c r="AL199" s="118"/>
      <c r="AM199" s="118"/>
      <c r="AN199" s="118"/>
      <c r="AO199" s="118"/>
      <c r="AP199" s="118"/>
      <c r="AQ199" s="118"/>
      <c r="AR199" s="25"/>
    </row>
    <row r="200" customFormat="false" ht="15" hidden="false" customHeight="false" outlineLevel="0" collapsed="false">
      <c r="A200" s="2"/>
      <c r="B200" s="2"/>
      <c r="C200" s="2"/>
      <c r="D200" s="2"/>
      <c r="E200" s="167"/>
      <c r="F200" s="168"/>
      <c r="G200" s="3"/>
      <c r="H200" s="122"/>
      <c r="I200" s="122"/>
      <c r="J200" s="122"/>
      <c r="K200" s="122"/>
      <c r="L200" s="122"/>
      <c r="M200" s="122"/>
      <c r="N200" s="122"/>
      <c r="O200" s="122"/>
      <c r="P200" s="122"/>
      <c r="Q200" s="122"/>
      <c r="R200" s="122"/>
      <c r="S200" s="122"/>
      <c r="T200" s="122"/>
      <c r="U200" s="122"/>
      <c r="V200" s="122"/>
      <c r="W200" s="122"/>
      <c r="X200" s="122"/>
      <c r="Y200" s="122"/>
      <c r="Z200" s="122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5"/>
    </row>
    <row r="201" customFormat="false" ht="15.75" hidden="false" customHeight="false" outlineLevel="0" collapsed="false">
      <c r="A201" s="2"/>
      <c r="B201" s="2"/>
      <c r="C201" s="2"/>
      <c r="D201" s="2"/>
      <c r="E201" s="167"/>
      <c r="F201" s="168"/>
      <c r="G201" s="3"/>
      <c r="H201" s="20" t="n">
        <f aca="false">+H153</f>
        <v>2001</v>
      </c>
      <c r="I201" s="20" t="n">
        <f aca="false">+I153</f>
        <v>2002</v>
      </c>
      <c r="J201" s="20" t="n">
        <f aca="false">+J153</f>
        <v>2003</v>
      </c>
      <c r="K201" s="20" t="n">
        <f aca="false">+K153</f>
        <v>2004</v>
      </c>
      <c r="L201" s="20" t="n">
        <f aca="false">+L153</f>
        <v>2005</v>
      </c>
      <c r="M201" s="20" t="n">
        <f aca="false">+M153</f>
        <v>2006</v>
      </c>
      <c r="N201" s="20" t="n">
        <f aca="false">+N153</f>
        <v>2007</v>
      </c>
      <c r="O201" s="20" t="n">
        <f aca="false">+O153</f>
        <v>2008</v>
      </c>
      <c r="P201" s="20" t="n">
        <f aca="false">+P153</f>
        <v>2009</v>
      </c>
      <c r="Q201" s="20" t="n">
        <f aca="false">+Q153</f>
        <v>2010</v>
      </c>
      <c r="R201" s="20" t="n">
        <f aca="false">+R153</f>
        <v>2011</v>
      </c>
      <c r="S201" s="20" t="n">
        <f aca="false">+S153</f>
        <v>2012</v>
      </c>
      <c r="T201" s="20" t="n">
        <f aca="false">+T153</f>
        <v>2013</v>
      </c>
      <c r="U201" s="20" t="n">
        <f aca="false">+U153</f>
        <v>2014</v>
      </c>
      <c r="V201" s="20" t="n">
        <f aca="false">+V153</f>
        <v>2015</v>
      </c>
      <c r="W201" s="20" t="n">
        <f aca="false">+W153</f>
        <v>2016</v>
      </c>
      <c r="X201" s="20" t="n">
        <f aca="false">+X153</f>
        <v>2017</v>
      </c>
      <c r="Y201" s="20" t="n">
        <f aca="false">+Y153</f>
        <v>2018</v>
      </c>
      <c r="Z201" s="20" t="n">
        <f aca="false">+Z153</f>
        <v>2019</v>
      </c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5"/>
    </row>
    <row r="202" customFormat="false" ht="17.25" hidden="false" customHeight="false" outlineLevel="0" collapsed="false">
      <c r="A202" s="23" t="str">
        <f aca="false">+A154</f>
        <v>Plant Ownership/Operation (Con't)</v>
      </c>
      <c r="B202" s="2"/>
      <c r="C202" s="2"/>
      <c r="D202" s="2"/>
      <c r="E202" s="167"/>
      <c r="F202" s="168"/>
      <c r="G202" s="3"/>
      <c r="H202" s="122"/>
      <c r="I202" s="122"/>
      <c r="J202" s="122"/>
      <c r="K202" s="122"/>
      <c r="L202" s="122"/>
      <c r="M202" s="122"/>
      <c r="N202" s="122"/>
      <c r="O202" s="122"/>
      <c r="P202" s="122"/>
      <c r="Q202" s="122"/>
      <c r="R202" s="122"/>
      <c r="S202" s="122"/>
      <c r="T202" s="122"/>
      <c r="U202" s="122"/>
      <c r="V202" s="122"/>
      <c r="W202" s="122"/>
      <c r="X202" s="122"/>
      <c r="Y202" s="122"/>
      <c r="Z202" s="122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5"/>
    </row>
    <row r="203" customFormat="false" ht="15" hidden="false" customHeight="false" outlineLevel="0" collapsed="false">
      <c r="A203" s="2"/>
      <c r="B203" s="2"/>
      <c r="C203" s="2"/>
      <c r="D203" s="2"/>
      <c r="E203" s="167"/>
      <c r="F203" s="168"/>
      <c r="G203" s="3"/>
      <c r="H203" s="122"/>
      <c r="I203" s="122"/>
      <c r="J203" s="122"/>
      <c r="K203" s="122"/>
      <c r="L203" s="122"/>
      <c r="M203" s="122"/>
      <c r="N203" s="122"/>
      <c r="O203" s="122"/>
      <c r="P203" s="122"/>
      <c r="Q203" s="122"/>
      <c r="R203" s="122"/>
      <c r="S203" s="122"/>
      <c r="T203" s="122"/>
      <c r="U203" s="122"/>
      <c r="V203" s="122"/>
      <c r="W203" s="122"/>
      <c r="X203" s="122"/>
      <c r="Y203" s="122"/>
      <c r="Z203" s="122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5"/>
    </row>
    <row r="204" customFormat="false" ht="15" hidden="false" customHeight="false" outlineLevel="0" collapsed="false">
      <c r="A204" s="48" t="s">
        <v>148</v>
      </c>
      <c r="B204" s="3"/>
      <c r="C204" s="3"/>
      <c r="D204" s="2"/>
      <c r="E204" s="167"/>
      <c r="F204" s="168"/>
      <c r="G204" s="3"/>
      <c r="H204" s="122"/>
      <c r="I204" s="122"/>
      <c r="J204" s="122"/>
      <c r="K204" s="122"/>
      <c r="L204" s="122"/>
      <c r="M204" s="122"/>
      <c r="N204" s="122"/>
      <c r="O204" s="122"/>
      <c r="P204" s="122"/>
      <c r="Q204" s="122"/>
      <c r="R204" s="122"/>
      <c r="S204" s="122"/>
      <c r="T204" s="122"/>
      <c r="U204" s="122"/>
      <c r="V204" s="122"/>
      <c r="W204" s="122"/>
      <c r="X204" s="122"/>
      <c r="Y204" s="122"/>
      <c r="Z204" s="122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5"/>
    </row>
    <row r="205" customFormat="false" ht="15.75" hidden="false" customHeight="false" outlineLevel="0" collapsed="false">
      <c r="A205" s="2"/>
      <c r="B205" s="2"/>
      <c r="C205" s="2"/>
      <c r="D205" s="2"/>
      <c r="E205" s="167"/>
      <c r="F205" s="168"/>
      <c r="G205" s="3"/>
      <c r="H205" s="122"/>
      <c r="I205" s="122"/>
      <c r="J205" s="122"/>
      <c r="K205" s="122"/>
      <c r="L205" s="122"/>
      <c r="M205" s="122"/>
      <c r="N205" s="122"/>
      <c r="O205" s="122"/>
      <c r="P205" s="122"/>
      <c r="Q205" s="122"/>
      <c r="R205" s="122"/>
      <c r="S205" s="122"/>
      <c r="T205" s="122"/>
      <c r="U205" s="122"/>
      <c r="V205" s="122"/>
      <c r="W205" s="122"/>
      <c r="X205" s="122"/>
      <c r="Y205" s="122"/>
      <c r="Z205" s="122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5"/>
    </row>
    <row r="206" customFormat="false" ht="13.5" hidden="false" customHeight="false" outlineLevel="0" collapsed="false">
      <c r="A206" s="2"/>
      <c r="B206" s="48" t="s">
        <v>149</v>
      </c>
      <c r="C206" s="2"/>
      <c r="D206" s="3"/>
      <c r="E206" s="3"/>
      <c r="F206" s="98" t="s">
        <v>150</v>
      </c>
      <c r="G206" s="169" t="s">
        <v>151</v>
      </c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5"/>
    </row>
    <row r="207" customFormat="false" ht="12.75" hidden="false" customHeight="false" outlineLevel="0" collapsed="false">
      <c r="A207" s="2"/>
      <c r="B207" s="66" t="s">
        <v>152</v>
      </c>
      <c r="C207" s="2"/>
      <c r="D207" s="3"/>
      <c r="E207" s="3"/>
      <c r="F207" s="3"/>
      <c r="G207" s="3"/>
      <c r="H207" s="159" t="n">
        <f aca="false">IF(+$G$206="No",+G287,0)</f>
        <v>0</v>
      </c>
      <c r="I207" s="159" t="n">
        <f aca="false">IF(+$G$206="No",+H287,0)</f>
        <v>0</v>
      </c>
      <c r="J207" s="159" t="n">
        <f aca="false">IF(+$G$206="No",+I287,0)</f>
        <v>0</v>
      </c>
      <c r="K207" s="159" t="n">
        <f aca="false">IF(+$G$206="No",+J287,0)</f>
        <v>0</v>
      </c>
      <c r="L207" s="159" t="n">
        <f aca="false">IF(+$G$206="No",+K287,0)</f>
        <v>0</v>
      </c>
      <c r="M207" s="159" t="n">
        <f aca="false">IF(+$G$206="No",+L287,0)</f>
        <v>0</v>
      </c>
      <c r="N207" s="159" t="n">
        <f aca="false">IF(+$G$206="No",+M287,0)</f>
        <v>0</v>
      </c>
      <c r="O207" s="159" t="n">
        <f aca="false">IF(+$G$206="No",+N287,0)</f>
        <v>0</v>
      </c>
      <c r="P207" s="159" t="n">
        <f aca="false">IF(+$G$206="No",+O287,0)</f>
        <v>0</v>
      </c>
      <c r="Q207" s="159" t="n">
        <f aca="false">IF(+$G$206="No",+P287,0)</f>
        <v>0</v>
      </c>
      <c r="R207" s="159" t="n">
        <f aca="false">IF(+$G$206="No",+Q287,0)</f>
        <v>0</v>
      </c>
      <c r="S207" s="159" t="n">
        <f aca="false">IF(+$G$206="No",+R287,0)</f>
        <v>0</v>
      </c>
      <c r="T207" s="159" t="n">
        <f aca="false">IF(+$G$206="No",+S287,0)</f>
        <v>0</v>
      </c>
      <c r="U207" s="159" t="n">
        <f aca="false">IF(+$G$206="No",+T287,0)</f>
        <v>0</v>
      </c>
      <c r="V207" s="159" t="n">
        <f aca="false">IF(+$G$206="No",+U287,0)</f>
        <v>0</v>
      </c>
      <c r="W207" s="159" t="n">
        <f aca="false">IF(+$G$206="No",+V287,0)</f>
        <v>0</v>
      </c>
      <c r="X207" s="159"/>
      <c r="Y207" s="159"/>
      <c r="Z207" s="159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5"/>
    </row>
    <row r="208" customFormat="false" ht="12.75" hidden="false" customHeight="false" outlineLevel="0" collapsed="false">
      <c r="A208" s="2"/>
      <c r="B208" s="66" t="s">
        <v>153</v>
      </c>
      <c r="C208" s="2"/>
      <c r="D208" s="3"/>
      <c r="E208" s="3"/>
      <c r="F208" s="3"/>
      <c r="G208" s="3"/>
      <c r="H208" s="159" t="n">
        <f aca="false">IF(+$G$206="No",+H289,0)</f>
        <v>0</v>
      </c>
      <c r="I208" s="159" t="n">
        <f aca="false">IF(+$G$206="No",+I289,0)</f>
        <v>0</v>
      </c>
      <c r="J208" s="159" t="n">
        <f aca="false">IF(+$G$206="No",+J289,0)</f>
        <v>0</v>
      </c>
      <c r="K208" s="159" t="n">
        <f aca="false">IF(+$G$206="No",+K289,0)</f>
        <v>0</v>
      </c>
      <c r="L208" s="159" t="n">
        <f aca="false">IF(+$G$206="No",+L289,0)</f>
        <v>0</v>
      </c>
      <c r="M208" s="159" t="n">
        <f aca="false">IF(+$G$206="No",+M289,0)</f>
        <v>0</v>
      </c>
      <c r="N208" s="159" t="n">
        <f aca="false">IF(+$G$206="No",+N289,0)</f>
        <v>0</v>
      </c>
      <c r="O208" s="159" t="n">
        <f aca="false">IF(+$G$206="No",+O289,0)</f>
        <v>0</v>
      </c>
      <c r="P208" s="159" t="n">
        <f aca="false">IF(+$G$206="No",+P289,0)</f>
        <v>0</v>
      </c>
      <c r="Q208" s="159" t="n">
        <f aca="false">IF(+$G$206="No",+Q289,0)</f>
        <v>0</v>
      </c>
      <c r="R208" s="159" t="n">
        <f aca="false">IF(+$G$206="No",+R289,0)</f>
        <v>0</v>
      </c>
      <c r="S208" s="159" t="n">
        <f aca="false">IF(+$G$206="No",+S289,0)</f>
        <v>0</v>
      </c>
      <c r="T208" s="159" t="n">
        <f aca="false">IF(+$G$206="No",+T289,0)</f>
        <v>0</v>
      </c>
      <c r="U208" s="159" t="n">
        <f aca="false">IF(+$G$206="No",+U289,0)</f>
        <v>0</v>
      </c>
      <c r="V208" s="159" t="n">
        <f aca="false">IF(+$G$206="No",+V289,0)</f>
        <v>0</v>
      </c>
      <c r="W208" s="159" t="n">
        <f aca="false">IF(+$G$206="No",+W289,0)</f>
        <v>0</v>
      </c>
      <c r="X208" s="159"/>
      <c r="Y208" s="159"/>
      <c r="Z208" s="159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5"/>
    </row>
    <row r="209" customFormat="false" ht="13.5" hidden="false" customHeight="false" outlineLevel="0" collapsed="false">
      <c r="A209" s="2"/>
      <c r="B209" s="2" t="s">
        <v>154</v>
      </c>
      <c r="C209" s="2"/>
      <c r="D209" s="3"/>
      <c r="E209" s="3"/>
      <c r="F209" s="3"/>
      <c r="G209" s="3"/>
      <c r="H209" s="170" t="n">
        <f aca="false">IF(+$G$206="No",+H290,0)</f>
        <v>0</v>
      </c>
      <c r="I209" s="170" t="n">
        <f aca="false">IF(+$G$206="No",+I290,0)</f>
        <v>0</v>
      </c>
      <c r="J209" s="170" t="n">
        <f aca="false">IF(+$G$206="No",+J290,0)</f>
        <v>0</v>
      </c>
      <c r="K209" s="170" t="n">
        <f aca="false">IF(+$G$206="No",+K290,0)</f>
        <v>0</v>
      </c>
      <c r="L209" s="170" t="n">
        <f aca="false">IF(+$G$206="No",+L290,0)</f>
        <v>0</v>
      </c>
      <c r="M209" s="170" t="n">
        <f aca="false">IF(+$G$206="No",+M290,0)</f>
        <v>0</v>
      </c>
      <c r="N209" s="170" t="n">
        <f aca="false">IF(+$G$206="No",+N290,0)</f>
        <v>0</v>
      </c>
      <c r="O209" s="170" t="n">
        <f aca="false">IF(+$G$206="No",+O290,0)</f>
        <v>0</v>
      </c>
      <c r="P209" s="170" t="n">
        <f aca="false">IF(+$G$206="No",+P290,0)</f>
        <v>0</v>
      </c>
      <c r="Q209" s="170" t="n">
        <f aca="false">IF(+$G$206="No",+Q290,0)</f>
        <v>0</v>
      </c>
      <c r="R209" s="170" t="n">
        <f aca="false">IF(+$G$206="No",+R290,0)</f>
        <v>0</v>
      </c>
      <c r="S209" s="170" t="n">
        <f aca="false">IF(+$G$206="No",+S290,0)</f>
        <v>0</v>
      </c>
      <c r="T209" s="170" t="n">
        <f aca="false">IF(+$G$206="No",+T290,0)</f>
        <v>0</v>
      </c>
      <c r="U209" s="170" t="n">
        <f aca="false">IF(+$G$206="No",+U290,0)</f>
        <v>0</v>
      </c>
      <c r="V209" s="170" t="n">
        <f aca="false">IF(+$G$206="No",+V290,0)</f>
        <v>0</v>
      </c>
      <c r="W209" s="170" t="n">
        <f aca="false">IF(+$G$206="No",+W290,0)</f>
        <v>0</v>
      </c>
      <c r="X209" s="159"/>
      <c r="Y209" s="159"/>
      <c r="Z209" s="159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5"/>
    </row>
    <row r="210" customFormat="false" ht="12.75" hidden="false" customHeight="false" outlineLevel="0" collapsed="false">
      <c r="A210" s="2"/>
      <c r="B210" s="2" t="s">
        <v>155</v>
      </c>
      <c r="C210" s="2"/>
      <c r="D210" s="3"/>
      <c r="E210" s="3"/>
      <c r="F210" s="3"/>
      <c r="G210" s="3"/>
      <c r="H210" s="80" t="n">
        <f aca="false">+H207-H209</f>
        <v>0</v>
      </c>
      <c r="I210" s="80" t="n">
        <f aca="false">+I207-I209</f>
        <v>0</v>
      </c>
      <c r="J210" s="80" t="n">
        <f aca="false">+J207-J209</f>
        <v>0</v>
      </c>
      <c r="K210" s="80" t="n">
        <f aca="false">+K207-K209</f>
        <v>0</v>
      </c>
      <c r="L210" s="80" t="n">
        <f aca="false">+L207-L209</f>
        <v>0</v>
      </c>
      <c r="M210" s="80" t="n">
        <f aca="false">+M207-M209</f>
        <v>0</v>
      </c>
      <c r="N210" s="80" t="n">
        <f aca="false">+N207-N209</f>
        <v>0</v>
      </c>
      <c r="O210" s="80" t="n">
        <f aca="false">+O207-O209</f>
        <v>0</v>
      </c>
      <c r="P210" s="80" t="n">
        <f aca="false">+P207-P209</f>
        <v>0</v>
      </c>
      <c r="Q210" s="80" t="n">
        <f aca="false">+Q207-Q209</f>
        <v>0</v>
      </c>
      <c r="R210" s="80" t="n">
        <f aca="false">+R207-R209</f>
        <v>0</v>
      </c>
      <c r="S210" s="80" t="n">
        <f aca="false">+S207-S209</f>
        <v>0</v>
      </c>
      <c r="T210" s="80" t="n">
        <f aca="false">+T207-T209</f>
        <v>0</v>
      </c>
      <c r="U210" s="80" t="n">
        <f aca="false">+U207-U209</f>
        <v>0</v>
      </c>
      <c r="V210" s="80" t="n">
        <f aca="false">+V207-V209</f>
        <v>0</v>
      </c>
      <c r="W210" s="80" t="n">
        <f aca="false">+W207-W209</f>
        <v>0</v>
      </c>
      <c r="X210" s="80"/>
      <c r="Y210" s="80"/>
      <c r="Z210" s="80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5"/>
    </row>
    <row r="211" customFormat="false" ht="13.5" hidden="false" customHeight="false" outlineLevel="0" collapsed="false">
      <c r="A211" s="2"/>
      <c r="B211" s="2"/>
      <c r="C211" s="2"/>
      <c r="D211" s="3"/>
      <c r="E211" s="3"/>
      <c r="F211" s="3"/>
      <c r="G211" s="3"/>
      <c r="H211" s="159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5"/>
    </row>
    <row r="212" customFormat="false" ht="13.5" hidden="false" customHeight="false" outlineLevel="0" collapsed="false">
      <c r="A212" s="2"/>
      <c r="B212" s="48" t="s">
        <v>156</v>
      </c>
      <c r="C212" s="48"/>
      <c r="D212" s="3"/>
      <c r="E212" s="171"/>
      <c r="F212" s="172" t="s">
        <v>157</v>
      </c>
      <c r="G212" s="173" t="n">
        <v>25</v>
      </c>
      <c r="H212" s="80" t="n">
        <f aca="false">IF(+H$13&lt;=+$G212,-PMT(G214,G212,H213),0)</f>
        <v>22034.0297564955</v>
      </c>
      <c r="I212" s="80" t="n">
        <f aca="false">IF(+I$13&lt;=+$G212,+H212,0)</f>
        <v>22034.0297564955</v>
      </c>
      <c r="J212" s="80" t="n">
        <f aca="false">IF(+J$13&lt;=+$G212,+I212,0)</f>
        <v>22034.0297564955</v>
      </c>
      <c r="K212" s="80" t="n">
        <f aca="false">IF(+K$13&lt;=+$G212,+J212,0)</f>
        <v>22034.0297564955</v>
      </c>
      <c r="L212" s="80" t="n">
        <f aca="false">IF(+L$13&lt;=+$G212,+K212,0)</f>
        <v>22034.0297564955</v>
      </c>
      <c r="M212" s="80" t="n">
        <f aca="false">IF(+M$13&lt;=+$G212,+L212,0)</f>
        <v>22034.0297564955</v>
      </c>
      <c r="N212" s="80" t="n">
        <f aca="false">IF(+N$13&lt;=+$G212,+M212,0)</f>
        <v>22034.0297564955</v>
      </c>
      <c r="O212" s="80" t="n">
        <f aca="false">IF(+O$13&lt;=+$G212,+N212,0)</f>
        <v>22034.0297564955</v>
      </c>
      <c r="P212" s="80" t="n">
        <f aca="false">IF(+P$13&lt;=+$G212,+O212,0)</f>
        <v>22034.0297564955</v>
      </c>
      <c r="Q212" s="80" t="n">
        <f aca="false">IF(+Q$13&lt;=+$G212,+P212,0)</f>
        <v>22034.0297564955</v>
      </c>
      <c r="R212" s="80" t="n">
        <f aca="false">IF(+R$13&lt;=+$G212,+Q212,0)</f>
        <v>22034.0297564955</v>
      </c>
      <c r="S212" s="80" t="n">
        <f aca="false">IF(+S$13&lt;=+$G212,+R212,0)</f>
        <v>22034.0297564955</v>
      </c>
      <c r="T212" s="80" t="n">
        <f aca="false">IF(+T$13&lt;=+$G212,+S212,0)</f>
        <v>22034.0297564955</v>
      </c>
      <c r="U212" s="80" t="n">
        <f aca="false">IF(+U$13&lt;=+$G212,+T212,0)</f>
        <v>22034.0297564955</v>
      </c>
      <c r="V212" s="80" t="n">
        <f aca="false">IF(+V$13&lt;=+$G212,+U212,0)</f>
        <v>22034.0297564955</v>
      </c>
      <c r="W212" s="80" t="n">
        <f aca="false">IF(+W$13&lt;=+$G212,+V212,0)</f>
        <v>22034.0297564955</v>
      </c>
      <c r="X212" s="80" t="n">
        <f aca="false">IF(+X$13&lt;=+$G212,+W212,0)</f>
        <v>22034.0297564955</v>
      </c>
      <c r="Y212" s="80" t="n">
        <f aca="false">IF(+Y$13&lt;=+$G212,+X212,0)</f>
        <v>22034.0297564955</v>
      </c>
      <c r="Z212" s="80" t="n">
        <f aca="false">IF(+Z$13&lt;=+$G212,+Y212,0)</f>
        <v>22034.0297564955</v>
      </c>
      <c r="AA212" s="81" t="n">
        <f aca="false">IF(+AA$13&lt;=+$G212,+Z212,0)</f>
        <v>22034.0297564955</v>
      </c>
      <c r="AB212" s="81" t="n">
        <f aca="false">IF(+AB$13&lt;=+$G212,+AA212,0)</f>
        <v>22034.0297564955</v>
      </c>
      <c r="AC212" s="81" t="n">
        <f aca="false">IF(+AC$13&lt;=+$G212,+AB212,0)</f>
        <v>22034.0297564955</v>
      </c>
      <c r="AD212" s="81" t="n">
        <f aca="false">IF(+AD$13&lt;=+$G212,+AC212,0)</f>
        <v>22034.0297564955</v>
      </c>
      <c r="AE212" s="81" t="n">
        <f aca="false">IF(+AE$13&lt;=+$G212,+AD212,0)</f>
        <v>22034.0297564955</v>
      </c>
      <c r="AF212" s="81" t="n">
        <f aca="false">IF(+AF$13&lt;=+$G212,+AE212,0)</f>
        <v>22034.0297564955</v>
      </c>
      <c r="AG212" s="81" t="n">
        <f aca="false">IF(+AG$13&lt;=+$G212,+AF212,0)</f>
        <v>0</v>
      </c>
      <c r="AH212" s="81" t="n">
        <f aca="false">IF(+AH$13&lt;=+$G212,+AG212,0)</f>
        <v>0</v>
      </c>
      <c r="AI212" s="81" t="n">
        <f aca="false">IF(+AI$13&lt;=+$G212,+AH212,0)</f>
        <v>0</v>
      </c>
      <c r="AJ212" s="81" t="n">
        <f aca="false">IF(+AJ$13&lt;=+$G212,+AI212,0)</f>
        <v>0</v>
      </c>
      <c r="AK212" s="81" t="n">
        <f aca="false">IF(+AK$13&lt;=+$G212,+AJ212,0)</f>
        <v>0</v>
      </c>
      <c r="AL212" s="81" t="n">
        <f aca="false">IF(+AL$13&lt;=+$G212,+AK212,0)</f>
        <v>0</v>
      </c>
      <c r="AM212" s="81" t="n">
        <f aca="false">IF(+AM$13&lt;=+$G212,+AL212,0)</f>
        <v>0</v>
      </c>
      <c r="AN212" s="81" t="n">
        <f aca="false">IF(+AN$13&lt;=+$G212,+AM212,0)</f>
        <v>0</v>
      </c>
      <c r="AO212" s="81" t="n">
        <f aca="false">IF(+AO$13&lt;=+$G212,+AN212,0)</f>
        <v>0</v>
      </c>
      <c r="AP212" s="81" t="n">
        <f aca="false">IF(+AP$13&lt;=+$G212,+AO212,0)</f>
        <v>0</v>
      </c>
      <c r="AQ212" s="81" t="n">
        <f aca="false">IF(+AQ$13&lt;=+$G212,+AP212,0)</f>
        <v>0</v>
      </c>
      <c r="AR212" s="25"/>
    </row>
    <row r="213" customFormat="false" ht="13.5" hidden="false" customHeight="false" outlineLevel="0" collapsed="false">
      <c r="A213" s="3"/>
      <c r="B213" s="2" t="s">
        <v>152</v>
      </c>
      <c r="C213" s="3"/>
      <c r="D213" s="3"/>
      <c r="E213" s="171"/>
      <c r="F213" s="171"/>
      <c r="G213" s="171"/>
      <c r="H213" s="80" t="n">
        <f aca="false">IF(+G206="Yes",+G101+G99,G99)</f>
        <v>275100</v>
      </c>
      <c r="I213" s="80" t="n">
        <f aca="false">+H216</f>
        <v>270259.720243504</v>
      </c>
      <c r="J213" s="80" t="n">
        <f aca="false">+I216</f>
        <v>265116.923002228</v>
      </c>
      <c r="K213" s="80" t="n">
        <f aca="false">+J216</f>
        <v>259652.700933372</v>
      </c>
      <c r="L213" s="80" t="n">
        <f aca="false">+K216</f>
        <v>253846.964985212</v>
      </c>
      <c r="M213" s="80" t="n">
        <f aca="false">+L216</f>
        <v>247678.370540292</v>
      </c>
      <c r="N213" s="80" t="n">
        <f aca="false">+M216</f>
        <v>241124.238942565</v>
      </c>
      <c r="O213" s="80" t="n">
        <f aca="false">+N216</f>
        <v>234160.474119979</v>
      </c>
      <c r="P213" s="80" t="n">
        <f aca="false">+O216</f>
        <v>226761.473995983</v>
      </c>
      <c r="Q213" s="80" t="n">
        <f aca="false">+P216</f>
        <v>218900.036364236</v>
      </c>
      <c r="R213" s="80" t="n">
        <f aca="false">+Q216</f>
        <v>210547.258880505</v>
      </c>
      <c r="S213" s="80" t="n">
        <f aca="false">+R216</f>
        <v>201672.432804041</v>
      </c>
      <c r="T213" s="80" t="n">
        <f aca="false">+S216</f>
        <v>192242.930097798</v>
      </c>
      <c r="U213" s="80" t="n">
        <f aca="false">+T216</f>
        <v>182224.083472415</v>
      </c>
      <c r="V213" s="80" t="n">
        <f aca="false">+U216</f>
        <v>171579.058932945</v>
      </c>
      <c r="W213" s="80" t="n">
        <f aca="false">+V216</f>
        <v>160268.720359759</v>
      </c>
      <c r="X213" s="80" t="n">
        <f aca="false">+W216</f>
        <v>148251.485625748</v>
      </c>
      <c r="Y213" s="80" t="n">
        <f aca="false">+X216</f>
        <v>135483.173720862</v>
      </c>
      <c r="Z213" s="80" t="n">
        <f aca="false">+Y216</f>
        <v>121916.84232192</v>
      </c>
      <c r="AA213" s="81" t="n">
        <f aca="false">+Z216</f>
        <v>107502.615210545</v>
      </c>
      <c r="AB213" s="81" t="n">
        <f aca="false">+AA216</f>
        <v>92187.4989047084</v>
      </c>
      <c r="AC213" s="81" t="n">
        <f aca="false">+AB216</f>
        <v>75915.1878297571</v>
      </c>
      <c r="AD213" s="81" t="n">
        <f aca="false">+AC216</f>
        <v>58625.8573126214</v>
      </c>
      <c r="AE213" s="81" t="n">
        <f aca="false">+AD216</f>
        <v>40255.9436381647</v>
      </c>
      <c r="AF213" s="81" t="n">
        <f aca="false">+AE216</f>
        <v>20737.9103590544</v>
      </c>
      <c r="AG213" s="81" t="n">
        <f aca="false">+AF216</f>
        <v>-2.18278728425503E-010</v>
      </c>
      <c r="AH213" s="81" t="n">
        <f aca="false">+AG216</f>
        <v>-2.31921148952097E-010</v>
      </c>
      <c r="AI213" s="81" t="n">
        <f aca="false">+AH216</f>
        <v>-2.46416220761603E-010</v>
      </c>
      <c r="AJ213" s="81" t="n">
        <f aca="false">+AI216</f>
        <v>-2.61817234559203E-010</v>
      </c>
      <c r="AK213" s="81" t="n">
        <f aca="false">+AJ216</f>
        <v>-2.78180811719153E-010</v>
      </c>
      <c r="AL213" s="81" t="n">
        <f aca="false">+AK216</f>
        <v>-2.955671124516E-010</v>
      </c>
      <c r="AM213" s="81" t="n">
        <f aca="false">+AL216</f>
        <v>-3.14040056979825E-010</v>
      </c>
      <c r="AN213" s="81" t="n">
        <f aca="false">+AM216</f>
        <v>-3.33667560541064E-010</v>
      </c>
      <c r="AO213" s="81" t="n">
        <f aca="false">+AN216</f>
        <v>-3.54521783074881E-010</v>
      </c>
      <c r="AP213" s="81" t="n">
        <f aca="false">+AO216</f>
        <v>-3.76679394517061E-010</v>
      </c>
      <c r="AQ213" s="81" t="n">
        <f aca="false">+AP216</f>
        <v>-4.00221856674377E-010</v>
      </c>
      <c r="AR213" s="174"/>
      <c r="AS213" s="80"/>
      <c r="AT213" s="80"/>
      <c r="AU213" s="80"/>
      <c r="AV213" s="80"/>
      <c r="AW213" s="80"/>
      <c r="AX213" s="80"/>
      <c r="AY213" s="80"/>
    </row>
    <row r="214" customFormat="false" ht="13.5" hidden="false" customHeight="false" outlineLevel="0" collapsed="false">
      <c r="A214" s="3"/>
      <c r="B214" s="2" t="s">
        <v>153</v>
      </c>
      <c r="C214" s="3"/>
      <c r="D214" s="3"/>
      <c r="E214" s="3"/>
      <c r="F214" s="98" t="s">
        <v>158</v>
      </c>
      <c r="G214" s="175" t="n">
        <f aca="false">+E14</f>
        <v>0.0625</v>
      </c>
      <c r="H214" s="80" t="n">
        <f aca="false">+H213*$G$214</f>
        <v>17193.75</v>
      </c>
      <c r="I214" s="80" t="n">
        <f aca="false">+I213*$G$214</f>
        <v>16891.232515219</v>
      </c>
      <c r="J214" s="80" t="n">
        <f aca="false">+J213*$G$214</f>
        <v>16569.8076876392</v>
      </c>
      <c r="K214" s="80" t="n">
        <f aca="false">+K213*$G$214</f>
        <v>16228.2938083357</v>
      </c>
      <c r="L214" s="80" t="n">
        <f aca="false">+L213*$G$214</f>
        <v>15865.4353115757</v>
      </c>
      <c r="M214" s="80" t="n">
        <f aca="false">+M213*$G$214</f>
        <v>15479.8981587682</v>
      </c>
      <c r="N214" s="80" t="n">
        <f aca="false">+N213*$G$214</f>
        <v>15070.2649339103</v>
      </c>
      <c r="O214" s="80" t="n">
        <f aca="false">+O213*$G$214</f>
        <v>14635.0296324987</v>
      </c>
      <c r="P214" s="80" t="n">
        <f aca="false">+P213*$G$214</f>
        <v>14172.5921247489</v>
      </c>
      <c r="Q214" s="80" t="n">
        <f aca="false">+Q213*$G$214</f>
        <v>13681.2522727647</v>
      </c>
      <c r="R214" s="80" t="n">
        <f aca="false">+R213*$G$214</f>
        <v>13159.2036800316</v>
      </c>
      <c r="S214" s="80" t="n">
        <f aca="false">+S213*$G$214</f>
        <v>12604.5270502526</v>
      </c>
      <c r="T214" s="80" t="n">
        <f aca="false">+T213*$G$214</f>
        <v>12015.1831311124</v>
      </c>
      <c r="U214" s="80" t="n">
        <f aca="false">+U213*$G$214</f>
        <v>11389.0052170259</v>
      </c>
      <c r="V214" s="80" t="n">
        <f aca="false">+V213*$G$214</f>
        <v>10723.6911833091</v>
      </c>
      <c r="W214" s="80" t="n">
        <f aca="false">+W213*$G$214</f>
        <v>10016.7950224849</v>
      </c>
      <c r="X214" s="80" t="n">
        <f aca="false">+X213*$G$214</f>
        <v>9265.71785160927</v>
      </c>
      <c r="Y214" s="80" t="n">
        <f aca="false">+Y213*$G$214</f>
        <v>8467.69835755388</v>
      </c>
      <c r="Z214" s="80" t="n">
        <f aca="false">+Z213*$G$214</f>
        <v>7619.80264512003</v>
      </c>
      <c r="AA214" s="81" t="n">
        <f aca="false">+AA213*$G$214</f>
        <v>6718.91345065906</v>
      </c>
      <c r="AB214" s="81" t="n">
        <f aca="false">+AB213*$G$214</f>
        <v>5761.71868154428</v>
      </c>
      <c r="AC214" s="81" t="n">
        <f aca="false">+AC213*$G$214</f>
        <v>4744.69923935982</v>
      </c>
      <c r="AD214" s="81" t="n">
        <f aca="false">+AD213*$G$214</f>
        <v>3664.11608203884</v>
      </c>
      <c r="AE214" s="81" t="n">
        <f aca="false">+AE213*$G$214</f>
        <v>2515.99647738529</v>
      </c>
      <c r="AF214" s="81" t="n">
        <f aca="false">+AF213*$G$214</f>
        <v>1296.1193974409</v>
      </c>
      <c r="AG214" s="81" t="n">
        <f aca="false">+AG213*$G$214</f>
        <v>-1.36424205265939E-011</v>
      </c>
      <c r="AH214" s="81" t="n">
        <f aca="false">+AH213*$G$214</f>
        <v>-1.4495071809506E-011</v>
      </c>
      <c r="AI214" s="81" t="n">
        <f aca="false">+AI213*$G$214</f>
        <v>-1.54010137976002E-011</v>
      </c>
      <c r="AJ214" s="81" t="n">
        <f aca="false">+AJ213*$G$214</f>
        <v>-1.63635771599502E-011</v>
      </c>
      <c r="AK214" s="81" t="n">
        <f aca="false">+AK213*$G$214</f>
        <v>-1.73863007324471E-011</v>
      </c>
      <c r="AL214" s="81" t="n">
        <f aca="false">+AL213*$G$214</f>
        <v>-1.8472944528225E-011</v>
      </c>
      <c r="AM214" s="81" t="n">
        <f aca="false">+AM213*$G$214</f>
        <v>-1.96275035612391E-011</v>
      </c>
      <c r="AN214" s="81" t="n">
        <f aca="false">+AN213*$G$214</f>
        <v>-2.08542225338165E-011</v>
      </c>
      <c r="AO214" s="81" t="n">
        <f aca="false">+AO213*$G$214</f>
        <v>-2.215761144218E-011</v>
      </c>
      <c r="AP214" s="81" t="n">
        <f aca="false">+AP213*$G$214</f>
        <v>-2.35424621573163E-011</v>
      </c>
      <c r="AQ214" s="81" t="n">
        <f aca="false">+AQ213*$G$214</f>
        <v>-2.50138660421486E-011</v>
      </c>
      <c r="AR214" s="174"/>
      <c r="AS214" s="80"/>
      <c r="AT214" s="80"/>
      <c r="AU214" s="80"/>
      <c r="AV214" s="80"/>
      <c r="AW214" s="80"/>
      <c r="AX214" s="80"/>
      <c r="AY214" s="80"/>
    </row>
    <row r="215" customFormat="false" ht="13.5" hidden="false" customHeight="false" outlineLevel="0" collapsed="false">
      <c r="A215" s="3"/>
      <c r="B215" s="2" t="s">
        <v>154</v>
      </c>
      <c r="C215" s="3"/>
      <c r="D215" s="3"/>
      <c r="E215" s="3"/>
      <c r="F215" s="3"/>
      <c r="G215" s="176"/>
      <c r="H215" s="177" t="n">
        <f aca="false">(H212-H214)</f>
        <v>4840.27975649555</v>
      </c>
      <c r="I215" s="177" t="n">
        <f aca="false">(I212-I214)</f>
        <v>5142.79724127652</v>
      </c>
      <c r="J215" s="177" t="n">
        <f aca="false">(J212-J214)</f>
        <v>5464.2220688563</v>
      </c>
      <c r="K215" s="177" t="n">
        <f aca="false">(K212-K214)</f>
        <v>5805.73594815982</v>
      </c>
      <c r="L215" s="177" t="n">
        <f aca="false">(L212-L214)</f>
        <v>6168.59444491981</v>
      </c>
      <c r="M215" s="177" t="n">
        <f aca="false">(M212-M214)</f>
        <v>6554.1315977273</v>
      </c>
      <c r="N215" s="177" t="n">
        <f aca="false">(N212-N214)</f>
        <v>6963.76482258526</v>
      </c>
      <c r="O215" s="177" t="n">
        <f aca="false">(O212-O214)</f>
        <v>7399.00012399683</v>
      </c>
      <c r="P215" s="177" t="n">
        <f aca="false">(P212-P214)</f>
        <v>7861.43763174664</v>
      </c>
      <c r="Q215" s="177" t="n">
        <f aca="false">(Q212-Q214)</f>
        <v>8352.7774837308</v>
      </c>
      <c r="R215" s="177" t="n">
        <f aca="false">(R212-R214)</f>
        <v>8874.82607646398</v>
      </c>
      <c r="S215" s="177" t="n">
        <f aca="false">(S212-S214)</f>
        <v>9429.50270624297</v>
      </c>
      <c r="T215" s="177" t="n">
        <f aca="false">(T212-T214)</f>
        <v>10018.8466253832</v>
      </c>
      <c r="U215" s="177" t="n">
        <f aca="false">(U212-U214)</f>
        <v>10645.0245394696</v>
      </c>
      <c r="V215" s="177" t="n">
        <f aca="false">(V212-V214)</f>
        <v>11310.3385731865</v>
      </c>
      <c r="W215" s="177" t="n">
        <f aca="false">(W212-W214)</f>
        <v>12017.2347340106</v>
      </c>
      <c r="X215" s="177" t="n">
        <f aca="false">(X212-X214)</f>
        <v>12768.3119048863</v>
      </c>
      <c r="Y215" s="177" t="n">
        <f aca="false">(Y212-Y214)</f>
        <v>13566.3313989417</v>
      </c>
      <c r="Z215" s="177" t="n">
        <f aca="false">(Z212-Z214)</f>
        <v>14414.2271113755</v>
      </c>
      <c r="AA215" s="178" t="n">
        <f aca="false">(AA212-AA214)</f>
        <v>15315.1163058365</v>
      </c>
      <c r="AB215" s="178" t="n">
        <f aca="false">(AB212-AB214)</f>
        <v>16272.3110749513</v>
      </c>
      <c r="AC215" s="178" t="n">
        <f aca="false">(AC212-AC214)</f>
        <v>17289.3305171357</v>
      </c>
      <c r="AD215" s="178" t="n">
        <f aca="false">(AD212-AD214)</f>
        <v>18369.9136744567</v>
      </c>
      <c r="AE215" s="178" t="n">
        <f aca="false">(AE212-AE214)</f>
        <v>19518.0332791103</v>
      </c>
      <c r="AF215" s="178" t="n">
        <f aca="false">(AF212-AF214)</f>
        <v>20737.9103590546</v>
      </c>
      <c r="AG215" s="178" t="n">
        <f aca="false">(AG212-AG214)</f>
        <v>1.36424205265939E-011</v>
      </c>
      <c r="AH215" s="178" t="n">
        <f aca="false">(AH212-AH214)</f>
        <v>1.4495071809506E-011</v>
      </c>
      <c r="AI215" s="178" t="n">
        <f aca="false">(AI212-AI214)</f>
        <v>1.54010137976002E-011</v>
      </c>
      <c r="AJ215" s="178" t="n">
        <f aca="false">(AJ212-AJ214)</f>
        <v>1.63635771599502E-011</v>
      </c>
      <c r="AK215" s="178" t="n">
        <f aca="false">(AK212-AK214)</f>
        <v>1.73863007324471E-011</v>
      </c>
      <c r="AL215" s="178" t="n">
        <f aca="false">(AL212-AL214)</f>
        <v>1.8472944528225E-011</v>
      </c>
      <c r="AM215" s="178" t="n">
        <f aca="false">(AM212-AM214)</f>
        <v>1.96275035612391E-011</v>
      </c>
      <c r="AN215" s="178" t="n">
        <f aca="false">(AN212-AN214)</f>
        <v>2.08542225338165E-011</v>
      </c>
      <c r="AO215" s="178" t="n">
        <f aca="false">(AO212-AO214)</f>
        <v>2.215761144218E-011</v>
      </c>
      <c r="AP215" s="178" t="n">
        <f aca="false">(AP212-AP214)</f>
        <v>2.35424621573163E-011</v>
      </c>
      <c r="AQ215" s="178" t="n">
        <f aca="false">(AQ212-AQ214)</f>
        <v>2.50138660421486E-011</v>
      </c>
      <c r="AR215" s="174"/>
      <c r="AS215" s="80"/>
      <c r="AT215" s="80"/>
      <c r="AU215" s="80"/>
      <c r="AV215" s="80"/>
      <c r="AW215" s="80"/>
      <c r="AX215" s="80"/>
      <c r="AY215" s="80"/>
    </row>
    <row r="216" customFormat="false" ht="12.75" hidden="false" customHeight="false" outlineLevel="0" collapsed="false">
      <c r="A216" s="3"/>
      <c r="B216" s="2" t="s">
        <v>155</v>
      </c>
      <c r="C216" s="3"/>
      <c r="D216" s="3"/>
      <c r="E216" s="3"/>
      <c r="F216" s="179"/>
      <c r="G216" s="176"/>
      <c r="H216" s="80" t="n">
        <f aca="false">+H213-H215</f>
        <v>270259.720243504</v>
      </c>
      <c r="I216" s="80" t="n">
        <f aca="false">+I213-I215</f>
        <v>265116.923002228</v>
      </c>
      <c r="J216" s="80" t="n">
        <f aca="false">+J213-J215</f>
        <v>259652.700933372</v>
      </c>
      <c r="K216" s="80" t="n">
        <f aca="false">+K213-K215</f>
        <v>253846.964985212</v>
      </c>
      <c r="L216" s="80" t="n">
        <f aca="false">+L213-L215</f>
        <v>247678.370540292</v>
      </c>
      <c r="M216" s="80" t="n">
        <f aca="false">+M213-M215</f>
        <v>241124.238942565</v>
      </c>
      <c r="N216" s="80" t="n">
        <f aca="false">+N213-N215</f>
        <v>234160.474119979</v>
      </c>
      <c r="O216" s="80" t="n">
        <f aca="false">+O213-O215</f>
        <v>226761.473995983</v>
      </c>
      <c r="P216" s="80" t="n">
        <f aca="false">+P213-P215</f>
        <v>218900.036364236</v>
      </c>
      <c r="Q216" s="80" t="n">
        <f aca="false">+Q213-Q215</f>
        <v>210547.258880505</v>
      </c>
      <c r="R216" s="80" t="n">
        <f aca="false">+R213-R215</f>
        <v>201672.432804041</v>
      </c>
      <c r="S216" s="80" t="n">
        <f aca="false">+S213-S215</f>
        <v>192242.930097798</v>
      </c>
      <c r="T216" s="80" t="n">
        <f aca="false">+T213-T215</f>
        <v>182224.083472415</v>
      </c>
      <c r="U216" s="80" t="n">
        <f aca="false">+U213-U215</f>
        <v>171579.058932945</v>
      </c>
      <c r="V216" s="80" t="n">
        <f aca="false">+V213-V215</f>
        <v>160268.720359759</v>
      </c>
      <c r="W216" s="80" t="n">
        <f aca="false">+W213-W215</f>
        <v>148251.485625748</v>
      </c>
      <c r="X216" s="80" t="n">
        <f aca="false">+X213-X215</f>
        <v>135483.173720862</v>
      </c>
      <c r="Y216" s="80" t="n">
        <f aca="false">+Y213-Y215</f>
        <v>121916.84232192</v>
      </c>
      <c r="Z216" s="80" t="n">
        <f aca="false">+Z213-Z215</f>
        <v>107502.615210545</v>
      </c>
      <c r="AA216" s="81" t="n">
        <f aca="false">+AA213-AA215</f>
        <v>92187.4989047084</v>
      </c>
      <c r="AB216" s="81" t="n">
        <f aca="false">+AB213-AB215</f>
        <v>75915.1878297571</v>
      </c>
      <c r="AC216" s="81" t="n">
        <f aca="false">+AC213-AC215</f>
        <v>58625.8573126214</v>
      </c>
      <c r="AD216" s="81" t="n">
        <f aca="false">+AD213-AD215</f>
        <v>40255.9436381647</v>
      </c>
      <c r="AE216" s="81" t="n">
        <f aca="false">+AE213-AE215</f>
        <v>20737.9103590544</v>
      </c>
      <c r="AF216" s="81" t="n">
        <f aca="false">+AF213-AF215</f>
        <v>-2.18278728425503E-010</v>
      </c>
      <c r="AG216" s="81" t="n">
        <f aca="false">+AG213-AG215</f>
        <v>-2.31921148952097E-010</v>
      </c>
      <c r="AH216" s="81" t="n">
        <f aca="false">+AH213-AH215</f>
        <v>-2.46416220761603E-010</v>
      </c>
      <c r="AI216" s="81" t="n">
        <f aca="false">+AI213-AI215</f>
        <v>-2.61817234559203E-010</v>
      </c>
      <c r="AJ216" s="81" t="n">
        <f aca="false">+AJ213-AJ215</f>
        <v>-2.78180811719153E-010</v>
      </c>
      <c r="AK216" s="81" t="n">
        <f aca="false">+AK213-AK215</f>
        <v>-2.955671124516E-010</v>
      </c>
      <c r="AL216" s="81" t="n">
        <f aca="false">+AL213-AL215</f>
        <v>-3.14040056979825E-010</v>
      </c>
      <c r="AM216" s="81" t="n">
        <f aca="false">+AM213-AM215</f>
        <v>-3.33667560541064E-010</v>
      </c>
      <c r="AN216" s="81" t="n">
        <f aca="false">+AN213-AN215</f>
        <v>-3.54521783074881E-010</v>
      </c>
      <c r="AO216" s="81" t="n">
        <f aca="false">+AO213-AO215</f>
        <v>-3.76679394517061E-010</v>
      </c>
      <c r="AP216" s="81" t="n">
        <f aca="false">+AP213-AP215</f>
        <v>-4.00221856674377E-010</v>
      </c>
      <c r="AQ216" s="81" t="n">
        <f aca="false">+AQ213-AQ215</f>
        <v>-4.25235722716526E-010</v>
      </c>
      <c r="AR216" s="174"/>
      <c r="AS216" s="80"/>
      <c r="AT216" s="80"/>
      <c r="AU216" s="80"/>
      <c r="AV216" s="80"/>
      <c r="AW216" s="80"/>
      <c r="AX216" s="80"/>
      <c r="AY216" s="80"/>
    </row>
    <row r="217" customFormat="false" ht="13.5" hidden="false" customHeight="false" outlineLevel="0" collapsed="false">
      <c r="A217" s="3"/>
      <c r="B217" s="3"/>
      <c r="C217" s="2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5"/>
    </row>
    <row r="218" customFormat="false" ht="13.5" hidden="false" customHeight="false" outlineLevel="0" collapsed="false">
      <c r="A218" s="3"/>
      <c r="B218" s="48" t="s">
        <v>159</v>
      </c>
      <c r="C218" s="48"/>
      <c r="D218" s="3"/>
      <c r="E218" s="171"/>
      <c r="F218" s="172" t="s">
        <v>157</v>
      </c>
      <c r="G218" s="173" t="n">
        <v>13</v>
      </c>
      <c r="H218" s="80" t="n">
        <f aca="false">IF(+H$13&lt;=+$G218,-PMT(G220,G218,H219),0)</f>
        <v>17363.6527632983</v>
      </c>
      <c r="I218" s="80" t="n">
        <f aca="false">IF(+I$13&lt;=+$G218,+H218,0)</f>
        <v>17363.6527632983</v>
      </c>
      <c r="J218" s="80" t="n">
        <f aca="false">IF(+J13&lt;=+$G$218,+I218,0)</f>
        <v>17363.6527632983</v>
      </c>
      <c r="K218" s="80" t="n">
        <f aca="false">IF(+K13&lt;=+$G$218,+J218,0)</f>
        <v>17363.6527632983</v>
      </c>
      <c r="L218" s="80" t="n">
        <f aca="false">IF(+L13&lt;=+$G$218,+K218,0)</f>
        <v>17363.6527632983</v>
      </c>
      <c r="M218" s="80" t="n">
        <f aca="false">IF(+M13&lt;=+$G$218,+L218,0)</f>
        <v>17363.6527632983</v>
      </c>
      <c r="N218" s="80" t="n">
        <f aca="false">IF(+N13&lt;=+$G$218,+M218,0)</f>
        <v>17363.6527632983</v>
      </c>
      <c r="O218" s="80" t="n">
        <f aca="false">IF(+O13&lt;=+$G$218,+N218,0)</f>
        <v>17363.6527632983</v>
      </c>
      <c r="P218" s="80" t="n">
        <f aca="false">IF(+P13&lt;=+$G$218,+O218,0)</f>
        <v>17363.6527632983</v>
      </c>
      <c r="Q218" s="80" t="n">
        <f aca="false">IF(+Q13&lt;=+$G$218,+P218,0)</f>
        <v>17363.6527632983</v>
      </c>
      <c r="R218" s="80" t="n">
        <f aca="false">IF(+R13&lt;=+$G$218,+Q218,0)</f>
        <v>17363.6527632983</v>
      </c>
      <c r="S218" s="80" t="n">
        <f aca="false">IF(+S13&lt;=+$G$218,+R218,0)</f>
        <v>17363.6527632983</v>
      </c>
      <c r="T218" s="80" t="n">
        <f aca="false">IF(+T13&lt;=+$G$218,+S218,0)</f>
        <v>17363.6527632983</v>
      </c>
      <c r="U218" s="80" t="n">
        <f aca="false">IF(+U13&lt;=+$G$218,+T218,0)</f>
        <v>0</v>
      </c>
      <c r="V218" s="80" t="n">
        <f aca="false">IF(+V13&lt;=+$G$218,+U218,0)</f>
        <v>0</v>
      </c>
      <c r="W218" s="80" t="n">
        <f aca="false">IF(+W13&lt;=+$G$218,+V218,0)</f>
        <v>0</v>
      </c>
      <c r="X218" s="80" t="n">
        <f aca="false">IF(+X13&lt;=+$G$218,+W218,0)</f>
        <v>0</v>
      </c>
      <c r="Y218" s="80" t="n">
        <f aca="false">IF(+Y13&lt;=+$G$218,+X218,0)</f>
        <v>0</v>
      </c>
      <c r="Z218" s="80" t="n">
        <f aca="false">IF(+Z13&lt;=+$G$218,+Y218,0)</f>
        <v>0</v>
      </c>
      <c r="AA218" s="118" t="n">
        <f aca="false">IF(+AA13&lt;=+$G$218,+Z218,0)</f>
        <v>0</v>
      </c>
      <c r="AB218" s="118" t="n">
        <f aca="false">IF(+AB13&lt;=+$G$218,+AA218,0)</f>
        <v>0</v>
      </c>
      <c r="AC218" s="118" t="n">
        <f aca="false">IF(+AC13&lt;=+$G$218,+AB218,0)</f>
        <v>0</v>
      </c>
      <c r="AD218" s="118" t="n">
        <f aca="false">IF(+AD13&lt;=+$G$218,+AC218,0)</f>
        <v>0</v>
      </c>
      <c r="AE218" s="118" t="n">
        <f aca="false">IF(+AE13&lt;=+$G$218,+AD218,0)</f>
        <v>0</v>
      </c>
      <c r="AF218" s="118" t="n">
        <f aca="false">IF(+AF13&lt;=+$G$218,+AE218,0)</f>
        <v>0</v>
      </c>
      <c r="AG218" s="118" t="n">
        <f aca="false">IF(+AG13&lt;=+$G$218,+AF218,0)</f>
        <v>0</v>
      </c>
      <c r="AH218" s="118" t="n">
        <f aca="false">IF(+AH13&lt;=+$G$218,+AG218,0)</f>
        <v>0</v>
      </c>
      <c r="AI218" s="118" t="n">
        <f aca="false">IF(+AI13&lt;=+$G$218,+AH218,0)</f>
        <v>0</v>
      </c>
      <c r="AJ218" s="118" t="n">
        <f aca="false">IF(+AJ13&lt;=+$G$218,+AI218,0)</f>
        <v>0</v>
      </c>
      <c r="AK218" s="118" t="n">
        <f aca="false">IF(+AK13&lt;=+$G$218,+AJ218,0)</f>
        <v>0</v>
      </c>
      <c r="AL218" s="118" t="n">
        <f aca="false">IF(+AL13&lt;=+$G$218,+AK218,0)</f>
        <v>0</v>
      </c>
      <c r="AM218" s="118" t="n">
        <f aca="false">IF(+AM13&lt;=+$G$218,+AL218,0)</f>
        <v>0</v>
      </c>
      <c r="AN218" s="118" t="n">
        <f aca="false">IF(+AN13&lt;=+$G$218,+AM218,0)</f>
        <v>0</v>
      </c>
      <c r="AO218" s="118" t="n">
        <f aca="false">IF(+AO13&lt;=+$G$218,+AN218,0)</f>
        <v>0</v>
      </c>
      <c r="AP218" s="118" t="n">
        <f aca="false">IF(+AP13&lt;=+$G$218,+AO218,0)</f>
        <v>0</v>
      </c>
      <c r="AQ218" s="118" t="n">
        <f aca="false">IF(+AQ13&lt;=+$G$218,+AP218,0)</f>
        <v>0</v>
      </c>
      <c r="AR218" s="25"/>
    </row>
    <row r="219" customFormat="false" ht="13.5" hidden="false" customHeight="false" outlineLevel="0" collapsed="false">
      <c r="A219" s="3"/>
      <c r="B219" s="2" t="s">
        <v>152</v>
      </c>
      <c r="C219" s="3"/>
      <c r="D219" s="3"/>
      <c r="E219" s="171"/>
      <c r="F219" s="171"/>
      <c r="G219" s="171"/>
      <c r="H219" s="80" t="n">
        <f aca="false">+G100</f>
        <v>130000</v>
      </c>
      <c r="I219" s="80" t="n">
        <f aca="false">+H222</f>
        <v>124336.347236702</v>
      </c>
      <c r="J219" s="80" t="n">
        <f aca="false">+I222</f>
        <v>118162.965724707</v>
      </c>
      <c r="K219" s="80" t="n">
        <f aca="false">+J222</f>
        <v>111433.979876632</v>
      </c>
      <c r="L219" s="80" t="n">
        <f aca="false">+K222</f>
        <v>104099.385302231</v>
      </c>
      <c r="M219" s="80" t="n">
        <f aca="false">+L222</f>
        <v>96104.6772161331</v>
      </c>
      <c r="N219" s="80" t="n">
        <f aca="false">+M222</f>
        <v>87390.4454022868</v>
      </c>
      <c r="O219" s="80" t="n">
        <f aca="false">+N222</f>
        <v>77891.9327251944</v>
      </c>
      <c r="P219" s="80" t="n">
        <f aca="false">+O222</f>
        <v>67538.5539071636</v>
      </c>
      <c r="Q219" s="80" t="n">
        <f aca="false">+P222</f>
        <v>56253.3709955101</v>
      </c>
      <c r="R219" s="80" t="n">
        <f aca="false">+Q222</f>
        <v>43952.5216218078</v>
      </c>
      <c r="S219" s="80" t="n">
        <f aca="false">+R222</f>
        <v>30544.5958044722</v>
      </c>
      <c r="T219" s="80" t="n">
        <f aca="false">+S222</f>
        <v>15929.9566635764</v>
      </c>
      <c r="U219" s="80" t="n">
        <f aca="false">+T222</f>
        <v>0</v>
      </c>
      <c r="V219" s="80" t="n">
        <f aca="false">+U222</f>
        <v>0</v>
      </c>
      <c r="W219" s="80" t="n">
        <f aca="false">+V222</f>
        <v>0</v>
      </c>
      <c r="X219" s="80" t="n">
        <f aca="false">+W222</f>
        <v>0</v>
      </c>
      <c r="Y219" s="80" t="n">
        <f aca="false">+X222</f>
        <v>0</v>
      </c>
      <c r="Z219" s="80" t="n">
        <f aca="false">+Y222</f>
        <v>0</v>
      </c>
      <c r="AA219" s="118" t="n">
        <f aca="false">+Z222</f>
        <v>0</v>
      </c>
      <c r="AB219" s="118" t="n">
        <f aca="false">+AA222</f>
        <v>0</v>
      </c>
      <c r="AC219" s="118" t="n">
        <f aca="false">+AB222</f>
        <v>0</v>
      </c>
      <c r="AD219" s="118" t="n">
        <f aca="false">+AC222</f>
        <v>0</v>
      </c>
      <c r="AE219" s="118" t="n">
        <f aca="false">+AD222</f>
        <v>0</v>
      </c>
      <c r="AF219" s="118" t="n">
        <f aca="false">+AE222</f>
        <v>0</v>
      </c>
      <c r="AG219" s="118" t="n">
        <f aca="false">+AF222</f>
        <v>0</v>
      </c>
      <c r="AH219" s="118" t="n">
        <f aca="false">+AG222</f>
        <v>0</v>
      </c>
      <c r="AI219" s="118" t="n">
        <f aca="false">+AH222</f>
        <v>0</v>
      </c>
      <c r="AJ219" s="118" t="n">
        <f aca="false">+AI222</f>
        <v>0</v>
      </c>
      <c r="AK219" s="118" t="n">
        <f aca="false">+AJ222</f>
        <v>0</v>
      </c>
      <c r="AL219" s="118" t="n">
        <f aca="false">+AK222</f>
        <v>0</v>
      </c>
      <c r="AM219" s="118" t="n">
        <f aca="false">+AL222</f>
        <v>0</v>
      </c>
      <c r="AN219" s="118" t="n">
        <f aca="false">+AM222</f>
        <v>0</v>
      </c>
      <c r="AO219" s="118" t="n">
        <f aca="false">+AN222</f>
        <v>0</v>
      </c>
      <c r="AP219" s="118" t="n">
        <f aca="false">+AO222</f>
        <v>0</v>
      </c>
      <c r="AQ219" s="118" t="n">
        <f aca="false">+AP222</f>
        <v>0</v>
      </c>
      <c r="AR219" s="25"/>
    </row>
    <row r="220" customFormat="false" ht="13.5" hidden="false" customHeight="false" outlineLevel="0" collapsed="false">
      <c r="A220" s="3"/>
      <c r="B220" s="2" t="s">
        <v>153</v>
      </c>
      <c r="C220" s="3"/>
      <c r="D220" s="3"/>
      <c r="E220" s="3"/>
      <c r="F220" s="98" t="s">
        <v>158</v>
      </c>
      <c r="G220" s="145" t="n">
        <v>0.09</v>
      </c>
      <c r="H220" s="80" t="n">
        <f aca="false">+H219*$G$220</f>
        <v>11700</v>
      </c>
      <c r="I220" s="80" t="n">
        <f aca="false">+I219*$G$220</f>
        <v>11190.2712513032</v>
      </c>
      <c r="J220" s="80" t="n">
        <f aca="false">+J219*$G$220</f>
        <v>10634.6669152236</v>
      </c>
      <c r="K220" s="80" t="n">
        <f aca="false">+K219*$G$220</f>
        <v>10029.0581888969</v>
      </c>
      <c r="L220" s="80" t="n">
        <f aca="false">+L219*$G$220</f>
        <v>9368.94467720075</v>
      </c>
      <c r="M220" s="80" t="n">
        <f aca="false">+M219*$G$220</f>
        <v>8649.42094945198</v>
      </c>
      <c r="N220" s="80" t="n">
        <f aca="false">+N219*$G$220</f>
        <v>7865.14008620581</v>
      </c>
      <c r="O220" s="80" t="n">
        <f aca="false">+O219*$G$220</f>
        <v>7010.2739452675</v>
      </c>
      <c r="P220" s="80" t="n">
        <f aca="false">+P219*$G$220</f>
        <v>6078.46985164473</v>
      </c>
      <c r="Q220" s="80" t="n">
        <f aca="false">+Q219*$G$220</f>
        <v>5062.80338959591</v>
      </c>
      <c r="R220" s="80" t="n">
        <f aca="false">+R219*$G$220</f>
        <v>3955.7269459627</v>
      </c>
      <c r="S220" s="80" t="n">
        <f aca="false">+S219*$G$220</f>
        <v>2749.0136224025</v>
      </c>
      <c r="T220" s="80" t="n">
        <f aca="false">+T219*$G$220</f>
        <v>1433.69609972188</v>
      </c>
      <c r="U220" s="80" t="n">
        <f aca="false">+U219*$G$220</f>
        <v>0</v>
      </c>
      <c r="V220" s="80" t="n">
        <f aca="false">+V219*$G$220</f>
        <v>0</v>
      </c>
      <c r="W220" s="80" t="n">
        <f aca="false">+W219*$G$220</f>
        <v>0</v>
      </c>
      <c r="X220" s="80" t="n">
        <f aca="false">+X219*$G$220</f>
        <v>0</v>
      </c>
      <c r="Y220" s="80" t="n">
        <f aca="false">+Y219*$G$220</f>
        <v>0</v>
      </c>
      <c r="Z220" s="80" t="n">
        <f aca="false">+Z219*$G$220</f>
        <v>0</v>
      </c>
      <c r="AA220" s="118" t="n">
        <f aca="false">+AA219*$G$220</f>
        <v>0</v>
      </c>
      <c r="AB220" s="118" t="n">
        <f aca="false">+AB219*$G$220</f>
        <v>0</v>
      </c>
      <c r="AC220" s="118" t="n">
        <f aca="false">+AC219*$G$220</f>
        <v>0</v>
      </c>
      <c r="AD220" s="118" t="n">
        <f aca="false">+AD219*$G$220</f>
        <v>0</v>
      </c>
      <c r="AE220" s="118" t="n">
        <f aca="false">+AE219*$G$220</f>
        <v>0</v>
      </c>
      <c r="AF220" s="118" t="n">
        <f aca="false">+AF219*$G$220</f>
        <v>0</v>
      </c>
      <c r="AG220" s="118" t="n">
        <f aca="false">+AG219*$G$220</f>
        <v>0</v>
      </c>
      <c r="AH220" s="118" t="n">
        <f aca="false">+AH219*$G$220</f>
        <v>0</v>
      </c>
      <c r="AI220" s="118" t="n">
        <f aca="false">+AI219*$G$220</f>
        <v>0</v>
      </c>
      <c r="AJ220" s="118" t="n">
        <f aca="false">+AJ219*$G$220</f>
        <v>0</v>
      </c>
      <c r="AK220" s="118" t="n">
        <f aca="false">+AK219*$G$220</f>
        <v>0</v>
      </c>
      <c r="AL220" s="118" t="n">
        <f aca="false">+AL219*$G$220</f>
        <v>0</v>
      </c>
      <c r="AM220" s="118" t="n">
        <f aca="false">+AM219*$G$220</f>
        <v>0</v>
      </c>
      <c r="AN220" s="118" t="n">
        <f aca="false">+AN219*$G$220</f>
        <v>0</v>
      </c>
      <c r="AO220" s="118" t="n">
        <f aca="false">+AO219*$G$220</f>
        <v>0</v>
      </c>
      <c r="AP220" s="118" t="n">
        <f aca="false">+AP219*$G$220</f>
        <v>0</v>
      </c>
      <c r="AQ220" s="118" t="n">
        <f aca="false">+AQ219*$G$220</f>
        <v>0</v>
      </c>
      <c r="AR220" s="25"/>
    </row>
    <row r="221" customFormat="false" ht="13.5" hidden="false" customHeight="false" outlineLevel="0" collapsed="false">
      <c r="A221" s="3"/>
      <c r="B221" s="2" t="s">
        <v>154</v>
      </c>
      <c r="C221" s="3"/>
      <c r="D221" s="3"/>
      <c r="E221" s="3"/>
      <c r="F221" s="3"/>
      <c r="G221" s="3"/>
      <c r="H221" s="177" t="n">
        <f aca="false">(H218-H220)</f>
        <v>5663.65276329826</v>
      </c>
      <c r="I221" s="177" t="n">
        <f aca="false">(I218-I220)</f>
        <v>6173.3815119951</v>
      </c>
      <c r="J221" s="177" t="n">
        <f aca="false">(J218-J220)</f>
        <v>6728.98584807466</v>
      </c>
      <c r="K221" s="177" t="n">
        <f aca="false">(K218-K220)</f>
        <v>7334.59457440138</v>
      </c>
      <c r="L221" s="177" t="n">
        <f aca="false">(L218-L220)</f>
        <v>7994.7080860975</v>
      </c>
      <c r="M221" s="177" t="n">
        <f aca="false">(M218-M220)</f>
        <v>8714.23181384628</v>
      </c>
      <c r="N221" s="177" t="n">
        <f aca="false">(N218-N220)</f>
        <v>9498.51267709244</v>
      </c>
      <c r="O221" s="177" t="n">
        <f aca="false">(O218-O220)</f>
        <v>10353.3788180308</v>
      </c>
      <c r="P221" s="177" t="n">
        <f aca="false">(P218-P220)</f>
        <v>11285.1829116535</v>
      </c>
      <c r="Q221" s="177" t="n">
        <f aca="false">(Q218-Q220)</f>
        <v>12300.8493737024</v>
      </c>
      <c r="R221" s="177" t="n">
        <f aca="false">(R218-R220)</f>
        <v>13407.9258173356</v>
      </c>
      <c r="S221" s="177" t="n">
        <f aca="false">(S218-S220)</f>
        <v>14614.6391408958</v>
      </c>
      <c r="T221" s="177" t="n">
        <f aca="false">(T218-T220)</f>
        <v>15929.9566635764</v>
      </c>
      <c r="U221" s="177" t="n">
        <f aca="false">(U218-U220)</f>
        <v>0</v>
      </c>
      <c r="V221" s="177" t="n">
        <f aca="false">(V218-V220)</f>
        <v>0</v>
      </c>
      <c r="W221" s="177" t="n">
        <f aca="false">(W218-W220)</f>
        <v>0</v>
      </c>
      <c r="X221" s="177" t="n">
        <f aca="false">(X218-X220)</f>
        <v>0</v>
      </c>
      <c r="Y221" s="177" t="n">
        <f aca="false">(Y218-Y220)</f>
        <v>0</v>
      </c>
      <c r="Z221" s="177" t="n">
        <f aca="false">(Z218-Z220)</f>
        <v>0</v>
      </c>
      <c r="AA221" s="178" t="n">
        <f aca="false">(AA218-AA220)</f>
        <v>0</v>
      </c>
      <c r="AB221" s="178" t="n">
        <f aca="false">(AB218-AB220)</f>
        <v>0</v>
      </c>
      <c r="AC221" s="178" t="n">
        <f aca="false">(AC218-AC220)</f>
        <v>0</v>
      </c>
      <c r="AD221" s="178" t="n">
        <f aca="false">(AD218-AD220)</f>
        <v>0</v>
      </c>
      <c r="AE221" s="178" t="n">
        <f aca="false">(AE218-AE220)</f>
        <v>0</v>
      </c>
      <c r="AF221" s="178" t="n">
        <f aca="false">(AF218-AF220)</f>
        <v>0</v>
      </c>
      <c r="AG221" s="178" t="n">
        <f aca="false">(AG218-AG220)</f>
        <v>0</v>
      </c>
      <c r="AH221" s="178" t="n">
        <f aca="false">(AH218-AH220)</f>
        <v>0</v>
      </c>
      <c r="AI221" s="178" t="n">
        <f aca="false">(AI218-AI220)</f>
        <v>0</v>
      </c>
      <c r="AJ221" s="178" t="n">
        <f aca="false">(AJ218-AJ220)</f>
        <v>0</v>
      </c>
      <c r="AK221" s="178" t="n">
        <f aca="false">(AK218-AK220)</f>
        <v>0</v>
      </c>
      <c r="AL221" s="178" t="n">
        <f aca="false">(AL218-AL220)</f>
        <v>0</v>
      </c>
      <c r="AM221" s="178" t="n">
        <f aca="false">(AM218-AM220)</f>
        <v>0</v>
      </c>
      <c r="AN221" s="178" t="n">
        <f aca="false">(AN218-AN220)</f>
        <v>0</v>
      </c>
      <c r="AO221" s="178" t="n">
        <f aca="false">(AO218-AO220)</f>
        <v>0</v>
      </c>
      <c r="AP221" s="178" t="n">
        <f aca="false">(AP218-AP220)</f>
        <v>0</v>
      </c>
      <c r="AQ221" s="178" t="n">
        <f aca="false">(AQ218-AQ220)</f>
        <v>0</v>
      </c>
      <c r="AR221" s="25"/>
    </row>
    <row r="222" customFormat="false" ht="12.75" hidden="false" customHeight="false" outlineLevel="0" collapsed="false">
      <c r="A222" s="3"/>
      <c r="B222" s="2" t="s">
        <v>155</v>
      </c>
      <c r="C222" s="3"/>
      <c r="D222" s="3"/>
      <c r="E222" s="3"/>
      <c r="F222" s="179"/>
      <c r="G222" s="3"/>
      <c r="H222" s="80" t="n">
        <f aca="false">+H219-H221</f>
        <v>124336.347236702</v>
      </c>
      <c r="I222" s="80" t="n">
        <f aca="false">+I219-I221</f>
        <v>118162.965724707</v>
      </c>
      <c r="J222" s="80" t="n">
        <f aca="false">+J219-J221</f>
        <v>111433.979876632</v>
      </c>
      <c r="K222" s="80" t="n">
        <f aca="false">+K219-K221</f>
        <v>104099.385302231</v>
      </c>
      <c r="L222" s="80" t="n">
        <f aca="false">+L219-L221</f>
        <v>96104.6772161331</v>
      </c>
      <c r="M222" s="80" t="n">
        <f aca="false">+M219-M221</f>
        <v>87390.4454022868</v>
      </c>
      <c r="N222" s="80" t="n">
        <f aca="false">+N219-N221</f>
        <v>77891.9327251944</v>
      </c>
      <c r="O222" s="80" t="n">
        <f aca="false">+O219-O221</f>
        <v>67538.5539071636</v>
      </c>
      <c r="P222" s="80" t="n">
        <f aca="false">+P219-P221</f>
        <v>56253.3709955101</v>
      </c>
      <c r="Q222" s="80" t="n">
        <f aca="false">+Q219-Q221</f>
        <v>43952.5216218078</v>
      </c>
      <c r="R222" s="80" t="n">
        <f aca="false">+R219-R221</f>
        <v>30544.5958044722</v>
      </c>
      <c r="S222" s="80" t="n">
        <f aca="false">+S219-S221</f>
        <v>15929.9566635764</v>
      </c>
      <c r="T222" s="80" t="n">
        <f aca="false">+T219-T221</f>
        <v>0</v>
      </c>
      <c r="U222" s="80" t="n">
        <f aca="false">+U219-U221</f>
        <v>0</v>
      </c>
      <c r="V222" s="80" t="n">
        <f aca="false">+V219-V221</f>
        <v>0</v>
      </c>
      <c r="W222" s="80" t="n">
        <f aca="false">+W219-W221</f>
        <v>0</v>
      </c>
      <c r="X222" s="80" t="n">
        <f aca="false">+X219-X221</f>
        <v>0</v>
      </c>
      <c r="Y222" s="80" t="n">
        <f aca="false">+Y219-Y221</f>
        <v>0</v>
      </c>
      <c r="Z222" s="80" t="n">
        <f aca="false">+Z219-Z221</f>
        <v>0</v>
      </c>
      <c r="AA222" s="118" t="n">
        <f aca="false">+AA219-AA221</f>
        <v>0</v>
      </c>
      <c r="AB222" s="118" t="n">
        <f aca="false">+AB219-AB221</f>
        <v>0</v>
      </c>
      <c r="AC222" s="118" t="n">
        <f aca="false">+AC219-AC221</f>
        <v>0</v>
      </c>
      <c r="AD222" s="118" t="n">
        <f aca="false">+AD219-AD221</f>
        <v>0</v>
      </c>
      <c r="AE222" s="118" t="n">
        <f aca="false">+AE219-AE221</f>
        <v>0</v>
      </c>
      <c r="AF222" s="118" t="n">
        <f aca="false">+AF219-AF221</f>
        <v>0</v>
      </c>
      <c r="AG222" s="118" t="n">
        <f aca="false">+AG219-AG221</f>
        <v>0</v>
      </c>
      <c r="AH222" s="118" t="n">
        <f aca="false">+AH219-AH221</f>
        <v>0</v>
      </c>
      <c r="AI222" s="118" t="n">
        <f aca="false">+AI219-AI221</f>
        <v>0</v>
      </c>
      <c r="AJ222" s="118" t="n">
        <f aca="false">+AJ219-AJ221</f>
        <v>0</v>
      </c>
      <c r="AK222" s="118" t="n">
        <f aca="false">+AK219-AK221</f>
        <v>0</v>
      </c>
      <c r="AL222" s="118" t="n">
        <f aca="false">+AL219-AL221</f>
        <v>0</v>
      </c>
      <c r="AM222" s="118" t="n">
        <f aca="false">+AM219-AM221</f>
        <v>0</v>
      </c>
      <c r="AN222" s="118" t="n">
        <f aca="false">+AN219-AN221</f>
        <v>0</v>
      </c>
      <c r="AO222" s="118" t="n">
        <f aca="false">+AO219-AO221</f>
        <v>0</v>
      </c>
      <c r="AP222" s="118" t="n">
        <f aca="false">+AP219-AP221</f>
        <v>0</v>
      </c>
      <c r="AQ222" s="118" t="n">
        <f aca="false">+AQ219-AQ221</f>
        <v>0</v>
      </c>
      <c r="AR222" s="25"/>
    </row>
    <row r="223" customFormat="false" ht="12.75" hidden="false" customHeight="false" outlineLevel="0" collapsed="false">
      <c r="A223" s="3"/>
      <c r="B223" s="2"/>
      <c r="C223" s="2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5"/>
    </row>
    <row r="224" customFormat="false" ht="12.75" hidden="false" customHeight="false" outlineLevel="0" collapsed="false">
      <c r="A224" s="3"/>
      <c r="B224" s="48" t="s">
        <v>160</v>
      </c>
      <c r="C224" s="3"/>
      <c r="D224" s="3"/>
      <c r="E224" s="3"/>
      <c r="F224" s="3"/>
      <c r="G224" s="3"/>
      <c r="H224" s="159"/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97"/>
      <c r="X224" s="97"/>
      <c r="Y224" s="97"/>
      <c r="Z224" s="97"/>
      <c r="AA224" s="118"/>
      <c r="AB224" s="118"/>
      <c r="AC224" s="118"/>
      <c r="AD224" s="118"/>
      <c r="AE224" s="118"/>
      <c r="AF224" s="118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5"/>
    </row>
    <row r="225" customFormat="false" ht="12.75" hidden="false" customHeight="false" outlineLevel="0" collapsed="false">
      <c r="A225" s="3"/>
      <c r="B225" s="66" t="s">
        <v>153</v>
      </c>
      <c r="C225" s="3"/>
      <c r="D225" s="3"/>
      <c r="E225" s="3"/>
      <c r="F225" s="97"/>
      <c r="G225" s="3"/>
      <c r="H225" s="159" t="n">
        <f aca="false">+H208+H214+H220</f>
        <v>28893.75</v>
      </c>
      <c r="I225" s="159" t="n">
        <f aca="false">+I208+I214+I220</f>
        <v>28081.5037665222</v>
      </c>
      <c r="J225" s="159" t="n">
        <f aca="false">+J208+J214+J220</f>
        <v>27204.4746028628</v>
      </c>
      <c r="K225" s="159" t="n">
        <f aca="false">+K208+K214+K220</f>
        <v>26257.3519972326</v>
      </c>
      <c r="L225" s="159" t="n">
        <f aca="false">+L208+L214+L220</f>
        <v>25234.3799887765</v>
      </c>
      <c r="M225" s="159" t="n">
        <f aca="false">+M208+M214+M220</f>
        <v>24129.3191082202</v>
      </c>
      <c r="N225" s="159" t="n">
        <f aca="false">+N208+N214+N220</f>
        <v>22935.4050201161</v>
      </c>
      <c r="O225" s="159" t="n">
        <f aca="false">+O208+O214+O220</f>
        <v>21645.3035777662</v>
      </c>
      <c r="P225" s="159" t="n">
        <f aca="false">+P208+P214+P220</f>
        <v>20251.0619763936</v>
      </c>
      <c r="Q225" s="159" t="n">
        <f aca="false">+Q208+Q214+Q220</f>
        <v>18744.0556623607</v>
      </c>
      <c r="R225" s="159" t="n">
        <f aca="false">+R208+R214+R220</f>
        <v>17114.9306259943</v>
      </c>
      <c r="S225" s="159" t="n">
        <f aca="false">+S208+S214+S220</f>
        <v>15353.5406726551</v>
      </c>
      <c r="T225" s="159" t="n">
        <f aca="false">+T208+T214+T220</f>
        <v>13448.8792308343</v>
      </c>
      <c r="U225" s="159" t="n">
        <f aca="false">+U208+U214+U220</f>
        <v>11389.0052170259</v>
      </c>
      <c r="V225" s="159" t="n">
        <f aca="false">+V208+V214+V220</f>
        <v>10723.6911833091</v>
      </c>
      <c r="W225" s="159" t="n">
        <f aca="false">+W208+W214+W220</f>
        <v>10016.7950224849</v>
      </c>
      <c r="X225" s="159" t="n">
        <f aca="false">+X208+X214+X220</f>
        <v>9265.71785160927</v>
      </c>
      <c r="Y225" s="159" t="n">
        <f aca="false">+Y208+Y214+Y220</f>
        <v>8467.69835755388</v>
      </c>
      <c r="Z225" s="159" t="n">
        <f aca="false">+Z208+Z214+Z220</f>
        <v>7619.80264512003</v>
      </c>
      <c r="AA225" s="81" t="n">
        <f aca="false">+AA208+AA214+AA220</f>
        <v>6718.91345065906</v>
      </c>
      <c r="AB225" s="81" t="n">
        <f aca="false">+AB208+AB214+AB220</f>
        <v>5761.71868154428</v>
      </c>
      <c r="AC225" s="81" t="n">
        <f aca="false">+AC208+AC214+AC220</f>
        <v>4744.69923935982</v>
      </c>
      <c r="AD225" s="81" t="n">
        <f aca="false">+AD208+AD214+AD220</f>
        <v>3664.11608203884</v>
      </c>
      <c r="AE225" s="81" t="n">
        <f aca="false">+AE208+AE214+AE220</f>
        <v>2515.99647738529</v>
      </c>
      <c r="AF225" s="81" t="n">
        <f aca="false">+AF208+AF214+AF220</f>
        <v>1296.1193974409</v>
      </c>
      <c r="AG225" s="81" t="n">
        <f aca="false">+AG208+AG214+AG220</f>
        <v>-1.36424205265939E-011</v>
      </c>
      <c r="AH225" s="81" t="n">
        <f aca="false">+AH208+AH214+AH220</f>
        <v>-1.4495071809506E-011</v>
      </c>
      <c r="AI225" s="81" t="n">
        <f aca="false">+AI208+AI214+AI220</f>
        <v>-1.54010137976002E-011</v>
      </c>
      <c r="AJ225" s="81" t="n">
        <f aca="false">+AJ208+AJ214+AJ220</f>
        <v>-1.63635771599502E-011</v>
      </c>
      <c r="AK225" s="81" t="n">
        <f aca="false">+AK208+AK214+AK220</f>
        <v>-1.73863007324471E-011</v>
      </c>
      <c r="AL225" s="81" t="n">
        <f aca="false">+AL208+AL214+AL220</f>
        <v>-1.8472944528225E-011</v>
      </c>
      <c r="AM225" s="81" t="n">
        <f aca="false">+AM208+AM214+AM220</f>
        <v>-1.96275035612391E-011</v>
      </c>
      <c r="AN225" s="81" t="n">
        <f aca="false">+AN208+AN214+AN220</f>
        <v>-2.08542225338165E-011</v>
      </c>
      <c r="AO225" s="81" t="n">
        <f aca="false">+AO208+AO214+AO220</f>
        <v>-2.215761144218E-011</v>
      </c>
      <c r="AP225" s="81" t="n">
        <f aca="false">+AP208+AP214+AP220</f>
        <v>-2.35424621573163E-011</v>
      </c>
      <c r="AQ225" s="81" t="n">
        <f aca="false">+AQ208+AQ214+AQ220</f>
        <v>-2.50138660421486E-011</v>
      </c>
      <c r="AR225" s="25"/>
    </row>
    <row r="226" customFormat="false" ht="13.5" hidden="false" customHeight="false" outlineLevel="0" collapsed="false">
      <c r="A226" s="3"/>
      <c r="B226" s="66" t="s">
        <v>154</v>
      </c>
      <c r="C226" s="3"/>
      <c r="D226" s="3"/>
      <c r="E226" s="3"/>
      <c r="F226" s="3"/>
      <c r="G226" s="3"/>
      <c r="H226" s="170" t="n">
        <f aca="false">+H209+H215+H221</f>
        <v>10503.9325197938</v>
      </c>
      <c r="I226" s="170" t="n">
        <f aca="false">+I209+I215+I221</f>
        <v>11316.1787532716</v>
      </c>
      <c r="J226" s="170" t="n">
        <f aca="false">+J209+J215+J221</f>
        <v>12193.207916931</v>
      </c>
      <c r="K226" s="170" t="n">
        <f aca="false">+K209+K215+K221</f>
        <v>13140.3305225612</v>
      </c>
      <c r="L226" s="170" t="n">
        <f aca="false">+L209+L215+L221</f>
        <v>14163.3025310173</v>
      </c>
      <c r="M226" s="170" t="n">
        <f aca="false">+M209+M215+M221</f>
        <v>15268.3634115736</v>
      </c>
      <c r="N226" s="170" t="n">
        <f aca="false">+N209+N215+N221</f>
        <v>16462.2774996777</v>
      </c>
      <c r="O226" s="170" t="n">
        <f aca="false">+O209+O215+O221</f>
        <v>17752.3789420276</v>
      </c>
      <c r="P226" s="170" t="n">
        <f aca="false">+P209+P215+P221</f>
        <v>19146.6205434002</v>
      </c>
      <c r="Q226" s="170" t="n">
        <f aca="false">+Q209+Q215+Q221</f>
        <v>20653.6268574331</v>
      </c>
      <c r="R226" s="170" t="n">
        <f aca="false">+R209+R215+R221</f>
        <v>22282.7518937995</v>
      </c>
      <c r="S226" s="170" t="n">
        <f aca="false">+S209+S215+S221</f>
        <v>24044.1418471387</v>
      </c>
      <c r="T226" s="170" t="n">
        <f aca="false">+T209+T215+T221</f>
        <v>25948.8032889595</v>
      </c>
      <c r="U226" s="170" t="n">
        <f aca="false">+U209+U215+U221</f>
        <v>10645.0245394696</v>
      </c>
      <c r="V226" s="170" t="n">
        <f aca="false">+V209+V215+V221</f>
        <v>11310.3385731865</v>
      </c>
      <c r="W226" s="170" t="n">
        <f aca="false">+W209+W215+W221</f>
        <v>12017.2347340106</v>
      </c>
      <c r="X226" s="170" t="n">
        <f aca="false">+X209+X215+X221</f>
        <v>12768.3119048863</v>
      </c>
      <c r="Y226" s="170" t="n">
        <f aca="false">+Y209+Y215+Y221</f>
        <v>13566.3313989417</v>
      </c>
      <c r="Z226" s="170" t="n">
        <f aca="false">+Z209+Z215+Z221</f>
        <v>14414.2271113755</v>
      </c>
      <c r="AA226" s="137" t="n">
        <f aca="false">+AA209+AA215+AA221</f>
        <v>15315.1163058365</v>
      </c>
      <c r="AB226" s="137" t="n">
        <f aca="false">+AB209+AB215+AB221</f>
        <v>16272.3110749513</v>
      </c>
      <c r="AC226" s="137" t="n">
        <f aca="false">+AC209+AC215+AC221</f>
        <v>17289.3305171357</v>
      </c>
      <c r="AD226" s="137" t="n">
        <f aca="false">+AD209+AD215+AD221</f>
        <v>18369.9136744567</v>
      </c>
      <c r="AE226" s="137" t="n">
        <f aca="false">+AE209+AE215+AE221</f>
        <v>19518.0332791103</v>
      </c>
      <c r="AF226" s="137" t="n">
        <f aca="false">+AF209+AF215+AF221</f>
        <v>20737.9103590546</v>
      </c>
      <c r="AG226" s="137" t="n">
        <f aca="false">+AG209+AG215+AG221</f>
        <v>1.36424205265939E-011</v>
      </c>
      <c r="AH226" s="137" t="n">
        <f aca="false">+AH209+AH215+AH221</f>
        <v>1.4495071809506E-011</v>
      </c>
      <c r="AI226" s="137" t="n">
        <f aca="false">+AI209+AI215+AI221</f>
        <v>1.54010137976002E-011</v>
      </c>
      <c r="AJ226" s="137" t="n">
        <f aca="false">+AJ209+AJ215+AJ221</f>
        <v>1.63635771599502E-011</v>
      </c>
      <c r="AK226" s="137" t="n">
        <f aca="false">+AK209+AK215+AK221</f>
        <v>1.73863007324471E-011</v>
      </c>
      <c r="AL226" s="137" t="n">
        <f aca="false">+AL209+AL215+AL221</f>
        <v>1.8472944528225E-011</v>
      </c>
      <c r="AM226" s="137" t="n">
        <f aca="false">+AM209+AM215+AM221</f>
        <v>1.96275035612391E-011</v>
      </c>
      <c r="AN226" s="137" t="n">
        <f aca="false">+AN209+AN215+AN221</f>
        <v>2.08542225338165E-011</v>
      </c>
      <c r="AO226" s="137" t="n">
        <f aca="false">+AO209+AO215+AO221</f>
        <v>2.215761144218E-011</v>
      </c>
      <c r="AP226" s="137" t="n">
        <f aca="false">+AP209+AP215+AP221</f>
        <v>2.35424621573163E-011</v>
      </c>
      <c r="AQ226" s="137" t="n">
        <f aca="false">+AQ209+AQ215+AQ221</f>
        <v>2.50138660421486E-011</v>
      </c>
      <c r="AR226" s="25"/>
    </row>
    <row r="227" customFormat="false" ht="12.75" hidden="false" customHeight="false" outlineLevel="0" collapsed="false">
      <c r="A227" s="3"/>
      <c r="B227" s="66" t="s">
        <v>161</v>
      </c>
      <c r="C227" s="3"/>
      <c r="D227" s="3"/>
      <c r="E227" s="3"/>
      <c r="F227" s="3"/>
      <c r="G227" s="3"/>
      <c r="H227" s="159" t="n">
        <f aca="false">SUM(H225:H226)</f>
        <v>39397.6825197938</v>
      </c>
      <c r="I227" s="159" t="n">
        <f aca="false">SUM(I225:I226)</f>
        <v>39397.6825197938</v>
      </c>
      <c r="J227" s="159" t="n">
        <f aca="false">SUM(J225:J226)</f>
        <v>39397.6825197938</v>
      </c>
      <c r="K227" s="159" t="n">
        <f aca="false">SUM(K225:K226)</f>
        <v>39397.6825197938</v>
      </c>
      <c r="L227" s="159" t="n">
        <f aca="false">SUM(L225:L226)</f>
        <v>39397.6825197938</v>
      </c>
      <c r="M227" s="159" t="n">
        <f aca="false">SUM(M225:M226)</f>
        <v>39397.6825197938</v>
      </c>
      <c r="N227" s="159" t="n">
        <f aca="false">SUM(N225:N226)</f>
        <v>39397.6825197938</v>
      </c>
      <c r="O227" s="159" t="n">
        <f aca="false">SUM(O225:O226)</f>
        <v>39397.6825197938</v>
      </c>
      <c r="P227" s="159" t="n">
        <f aca="false">SUM(P225:P226)</f>
        <v>39397.6825197938</v>
      </c>
      <c r="Q227" s="159" t="n">
        <f aca="false">SUM(Q225:Q226)</f>
        <v>39397.6825197938</v>
      </c>
      <c r="R227" s="159" t="n">
        <f aca="false">SUM(R225:R226)</f>
        <v>39397.6825197938</v>
      </c>
      <c r="S227" s="159" t="n">
        <f aca="false">SUM(S225:S226)</f>
        <v>39397.6825197938</v>
      </c>
      <c r="T227" s="159" t="n">
        <f aca="false">SUM(T225:T226)</f>
        <v>39397.6825197938</v>
      </c>
      <c r="U227" s="159" t="n">
        <f aca="false">SUM(U225:U226)</f>
        <v>22034.0297564955</v>
      </c>
      <c r="V227" s="159" t="n">
        <f aca="false">SUM(V225:V226)</f>
        <v>22034.0297564955</v>
      </c>
      <c r="W227" s="159" t="n">
        <f aca="false">SUM(W225:W226)</f>
        <v>22034.0297564955</v>
      </c>
      <c r="X227" s="159" t="n">
        <f aca="false">SUM(X225:X226)</f>
        <v>22034.0297564955</v>
      </c>
      <c r="Y227" s="159" t="n">
        <f aca="false">SUM(Y225:Y226)</f>
        <v>22034.0297564955</v>
      </c>
      <c r="Z227" s="159" t="n">
        <f aca="false">SUM(Z225:Z226)</f>
        <v>22034.0297564955</v>
      </c>
      <c r="AA227" s="81" t="n">
        <f aca="false">SUM(AA225:AA226)</f>
        <v>22034.0297564955</v>
      </c>
      <c r="AB227" s="81" t="n">
        <f aca="false">SUM(AB225:AB226)</f>
        <v>22034.0297564955</v>
      </c>
      <c r="AC227" s="81" t="n">
        <f aca="false">SUM(AC225:AC226)</f>
        <v>22034.0297564955</v>
      </c>
      <c r="AD227" s="81" t="n">
        <f aca="false">SUM(AD225:AD226)</f>
        <v>22034.0297564955</v>
      </c>
      <c r="AE227" s="81" t="n">
        <f aca="false">SUM(AE225:AE226)</f>
        <v>22034.0297564955</v>
      </c>
      <c r="AF227" s="81" t="n">
        <f aca="false">SUM(AF225:AF226)</f>
        <v>22034.0297564955</v>
      </c>
      <c r="AG227" s="81" t="n">
        <f aca="false">SUM(AG225:AG226)</f>
        <v>0</v>
      </c>
      <c r="AH227" s="81" t="n">
        <f aca="false">SUM(AH225:AH226)</f>
        <v>0</v>
      </c>
      <c r="AI227" s="81" t="n">
        <f aca="false">SUM(AI225:AI226)</f>
        <v>0</v>
      </c>
      <c r="AJ227" s="81" t="n">
        <f aca="false">SUM(AJ225:AJ226)</f>
        <v>0</v>
      </c>
      <c r="AK227" s="81" t="n">
        <f aca="false">SUM(AK225:AK226)</f>
        <v>0</v>
      </c>
      <c r="AL227" s="81" t="n">
        <f aca="false">SUM(AL225:AL226)</f>
        <v>0</v>
      </c>
      <c r="AM227" s="81" t="n">
        <f aca="false">SUM(AM225:AM226)</f>
        <v>0</v>
      </c>
      <c r="AN227" s="81" t="n">
        <f aca="false">SUM(AN225:AN226)</f>
        <v>0</v>
      </c>
      <c r="AO227" s="81" t="n">
        <f aca="false">SUM(AO225:AO226)</f>
        <v>0</v>
      </c>
      <c r="AP227" s="81" t="n">
        <f aca="false">SUM(AP225:AP226)</f>
        <v>0</v>
      </c>
      <c r="AQ227" s="81" t="n">
        <f aca="false">SUM(AQ225:AQ226)</f>
        <v>0</v>
      </c>
      <c r="AR227" s="25"/>
    </row>
    <row r="228" customFormat="false" ht="12.75" hidden="false" customHeight="false" outlineLevel="0" collapsed="false">
      <c r="A228" s="3"/>
      <c r="B228" s="2"/>
      <c r="C228" s="2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5"/>
    </row>
    <row r="229" customFormat="false" ht="12.75" hidden="false" customHeight="false" outlineLevel="0" collapsed="false">
      <c r="A229" s="46"/>
      <c r="B229" s="48" t="s">
        <v>162</v>
      </c>
      <c r="C229" s="48"/>
      <c r="D229" s="46"/>
      <c r="E229" s="46"/>
      <c r="F229" s="46"/>
      <c r="G229" s="46"/>
      <c r="H229" s="180" t="n">
        <f aca="false">+H$199/H225</f>
        <v>0.478731318144773</v>
      </c>
      <c r="I229" s="180" t="n">
        <f aca="false">+I$199/I225</f>
        <v>0.675158363572263</v>
      </c>
      <c r="J229" s="180" t="n">
        <f aca="false">+J$199/J225</f>
        <v>0.808747623654094</v>
      </c>
      <c r="K229" s="180" t="n">
        <f aca="false">+K$199/K225</f>
        <v>0.769845086405327</v>
      </c>
      <c r="L229" s="180" t="n">
        <f aca="false">+L$199/L225</f>
        <v>0.960696694300797</v>
      </c>
      <c r="M229" s="180" t="n">
        <f aca="false">+M$199/M225</f>
        <v>1.08234960071135</v>
      </c>
      <c r="N229" s="180" t="n">
        <f aca="false">+N$199/N225</f>
        <v>1.05026616125221</v>
      </c>
      <c r="O229" s="180" t="n">
        <f aca="false">+O$199/O225</f>
        <v>1.57020200071775</v>
      </c>
      <c r="P229" s="180" t="n">
        <f aca="false">+P$199/P225</f>
        <v>1.82271490050129</v>
      </c>
      <c r="Q229" s="180" t="n">
        <f aca="false">+Q$199/Q225</f>
        <v>1.62033538036397</v>
      </c>
      <c r="R229" s="180" t="n">
        <f aca="false">+R$199/R225</f>
        <v>2.28049744383243</v>
      </c>
      <c r="S229" s="180" t="n">
        <f aca="false">+S$199/S225</f>
        <v>2.67005139119907</v>
      </c>
      <c r="T229" s="180" t="n">
        <f aca="false">+T$199/T225</f>
        <v>2.66629775840248</v>
      </c>
      <c r="U229" s="180" t="n">
        <f aca="false">+U$199/U225</f>
        <v>3.73287181309533</v>
      </c>
      <c r="V229" s="180" t="n">
        <f aca="false">+V$199/V225</f>
        <v>4.1131256178779</v>
      </c>
      <c r="W229" s="180" t="n">
        <f aca="false">+W$199/W225</f>
        <v>4.07732436178276</v>
      </c>
      <c r="X229" s="180" t="n">
        <f aca="false">+X$199/X225</f>
        <v>5.03105755022741</v>
      </c>
      <c r="Y229" s="180" t="n">
        <f aca="false">+Y$199/Y225</f>
        <v>5.70590894153347</v>
      </c>
      <c r="Z229" s="180" t="n">
        <f aca="false">+Z$199/Z225</f>
        <v>5.55732317052715</v>
      </c>
      <c r="AA229" s="181" t="n">
        <f aca="false">+AA$199/AA225</f>
        <v>-0.129626968288762</v>
      </c>
      <c r="AB229" s="181" t="n">
        <f aca="false">+AB$199/AB225</f>
        <v>-0.324431115057389</v>
      </c>
      <c r="AC229" s="181" t="n">
        <f aca="false">+AC$199/AC225</f>
        <v>0.373334219788202</v>
      </c>
      <c r="AD229" s="181" t="n">
        <f aca="false">+AD$199/AD225</f>
        <v>-0.310129342839053</v>
      </c>
      <c r="AE229" s="181" t="n">
        <f aca="false">+AE$199/AE225</f>
        <v>-0.324193989303769</v>
      </c>
      <c r="AF229" s="181" t="n">
        <f aca="false">+AF$199/AF225</f>
        <v>5.45417144504671</v>
      </c>
      <c r="AG229" s="181" t="n">
        <f aca="false">+AG$199/AG225</f>
        <v>-0</v>
      </c>
      <c r="AH229" s="181" t="n">
        <f aca="false">+AH$199/AH225</f>
        <v>-0</v>
      </c>
      <c r="AI229" s="181" t="n">
        <f aca="false">+AI$199/AI225</f>
        <v>-0</v>
      </c>
      <c r="AJ229" s="181" t="n">
        <f aca="false">+AJ$199/AJ225</f>
        <v>-0</v>
      </c>
      <c r="AK229" s="181" t="n">
        <f aca="false">+AK$199/AK225</f>
        <v>-0</v>
      </c>
      <c r="AL229" s="181" t="n">
        <f aca="false">+AL$199/AL225</f>
        <v>-0</v>
      </c>
      <c r="AM229" s="181" t="n">
        <f aca="false">+AM$199/AM225</f>
        <v>-0</v>
      </c>
      <c r="AN229" s="181" t="n">
        <f aca="false">+AN$199/AN225</f>
        <v>-0</v>
      </c>
      <c r="AO229" s="181" t="n">
        <f aca="false">+AO$199/AO225</f>
        <v>-0</v>
      </c>
      <c r="AP229" s="181" t="n">
        <f aca="false">+AP$199/AP225</f>
        <v>-0</v>
      </c>
      <c r="AQ229" s="181" t="n">
        <f aca="false">+AQ$199/AQ225</f>
        <v>-0</v>
      </c>
      <c r="AR229" s="25"/>
    </row>
    <row r="230" customFormat="false" ht="12.75" hidden="false" customHeight="false" outlineLevel="0" collapsed="false">
      <c r="A230" s="2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5"/>
    </row>
    <row r="231" customFormat="false" ht="12.75" hidden="false" customHeight="false" outlineLevel="0" collapsed="false">
      <c r="A231" s="2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128" t="s">
        <v>92</v>
      </c>
    </row>
    <row r="232" customFormat="false" ht="13.5" hidden="false" customHeight="false" outlineLevel="0" collapsed="false">
      <c r="A232" s="2"/>
      <c r="B232" s="3"/>
      <c r="C232" s="3"/>
      <c r="D232" s="3"/>
      <c r="E232" s="3"/>
      <c r="F232" s="3"/>
      <c r="G232" s="3"/>
      <c r="H232" s="20" t="n">
        <f aca="false">+H9</f>
        <v>2001</v>
      </c>
      <c r="I232" s="20" t="n">
        <f aca="false">+I9</f>
        <v>2002</v>
      </c>
      <c r="J232" s="20" t="n">
        <f aca="false">+J9</f>
        <v>2003</v>
      </c>
      <c r="K232" s="20" t="n">
        <f aca="false">+K9</f>
        <v>2004</v>
      </c>
      <c r="L232" s="20" t="n">
        <f aca="false">+L9</f>
        <v>2005</v>
      </c>
      <c r="M232" s="20" t="n">
        <f aca="false">+M9</f>
        <v>2006</v>
      </c>
      <c r="N232" s="20" t="n">
        <f aca="false">+N9</f>
        <v>2007</v>
      </c>
      <c r="O232" s="20" t="n">
        <f aca="false">+O9</f>
        <v>2008</v>
      </c>
      <c r="P232" s="20" t="n">
        <f aca="false">+P9</f>
        <v>2009</v>
      </c>
      <c r="Q232" s="20" t="n">
        <f aca="false">+Q9</f>
        <v>2010</v>
      </c>
      <c r="R232" s="20" t="n">
        <f aca="false">+R9</f>
        <v>2011</v>
      </c>
      <c r="S232" s="20" t="n">
        <f aca="false">+S9</f>
        <v>2012</v>
      </c>
      <c r="T232" s="20" t="n">
        <f aca="false">+T9</f>
        <v>2013</v>
      </c>
      <c r="U232" s="20" t="n">
        <f aca="false">+U9</f>
        <v>2014</v>
      </c>
      <c r="V232" s="20" t="n">
        <f aca="false">+V9</f>
        <v>2015</v>
      </c>
      <c r="W232" s="20" t="n">
        <f aca="false">+W9</f>
        <v>2016</v>
      </c>
      <c r="X232" s="20" t="n">
        <f aca="false">+X9</f>
        <v>2017</v>
      </c>
      <c r="Y232" s="20" t="n">
        <f aca="false">+Y9</f>
        <v>2018</v>
      </c>
      <c r="Z232" s="20" t="n">
        <f aca="false">+Z9</f>
        <v>2019</v>
      </c>
      <c r="AA232" s="182"/>
      <c r="AB232" s="182"/>
      <c r="AC232" s="182"/>
      <c r="AD232" s="182"/>
      <c r="AE232" s="182"/>
      <c r="AF232" s="182"/>
      <c r="AG232" s="182"/>
      <c r="AH232" s="182"/>
      <c r="AI232" s="182"/>
      <c r="AJ232" s="182"/>
      <c r="AK232" s="182"/>
      <c r="AL232" s="182"/>
      <c r="AM232" s="182"/>
      <c r="AN232" s="182"/>
      <c r="AO232" s="182"/>
      <c r="AP232" s="182"/>
      <c r="AQ232" s="182"/>
      <c r="AR232" s="128" t="s">
        <v>92</v>
      </c>
    </row>
    <row r="233" customFormat="false" ht="15.75" hidden="false" customHeight="false" outlineLevel="0" collapsed="false">
      <c r="A233" s="23" t="str">
        <f aca="false">+A202</f>
        <v>Plant Ownership/Operation (Con't)</v>
      </c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128" t="s">
        <v>92</v>
      </c>
    </row>
    <row r="234" customFormat="false" ht="12.75" hidden="false" customHeight="false" outlineLevel="0" collapsed="false">
      <c r="A234" s="2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128" t="s">
        <v>92</v>
      </c>
    </row>
    <row r="235" customFormat="false" ht="12.75" hidden="false" customHeight="false" outlineLevel="0" collapsed="false">
      <c r="A235" s="3"/>
      <c r="B235" s="48" t="s">
        <v>149</v>
      </c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5"/>
    </row>
    <row r="236" customFormat="false" ht="12.75" hidden="false" customHeight="false" outlineLevel="0" collapsed="false">
      <c r="A236" s="3"/>
      <c r="B236" s="48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5"/>
    </row>
    <row r="237" customFormat="false" ht="12.75" hidden="false" customHeight="false" outlineLevel="0" collapsed="false">
      <c r="A237" s="3"/>
      <c r="B237" s="2" t="s">
        <v>163</v>
      </c>
      <c r="C237" s="2"/>
      <c r="D237" s="3"/>
      <c r="E237" s="3"/>
      <c r="F237" s="183"/>
      <c r="G237" s="90" t="n">
        <v>80300</v>
      </c>
      <c r="H237" s="183"/>
      <c r="I237" s="183"/>
      <c r="J237" s="183"/>
      <c r="K237" s="183"/>
      <c r="L237" s="183"/>
      <c r="M237" s="183"/>
      <c r="N237" s="183"/>
      <c r="O237" s="183"/>
      <c r="P237" s="183"/>
      <c r="Q237" s="183"/>
      <c r="R237" s="183"/>
      <c r="S237" s="183"/>
      <c r="T237" s="183"/>
      <c r="U237" s="183"/>
      <c r="V237" s="183"/>
      <c r="W237" s="183"/>
      <c r="X237" s="183"/>
      <c r="Y237" s="183"/>
      <c r="Z237" s="183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128" t="s">
        <v>92</v>
      </c>
    </row>
    <row r="238" customFormat="false" ht="12.75" hidden="false" customHeight="false" outlineLevel="0" collapsed="false">
      <c r="A238" s="3"/>
      <c r="B238" s="2" t="s">
        <v>164</v>
      </c>
      <c r="C238" s="2"/>
      <c r="D238" s="3"/>
      <c r="E238" s="3"/>
      <c r="F238" s="114"/>
      <c r="G238" s="90" t="n">
        <v>70000</v>
      </c>
      <c r="H238" s="114"/>
      <c r="I238" s="114"/>
      <c r="J238" s="114"/>
      <c r="K238" s="114"/>
      <c r="L238" s="114"/>
      <c r="M238" s="114"/>
      <c r="N238" s="114"/>
      <c r="O238" s="114"/>
      <c r="P238" s="114"/>
      <c r="Q238" s="114"/>
      <c r="R238" s="114"/>
      <c r="S238" s="114"/>
      <c r="T238" s="114"/>
      <c r="U238" s="114"/>
      <c r="V238" s="114"/>
      <c r="W238" s="114"/>
      <c r="X238" s="114"/>
      <c r="Y238" s="114"/>
      <c r="Z238" s="11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128" t="s">
        <v>92</v>
      </c>
    </row>
    <row r="239" customFormat="false" ht="12.75" hidden="false" customHeight="false" outlineLevel="0" collapsed="false">
      <c r="A239" s="3"/>
      <c r="B239" s="3"/>
      <c r="C239" s="3"/>
      <c r="D239" s="3"/>
      <c r="E239" s="3"/>
      <c r="F239" s="3"/>
      <c r="G239" s="114"/>
      <c r="H239" s="114"/>
      <c r="I239" s="114"/>
      <c r="J239" s="114"/>
      <c r="K239" s="114"/>
      <c r="L239" s="114"/>
      <c r="M239" s="114"/>
      <c r="N239" s="114"/>
      <c r="O239" s="114"/>
      <c r="P239" s="114"/>
      <c r="Q239" s="114"/>
      <c r="R239" s="114"/>
      <c r="S239" s="114"/>
      <c r="T239" s="114"/>
      <c r="U239" s="114"/>
      <c r="V239" s="114"/>
      <c r="W239" s="114"/>
      <c r="X239" s="114"/>
      <c r="Y239" s="114"/>
      <c r="Z239" s="114"/>
      <c r="AA239" s="115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128" t="s">
        <v>92</v>
      </c>
    </row>
    <row r="240" customFormat="false" ht="12.75" hidden="false" customHeight="false" outlineLevel="0" collapsed="false">
      <c r="A240" s="3"/>
      <c r="B240" s="48" t="s">
        <v>165</v>
      </c>
      <c r="C240" s="2"/>
      <c r="D240" s="3"/>
      <c r="E240" s="3"/>
      <c r="F240" s="3"/>
      <c r="G240" s="114"/>
      <c r="H240" s="114"/>
      <c r="I240" s="114"/>
      <c r="J240" s="114"/>
      <c r="K240" s="114"/>
      <c r="L240" s="114"/>
      <c r="M240" s="114"/>
      <c r="N240" s="114"/>
      <c r="O240" s="114"/>
      <c r="P240" s="114"/>
      <c r="Q240" s="114"/>
      <c r="R240" s="114"/>
      <c r="S240" s="114"/>
      <c r="T240" s="114"/>
      <c r="U240" s="114"/>
      <c r="V240" s="114"/>
      <c r="W240" s="114"/>
      <c r="X240" s="114"/>
      <c r="Y240" s="114"/>
      <c r="Z240" s="114"/>
      <c r="AA240" s="115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128" t="s">
        <v>92</v>
      </c>
    </row>
    <row r="241" customFormat="false" ht="12.75" hidden="false" customHeight="false" outlineLevel="0" collapsed="false">
      <c r="A241" s="3"/>
      <c r="B241" s="184" t="s">
        <v>166</v>
      </c>
      <c r="C241" s="171"/>
      <c r="D241" s="185"/>
      <c r="E241" s="185"/>
      <c r="F241" s="125"/>
      <c r="G241" s="114"/>
      <c r="H241" s="90" t="n">
        <v>11000</v>
      </c>
      <c r="I241" s="97" t="n">
        <f aca="false">+H241</f>
        <v>11000</v>
      </c>
      <c r="J241" s="97" t="n">
        <f aca="false">+I241</f>
        <v>11000</v>
      </c>
      <c r="K241" s="97" t="n">
        <f aca="false">+J241</f>
        <v>11000</v>
      </c>
      <c r="L241" s="97" t="n">
        <f aca="false">+K241</f>
        <v>11000</v>
      </c>
      <c r="M241" s="97" t="n">
        <f aca="false">+L241</f>
        <v>11000</v>
      </c>
      <c r="N241" s="97" t="n">
        <f aca="false">+M241</f>
        <v>11000</v>
      </c>
      <c r="O241" s="97" t="n">
        <f aca="false">+N241</f>
        <v>11000</v>
      </c>
      <c r="P241" s="97" t="n">
        <f aca="false">+O241</f>
        <v>11000</v>
      </c>
      <c r="Q241" s="97" t="n">
        <f aca="false">+P241</f>
        <v>11000</v>
      </c>
      <c r="R241" s="97" t="n">
        <f aca="false">+Q241</f>
        <v>11000</v>
      </c>
      <c r="S241" s="97" t="n">
        <f aca="false">+$H$241*S284</f>
        <v>10322.3285</v>
      </c>
      <c r="T241" s="97" t="n">
        <f aca="false">+$H$241*T284</f>
        <v>8450.376</v>
      </c>
      <c r="U241" s="97" t="n">
        <f aca="false">+$H$241*U284</f>
        <v>6399.657</v>
      </c>
      <c r="V241" s="97" t="n">
        <f aca="false">+$H$241*V284</f>
        <v>4142.6825</v>
      </c>
      <c r="W241" s="97" t="n">
        <f aca="false">+$H$241*W284</f>
        <v>1650</v>
      </c>
      <c r="X241" s="97"/>
      <c r="Y241" s="97"/>
      <c r="Z241" s="97"/>
      <c r="AA241" s="118"/>
      <c r="AB241" s="118"/>
      <c r="AC241" s="118"/>
      <c r="AD241" s="118"/>
      <c r="AE241" s="118"/>
      <c r="AF241" s="118"/>
      <c r="AG241" s="118"/>
      <c r="AH241" s="118"/>
      <c r="AI241" s="118"/>
      <c r="AJ241" s="118"/>
      <c r="AK241" s="118"/>
      <c r="AL241" s="118"/>
      <c r="AM241" s="118"/>
      <c r="AN241" s="118"/>
      <c r="AO241" s="118"/>
      <c r="AP241" s="118"/>
      <c r="AQ241" s="118"/>
      <c r="AR241" s="128" t="s">
        <v>92</v>
      </c>
      <c r="AS241" s="97"/>
      <c r="AT241" s="97"/>
      <c r="AU241" s="97"/>
      <c r="AV241" s="97"/>
      <c r="AW241" s="97"/>
      <c r="AX241" s="97"/>
      <c r="AY241" s="97"/>
      <c r="AZ241" s="97"/>
      <c r="BA241" s="97"/>
      <c r="BB241" s="97"/>
      <c r="BC241" s="97"/>
      <c r="BD241" s="97"/>
      <c r="BE241" s="97"/>
      <c r="BF241" s="97"/>
      <c r="BG241" s="97"/>
      <c r="BH241" s="97"/>
      <c r="BI241" s="97"/>
      <c r="BJ241" s="97"/>
      <c r="BK241" s="97"/>
      <c r="BL241" s="97"/>
      <c r="BM241" s="97"/>
      <c r="BN241" s="97"/>
      <c r="BO241" s="97"/>
      <c r="BP241" s="97"/>
      <c r="BQ241" s="97"/>
      <c r="BR241" s="97"/>
      <c r="BS241" s="97"/>
      <c r="BT241" s="97"/>
      <c r="BU241" s="97"/>
      <c r="BV241" s="97"/>
      <c r="BW241" s="97"/>
      <c r="BX241" s="97"/>
      <c r="BY241" s="97"/>
      <c r="BZ241" s="97"/>
      <c r="CA241" s="97"/>
      <c r="CB241" s="97"/>
      <c r="CC241" s="97"/>
      <c r="CD241" s="97"/>
      <c r="CE241" s="97"/>
      <c r="CF241" s="97"/>
      <c r="CG241" s="97"/>
      <c r="CH241" s="97"/>
      <c r="CI241" s="97"/>
      <c r="CJ241" s="97"/>
      <c r="CK241" s="97"/>
      <c r="CL241" s="97"/>
      <c r="CM241" s="97"/>
      <c r="CN241" s="97"/>
      <c r="CO241" s="97"/>
      <c r="CP241" s="97"/>
      <c r="CQ241" s="97"/>
      <c r="CR241" s="97"/>
      <c r="CS241" s="97"/>
      <c r="CT241" s="97"/>
      <c r="CU241" s="97"/>
      <c r="CV241" s="97"/>
      <c r="CW241" s="97"/>
      <c r="CX241" s="97"/>
      <c r="CY241" s="97"/>
      <c r="CZ241" s="97"/>
      <c r="DA241" s="97"/>
      <c r="DB241" s="97"/>
      <c r="DC241" s="97"/>
      <c r="DD241" s="97"/>
      <c r="DE241" s="97"/>
      <c r="DF241" s="97"/>
      <c r="DG241" s="97"/>
      <c r="DH241" s="97"/>
      <c r="DI241" s="97"/>
      <c r="DJ241" s="97"/>
      <c r="DK241" s="97"/>
      <c r="DL241" s="97"/>
      <c r="DM241" s="97"/>
      <c r="DN241" s="97"/>
      <c r="DO241" s="97"/>
      <c r="DP241" s="97"/>
      <c r="DQ241" s="97"/>
      <c r="DR241" s="97"/>
      <c r="DS241" s="97"/>
      <c r="DT241" s="97"/>
      <c r="DU241" s="97"/>
      <c r="DV241" s="97"/>
    </row>
    <row r="242" customFormat="false" ht="12.75" hidden="false" customHeight="false" outlineLevel="0" collapsed="false">
      <c r="A242" s="3"/>
      <c r="B242" s="2" t="s">
        <v>167</v>
      </c>
      <c r="C242" s="2"/>
      <c r="D242" s="3"/>
      <c r="E242" s="3"/>
      <c r="F242" s="183"/>
      <c r="G242" s="114"/>
      <c r="H242" s="52" t="n">
        <v>0.0972</v>
      </c>
      <c r="I242" s="183" t="n">
        <f aca="false">+H242</f>
        <v>0.0972</v>
      </c>
      <c r="J242" s="183" t="n">
        <f aca="false">+I242</f>
        <v>0.0972</v>
      </c>
      <c r="K242" s="183" t="n">
        <f aca="false">+J242</f>
        <v>0.0972</v>
      </c>
      <c r="L242" s="183" t="n">
        <f aca="false">+K242</f>
        <v>0.0972</v>
      </c>
      <c r="M242" s="183" t="n">
        <f aca="false">+L242</f>
        <v>0.0972</v>
      </c>
      <c r="N242" s="183" t="n">
        <f aca="false">+M242</f>
        <v>0.0972</v>
      </c>
      <c r="O242" s="183" t="n">
        <f aca="false">+N242</f>
        <v>0.0972</v>
      </c>
      <c r="P242" s="183" t="n">
        <f aca="false">+O242</f>
        <v>0.0972</v>
      </c>
      <c r="Q242" s="183" t="n">
        <f aca="false">+P242</f>
        <v>0.0972</v>
      </c>
      <c r="R242" s="183" t="n">
        <f aca="false">+Q242</f>
        <v>0.0972</v>
      </c>
      <c r="S242" s="183" t="n">
        <f aca="false">+R242</f>
        <v>0.0972</v>
      </c>
      <c r="T242" s="183" t="n">
        <f aca="false">+S242</f>
        <v>0.0972</v>
      </c>
      <c r="U242" s="183" t="n">
        <f aca="false">+T242</f>
        <v>0.0972</v>
      </c>
      <c r="V242" s="183" t="n">
        <f aca="false">+U242</f>
        <v>0.0972</v>
      </c>
      <c r="W242" s="183" t="n">
        <f aca="false">+V242</f>
        <v>0.0972</v>
      </c>
      <c r="X242" s="183"/>
      <c r="Y242" s="183"/>
      <c r="Z242" s="183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128" t="s">
        <v>92</v>
      </c>
    </row>
    <row r="243" customFormat="false" ht="12.75" hidden="false" customHeight="false" outlineLevel="0" collapsed="false">
      <c r="A243" s="3"/>
      <c r="B243" s="2" t="s">
        <v>153</v>
      </c>
      <c r="C243" s="2"/>
      <c r="D243" s="3"/>
      <c r="E243" s="3"/>
      <c r="F243" s="183"/>
      <c r="G243" s="114"/>
      <c r="H243" s="97" t="n">
        <f aca="false">+H242*H241</f>
        <v>1069.2</v>
      </c>
      <c r="I243" s="97" t="n">
        <f aca="false">+I242*I241</f>
        <v>1069.2</v>
      </c>
      <c r="J243" s="97" t="n">
        <f aca="false">+J242*J241</f>
        <v>1069.2</v>
      </c>
      <c r="K243" s="97" t="n">
        <f aca="false">+K242*K241</f>
        <v>1069.2</v>
      </c>
      <c r="L243" s="97" t="n">
        <f aca="false">+L242*L241</f>
        <v>1069.2</v>
      </c>
      <c r="M243" s="97" t="n">
        <f aca="false">+M242*M241</f>
        <v>1069.2</v>
      </c>
      <c r="N243" s="97" t="n">
        <f aca="false">+N242*N241</f>
        <v>1069.2</v>
      </c>
      <c r="O243" s="97" t="n">
        <f aca="false">+O242*O241</f>
        <v>1069.2</v>
      </c>
      <c r="P243" s="97" t="n">
        <f aca="false">+P242*P241</f>
        <v>1069.2</v>
      </c>
      <c r="Q243" s="97" t="n">
        <f aca="false">+Q242*Q241</f>
        <v>1069.2</v>
      </c>
      <c r="R243" s="97" t="n">
        <f aca="false">+R242*R241</f>
        <v>1069.2</v>
      </c>
      <c r="S243" s="97" t="n">
        <f aca="false">+S242*S241</f>
        <v>1003.3303302</v>
      </c>
      <c r="T243" s="97" t="n">
        <f aca="false">+T242*T241</f>
        <v>821.3765472</v>
      </c>
      <c r="U243" s="97" t="n">
        <f aca="false">+U242*U241</f>
        <v>622.0466604</v>
      </c>
      <c r="V243" s="97" t="n">
        <f aca="false">+V242*V241</f>
        <v>402.668739</v>
      </c>
      <c r="W243" s="97" t="n">
        <f aca="false">+W242*W241</f>
        <v>160.38</v>
      </c>
      <c r="X243" s="97"/>
      <c r="Y243" s="97"/>
      <c r="Z243" s="97"/>
      <c r="AA243" s="118"/>
      <c r="AB243" s="118"/>
      <c r="AC243" s="118"/>
      <c r="AD243" s="118"/>
      <c r="AE243" s="118"/>
      <c r="AF243" s="118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128" t="s">
        <v>92</v>
      </c>
    </row>
    <row r="244" customFormat="false" ht="12.75" hidden="false" customHeight="false" outlineLevel="0" collapsed="false">
      <c r="A244" s="3"/>
      <c r="B244" s="2"/>
      <c r="C244" s="2"/>
      <c r="D244" s="3"/>
      <c r="E244" s="3"/>
      <c r="F244" s="114"/>
      <c r="G244" s="114"/>
      <c r="H244" s="114"/>
      <c r="I244" s="114"/>
      <c r="J244" s="114"/>
      <c r="K244" s="114"/>
      <c r="L244" s="114"/>
      <c r="M244" s="114"/>
      <c r="N244" s="114"/>
      <c r="O244" s="114"/>
      <c r="P244" s="114"/>
      <c r="Q244" s="114"/>
      <c r="R244" s="114"/>
      <c r="S244" s="114"/>
      <c r="T244" s="114"/>
      <c r="U244" s="114"/>
      <c r="V244" s="114"/>
      <c r="W244" s="114"/>
      <c r="X244" s="114"/>
      <c r="Y244" s="114"/>
      <c r="Z244" s="11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128" t="s">
        <v>92</v>
      </c>
    </row>
    <row r="245" customFormat="false" ht="12.75" hidden="false" customHeight="false" outlineLevel="0" collapsed="false">
      <c r="A245" s="3"/>
      <c r="B245" s="48" t="s">
        <v>168</v>
      </c>
      <c r="C245" s="2"/>
      <c r="D245" s="3"/>
      <c r="E245" s="3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4"/>
      <c r="R245" s="114"/>
      <c r="S245" s="114"/>
      <c r="T245" s="114"/>
      <c r="U245" s="114"/>
      <c r="V245" s="114"/>
      <c r="W245" s="114"/>
      <c r="X245" s="114"/>
      <c r="Y245" s="114"/>
      <c r="Z245" s="11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128" t="s">
        <v>92</v>
      </c>
    </row>
    <row r="246" customFormat="false" ht="12.75" hidden="false" customHeight="false" outlineLevel="0" collapsed="false">
      <c r="A246" s="3"/>
      <c r="B246" s="184" t="s">
        <v>166</v>
      </c>
      <c r="C246" s="171"/>
      <c r="D246" s="185"/>
      <c r="E246" s="185"/>
      <c r="F246" s="125"/>
      <c r="G246" s="114"/>
      <c r="H246" s="90" t="n">
        <v>119000</v>
      </c>
      <c r="I246" s="97" t="n">
        <f aca="false">+H246</f>
        <v>119000</v>
      </c>
      <c r="J246" s="97" t="n">
        <f aca="false">+I246</f>
        <v>119000</v>
      </c>
      <c r="K246" s="97" t="n">
        <f aca="false">+J246</f>
        <v>119000</v>
      </c>
      <c r="L246" s="97" t="n">
        <f aca="false">+K246</f>
        <v>119000</v>
      </c>
      <c r="M246" s="97" t="n">
        <f aca="false">+L246</f>
        <v>119000</v>
      </c>
      <c r="N246" s="90" t="n">
        <v>84000</v>
      </c>
      <c r="O246" s="97" t="n">
        <f aca="false">+N246</f>
        <v>84000</v>
      </c>
      <c r="P246" s="97" t="n">
        <f aca="false">+O246</f>
        <v>84000</v>
      </c>
      <c r="Q246" s="90" t="n">
        <v>54000</v>
      </c>
      <c r="R246" s="97" t="n">
        <f aca="false">+Q246</f>
        <v>54000</v>
      </c>
      <c r="S246" s="97" t="n">
        <f aca="false">+R246</f>
        <v>54000</v>
      </c>
      <c r="T246" s="97"/>
      <c r="U246" s="97"/>
      <c r="V246" s="97"/>
      <c r="W246" s="97"/>
      <c r="X246" s="97"/>
      <c r="Y246" s="97"/>
      <c r="Z246" s="97"/>
      <c r="AA246" s="118"/>
      <c r="AB246" s="118"/>
      <c r="AC246" s="118"/>
      <c r="AD246" s="118"/>
      <c r="AE246" s="118"/>
      <c r="AF246" s="118"/>
      <c r="AG246" s="118"/>
      <c r="AH246" s="118"/>
      <c r="AI246" s="118"/>
      <c r="AJ246" s="118"/>
      <c r="AK246" s="118"/>
      <c r="AL246" s="118"/>
      <c r="AM246" s="118"/>
      <c r="AN246" s="118"/>
      <c r="AO246" s="118"/>
      <c r="AP246" s="118"/>
      <c r="AQ246" s="118"/>
      <c r="AR246" s="128" t="s">
        <v>92</v>
      </c>
      <c r="AS246" s="97"/>
      <c r="AT246" s="97"/>
      <c r="AU246" s="97"/>
      <c r="AV246" s="97"/>
      <c r="AW246" s="97"/>
      <c r="AX246" s="97"/>
      <c r="AY246" s="97"/>
      <c r="AZ246" s="97"/>
      <c r="BA246" s="97"/>
      <c r="BB246" s="97"/>
      <c r="BC246" s="97"/>
      <c r="BD246" s="97"/>
      <c r="BE246" s="97"/>
      <c r="BF246" s="97"/>
      <c r="BG246" s="97"/>
      <c r="BH246" s="97"/>
      <c r="BI246" s="97"/>
      <c r="BJ246" s="97"/>
      <c r="BK246" s="97"/>
      <c r="BL246" s="97"/>
      <c r="BM246" s="97"/>
      <c r="BN246" s="97"/>
      <c r="BO246" s="97"/>
      <c r="BP246" s="97"/>
      <c r="BQ246" s="97"/>
      <c r="BR246" s="97"/>
      <c r="BS246" s="97"/>
      <c r="BT246" s="97"/>
      <c r="BU246" s="97"/>
      <c r="BV246" s="97"/>
      <c r="BW246" s="97"/>
      <c r="BX246" s="97"/>
      <c r="BY246" s="97"/>
      <c r="BZ246" s="97"/>
      <c r="CA246" s="97"/>
      <c r="CB246" s="97"/>
      <c r="CC246" s="97"/>
      <c r="CD246" s="97"/>
      <c r="CE246" s="97"/>
      <c r="CF246" s="97"/>
      <c r="CG246" s="97"/>
      <c r="CH246" s="97"/>
      <c r="CI246" s="97"/>
      <c r="CJ246" s="97"/>
      <c r="CK246" s="97"/>
      <c r="CL246" s="97"/>
      <c r="CM246" s="97"/>
      <c r="CN246" s="97"/>
      <c r="CO246" s="97"/>
      <c r="CP246" s="97"/>
      <c r="CQ246" s="97"/>
      <c r="CR246" s="97"/>
      <c r="CS246" s="97"/>
      <c r="CT246" s="97"/>
      <c r="CU246" s="97"/>
      <c r="CV246" s="97"/>
      <c r="CW246" s="97"/>
      <c r="CX246" s="97"/>
      <c r="CY246" s="97"/>
      <c r="CZ246" s="97"/>
      <c r="DA246" s="97"/>
      <c r="DB246" s="97"/>
      <c r="DC246" s="97"/>
      <c r="DD246" s="97"/>
      <c r="DE246" s="97"/>
      <c r="DF246" s="97"/>
      <c r="DG246" s="97"/>
      <c r="DH246" s="97"/>
      <c r="DI246" s="97"/>
      <c r="DJ246" s="97"/>
      <c r="DK246" s="97"/>
      <c r="DL246" s="97"/>
      <c r="DM246" s="97"/>
      <c r="DN246" s="97"/>
      <c r="DO246" s="97"/>
      <c r="DP246" s="97"/>
      <c r="DQ246" s="97"/>
      <c r="DR246" s="97"/>
      <c r="DS246" s="97"/>
      <c r="DT246" s="97"/>
      <c r="DU246" s="97"/>
      <c r="DV246" s="97"/>
    </row>
    <row r="247" customFormat="false" ht="12.75" hidden="false" customHeight="false" outlineLevel="0" collapsed="false">
      <c r="A247" s="3"/>
      <c r="B247" s="2" t="s">
        <v>169</v>
      </c>
      <c r="C247" s="2"/>
      <c r="D247" s="3"/>
      <c r="E247" s="3"/>
      <c r="F247" s="183"/>
      <c r="G247" s="114"/>
      <c r="H247" s="52" t="n">
        <f aca="false">0.083*30/119+0.08365*24/119+0.0826*35/119+0.0685*30/119</f>
        <v>0.0793579831932773</v>
      </c>
      <c r="I247" s="52" t="n">
        <f aca="false">0.083*30/119+0.08365*24/119+0.0826*35/119+0.0685*30/119</f>
        <v>0.0793579831932773</v>
      </c>
      <c r="J247" s="52" t="n">
        <f aca="false">0.083*30/119+0.08365*24/119+0.0826*35/119+0.0685*30/119</f>
        <v>0.0793579831932773</v>
      </c>
      <c r="K247" s="52" t="n">
        <f aca="false">0.083*30/119+0.08365*24/119+0.0826*35/119+0.0685*30/119</f>
        <v>0.0793579831932773</v>
      </c>
      <c r="L247" s="52" t="n">
        <f aca="false">0.083*30/119+0.08365*24/119+0.0826*35/119+0.0685*30/119</f>
        <v>0.0793579831932773</v>
      </c>
      <c r="M247" s="52" t="n">
        <f aca="false">0.083*30/119+0.08365*24/119+0.0826*35/119+0.0685*30/119</f>
        <v>0.0793579831932773</v>
      </c>
      <c r="N247" s="52" t="n">
        <f aca="false">0.083*30/84+0.08365*24/84+0.0685*30/84</f>
        <v>0.0780071428571429</v>
      </c>
      <c r="O247" s="52" t="n">
        <f aca="false">0.083*30/84+0.08365*24/84+0.0685*30/84</f>
        <v>0.0780071428571429</v>
      </c>
      <c r="P247" s="52" t="n">
        <f aca="false">0.083*30/84+0.08365*24/84+0.0685*30/84</f>
        <v>0.0780071428571429</v>
      </c>
      <c r="Q247" s="52" t="n">
        <f aca="false">0.08365*24/54+0.0685*30/54</f>
        <v>0.0752333333333334</v>
      </c>
      <c r="R247" s="52" t="n">
        <f aca="false">0.08365*24/54+0.0685*30/54</f>
        <v>0.0752333333333334</v>
      </c>
      <c r="S247" s="52" t="n">
        <f aca="false">0.08365*24/54+0.0685*30/54</f>
        <v>0.0752333333333334</v>
      </c>
      <c r="T247" s="52" t="n">
        <v>0</v>
      </c>
      <c r="U247" s="52" t="n">
        <v>0</v>
      </c>
      <c r="V247" s="52" t="n">
        <v>0</v>
      </c>
      <c r="W247" s="52" t="n">
        <v>0</v>
      </c>
      <c r="X247" s="183"/>
      <c r="Y247" s="183"/>
      <c r="Z247" s="183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128" t="s">
        <v>92</v>
      </c>
    </row>
    <row r="248" customFormat="false" ht="13.5" hidden="false" customHeight="false" outlineLevel="0" collapsed="false">
      <c r="A248" s="3"/>
      <c r="B248" s="2" t="s">
        <v>12</v>
      </c>
      <c r="C248" s="2"/>
      <c r="D248" s="3"/>
      <c r="E248" s="3"/>
      <c r="F248" s="183"/>
      <c r="G248" s="114"/>
      <c r="H248" s="186" t="n">
        <v>0.01375</v>
      </c>
      <c r="I248" s="186" t="n">
        <v>0.01375</v>
      </c>
      <c r="J248" s="186" t="n">
        <v>0.01375</v>
      </c>
      <c r="K248" s="186" t="n">
        <v>0.01375</v>
      </c>
      <c r="L248" s="186" t="n">
        <v>0.01625</v>
      </c>
      <c r="M248" s="186" t="n">
        <v>0.01625</v>
      </c>
      <c r="N248" s="186" t="n">
        <v>0.01625</v>
      </c>
      <c r="O248" s="186" t="n">
        <v>0.01625</v>
      </c>
      <c r="P248" s="186" t="n">
        <v>0.01875</v>
      </c>
      <c r="Q248" s="186" t="n">
        <v>0.01875</v>
      </c>
      <c r="R248" s="186" t="n">
        <v>0.01875</v>
      </c>
      <c r="S248" s="186" t="n">
        <v>0.01875</v>
      </c>
      <c r="T248" s="186" t="n">
        <v>0.02</v>
      </c>
      <c r="U248" s="186" t="n">
        <v>0.02</v>
      </c>
      <c r="V248" s="186" t="n">
        <v>0.02</v>
      </c>
      <c r="W248" s="186" t="n">
        <v>0.02</v>
      </c>
      <c r="X248" s="183"/>
      <c r="Y248" s="183"/>
      <c r="Z248" s="183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128" t="s">
        <v>92</v>
      </c>
    </row>
    <row r="249" customFormat="false" ht="12.75" hidden="false" customHeight="false" outlineLevel="0" collapsed="false">
      <c r="A249" s="3"/>
      <c r="B249" s="2" t="s">
        <v>170</v>
      </c>
      <c r="C249" s="2"/>
      <c r="D249" s="3"/>
      <c r="E249" s="3"/>
      <c r="F249" s="183"/>
      <c r="G249" s="114"/>
      <c r="H249" s="183" t="n">
        <f aca="false">(H247+H248)*365/360</f>
        <v>0.0944011496265173</v>
      </c>
      <c r="I249" s="183" t="n">
        <f aca="false">(I247+I248)*365/360</f>
        <v>0.0944011496265173</v>
      </c>
      <c r="J249" s="183" t="n">
        <f aca="false">(J247+J248)*365/360</f>
        <v>0.0944011496265173</v>
      </c>
      <c r="K249" s="183" t="n">
        <f aca="false">(K247+K248)*365/360</f>
        <v>0.0944011496265173</v>
      </c>
      <c r="L249" s="183" t="n">
        <f aca="false">(L247+L248)*365/360</f>
        <v>0.0969358718487395</v>
      </c>
      <c r="M249" s="183" t="n">
        <f aca="false">(M247+M248)*365/360</f>
        <v>0.0969358718487395</v>
      </c>
      <c r="N249" s="183" t="n">
        <f aca="false">(N247+N248)*365/360</f>
        <v>0.0955662698412698</v>
      </c>
      <c r="O249" s="183" t="n">
        <f aca="false">(O247+O248)*365/360</f>
        <v>0.0955662698412698</v>
      </c>
      <c r="P249" s="183" t="n">
        <f aca="false">(P247+P248)*365/360</f>
        <v>0.0981009920634921</v>
      </c>
      <c r="Q249" s="183" t="n">
        <f aca="false">(Q247+Q248)*365/360</f>
        <v>0.0952886574074074</v>
      </c>
      <c r="R249" s="183" t="n">
        <f aca="false">(R247+R248)*365/360</f>
        <v>0.0952886574074074</v>
      </c>
      <c r="S249" s="183" t="n">
        <f aca="false">(S247+S248)*365/360</f>
        <v>0.0952886574074074</v>
      </c>
      <c r="T249" s="183" t="n">
        <f aca="false">(T247+T248)*365/360</f>
        <v>0.0202777777777778</v>
      </c>
      <c r="U249" s="183" t="n">
        <f aca="false">(U247+U248)*365/360</f>
        <v>0.0202777777777778</v>
      </c>
      <c r="V249" s="183" t="n">
        <f aca="false">(V247+V248)*365/360</f>
        <v>0.0202777777777778</v>
      </c>
      <c r="W249" s="183" t="n">
        <f aca="false">(W247+W248)*365/360</f>
        <v>0.0202777777777778</v>
      </c>
      <c r="X249" s="183"/>
      <c r="Y249" s="183"/>
      <c r="Z249" s="183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128" t="s">
        <v>92</v>
      </c>
    </row>
    <row r="250" customFormat="false" ht="12.75" hidden="false" customHeight="false" outlineLevel="0" collapsed="false">
      <c r="A250" s="3"/>
      <c r="B250" s="2" t="s">
        <v>153</v>
      </c>
      <c r="C250" s="2"/>
      <c r="D250" s="3"/>
      <c r="E250" s="3"/>
      <c r="F250" s="183"/>
      <c r="G250" s="114"/>
      <c r="H250" s="97" t="n">
        <f aca="false">+H249*H246</f>
        <v>11233.7368055556</v>
      </c>
      <c r="I250" s="97" t="n">
        <f aca="false">+I249*I246</f>
        <v>11233.7368055556</v>
      </c>
      <c r="J250" s="97" t="n">
        <f aca="false">+J249*J246</f>
        <v>11233.7368055556</v>
      </c>
      <c r="K250" s="97" t="n">
        <f aca="false">+K249*K246</f>
        <v>11233.7368055556</v>
      </c>
      <c r="L250" s="97" t="n">
        <f aca="false">+L249*L246</f>
        <v>11535.36875</v>
      </c>
      <c r="M250" s="97" t="n">
        <f aca="false">+M249*M246</f>
        <v>11535.36875</v>
      </c>
      <c r="N250" s="97" t="n">
        <f aca="false">+N249*N246</f>
        <v>8027.56666666667</v>
      </c>
      <c r="O250" s="97" t="n">
        <f aca="false">+O249*O246</f>
        <v>8027.56666666667</v>
      </c>
      <c r="P250" s="97" t="n">
        <f aca="false">+P249*P246</f>
        <v>8240.48333333333</v>
      </c>
      <c r="Q250" s="97" t="n">
        <f aca="false">+Q249*Q246</f>
        <v>5145.5875</v>
      </c>
      <c r="R250" s="97" t="n">
        <f aca="false">+R249*R246</f>
        <v>5145.5875</v>
      </c>
      <c r="S250" s="97" t="n">
        <f aca="false">+S249*S246</f>
        <v>5145.5875</v>
      </c>
      <c r="T250" s="97" t="n">
        <f aca="false">+T249*T246</f>
        <v>0</v>
      </c>
      <c r="U250" s="97" t="n">
        <f aca="false">+U249*U246</f>
        <v>0</v>
      </c>
      <c r="V250" s="97" t="n">
        <f aca="false">+V249*V246</f>
        <v>0</v>
      </c>
      <c r="W250" s="97" t="n">
        <f aca="false">+W249*W246</f>
        <v>0</v>
      </c>
      <c r="X250" s="97"/>
      <c r="Y250" s="97"/>
      <c r="Z250" s="97"/>
      <c r="AA250" s="118"/>
      <c r="AB250" s="118"/>
      <c r="AC250" s="118"/>
      <c r="AD250" s="118"/>
      <c r="AE250" s="118"/>
      <c r="AF250" s="118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128" t="s">
        <v>92</v>
      </c>
    </row>
    <row r="251" customFormat="false" ht="12.75" hidden="false" customHeight="false" outlineLevel="0" collapsed="false">
      <c r="A251" s="3"/>
      <c r="B251" s="2"/>
      <c r="C251" s="2"/>
      <c r="D251" s="3"/>
      <c r="E251" s="3"/>
      <c r="F251" s="183"/>
      <c r="G251" s="183"/>
      <c r="H251" s="183"/>
      <c r="I251" s="183"/>
      <c r="J251" s="183"/>
      <c r="K251" s="183"/>
      <c r="L251" s="183"/>
      <c r="M251" s="183"/>
      <c r="N251" s="183"/>
      <c r="O251" s="183"/>
      <c r="P251" s="183"/>
      <c r="Q251" s="183"/>
      <c r="R251" s="183"/>
      <c r="S251" s="183"/>
      <c r="T251" s="183"/>
      <c r="U251" s="183"/>
      <c r="V251" s="183"/>
      <c r="W251" s="183"/>
      <c r="X251" s="183"/>
      <c r="Y251" s="183"/>
      <c r="Z251" s="183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128" t="s">
        <v>92</v>
      </c>
    </row>
    <row r="252" customFormat="false" ht="12.75" hidden="false" customHeight="false" outlineLevel="0" collapsed="false">
      <c r="A252" s="3"/>
      <c r="B252" s="48" t="s">
        <v>171</v>
      </c>
      <c r="C252" s="2"/>
      <c r="D252" s="3"/>
      <c r="E252" s="3"/>
      <c r="F252" s="114"/>
      <c r="G252" s="114"/>
      <c r="H252" s="114"/>
      <c r="I252" s="114"/>
      <c r="J252" s="114"/>
      <c r="K252" s="114"/>
      <c r="L252" s="114"/>
      <c r="M252" s="114"/>
      <c r="N252" s="114"/>
      <c r="O252" s="114"/>
      <c r="P252" s="114"/>
      <c r="Q252" s="114"/>
      <c r="R252" s="114"/>
      <c r="S252" s="114"/>
      <c r="T252" s="114"/>
      <c r="U252" s="114"/>
      <c r="V252" s="114"/>
      <c r="W252" s="114"/>
      <c r="X252" s="114"/>
      <c r="Y252" s="114"/>
      <c r="Z252" s="11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128" t="s">
        <v>92</v>
      </c>
    </row>
    <row r="253" customFormat="false" ht="12.75" hidden="false" customHeight="false" outlineLevel="0" collapsed="false">
      <c r="A253" s="3"/>
      <c r="B253" s="184" t="s">
        <v>166</v>
      </c>
      <c r="C253" s="171"/>
      <c r="D253" s="185"/>
      <c r="E253" s="3"/>
      <c r="F253" s="125"/>
      <c r="G253" s="114"/>
      <c r="H253" s="90" t="n">
        <v>14654.15625</v>
      </c>
      <c r="I253" s="97" t="n">
        <f aca="false">+I286-I246-I241</f>
        <v>12445.90625</v>
      </c>
      <c r="J253" s="97" t="n">
        <f aca="false">+J286-J246-J241</f>
        <v>10087.09375</v>
      </c>
      <c r="K253" s="97" t="n">
        <f aca="false">+K286-K246-K241</f>
        <v>7326.78125</v>
      </c>
      <c r="L253" s="97" t="n">
        <f aca="false">+L286-L246-L241</f>
        <v>4164.96875</v>
      </c>
      <c r="M253" s="97" t="n">
        <f aca="false">+M286-M246-M241</f>
        <v>601.65625</v>
      </c>
      <c r="N253" s="97" t="n">
        <f aca="false">+N286-N246-N241</f>
        <v>29992.70125</v>
      </c>
      <c r="O253" s="97" t="n">
        <f aca="false">+O286-O246-O241</f>
        <v>20844.52375</v>
      </c>
      <c r="P253" s="97" t="n">
        <f aca="false">+P286-P246-P241</f>
        <v>11041.90125</v>
      </c>
      <c r="Q253" s="97" t="n">
        <f aca="false">+Q286-Q246-Q241</f>
        <v>31152.95625</v>
      </c>
      <c r="R253" s="97" t="n">
        <f aca="false">+R286-R246-R241</f>
        <v>19750.35625</v>
      </c>
      <c r="S253" s="97" t="n">
        <f aca="false">+S286-S246-S241</f>
        <v>5706.68525</v>
      </c>
      <c r="T253" s="97" t="n">
        <f aca="false">+T286-T246-T241</f>
        <v>45324.744</v>
      </c>
      <c r="U253" s="97" t="n">
        <f aca="false">+U286-U246-U241</f>
        <v>34325.433</v>
      </c>
      <c r="V253" s="97" t="n">
        <f aca="false">+V286-V246-V241</f>
        <v>22219.8425</v>
      </c>
      <c r="W253" s="97" t="n">
        <f aca="false">+W286-W246-W241</f>
        <v>8849.99999999999</v>
      </c>
      <c r="X253" s="97"/>
      <c r="Y253" s="97"/>
      <c r="Z253" s="97"/>
      <c r="AA253" s="118"/>
      <c r="AB253" s="118"/>
      <c r="AC253" s="118"/>
      <c r="AD253" s="118"/>
      <c r="AE253" s="118"/>
      <c r="AF253" s="118"/>
      <c r="AG253" s="118"/>
      <c r="AH253" s="118"/>
      <c r="AI253" s="118"/>
      <c r="AJ253" s="118"/>
      <c r="AK253" s="118"/>
      <c r="AL253" s="118"/>
      <c r="AM253" s="118"/>
      <c r="AN253" s="118"/>
      <c r="AO253" s="118"/>
      <c r="AP253" s="118"/>
      <c r="AQ253" s="118"/>
      <c r="AR253" s="128" t="s">
        <v>92</v>
      </c>
      <c r="AS253" s="97"/>
      <c r="AT253" s="97"/>
      <c r="AU253" s="97"/>
      <c r="AV253" s="97"/>
      <c r="AW253" s="97"/>
      <c r="AX253" s="97"/>
      <c r="AY253" s="97"/>
      <c r="AZ253" s="97"/>
      <c r="BA253" s="97"/>
      <c r="BB253" s="97"/>
      <c r="BC253" s="97"/>
      <c r="BD253" s="97"/>
      <c r="BE253" s="97"/>
      <c r="BF253" s="97"/>
      <c r="BG253" s="97"/>
      <c r="BH253" s="97"/>
      <c r="BI253" s="97"/>
      <c r="BJ253" s="97"/>
      <c r="BK253" s="97"/>
      <c r="BL253" s="97"/>
      <c r="BM253" s="97"/>
      <c r="BN253" s="97"/>
      <c r="BO253" s="97"/>
      <c r="BP253" s="97"/>
      <c r="BQ253" s="97"/>
      <c r="BR253" s="97"/>
      <c r="BS253" s="97"/>
      <c r="BT253" s="97"/>
      <c r="BU253" s="97"/>
      <c r="BV253" s="97"/>
      <c r="BW253" s="97"/>
      <c r="BX253" s="97"/>
      <c r="BY253" s="97"/>
      <c r="BZ253" s="97"/>
      <c r="CA253" s="97"/>
      <c r="CB253" s="97"/>
      <c r="CC253" s="97"/>
      <c r="CD253" s="97"/>
      <c r="CE253" s="97"/>
      <c r="CF253" s="97"/>
      <c r="CG253" s="97"/>
      <c r="CH253" s="97"/>
      <c r="CI253" s="97"/>
      <c r="CJ253" s="97"/>
      <c r="CK253" s="97"/>
      <c r="CL253" s="97"/>
      <c r="CM253" s="97"/>
      <c r="CN253" s="97"/>
      <c r="CO253" s="97"/>
      <c r="CP253" s="97"/>
      <c r="CQ253" s="97"/>
      <c r="CR253" s="97"/>
      <c r="CS253" s="97"/>
      <c r="CT253" s="97"/>
      <c r="CU253" s="97"/>
      <c r="CV253" s="97"/>
      <c r="CW253" s="97"/>
      <c r="CX253" s="97"/>
      <c r="CY253" s="97"/>
      <c r="CZ253" s="97"/>
      <c r="DA253" s="97"/>
      <c r="DB253" s="97"/>
      <c r="DC253" s="97"/>
      <c r="DD253" s="97"/>
      <c r="DE253" s="97"/>
      <c r="DF253" s="97"/>
      <c r="DG253" s="97"/>
      <c r="DH253" s="97"/>
      <c r="DI253" s="97"/>
      <c r="DJ253" s="97"/>
      <c r="DK253" s="97"/>
      <c r="DL253" s="97"/>
      <c r="DM253" s="97"/>
      <c r="DN253" s="97"/>
      <c r="DO253" s="97"/>
      <c r="DP253" s="97"/>
      <c r="DQ253" s="97"/>
      <c r="DR253" s="97"/>
      <c r="DS253" s="97"/>
      <c r="DT253" s="97"/>
      <c r="DU253" s="97"/>
      <c r="DV253" s="97"/>
    </row>
    <row r="254" customFormat="false" ht="12.75" hidden="false" customHeight="false" outlineLevel="0" collapsed="false">
      <c r="A254" s="3"/>
      <c r="B254" s="2" t="s">
        <v>169</v>
      </c>
      <c r="C254" s="2"/>
      <c r="D254" s="3"/>
      <c r="E254" s="3"/>
      <c r="F254" s="183"/>
      <c r="G254" s="183"/>
      <c r="H254" s="52" t="n">
        <v>0.0795703289198363</v>
      </c>
      <c r="I254" s="52" t="n">
        <v>0.079271170623506</v>
      </c>
      <c r="J254" s="52" t="n">
        <v>0.0792209636560773</v>
      </c>
      <c r="K254" s="52" t="n">
        <v>0.0797979010789283</v>
      </c>
      <c r="L254" s="52" t="n">
        <v>0.0801598501314124</v>
      </c>
      <c r="M254" s="52" t="n">
        <v>0.0806895985431237</v>
      </c>
      <c r="N254" s="52" t="n">
        <v>0.0803874353313965</v>
      </c>
      <c r="O254" s="52" t="n">
        <v>0.0801961741600251</v>
      </c>
      <c r="P254" s="52" t="n">
        <v>0.0804504432920021</v>
      </c>
      <c r="Q254" s="52" t="n">
        <v>0.0792838160745068</v>
      </c>
      <c r="R254" s="52" t="n">
        <v>0.0791381599745416</v>
      </c>
      <c r="S254" s="52" t="n">
        <v>0.0788510194399784</v>
      </c>
      <c r="T254" s="52" t="n">
        <v>0.0787853580406772</v>
      </c>
      <c r="U254" s="52" t="n">
        <v>0.0787193404830064</v>
      </c>
      <c r="V254" s="52" t="n">
        <v>0.0788732769739881</v>
      </c>
      <c r="W254" s="52" t="n">
        <v>0.0785866487759193</v>
      </c>
      <c r="X254" s="183"/>
      <c r="Y254" s="183"/>
      <c r="Z254" s="183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128" t="s">
        <v>92</v>
      </c>
    </row>
    <row r="255" customFormat="false" ht="13.5" hidden="false" customHeight="false" outlineLevel="0" collapsed="false">
      <c r="A255" s="3"/>
      <c r="B255" s="2" t="s">
        <v>12</v>
      </c>
      <c r="C255" s="2"/>
      <c r="D255" s="3"/>
      <c r="E255" s="76"/>
      <c r="F255" s="183"/>
      <c r="G255" s="183"/>
      <c r="H255" s="187" t="n">
        <f aca="false">+H248</f>
        <v>0.01375</v>
      </c>
      <c r="I255" s="187" t="n">
        <f aca="false">+I248</f>
        <v>0.01375</v>
      </c>
      <c r="J255" s="187" t="n">
        <f aca="false">+J248</f>
        <v>0.01375</v>
      </c>
      <c r="K255" s="187" t="n">
        <f aca="false">+K248</f>
        <v>0.01375</v>
      </c>
      <c r="L255" s="187" t="n">
        <f aca="false">+L248</f>
        <v>0.01625</v>
      </c>
      <c r="M255" s="187" t="n">
        <f aca="false">+M248</f>
        <v>0.01625</v>
      </c>
      <c r="N255" s="187" t="n">
        <f aca="false">+N248</f>
        <v>0.01625</v>
      </c>
      <c r="O255" s="187" t="n">
        <f aca="false">+O248</f>
        <v>0.01625</v>
      </c>
      <c r="P255" s="187" t="n">
        <f aca="false">+P248</f>
        <v>0.01875</v>
      </c>
      <c r="Q255" s="187" t="n">
        <f aca="false">+Q248</f>
        <v>0.01875</v>
      </c>
      <c r="R255" s="187" t="n">
        <f aca="false">+R248</f>
        <v>0.01875</v>
      </c>
      <c r="S255" s="187" t="n">
        <f aca="false">+S248</f>
        <v>0.01875</v>
      </c>
      <c r="T255" s="187" t="n">
        <f aca="false">+T248</f>
        <v>0.02</v>
      </c>
      <c r="U255" s="187" t="n">
        <f aca="false">+U248</f>
        <v>0.02</v>
      </c>
      <c r="V255" s="187" t="n">
        <f aca="false">+V248</f>
        <v>0.02</v>
      </c>
      <c r="W255" s="187" t="n">
        <f aca="false">+W248</f>
        <v>0.02</v>
      </c>
      <c r="X255" s="183"/>
      <c r="Y255" s="183"/>
      <c r="Z255" s="183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128" t="s">
        <v>92</v>
      </c>
    </row>
    <row r="256" customFormat="false" ht="12.75" hidden="false" customHeight="false" outlineLevel="0" collapsed="false">
      <c r="A256" s="3"/>
      <c r="B256" s="2" t="s">
        <v>170</v>
      </c>
      <c r="C256" s="2"/>
      <c r="D256" s="3"/>
      <c r="E256" s="76"/>
      <c r="F256" s="183"/>
      <c r="G256" s="183"/>
      <c r="H256" s="183" t="n">
        <f aca="false">SUM(H254:H255)*365/360</f>
        <v>0.0946164445992785</v>
      </c>
      <c r="I256" s="183" t="n">
        <f aca="false">SUM(I254:I255)*365/360</f>
        <v>0.0943131313266102</v>
      </c>
      <c r="J256" s="183" t="n">
        <f aca="false">SUM(J254:J255)*365/360</f>
        <v>0.0942622270401895</v>
      </c>
      <c r="K256" s="183" t="n">
        <f aca="false">SUM(K254:K255)*365/360</f>
        <v>0.0948471774828023</v>
      </c>
      <c r="L256" s="183" t="n">
        <f aca="false">SUM(L254:L255)*365/360</f>
        <v>0.097748875827682</v>
      </c>
      <c r="M256" s="183" t="n">
        <f aca="false">SUM(M254:M255)*365/360</f>
        <v>0.0982859818562227</v>
      </c>
      <c r="N256" s="183" t="n">
        <f aca="false">SUM(N254:N255)*365/360</f>
        <v>0.0979796219332215</v>
      </c>
      <c r="O256" s="183" t="n">
        <f aca="false">SUM(O254:O255)*365/360</f>
        <v>0.0977857043566921</v>
      </c>
      <c r="P256" s="183" t="n">
        <f aca="false">SUM(P254:P255)*365/360</f>
        <v>0.100578227226613</v>
      </c>
      <c r="Q256" s="183" t="n">
        <f aca="false">SUM(Q254:Q255)*365/360</f>
        <v>0.0993953968533194</v>
      </c>
      <c r="R256" s="183" t="n">
        <f aca="false">SUM(R254:R255)*365/360</f>
        <v>0.0992477177519658</v>
      </c>
      <c r="S256" s="183" t="n">
        <f aca="false">SUM(S254:S255)*365/360</f>
        <v>0.0989565891544225</v>
      </c>
      <c r="T256" s="183" t="n">
        <f aca="false">SUM(T254:T255)*365/360</f>
        <v>0.100157376902353</v>
      </c>
      <c r="U256" s="183" t="n">
        <f aca="false">SUM(U254:U255)*365/360</f>
        <v>0.100090442434159</v>
      </c>
      <c r="V256" s="183" t="n">
        <f aca="false">SUM(V254:V255)*365/360</f>
        <v>0.10024651693196</v>
      </c>
      <c r="W256" s="183" t="n">
        <f aca="false">SUM(W254:W255)*365/360</f>
        <v>0.0999559077866959</v>
      </c>
      <c r="X256" s="183"/>
      <c r="Y256" s="183"/>
      <c r="Z256" s="183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128" t="s">
        <v>92</v>
      </c>
    </row>
    <row r="257" customFormat="false" ht="12.75" hidden="false" customHeight="false" outlineLevel="0" collapsed="false">
      <c r="A257" s="3"/>
      <c r="B257" s="2" t="s">
        <v>153</v>
      </c>
      <c r="C257" s="2"/>
      <c r="D257" s="3"/>
      <c r="E257" s="3"/>
      <c r="F257" s="183"/>
      <c r="G257" s="97"/>
      <c r="H257" s="97" t="n">
        <f aca="false">+H256*H253</f>
        <v>1386.5241629773</v>
      </c>
      <c r="I257" s="97" t="n">
        <f aca="false">+I256*I253</f>
        <v>1173.81239063493</v>
      </c>
      <c r="J257" s="97" t="n">
        <f aca="false">+J256*J253</f>
        <v>950.831921238176</v>
      </c>
      <c r="K257" s="97" t="n">
        <f aca="false">+K256*K253</f>
        <v>694.924521596418</v>
      </c>
      <c r="L257" s="97" t="n">
        <f aca="false">+L256*L253</f>
        <v>407.121013169926</v>
      </c>
      <c r="M257" s="97" t="n">
        <f aca="false">+M256*M253</f>
        <v>59.134375271183</v>
      </c>
      <c r="N257" s="97" t="n">
        <f aca="false">+N256*N253</f>
        <v>2938.67352923106</v>
      </c>
      <c r="O257" s="97" t="n">
        <f aca="false">+O256*O253</f>
        <v>2038.29643687355</v>
      </c>
      <c r="P257" s="97" t="n">
        <f aca="false">+P256*P253</f>
        <v>1110.57485293632</v>
      </c>
      <c r="Q257" s="97" t="n">
        <f aca="false">+Q256*Q253</f>
        <v>3096.46044962285</v>
      </c>
      <c r="R257" s="97" t="n">
        <f aca="false">+R256*R253</f>
        <v>1960.17778260077</v>
      </c>
      <c r="S257" s="97" t="n">
        <f aca="false">+S256*S253</f>
        <v>564.714107717853</v>
      </c>
      <c r="T257" s="97" t="n">
        <f aca="false">+T256*T253</f>
        <v>4539.60746781067</v>
      </c>
      <c r="U257" s="97" t="n">
        <f aca="false">+U256*U253</f>
        <v>3435.64777571409</v>
      </c>
      <c r="V257" s="97" t="n">
        <f aca="false">+V256*V253</f>
        <v>2227.46181740174</v>
      </c>
      <c r="W257" s="97" t="n">
        <f aca="false">+W256*W253</f>
        <v>884.609783912258</v>
      </c>
      <c r="X257" s="97"/>
      <c r="Y257" s="97"/>
      <c r="Z257" s="97"/>
      <c r="AA257" s="118"/>
      <c r="AB257" s="118"/>
      <c r="AC257" s="118"/>
      <c r="AD257" s="118"/>
      <c r="AE257" s="118"/>
      <c r="AF257" s="118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128" t="s">
        <v>92</v>
      </c>
    </row>
    <row r="258" customFormat="false" ht="12.75" hidden="false" customHeight="false" outlineLevel="0" collapsed="false">
      <c r="A258" s="3"/>
      <c r="B258" s="2"/>
      <c r="C258" s="2"/>
      <c r="D258" s="3"/>
      <c r="E258" s="3"/>
      <c r="F258" s="183"/>
      <c r="G258" s="183"/>
      <c r="H258" s="183"/>
      <c r="I258" s="183"/>
      <c r="J258" s="183"/>
      <c r="K258" s="183"/>
      <c r="L258" s="183"/>
      <c r="M258" s="183"/>
      <c r="N258" s="183"/>
      <c r="O258" s="183"/>
      <c r="P258" s="183"/>
      <c r="Q258" s="183"/>
      <c r="R258" s="183"/>
      <c r="S258" s="183"/>
      <c r="T258" s="183"/>
      <c r="U258" s="183"/>
      <c r="V258" s="183"/>
      <c r="W258" s="183"/>
      <c r="X258" s="183"/>
      <c r="Y258" s="183"/>
      <c r="Z258" s="183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128" t="s">
        <v>92</v>
      </c>
    </row>
    <row r="259" customFormat="false" ht="12.75" hidden="false" customHeight="false" outlineLevel="0" collapsed="false">
      <c r="A259" s="3"/>
      <c r="B259" s="48" t="s">
        <v>172</v>
      </c>
      <c r="C259" s="2"/>
      <c r="D259" s="188"/>
      <c r="E259" s="3"/>
      <c r="F259" s="98" t="s">
        <v>173</v>
      </c>
      <c r="G259" s="189" t="n">
        <f aca="false">COUNTIF(H259:$Z259,"&gt;.01")</f>
        <v>12</v>
      </c>
      <c r="H259" s="52" t="n">
        <v>0.0275</v>
      </c>
      <c r="I259" s="52" t="n">
        <v>0.0275</v>
      </c>
      <c r="J259" s="52" t="n">
        <v>0.0325</v>
      </c>
      <c r="K259" s="52" t="n">
        <v>0.0375</v>
      </c>
      <c r="L259" s="52" t="n">
        <v>0.0425</v>
      </c>
      <c r="M259" s="52" t="n">
        <v>0.0475</v>
      </c>
      <c r="N259" s="52" t="n">
        <v>0.1071</v>
      </c>
      <c r="O259" s="52" t="n">
        <v>0.1253</v>
      </c>
      <c r="P259" s="52" t="n">
        <v>0.1167</v>
      </c>
      <c r="Q259" s="52" t="n">
        <v>0.1339</v>
      </c>
      <c r="R259" s="52" t="n">
        <v>0.1555</v>
      </c>
      <c r="S259" s="52" t="n">
        <v>0.0865</v>
      </c>
      <c r="T259" s="183"/>
      <c r="U259" s="183"/>
      <c r="V259" s="183"/>
      <c r="W259" s="183"/>
      <c r="X259" s="183"/>
      <c r="Y259" s="183"/>
      <c r="Z259" s="183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128" t="s">
        <v>92</v>
      </c>
    </row>
    <row r="260" customFormat="false" ht="12.75" hidden="false" customHeight="false" outlineLevel="0" collapsed="false">
      <c r="A260" s="3"/>
      <c r="B260" s="2" t="s">
        <v>174</v>
      </c>
      <c r="C260" s="2"/>
      <c r="D260" s="3"/>
      <c r="E260" s="3"/>
      <c r="F260" s="114"/>
      <c r="G260" s="97"/>
      <c r="H260" s="97" t="n">
        <f aca="false">+G268</f>
        <v>75482.25</v>
      </c>
      <c r="I260" s="97" t="n">
        <f aca="false">+H268</f>
        <v>73274</v>
      </c>
      <c r="J260" s="97" t="n">
        <f aca="false">+I268</f>
        <v>71065.75</v>
      </c>
      <c r="K260" s="97" t="n">
        <f aca="false">+J268</f>
        <v>68456</v>
      </c>
      <c r="L260" s="97" t="n">
        <f aca="false">+K268</f>
        <v>65444.75</v>
      </c>
      <c r="M260" s="97" t="n">
        <f aca="false">+L268</f>
        <v>62032</v>
      </c>
      <c r="N260" s="97" t="n">
        <f aca="false">+M268</f>
        <v>58217.75</v>
      </c>
      <c r="O260" s="97" t="n">
        <f aca="false">+N268</f>
        <v>49617.62</v>
      </c>
      <c r="P260" s="97" t="n">
        <f aca="false">+O268</f>
        <v>39556.03</v>
      </c>
      <c r="Q260" s="97" t="n">
        <f aca="false">+P268</f>
        <v>30185.02</v>
      </c>
      <c r="R260" s="97" t="n">
        <f aca="false">+Q268</f>
        <v>19432.85</v>
      </c>
      <c r="S260" s="97" t="n">
        <f aca="false">+R268</f>
        <v>6946.2</v>
      </c>
      <c r="T260" s="97"/>
      <c r="U260" s="97"/>
      <c r="V260" s="97"/>
      <c r="W260" s="97"/>
      <c r="X260" s="97"/>
      <c r="Y260" s="97"/>
      <c r="Z260" s="97"/>
      <c r="AA260" s="118"/>
      <c r="AB260" s="118"/>
      <c r="AC260" s="118"/>
      <c r="AD260" s="118"/>
      <c r="AE260" s="118"/>
      <c r="AF260" s="118"/>
      <c r="AG260" s="118"/>
      <c r="AH260" s="118"/>
      <c r="AI260" s="118"/>
      <c r="AJ260" s="118"/>
      <c r="AK260" s="118"/>
      <c r="AL260" s="118"/>
      <c r="AM260" s="118"/>
      <c r="AN260" s="118"/>
      <c r="AO260" s="118"/>
      <c r="AP260" s="118"/>
      <c r="AQ260" s="118"/>
      <c r="AR260" s="128" t="s">
        <v>92</v>
      </c>
      <c r="AS260" s="97"/>
      <c r="AT260" s="97"/>
      <c r="AU260" s="97"/>
      <c r="AV260" s="97"/>
      <c r="AW260" s="97"/>
      <c r="AX260" s="97"/>
      <c r="AY260" s="97"/>
      <c r="AZ260" s="97"/>
      <c r="BA260" s="97"/>
      <c r="BB260" s="97"/>
      <c r="BC260" s="97"/>
      <c r="BD260" s="97"/>
      <c r="BE260" s="97"/>
      <c r="BF260" s="97"/>
      <c r="BG260" s="97"/>
      <c r="BH260" s="97"/>
      <c r="BI260" s="97"/>
      <c r="BJ260" s="97"/>
      <c r="BK260" s="97"/>
      <c r="BL260" s="97"/>
      <c r="BM260" s="97"/>
      <c r="BN260" s="97"/>
      <c r="BO260" s="97"/>
      <c r="BP260" s="97"/>
      <c r="BQ260" s="97"/>
      <c r="BR260" s="97"/>
      <c r="BS260" s="97"/>
      <c r="BT260" s="97"/>
      <c r="BU260" s="97"/>
      <c r="BV260" s="97"/>
      <c r="BW260" s="97"/>
      <c r="BX260" s="97"/>
      <c r="BY260" s="97"/>
      <c r="BZ260" s="97"/>
      <c r="CA260" s="97"/>
      <c r="CB260" s="97"/>
      <c r="CC260" s="97"/>
      <c r="CD260" s="97"/>
      <c r="CE260" s="97"/>
      <c r="CF260" s="97"/>
      <c r="CG260" s="97"/>
      <c r="CH260" s="97"/>
      <c r="CI260" s="97"/>
      <c r="CJ260" s="97"/>
      <c r="CK260" s="97"/>
    </row>
    <row r="261" customFormat="false" ht="12.75" hidden="false" customHeight="false" outlineLevel="0" collapsed="false">
      <c r="A261" s="3"/>
      <c r="B261" s="2" t="s">
        <v>175</v>
      </c>
      <c r="C261" s="2"/>
      <c r="D261" s="3"/>
      <c r="E261" s="97"/>
      <c r="F261" s="114"/>
      <c r="G261" s="97"/>
      <c r="H261" s="97" t="n">
        <f aca="false">+H$259*$G$237/4</f>
        <v>552.0625</v>
      </c>
      <c r="I261" s="97" t="n">
        <f aca="false">+I$259*$G$237/4</f>
        <v>552.0625</v>
      </c>
      <c r="J261" s="97" t="n">
        <f aca="false">+J$259*$G$237/4</f>
        <v>652.4375</v>
      </c>
      <c r="K261" s="97" t="n">
        <f aca="false">+K$259*$G$237/4</f>
        <v>752.8125</v>
      </c>
      <c r="L261" s="97" t="n">
        <f aca="false">+L$259*$G$237/4</f>
        <v>853.1875</v>
      </c>
      <c r="M261" s="97" t="n">
        <f aca="false">+M$259*$G$237/4</f>
        <v>953.5625</v>
      </c>
      <c r="N261" s="97" t="n">
        <f aca="false">+N$259*$G$237/4</f>
        <v>2150.0325</v>
      </c>
      <c r="O261" s="97" t="n">
        <f aca="false">+O$259*$G$237/4</f>
        <v>2515.3975</v>
      </c>
      <c r="P261" s="97" t="n">
        <f aca="false">+P$259*$G$237/4</f>
        <v>2342.7525</v>
      </c>
      <c r="Q261" s="97" t="n">
        <f aca="false">+Q$259*$G$237/4</f>
        <v>2688.0425</v>
      </c>
      <c r="R261" s="97" t="n">
        <f aca="false">+R$259*$G$237/4</f>
        <v>3121.6625</v>
      </c>
      <c r="S261" s="97" t="n">
        <f aca="false">+S$259*$G$237/4</f>
        <v>1736.4875</v>
      </c>
      <c r="T261" s="97"/>
      <c r="U261" s="97"/>
      <c r="V261" s="97"/>
      <c r="W261" s="97"/>
      <c r="X261" s="97"/>
      <c r="Y261" s="97"/>
      <c r="Z261" s="97"/>
      <c r="AA261" s="118"/>
      <c r="AB261" s="118"/>
      <c r="AC261" s="118"/>
      <c r="AD261" s="118"/>
      <c r="AE261" s="118"/>
      <c r="AF261" s="118"/>
      <c r="AG261" s="118"/>
      <c r="AH261" s="118"/>
      <c r="AI261" s="118"/>
      <c r="AJ261" s="118"/>
      <c r="AK261" s="118"/>
      <c r="AL261" s="118"/>
      <c r="AM261" s="118"/>
      <c r="AN261" s="118"/>
      <c r="AO261" s="118"/>
      <c r="AP261" s="118"/>
      <c r="AQ261" s="118"/>
      <c r="AR261" s="128" t="s">
        <v>92</v>
      </c>
      <c r="AS261" s="97"/>
      <c r="AT261" s="97"/>
      <c r="AU261" s="97"/>
      <c r="AV261" s="97"/>
      <c r="AW261" s="97"/>
      <c r="AX261" s="97"/>
      <c r="AY261" s="97"/>
      <c r="AZ261" s="97"/>
      <c r="BA261" s="97"/>
      <c r="BB261" s="97"/>
      <c r="BC261" s="97"/>
      <c r="BD261" s="97"/>
      <c r="BE261" s="97"/>
      <c r="BF261" s="97"/>
      <c r="BG261" s="97"/>
      <c r="BH261" s="97"/>
      <c r="BI261" s="97"/>
      <c r="BJ261" s="97"/>
      <c r="BK261" s="97"/>
      <c r="BL261" s="97"/>
      <c r="BM261" s="97"/>
      <c r="BN261" s="97"/>
      <c r="BO261" s="97"/>
      <c r="BP261" s="97"/>
      <c r="BQ261" s="97"/>
      <c r="BR261" s="97"/>
      <c r="BS261" s="97"/>
      <c r="BT261" s="97"/>
      <c r="BU261" s="97"/>
      <c r="BV261" s="97"/>
      <c r="BW261" s="97"/>
      <c r="BX261" s="97"/>
      <c r="BY261" s="97"/>
      <c r="BZ261" s="97"/>
      <c r="CA261" s="97"/>
      <c r="CB261" s="97"/>
      <c r="CC261" s="97"/>
      <c r="CD261" s="97"/>
      <c r="CE261" s="97"/>
      <c r="CF261" s="97"/>
      <c r="CG261" s="97"/>
      <c r="CH261" s="97"/>
      <c r="CI261" s="97"/>
      <c r="CJ261" s="97"/>
      <c r="CK261" s="97"/>
    </row>
    <row r="262" customFormat="false" ht="12.75" hidden="false" customHeight="false" outlineLevel="0" collapsed="false">
      <c r="A262" s="3"/>
      <c r="B262" s="2"/>
      <c r="C262" s="2" t="s">
        <v>176</v>
      </c>
      <c r="D262" s="3"/>
      <c r="E262" s="97"/>
      <c r="F262" s="114"/>
      <c r="G262" s="97"/>
      <c r="H262" s="97" t="n">
        <f aca="false">H260-H261</f>
        <v>74930.1875</v>
      </c>
      <c r="I262" s="97" t="n">
        <f aca="false">I260-I261</f>
        <v>72721.9375</v>
      </c>
      <c r="J262" s="97" t="n">
        <f aca="false">J260-J261</f>
        <v>70413.3125</v>
      </c>
      <c r="K262" s="97" t="n">
        <f aca="false">K260-K261</f>
        <v>67703.1875</v>
      </c>
      <c r="L262" s="97" t="n">
        <f aca="false">L260-L261</f>
        <v>64591.5625</v>
      </c>
      <c r="M262" s="97" t="n">
        <f aca="false">M260-M261</f>
        <v>61078.4375</v>
      </c>
      <c r="N262" s="97" t="n">
        <f aca="false">N260-N261</f>
        <v>56067.7175</v>
      </c>
      <c r="O262" s="97" t="n">
        <f aca="false">O260-O261</f>
        <v>47102.2225</v>
      </c>
      <c r="P262" s="97" t="n">
        <f aca="false">P260-P261</f>
        <v>37213.2775</v>
      </c>
      <c r="Q262" s="97" t="n">
        <f aca="false">Q260-Q261</f>
        <v>27496.9775</v>
      </c>
      <c r="R262" s="97" t="n">
        <f aca="false">R260-R261</f>
        <v>16311.1875</v>
      </c>
      <c r="S262" s="97" t="n">
        <f aca="false">S260-S261</f>
        <v>5209.7125</v>
      </c>
      <c r="T262" s="97"/>
      <c r="U262" s="97"/>
      <c r="V262" s="97"/>
      <c r="W262" s="97"/>
      <c r="X262" s="97"/>
      <c r="Y262" s="97"/>
      <c r="Z262" s="97"/>
      <c r="AA262" s="118"/>
      <c r="AB262" s="118"/>
      <c r="AC262" s="118"/>
      <c r="AD262" s="118"/>
      <c r="AE262" s="118"/>
      <c r="AF262" s="118"/>
      <c r="AG262" s="118"/>
      <c r="AH262" s="118"/>
      <c r="AI262" s="118"/>
      <c r="AJ262" s="118"/>
      <c r="AK262" s="118"/>
      <c r="AL262" s="118"/>
      <c r="AM262" s="118"/>
      <c r="AN262" s="118"/>
      <c r="AO262" s="118"/>
      <c r="AP262" s="118"/>
      <c r="AQ262" s="118"/>
      <c r="AR262" s="128" t="s">
        <v>92</v>
      </c>
      <c r="AS262" s="97"/>
      <c r="AT262" s="97"/>
      <c r="AU262" s="97"/>
      <c r="AV262" s="97"/>
      <c r="AW262" s="97"/>
      <c r="AX262" s="97"/>
      <c r="AY262" s="97"/>
      <c r="AZ262" s="97"/>
      <c r="BA262" s="97"/>
      <c r="BB262" s="97"/>
      <c r="BC262" s="97"/>
      <c r="BD262" s="97"/>
      <c r="BE262" s="97"/>
      <c r="BF262" s="97"/>
      <c r="BG262" s="97"/>
      <c r="BH262" s="97"/>
      <c r="BI262" s="97"/>
      <c r="BJ262" s="97"/>
      <c r="BK262" s="97"/>
      <c r="BL262" s="97"/>
      <c r="BM262" s="97"/>
      <c r="BN262" s="97"/>
      <c r="BO262" s="97"/>
      <c r="BP262" s="97"/>
      <c r="BQ262" s="97"/>
      <c r="BR262" s="97"/>
      <c r="BS262" s="97"/>
      <c r="BT262" s="97"/>
      <c r="BU262" s="97"/>
      <c r="BV262" s="97"/>
      <c r="BW262" s="97"/>
      <c r="BX262" s="97"/>
      <c r="BY262" s="97"/>
      <c r="BZ262" s="97"/>
      <c r="CA262" s="97"/>
      <c r="CB262" s="97"/>
      <c r="CC262" s="97"/>
      <c r="CD262" s="97"/>
      <c r="CE262" s="97"/>
      <c r="CF262" s="97"/>
      <c r="CG262" s="97"/>
      <c r="CH262" s="97"/>
      <c r="CI262" s="97"/>
      <c r="CJ262" s="97"/>
      <c r="CK262" s="97"/>
    </row>
    <row r="263" customFormat="false" ht="12.75" hidden="false" customHeight="false" outlineLevel="0" collapsed="false">
      <c r="A263" s="3"/>
      <c r="B263" s="2" t="s">
        <v>177</v>
      </c>
      <c r="C263" s="2"/>
      <c r="D263" s="3"/>
      <c r="E263" s="97"/>
      <c r="F263" s="114"/>
      <c r="G263" s="97"/>
      <c r="H263" s="97" t="n">
        <f aca="false">+H$259*$G$237/4</f>
        <v>552.0625</v>
      </c>
      <c r="I263" s="97" t="n">
        <f aca="false">+I$259*$G$237/4</f>
        <v>552.0625</v>
      </c>
      <c r="J263" s="97" t="n">
        <f aca="false">+J$259*$G$237/4</f>
        <v>652.4375</v>
      </c>
      <c r="K263" s="97" t="n">
        <f aca="false">+K$259*$G$237/4</f>
        <v>752.8125</v>
      </c>
      <c r="L263" s="97" t="n">
        <f aca="false">+L$259*$G$237/4</f>
        <v>853.1875</v>
      </c>
      <c r="M263" s="97" t="n">
        <f aca="false">+M$259*$G$237/4</f>
        <v>953.5625</v>
      </c>
      <c r="N263" s="97" t="n">
        <f aca="false">+N$259*$G$237/4</f>
        <v>2150.0325</v>
      </c>
      <c r="O263" s="97" t="n">
        <f aca="false">+O$259*$G$237/4</f>
        <v>2515.3975</v>
      </c>
      <c r="P263" s="97" t="n">
        <f aca="false">+P$259*$G$237/4</f>
        <v>2342.7525</v>
      </c>
      <c r="Q263" s="97" t="n">
        <f aca="false">+Q$259*$G$237/4</f>
        <v>2688.0425</v>
      </c>
      <c r="R263" s="97" t="n">
        <f aca="false">+R$259*$G$237/4</f>
        <v>3121.6625</v>
      </c>
      <c r="S263" s="97" t="n">
        <f aca="false">+S$259*$G$237/4</f>
        <v>1736.4875</v>
      </c>
      <c r="T263" s="97"/>
      <c r="U263" s="97"/>
      <c r="V263" s="97"/>
      <c r="W263" s="97"/>
      <c r="X263" s="97"/>
      <c r="Y263" s="97"/>
      <c r="Z263" s="97"/>
      <c r="AA263" s="118"/>
      <c r="AB263" s="118"/>
      <c r="AC263" s="118"/>
      <c r="AD263" s="118"/>
      <c r="AE263" s="118"/>
      <c r="AF263" s="118"/>
      <c r="AG263" s="118"/>
      <c r="AH263" s="118"/>
      <c r="AI263" s="118"/>
      <c r="AJ263" s="118"/>
      <c r="AK263" s="118"/>
      <c r="AL263" s="118"/>
      <c r="AM263" s="118"/>
      <c r="AN263" s="118"/>
      <c r="AO263" s="118"/>
      <c r="AP263" s="118"/>
      <c r="AQ263" s="118"/>
      <c r="AR263" s="128" t="s">
        <v>92</v>
      </c>
      <c r="AS263" s="97"/>
      <c r="AT263" s="97"/>
      <c r="AU263" s="97"/>
      <c r="AV263" s="97"/>
      <c r="AW263" s="97"/>
      <c r="AX263" s="97"/>
      <c r="AY263" s="97"/>
      <c r="AZ263" s="97"/>
      <c r="BA263" s="97"/>
      <c r="BB263" s="97"/>
      <c r="BC263" s="97"/>
      <c r="BD263" s="97"/>
      <c r="BE263" s="97"/>
      <c r="BF263" s="97"/>
      <c r="BG263" s="97"/>
      <c r="BH263" s="97"/>
      <c r="BI263" s="97"/>
      <c r="BJ263" s="97"/>
      <c r="BK263" s="97"/>
      <c r="BL263" s="97"/>
      <c r="BM263" s="97"/>
      <c r="BN263" s="97"/>
      <c r="BO263" s="97"/>
      <c r="BP263" s="97"/>
      <c r="BQ263" s="97"/>
      <c r="BR263" s="97"/>
      <c r="BS263" s="97"/>
      <c r="BT263" s="97"/>
      <c r="BU263" s="97"/>
      <c r="BV263" s="97"/>
      <c r="BW263" s="97"/>
      <c r="BX263" s="97"/>
      <c r="BY263" s="97"/>
      <c r="BZ263" s="97"/>
      <c r="CA263" s="97"/>
      <c r="CB263" s="97"/>
      <c r="CC263" s="97"/>
      <c r="CD263" s="97"/>
      <c r="CE263" s="97"/>
      <c r="CF263" s="97"/>
      <c r="CG263" s="97"/>
      <c r="CH263" s="97"/>
      <c r="CI263" s="97"/>
      <c r="CJ263" s="97"/>
      <c r="CK263" s="97"/>
    </row>
    <row r="264" customFormat="false" ht="12.75" hidden="false" customHeight="false" outlineLevel="0" collapsed="false">
      <c r="A264" s="3"/>
      <c r="B264" s="2"/>
      <c r="C264" s="2" t="s">
        <v>178</v>
      </c>
      <c r="D264" s="3"/>
      <c r="E264" s="97"/>
      <c r="F264" s="114"/>
      <c r="G264" s="97"/>
      <c r="H264" s="97" t="n">
        <f aca="false">H262-H263</f>
        <v>74378.125</v>
      </c>
      <c r="I264" s="97" t="n">
        <f aca="false">I262-I263</f>
        <v>72169.875</v>
      </c>
      <c r="J264" s="97" t="n">
        <f aca="false">J262-J263</f>
        <v>69760.875</v>
      </c>
      <c r="K264" s="97" t="n">
        <f aca="false">K262-K263</f>
        <v>66950.375</v>
      </c>
      <c r="L264" s="97" t="n">
        <f aca="false">L262-L263</f>
        <v>63738.375</v>
      </c>
      <c r="M264" s="97" t="n">
        <f aca="false">M262-M263</f>
        <v>60124.875</v>
      </c>
      <c r="N264" s="97" t="n">
        <f aca="false">N262-N263</f>
        <v>53917.685</v>
      </c>
      <c r="O264" s="97" t="n">
        <f aca="false">O262-O263</f>
        <v>44586.825</v>
      </c>
      <c r="P264" s="97" t="n">
        <f aca="false">P262-P263</f>
        <v>34870.525</v>
      </c>
      <c r="Q264" s="97" t="n">
        <f aca="false">Q262-Q263</f>
        <v>24808.935</v>
      </c>
      <c r="R264" s="97" t="n">
        <f aca="false">R262-R263</f>
        <v>13189.525</v>
      </c>
      <c r="S264" s="97" t="n">
        <f aca="false">S262-S263</f>
        <v>3473.225</v>
      </c>
      <c r="T264" s="97"/>
      <c r="U264" s="97"/>
      <c r="V264" s="97"/>
      <c r="W264" s="97"/>
      <c r="X264" s="97"/>
      <c r="Y264" s="97"/>
      <c r="Z264" s="97"/>
      <c r="AA264" s="118"/>
      <c r="AB264" s="118"/>
      <c r="AC264" s="118"/>
      <c r="AD264" s="118"/>
      <c r="AE264" s="118"/>
      <c r="AF264" s="118"/>
      <c r="AG264" s="118"/>
      <c r="AH264" s="118"/>
      <c r="AI264" s="118"/>
      <c r="AJ264" s="118"/>
      <c r="AK264" s="118"/>
      <c r="AL264" s="118"/>
      <c r="AM264" s="118"/>
      <c r="AN264" s="118"/>
      <c r="AO264" s="118"/>
      <c r="AP264" s="118"/>
      <c r="AQ264" s="118"/>
      <c r="AR264" s="128" t="s">
        <v>92</v>
      </c>
      <c r="AS264" s="97"/>
      <c r="AT264" s="97"/>
      <c r="AU264" s="97"/>
      <c r="AV264" s="97"/>
      <c r="AW264" s="97"/>
      <c r="AX264" s="97"/>
      <c r="AY264" s="97"/>
      <c r="AZ264" s="97"/>
      <c r="BA264" s="97"/>
      <c r="BB264" s="97"/>
      <c r="BC264" s="97"/>
      <c r="BD264" s="97"/>
      <c r="BE264" s="97"/>
      <c r="BF264" s="97"/>
      <c r="BG264" s="97"/>
      <c r="BH264" s="97"/>
      <c r="BI264" s="97"/>
      <c r="BJ264" s="97"/>
      <c r="BK264" s="97"/>
      <c r="BL264" s="97"/>
      <c r="BM264" s="97"/>
      <c r="BN264" s="97"/>
      <c r="BO264" s="97"/>
      <c r="BP264" s="97"/>
      <c r="BQ264" s="97"/>
      <c r="BR264" s="97"/>
      <c r="BS264" s="97"/>
      <c r="BT264" s="97"/>
      <c r="BU264" s="97"/>
      <c r="BV264" s="97"/>
      <c r="BW264" s="97"/>
      <c r="BX264" s="97"/>
      <c r="BY264" s="97"/>
      <c r="BZ264" s="97"/>
      <c r="CA264" s="97"/>
      <c r="CB264" s="97"/>
      <c r="CC264" s="97"/>
      <c r="CD264" s="97"/>
      <c r="CE264" s="97"/>
      <c r="CF264" s="97"/>
      <c r="CG264" s="97"/>
      <c r="CH264" s="97"/>
      <c r="CI264" s="97"/>
      <c r="CJ264" s="97"/>
      <c r="CK264" s="97"/>
    </row>
    <row r="265" customFormat="false" ht="12.75" hidden="false" customHeight="false" outlineLevel="0" collapsed="false">
      <c r="A265" s="3"/>
      <c r="B265" s="2" t="s">
        <v>179</v>
      </c>
      <c r="C265" s="2"/>
      <c r="D265" s="3"/>
      <c r="E265" s="97"/>
      <c r="F265" s="114"/>
      <c r="G265" s="97"/>
      <c r="H265" s="97" t="n">
        <f aca="false">+H$259*$G$237/4</f>
        <v>552.0625</v>
      </c>
      <c r="I265" s="97" t="n">
        <f aca="false">+I$259*$G$237/4</f>
        <v>552.0625</v>
      </c>
      <c r="J265" s="97" t="n">
        <f aca="false">+J$259*$G$237/4</f>
        <v>652.4375</v>
      </c>
      <c r="K265" s="97" t="n">
        <f aca="false">+K$259*$G$237/4</f>
        <v>752.8125</v>
      </c>
      <c r="L265" s="97" t="n">
        <f aca="false">+L$259*$G$237/4</f>
        <v>853.1875</v>
      </c>
      <c r="M265" s="97" t="n">
        <f aca="false">+M$259*$G$237/4</f>
        <v>953.5625</v>
      </c>
      <c r="N265" s="97" t="n">
        <f aca="false">+N$259*$G$237/4</f>
        <v>2150.0325</v>
      </c>
      <c r="O265" s="97" t="n">
        <f aca="false">+O$259*$G$237/4</f>
        <v>2515.3975</v>
      </c>
      <c r="P265" s="97" t="n">
        <f aca="false">+P$259*$G$237/4</f>
        <v>2342.7525</v>
      </c>
      <c r="Q265" s="97" t="n">
        <f aca="false">+Q$259*$G$237/4</f>
        <v>2688.0425</v>
      </c>
      <c r="R265" s="97" t="n">
        <f aca="false">+R$259*$G$237/4</f>
        <v>3121.6625</v>
      </c>
      <c r="S265" s="97" t="n">
        <f aca="false">+S$259*$G$237/4</f>
        <v>1736.4875</v>
      </c>
      <c r="T265" s="97"/>
      <c r="U265" s="97"/>
      <c r="V265" s="97"/>
      <c r="W265" s="97"/>
      <c r="X265" s="97"/>
      <c r="Y265" s="97"/>
      <c r="Z265" s="97"/>
      <c r="AA265" s="118"/>
      <c r="AB265" s="118"/>
      <c r="AC265" s="118"/>
      <c r="AD265" s="118"/>
      <c r="AE265" s="118"/>
      <c r="AF265" s="118"/>
      <c r="AG265" s="118"/>
      <c r="AH265" s="118"/>
      <c r="AI265" s="118"/>
      <c r="AJ265" s="118"/>
      <c r="AK265" s="118"/>
      <c r="AL265" s="118"/>
      <c r="AM265" s="118"/>
      <c r="AN265" s="118"/>
      <c r="AO265" s="118"/>
      <c r="AP265" s="118"/>
      <c r="AQ265" s="118"/>
      <c r="AR265" s="128" t="s">
        <v>92</v>
      </c>
      <c r="AS265" s="97"/>
      <c r="AT265" s="97"/>
      <c r="AU265" s="97"/>
      <c r="AV265" s="97"/>
      <c r="AW265" s="97"/>
      <c r="AX265" s="97"/>
      <c r="AY265" s="97"/>
      <c r="AZ265" s="97"/>
      <c r="BA265" s="97"/>
      <c r="BB265" s="97"/>
      <c r="BC265" s="97"/>
      <c r="BD265" s="97"/>
      <c r="BE265" s="97"/>
      <c r="BF265" s="97"/>
      <c r="BG265" s="97"/>
      <c r="BH265" s="97"/>
      <c r="BI265" s="97"/>
      <c r="BJ265" s="97"/>
      <c r="BK265" s="97"/>
      <c r="BL265" s="97"/>
      <c r="BM265" s="97"/>
      <c r="BN265" s="97"/>
      <c r="BO265" s="97"/>
      <c r="BP265" s="97"/>
      <c r="BQ265" s="97"/>
      <c r="BR265" s="97"/>
      <c r="BS265" s="97"/>
      <c r="BT265" s="97"/>
      <c r="BU265" s="97"/>
      <c r="BV265" s="97"/>
      <c r="BW265" s="97"/>
      <c r="BX265" s="97"/>
      <c r="BY265" s="97"/>
      <c r="BZ265" s="97"/>
      <c r="CA265" s="97"/>
      <c r="CB265" s="97"/>
      <c r="CC265" s="97"/>
      <c r="CD265" s="97"/>
      <c r="CE265" s="97"/>
      <c r="CF265" s="97"/>
      <c r="CG265" s="97"/>
      <c r="CH265" s="97"/>
      <c r="CI265" s="97"/>
      <c r="CJ265" s="97"/>
      <c r="CK265" s="97"/>
    </row>
    <row r="266" customFormat="false" ht="12.75" hidden="false" customHeight="false" outlineLevel="0" collapsed="false">
      <c r="A266" s="3"/>
      <c r="B266" s="2"/>
      <c r="C266" s="2" t="s">
        <v>180</v>
      </c>
      <c r="D266" s="3"/>
      <c r="E266" s="97"/>
      <c r="F266" s="114"/>
      <c r="G266" s="97"/>
      <c r="H266" s="97" t="n">
        <f aca="false">H264-H265</f>
        <v>73826.0625</v>
      </c>
      <c r="I266" s="97" t="n">
        <f aca="false">I264-I265</f>
        <v>71617.8125</v>
      </c>
      <c r="J266" s="97" t="n">
        <f aca="false">J264-J265</f>
        <v>69108.4375</v>
      </c>
      <c r="K266" s="97" t="n">
        <f aca="false">K264-K265</f>
        <v>66197.5625</v>
      </c>
      <c r="L266" s="97" t="n">
        <f aca="false">L264-L265</f>
        <v>62885.1875</v>
      </c>
      <c r="M266" s="97" t="n">
        <f aca="false">M264-M265</f>
        <v>59171.3125</v>
      </c>
      <c r="N266" s="97" t="n">
        <f aca="false">N264-N265</f>
        <v>51767.6525</v>
      </c>
      <c r="O266" s="97" t="n">
        <f aca="false">O264-O265</f>
        <v>42071.4275</v>
      </c>
      <c r="P266" s="97" t="n">
        <f aca="false">P264-P265</f>
        <v>32527.7725</v>
      </c>
      <c r="Q266" s="97" t="n">
        <f aca="false">Q264-Q265</f>
        <v>22120.8925</v>
      </c>
      <c r="R266" s="97" t="n">
        <f aca="false">R264-R265</f>
        <v>10067.8625</v>
      </c>
      <c r="S266" s="97" t="n">
        <f aca="false">S264-S265</f>
        <v>1736.7375</v>
      </c>
      <c r="T266" s="97"/>
      <c r="U266" s="97"/>
      <c r="V266" s="97"/>
      <c r="W266" s="97"/>
      <c r="X266" s="97"/>
      <c r="Y266" s="97"/>
      <c r="Z266" s="97"/>
      <c r="AA266" s="118"/>
      <c r="AB266" s="118"/>
      <c r="AC266" s="118"/>
      <c r="AD266" s="118"/>
      <c r="AE266" s="118"/>
      <c r="AF266" s="118"/>
      <c r="AG266" s="118"/>
      <c r="AH266" s="118"/>
      <c r="AI266" s="118"/>
      <c r="AJ266" s="118"/>
      <c r="AK266" s="118"/>
      <c r="AL266" s="118"/>
      <c r="AM266" s="118"/>
      <c r="AN266" s="118"/>
      <c r="AO266" s="118"/>
      <c r="AP266" s="118"/>
      <c r="AQ266" s="118"/>
      <c r="AR266" s="128" t="s">
        <v>92</v>
      </c>
      <c r="AS266" s="97"/>
      <c r="AT266" s="97"/>
      <c r="AU266" s="97"/>
      <c r="AV266" s="97"/>
      <c r="AW266" s="97"/>
      <c r="AX266" s="97"/>
      <c r="AY266" s="97"/>
      <c r="AZ266" s="97"/>
      <c r="BA266" s="97"/>
      <c r="BB266" s="97"/>
      <c r="BC266" s="97"/>
      <c r="BD266" s="97"/>
      <c r="BE266" s="97"/>
      <c r="BF266" s="97"/>
      <c r="BG266" s="97"/>
      <c r="BH266" s="97"/>
      <c r="BI266" s="97"/>
      <c r="BJ266" s="97"/>
      <c r="BK266" s="97"/>
      <c r="BL266" s="97"/>
      <c r="BM266" s="97"/>
      <c r="BN266" s="97"/>
      <c r="BO266" s="97"/>
      <c r="BP266" s="97"/>
      <c r="BQ266" s="97"/>
      <c r="BR266" s="97"/>
      <c r="BS266" s="97"/>
      <c r="BT266" s="97"/>
      <c r="BU266" s="97"/>
      <c r="BV266" s="97"/>
      <c r="BW266" s="97"/>
      <c r="BX266" s="97"/>
      <c r="BY266" s="97"/>
      <c r="BZ266" s="97"/>
      <c r="CA266" s="97"/>
      <c r="CB266" s="97"/>
      <c r="CC266" s="97"/>
      <c r="CD266" s="97"/>
      <c r="CE266" s="97"/>
      <c r="CF266" s="97"/>
      <c r="CG266" s="97"/>
      <c r="CH266" s="97"/>
      <c r="CI266" s="97"/>
      <c r="CJ266" s="97"/>
      <c r="CK266" s="97"/>
    </row>
    <row r="267" customFormat="false" ht="12.75" hidden="false" customHeight="false" outlineLevel="0" collapsed="false">
      <c r="A267" s="3"/>
      <c r="B267" s="2" t="s">
        <v>181</v>
      </c>
      <c r="C267" s="2"/>
      <c r="D267" s="3"/>
      <c r="E267" s="97"/>
      <c r="F267" s="114"/>
      <c r="G267" s="97"/>
      <c r="H267" s="97" t="n">
        <f aca="false">+H$259*$G$237/4</f>
        <v>552.0625</v>
      </c>
      <c r="I267" s="97" t="n">
        <f aca="false">+I$259*$G$237/4</f>
        <v>552.0625</v>
      </c>
      <c r="J267" s="97" t="n">
        <f aca="false">+J$259*$G$237/4</f>
        <v>652.4375</v>
      </c>
      <c r="K267" s="97" t="n">
        <f aca="false">+K$259*$G$237/4</f>
        <v>752.8125</v>
      </c>
      <c r="L267" s="97" t="n">
        <f aca="false">+L$259*$G$237/4</f>
        <v>853.1875</v>
      </c>
      <c r="M267" s="97" t="n">
        <f aca="false">+M$259*$G$237/4</f>
        <v>953.5625</v>
      </c>
      <c r="N267" s="97" t="n">
        <f aca="false">+N$259*$G$237/4</f>
        <v>2150.0325</v>
      </c>
      <c r="O267" s="97" t="n">
        <f aca="false">+O$259*$G$237/4</f>
        <v>2515.3975</v>
      </c>
      <c r="P267" s="97" t="n">
        <f aca="false">+P$259*$G$237/4</f>
        <v>2342.7525</v>
      </c>
      <c r="Q267" s="97" t="n">
        <f aca="false">+Q$259*$G$237/4</f>
        <v>2688.0425</v>
      </c>
      <c r="R267" s="97" t="n">
        <f aca="false">+R$259*$G$237/4</f>
        <v>3121.6625</v>
      </c>
      <c r="S267" s="97" t="n">
        <f aca="false">+S$259*$G$237/4</f>
        <v>1736.4875</v>
      </c>
      <c r="T267" s="97"/>
      <c r="U267" s="97"/>
      <c r="V267" s="97"/>
      <c r="W267" s="97"/>
      <c r="X267" s="97"/>
      <c r="Y267" s="97"/>
      <c r="Z267" s="97"/>
      <c r="AA267" s="118"/>
      <c r="AB267" s="118"/>
      <c r="AC267" s="118"/>
      <c r="AD267" s="118"/>
      <c r="AE267" s="118"/>
      <c r="AF267" s="118"/>
      <c r="AG267" s="118"/>
      <c r="AH267" s="118"/>
      <c r="AI267" s="118"/>
      <c r="AJ267" s="118"/>
      <c r="AK267" s="118"/>
      <c r="AL267" s="118"/>
      <c r="AM267" s="118"/>
      <c r="AN267" s="118"/>
      <c r="AO267" s="118"/>
      <c r="AP267" s="118"/>
      <c r="AQ267" s="118"/>
      <c r="AR267" s="128" t="s">
        <v>92</v>
      </c>
      <c r="AS267" s="97"/>
      <c r="AT267" s="97"/>
      <c r="AU267" s="97"/>
      <c r="AV267" s="97"/>
      <c r="AW267" s="97"/>
      <c r="AX267" s="97"/>
      <c r="AY267" s="97"/>
      <c r="AZ267" s="97"/>
      <c r="BA267" s="97"/>
      <c r="BB267" s="97"/>
      <c r="BC267" s="97"/>
      <c r="BD267" s="97"/>
      <c r="BE267" s="97"/>
      <c r="BF267" s="97"/>
      <c r="BG267" s="97"/>
      <c r="BH267" s="97"/>
      <c r="BI267" s="97"/>
      <c r="BJ267" s="97"/>
      <c r="BK267" s="97"/>
      <c r="BL267" s="97"/>
      <c r="BM267" s="97"/>
      <c r="BN267" s="97"/>
      <c r="BO267" s="97"/>
      <c r="BP267" s="97"/>
      <c r="BQ267" s="97"/>
      <c r="BR267" s="97"/>
      <c r="BS267" s="97"/>
      <c r="BT267" s="97"/>
      <c r="BU267" s="97"/>
      <c r="BV267" s="97"/>
      <c r="BW267" s="97"/>
      <c r="BX267" s="97"/>
      <c r="BY267" s="97"/>
      <c r="BZ267" s="97"/>
      <c r="CA267" s="97"/>
      <c r="CB267" s="97"/>
      <c r="CC267" s="97"/>
      <c r="CD267" s="97"/>
      <c r="CE267" s="97"/>
      <c r="CF267" s="97"/>
      <c r="CG267" s="97"/>
      <c r="CH267" s="97"/>
      <c r="CI267" s="97"/>
      <c r="CJ267" s="97"/>
      <c r="CK267" s="97"/>
    </row>
    <row r="268" customFormat="false" ht="12.75" hidden="false" customHeight="false" outlineLevel="0" collapsed="false">
      <c r="A268" s="3"/>
      <c r="B268" s="2"/>
      <c r="C268" s="2" t="s">
        <v>182</v>
      </c>
      <c r="D268" s="3"/>
      <c r="E268" s="97"/>
      <c r="F268" s="114"/>
      <c r="G268" s="90" t="n">
        <v>75482.25</v>
      </c>
      <c r="H268" s="97" t="n">
        <f aca="false">H266-H267</f>
        <v>73274</v>
      </c>
      <c r="I268" s="97" t="n">
        <f aca="false">I266-I267</f>
        <v>71065.75</v>
      </c>
      <c r="J268" s="97" t="n">
        <f aca="false">J266-J267</f>
        <v>68456</v>
      </c>
      <c r="K268" s="97" t="n">
        <f aca="false">K266-K267</f>
        <v>65444.75</v>
      </c>
      <c r="L268" s="97" t="n">
        <f aca="false">L266-L267</f>
        <v>62032</v>
      </c>
      <c r="M268" s="97" t="n">
        <f aca="false">M266-M267</f>
        <v>58217.75</v>
      </c>
      <c r="N268" s="97" t="n">
        <f aca="false">N266-N267</f>
        <v>49617.62</v>
      </c>
      <c r="O268" s="97" t="n">
        <f aca="false">O266-O267</f>
        <v>39556.03</v>
      </c>
      <c r="P268" s="97" t="n">
        <f aca="false">P266-P267</f>
        <v>30185.02</v>
      </c>
      <c r="Q268" s="97" t="n">
        <f aca="false">Q266-Q267</f>
        <v>19432.85</v>
      </c>
      <c r="R268" s="97" t="n">
        <f aca="false">R266-R267</f>
        <v>6946.2</v>
      </c>
      <c r="S268" s="97" t="n">
        <f aca="false">S266-S267</f>
        <v>0.249999999996362</v>
      </c>
      <c r="T268" s="97"/>
      <c r="U268" s="97"/>
      <c r="V268" s="97"/>
      <c r="W268" s="97"/>
      <c r="X268" s="97"/>
      <c r="Y268" s="97"/>
      <c r="Z268" s="97"/>
      <c r="AA268" s="118"/>
      <c r="AB268" s="118"/>
      <c r="AC268" s="118"/>
      <c r="AD268" s="118"/>
      <c r="AE268" s="118"/>
      <c r="AF268" s="118"/>
      <c r="AG268" s="118"/>
      <c r="AH268" s="118"/>
      <c r="AI268" s="118"/>
      <c r="AJ268" s="118"/>
      <c r="AK268" s="118"/>
      <c r="AL268" s="118"/>
      <c r="AM268" s="118"/>
      <c r="AN268" s="118"/>
      <c r="AO268" s="118"/>
      <c r="AP268" s="118"/>
      <c r="AQ268" s="118"/>
      <c r="AR268" s="128" t="s">
        <v>92</v>
      </c>
      <c r="AS268" s="97"/>
      <c r="AT268" s="97"/>
      <c r="AU268" s="97"/>
      <c r="AV268" s="97"/>
      <c r="AW268" s="97"/>
      <c r="AX268" s="97"/>
      <c r="AY268" s="97"/>
      <c r="AZ268" s="97"/>
      <c r="BA268" s="97"/>
      <c r="BB268" s="97"/>
      <c r="BC268" s="97"/>
      <c r="BD268" s="97"/>
      <c r="BE268" s="97"/>
      <c r="BF268" s="97"/>
      <c r="BG268" s="97"/>
      <c r="BH268" s="97"/>
      <c r="BI268" s="97"/>
      <c r="BJ268" s="97"/>
      <c r="BK268" s="97"/>
      <c r="BL268" s="97"/>
      <c r="BM268" s="97"/>
      <c r="BN268" s="97"/>
      <c r="BO268" s="97"/>
      <c r="BP268" s="97"/>
      <c r="BQ268" s="97"/>
      <c r="BR268" s="97"/>
      <c r="BS268" s="97"/>
      <c r="BT268" s="97"/>
      <c r="BU268" s="97"/>
      <c r="BV268" s="97"/>
      <c r="BW268" s="97"/>
      <c r="BX268" s="97"/>
      <c r="BY268" s="97"/>
      <c r="BZ268" s="97"/>
      <c r="CA268" s="97"/>
      <c r="CB268" s="97"/>
      <c r="CC268" s="97"/>
      <c r="CD268" s="97"/>
      <c r="CE268" s="97"/>
      <c r="CF268" s="97"/>
      <c r="CG268" s="97"/>
      <c r="CH268" s="97"/>
      <c r="CI268" s="97"/>
      <c r="CJ268" s="97"/>
      <c r="CK268" s="97"/>
    </row>
    <row r="269" customFormat="false" ht="12.75" hidden="false" customHeight="false" outlineLevel="0" collapsed="false">
      <c r="A269" s="3"/>
      <c r="B269" s="2"/>
      <c r="C269" s="2"/>
      <c r="D269" s="3"/>
      <c r="E269" s="97"/>
      <c r="F269" s="114"/>
      <c r="G269" s="97"/>
      <c r="H269" s="97"/>
      <c r="I269" s="97"/>
      <c r="J269" s="97"/>
      <c r="K269" s="97"/>
      <c r="L269" s="97"/>
      <c r="M269" s="97"/>
      <c r="N269" s="97"/>
      <c r="O269" s="97"/>
      <c r="P269" s="97"/>
      <c r="Q269" s="97"/>
      <c r="R269" s="97"/>
      <c r="S269" s="97"/>
      <c r="T269" s="97"/>
      <c r="U269" s="97"/>
      <c r="V269" s="97"/>
      <c r="W269" s="97"/>
      <c r="X269" s="97"/>
      <c r="Y269" s="97"/>
      <c r="Z269" s="97"/>
      <c r="AA269" s="118"/>
      <c r="AB269" s="118"/>
      <c r="AC269" s="118"/>
      <c r="AD269" s="118"/>
      <c r="AE269" s="118"/>
      <c r="AF269" s="118"/>
      <c r="AG269" s="118"/>
      <c r="AH269" s="118"/>
      <c r="AI269" s="118"/>
      <c r="AJ269" s="118"/>
      <c r="AK269" s="118"/>
      <c r="AL269" s="118"/>
      <c r="AM269" s="118"/>
      <c r="AN269" s="118"/>
      <c r="AO269" s="118"/>
      <c r="AP269" s="118"/>
      <c r="AQ269" s="118"/>
      <c r="AR269" s="128" t="s">
        <v>92</v>
      </c>
      <c r="AS269" s="97"/>
      <c r="AT269" s="97"/>
      <c r="AU269" s="97"/>
      <c r="AV269" s="97"/>
      <c r="AW269" s="97"/>
      <c r="AX269" s="97"/>
      <c r="AY269" s="97"/>
      <c r="AZ269" s="97"/>
      <c r="BA269" s="97"/>
      <c r="BB269" s="97"/>
      <c r="BC269" s="97"/>
      <c r="BD269" s="97"/>
      <c r="BE269" s="97"/>
      <c r="BF269" s="97"/>
      <c r="BG269" s="97"/>
      <c r="BH269" s="97"/>
      <c r="BI269" s="97"/>
      <c r="BJ269" s="97"/>
      <c r="BK269" s="97"/>
      <c r="BL269" s="97"/>
      <c r="BM269" s="97"/>
      <c r="BN269" s="97"/>
      <c r="BO269" s="97"/>
      <c r="BP269" s="97"/>
      <c r="BQ269" s="97"/>
      <c r="BR269" s="97"/>
      <c r="BS269" s="97"/>
      <c r="BT269" s="97"/>
      <c r="BU269" s="97"/>
      <c r="BV269" s="97"/>
      <c r="BW269" s="97"/>
      <c r="BX269" s="97"/>
      <c r="BY269" s="97"/>
      <c r="BZ269" s="97"/>
      <c r="CA269" s="97"/>
      <c r="CB269" s="97"/>
      <c r="CC269" s="97"/>
      <c r="CD269" s="97"/>
      <c r="CE269" s="97"/>
      <c r="CF269" s="97"/>
      <c r="CG269" s="97"/>
      <c r="CH269" s="97"/>
      <c r="CI269" s="97"/>
      <c r="CJ269" s="97"/>
      <c r="CK269" s="97"/>
    </row>
    <row r="270" customFormat="false" ht="12.75" hidden="false" customHeight="false" outlineLevel="0" collapsed="false">
      <c r="A270" s="3"/>
      <c r="B270" s="2" t="s">
        <v>183</v>
      </c>
      <c r="C270" s="2"/>
      <c r="D270" s="3"/>
      <c r="E270" s="97"/>
      <c r="F270" s="114"/>
      <c r="G270" s="97"/>
      <c r="H270" s="97" t="n">
        <f aca="false">AVERAGE(H266,H264,H262,H260)</f>
        <v>74654.15625</v>
      </c>
      <c r="I270" s="97" t="n">
        <f aca="false">AVERAGE(I266,I264,I262,I260)</f>
        <v>72445.90625</v>
      </c>
      <c r="J270" s="97" t="n">
        <f aca="false">AVERAGE(J266,J264,J262,J260)</f>
        <v>70087.09375</v>
      </c>
      <c r="K270" s="97" t="n">
        <f aca="false">AVERAGE(K266,K264,K262,K260)</f>
        <v>67326.78125</v>
      </c>
      <c r="L270" s="97" t="n">
        <f aca="false">AVERAGE(L266,L264,L262,L260)</f>
        <v>64164.96875</v>
      </c>
      <c r="M270" s="97" t="n">
        <f aca="false">AVERAGE(M266,M264,M262,M260)</f>
        <v>60601.65625</v>
      </c>
      <c r="N270" s="97" t="n">
        <f aca="false">AVERAGE(N266,N264,N262,N260)</f>
        <v>54992.70125</v>
      </c>
      <c r="O270" s="97" t="n">
        <f aca="false">AVERAGE(O266,O264,O262,O260)</f>
        <v>45844.52375</v>
      </c>
      <c r="P270" s="97" t="n">
        <f aca="false">AVERAGE(P266,P264,P262,P260)</f>
        <v>36041.90125</v>
      </c>
      <c r="Q270" s="97" t="n">
        <f aca="false">AVERAGE(Q266,Q264,Q262,Q260)</f>
        <v>26152.95625</v>
      </c>
      <c r="R270" s="97" t="n">
        <f aca="false">AVERAGE(R266,R264,R262,R260)</f>
        <v>14750.35625</v>
      </c>
      <c r="S270" s="97" t="n">
        <f aca="false">AVERAGE(S266,S264,S262,S260)</f>
        <v>4341.46875</v>
      </c>
      <c r="T270" s="97"/>
      <c r="U270" s="97"/>
      <c r="V270" s="97"/>
      <c r="W270" s="97"/>
      <c r="X270" s="97"/>
      <c r="Y270" s="97"/>
      <c r="Z270" s="97"/>
      <c r="AA270" s="118"/>
      <c r="AB270" s="118"/>
      <c r="AC270" s="118"/>
      <c r="AD270" s="118"/>
      <c r="AE270" s="118"/>
      <c r="AF270" s="118"/>
      <c r="AG270" s="118"/>
      <c r="AH270" s="118"/>
      <c r="AI270" s="118"/>
      <c r="AJ270" s="118"/>
      <c r="AK270" s="118"/>
      <c r="AL270" s="118"/>
      <c r="AM270" s="118"/>
      <c r="AN270" s="118"/>
      <c r="AO270" s="118"/>
      <c r="AP270" s="118"/>
      <c r="AQ270" s="118"/>
      <c r="AR270" s="128" t="s">
        <v>92</v>
      </c>
      <c r="AS270" s="97"/>
      <c r="AT270" s="97"/>
      <c r="AU270" s="97"/>
      <c r="AV270" s="97"/>
      <c r="AW270" s="97"/>
      <c r="AX270" s="97"/>
      <c r="AY270" s="97"/>
      <c r="AZ270" s="97"/>
      <c r="BA270" s="97"/>
      <c r="BB270" s="97"/>
      <c r="BC270" s="97"/>
      <c r="BD270" s="97"/>
      <c r="BE270" s="97"/>
      <c r="BF270" s="97"/>
      <c r="BG270" s="97"/>
      <c r="BH270" s="97"/>
      <c r="BI270" s="97"/>
      <c r="BJ270" s="97"/>
      <c r="BK270" s="97"/>
      <c r="BL270" s="97"/>
      <c r="BM270" s="97"/>
      <c r="BN270" s="97"/>
      <c r="BO270" s="97"/>
      <c r="BP270" s="97"/>
      <c r="BQ270" s="97"/>
      <c r="BR270" s="97"/>
      <c r="BS270" s="97"/>
      <c r="BT270" s="97"/>
      <c r="BU270" s="97"/>
      <c r="BV270" s="97"/>
      <c r="BW270" s="97"/>
      <c r="BX270" s="97"/>
      <c r="BY270" s="97"/>
      <c r="BZ270" s="97"/>
      <c r="CA270" s="97"/>
      <c r="CB270" s="97"/>
      <c r="CC270" s="97"/>
      <c r="CD270" s="97"/>
      <c r="CE270" s="97"/>
      <c r="CF270" s="97"/>
      <c r="CG270" s="97"/>
      <c r="CH270" s="97"/>
      <c r="CI270" s="97"/>
      <c r="CJ270" s="97"/>
      <c r="CK270" s="97"/>
    </row>
    <row r="271" customFormat="false" ht="12.75" hidden="false" customHeight="false" outlineLevel="0" collapsed="false">
      <c r="A271" s="3"/>
      <c r="B271" s="2"/>
      <c r="C271" s="2"/>
      <c r="D271" s="3"/>
      <c r="E271" s="3"/>
      <c r="F271" s="114"/>
      <c r="G271" s="114"/>
      <c r="H271" s="114"/>
      <c r="I271" s="114"/>
      <c r="J271" s="114"/>
      <c r="K271" s="114"/>
      <c r="L271" s="114"/>
      <c r="M271" s="114"/>
      <c r="N271" s="114"/>
      <c r="O271" s="114"/>
      <c r="P271" s="114"/>
      <c r="Q271" s="114"/>
      <c r="R271" s="114"/>
      <c r="S271" s="114"/>
      <c r="T271" s="114"/>
      <c r="U271" s="114"/>
      <c r="V271" s="114"/>
      <c r="W271" s="114"/>
      <c r="X271" s="114"/>
      <c r="Y271" s="114"/>
      <c r="Z271" s="11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128" t="s">
        <v>92</v>
      </c>
    </row>
    <row r="272" customFormat="false" ht="12.75" hidden="false" customHeight="false" outlineLevel="0" collapsed="false">
      <c r="A272" s="3"/>
      <c r="B272" s="48" t="s">
        <v>184</v>
      </c>
      <c r="C272" s="2"/>
      <c r="D272" s="188"/>
      <c r="E272" s="3"/>
      <c r="F272" s="98" t="s">
        <v>173</v>
      </c>
      <c r="G272" s="189" t="n">
        <f aca="false">COUNTIF(H272:$Z272,"&gt;.01")</f>
        <v>5</v>
      </c>
      <c r="H272" s="52" t="n">
        <v>0</v>
      </c>
      <c r="I272" s="52" t="n">
        <v>0</v>
      </c>
      <c r="J272" s="52" t="n">
        <v>0</v>
      </c>
      <c r="K272" s="52" t="n">
        <v>0</v>
      </c>
      <c r="L272" s="52" t="n">
        <v>0</v>
      </c>
      <c r="M272" s="52" t="n">
        <v>0</v>
      </c>
      <c r="N272" s="52" t="n">
        <v>0</v>
      </c>
      <c r="O272" s="52" t="n">
        <v>0</v>
      </c>
      <c r="P272" s="52" t="n">
        <v>0</v>
      </c>
      <c r="Q272" s="52" t="n">
        <v>0</v>
      </c>
      <c r="R272" s="52" t="n">
        <v>0</v>
      </c>
      <c r="S272" s="52" t="n">
        <v>0.164284</v>
      </c>
      <c r="T272" s="52" t="n">
        <v>0.18</v>
      </c>
      <c r="U272" s="52" t="n">
        <v>0.197144</v>
      </c>
      <c r="V272" s="52" t="n">
        <v>0.218572</v>
      </c>
      <c r="W272" s="52" t="n">
        <v>0.24</v>
      </c>
      <c r="X272" s="183"/>
      <c r="Y272" s="183"/>
      <c r="Z272" s="183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128" t="s">
        <v>92</v>
      </c>
    </row>
    <row r="273" customFormat="false" ht="12.75" hidden="false" customHeight="false" outlineLevel="0" collapsed="false">
      <c r="A273" s="3"/>
      <c r="B273" s="2" t="s">
        <v>174</v>
      </c>
      <c r="C273" s="2"/>
      <c r="D273" s="3"/>
      <c r="E273" s="3"/>
      <c r="F273" s="114"/>
      <c r="G273" s="97"/>
      <c r="H273" s="97" t="n">
        <f aca="false">+G281</f>
        <v>70000</v>
      </c>
      <c r="I273" s="97" t="n">
        <f aca="false">+H281</f>
        <v>70000</v>
      </c>
      <c r="J273" s="97" t="n">
        <f aca="false">+I281</f>
        <v>70000</v>
      </c>
      <c r="K273" s="97" t="n">
        <f aca="false">+J281</f>
        <v>70000</v>
      </c>
      <c r="L273" s="97" t="n">
        <f aca="false">+K281</f>
        <v>70000</v>
      </c>
      <c r="M273" s="97" t="n">
        <f aca="false">+L281</f>
        <v>70000</v>
      </c>
      <c r="N273" s="97" t="n">
        <f aca="false">+M281</f>
        <v>70000</v>
      </c>
      <c r="O273" s="97" t="n">
        <f aca="false">+N281</f>
        <v>70000</v>
      </c>
      <c r="P273" s="97" t="n">
        <f aca="false">+O281</f>
        <v>70000</v>
      </c>
      <c r="Q273" s="97" t="n">
        <f aca="false">+P281</f>
        <v>70000</v>
      </c>
      <c r="R273" s="97" t="n">
        <f aca="false">+Q281</f>
        <v>70000</v>
      </c>
      <c r="S273" s="97" t="n">
        <f aca="false">+R281</f>
        <v>70000</v>
      </c>
      <c r="T273" s="97" t="n">
        <f aca="false">+S281</f>
        <v>58500.12</v>
      </c>
      <c r="U273" s="97" t="n">
        <f aca="false">+T281</f>
        <v>45900.12</v>
      </c>
      <c r="V273" s="97" t="n">
        <f aca="false">+U281</f>
        <v>32100.04</v>
      </c>
      <c r="W273" s="97" t="n">
        <f aca="false">+V281</f>
        <v>16800</v>
      </c>
      <c r="X273" s="97"/>
      <c r="Y273" s="97"/>
      <c r="Z273" s="97"/>
      <c r="AA273" s="118"/>
      <c r="AB273" s="118"/>
      <c r="AC273" s="118"/>
      <c r="AD273" s="118"/>
      <c r="AE273" s="118"/>
      <c r="AF273" s="118"/>
      <c r="AG273" s="118"/>
      <c r="AH273" s="118"/>
      <c r="AI273" s="118"/>
      <c r="AJ273" s="118"/>
      <c r="AK273" s="118"/>
      <c r="AL273" s="118"/>
      <c r="AM273" s="118"/>
      <c r="AN273" s="118"/>
      <c r="AO273" s="118"/>
      <c r="AP273" s="118"/>
      <c r="AQ273" s="118"/>
      <c r="AR273" s="128" t="s">
        <v>92</v>
      </c>
      <c r="AS273" s="97"/>
      <c r="AT273" s="97"/>
      <c r="AU273" s="97"/>
      <c r="AV273" s="97"/>
      <c r="AW273" s="97"/>
      <c r="AX273" s="97"/>
      <c r="AY273" s="97"/>
      <c r="AZ273" s="97"/>
      <c r="BA273" s="97"/>
      <c r="BB273" s="97"/>
      <c r="BC273" s="97"/>
      <c r="BD273" s="97"/>
      <c r="BE273" s="97"/>
      <c r="BF273" s="97"/>
      <c r="BG273" s="97"/>
      <c r="BH273" s="97"/>
      <c r="BI273" s="97"/>
      <c r="BJ273" s="97"/>
      <c r="BK273" s="97"/>
      <c r="BL273" s="97"/>
      <c r="BM273" s="97"/>
      <c r="BN273" s="97"/>
      <c r="BO273" s="97"/>
      <c r="BP273" s="97"/>
      <c r="BQ273" s="97"/>
      <c r="BR273" s="97"/>
      <c r="BS273" s="97"/>
      <c r="BT273" s="97"/>
      <c r="BU273" s="97"/>
      <c r="BV273" s="97"/>
      <c r="BW273" s="97"/>
      <c r="BX273" s="97"/>
      <c r="BY273" s="97"/>
      <c r="BZ273" s="97"/>
      <c r="CA273" s="97"/>
      <c r="CB273" s="97"/>
      <c r="CC273" s="97"/>
      <c r="CD273" s="97"/>
      <c r="CE273" s="97"/>
      <c r="CF273" s="97"/>
      <c r="CG273" s="97"/>
      <c r="CH273" s="97"/>
      <c r="CI273" s="97"/>
      <c r="CJ273" s="97"/>
      <c r="CK273" s="97"/>
    </row>
    <row r="274" customFormat="false" ht="12.75" hidden="false" customHeight="false" outlineLevel="0" collapsed="false">
      <c r="A274" s="3"/>
      <c r="B274" s="2" t="s">
        <v>175</v>
      </c>
      <c r="C274" s="2"/>
      <c r="D274" s="3"/>
      <c r="E274" s="97"/>
      <c r="F274" s="114"/>
      <c r="G274" s="97"/>
      <c r="H274" s="97" t="n">
        <f aca="false">+H$272*$G$238/4</f>
        <v>0</v>
      </c>
      <c r="I274" s="97" t="n">
        <f aca="false">+I$272*$G$238/4</f>
        <v>0</v>
      </c>
      <c r="J274" s="97" t="n">
        <f aca="false">+J$272*$G$238/4</f>
        <v>0</v>
      </c>
      <c r="K274" s="97" t="n">
        <f aca="false">+K$272*$G$238/4</f>
        <v>0</v>
      </c>
      <c r="L274" s="97" t="n">
        <f aca="false">+L$272*$G$238/4</f>
        <v>0</v>
      </c>
      <c r="M274" s="97" t="n">
        <f aca="false">+M$272*$G$238/4</f>
        <v>0</v>
      </c>
      <c r="N274" s="97" t="n">
        <f aca="false">+N$272*$G$238/4</f>
        <v>0</v>
      </c>
      <c r="O274" s="97" t="n">
        <f aca="false">+O$272*$G$238/4</f>
        <v>0</v>
      </c>
      <c r="P274" s="97" t="n">
        <f aca="false">+P$272*$G$238/4</f>
        <v>0</v>
      </c>
      <c r="Q274" s="97" t="n">
        <f aca="false">+Q$272*$G$238/4</f>
        <v>0</v>
      </c>
      <c r="R274" s="97" t="n">
        <f aca="false">+R$272*$G$238/4</f>
        <v>0</v>
      </c>
      <c r="S274" s="97" t="n">
        <f aca="false">+S$272*$G$238/4</f>
        <v>2874.97</v>
      </c>
      <c r="T274" s="97" t="n">
        <f aca="false">+T$272*$G$238/4</f>
        <v>3150</v>
      </c>
      <c r="U274" s="97" t="n">
        <f aca="false">+U$272*$G$238/4</f>
        <v>3450.02</v>
      </c>
      <c r="V274" s="97" t="n">
        <f aca="false">+V$272*$G$238/4</f>
        <v>3825.01</v>
      </c>
      <c r="W274" s="97" t="n">
        <f aca="false">+W$272*$G$238/4</f>
        <v>4200</v>
      </c>
      <c r="X274" s="97"/>
      <c r="Y274" s="97"/>
      <c r="Z274" s="97"/>
      <c r="AA274" s="118"/>
      <c r="AB274" s="118"/>
      <c r="AC274" s="118"/>
      <c r="AD274" s="118"/>
      <c r="AE274" s="118"/>
      <c r="AF274" s="118"/>
      <c r="AG274" s="118"/>
      <c r="AH274" s="118"/>
      <c r="AI274" s="118"/>
      <c r="AJ274" s="118"/>
      <c r="AK274" s="118"/>
      <c r="AL274" s="118"/>
      <c r="AM274" s="118"/>
      <c r="AN274" s="118"/>
      <c r="AO274" s="118"/>
      <c r="AP274" s="118"/>
      <c r="AQ274" s="118"/>
      <c r="AR274" s="128" t="s">
        <v>92</v>
      </c>
      <c r="AS274" s="97"/>
      <c r="AT274" s="97"/>
      <c r="AU274" s="97"/>
      <c r="AV274" s="97"/>
      <c r="AW274" s="97"/>
      <c r="AX274" s="97"/>
      <c r="AY274" s="97"/>
      <c r="AZ274" s="97"/>
      <c r="BA274" s="97"/>
      <c r="BB274" s="97"/>
      <c r="BC274" s="97"/>
      <c r="BD274" s="97"/>
      <c r="BE274" s="97"/>
      <c r="BF274" s="97"/>
      <c r="BG274" s="97"/>
      <c r="BH274" s="97"/>
      <c r="BI274" s="97"/>
      <c r="BJ274" s="97"/>
      <c r="BK274" s="97"/>
      <c r="BL274" s="97"/>
      <c r="BM274" s="97"/>
      <c r="BN274" s="97"/>
      <c r="BO274" s="97"/>
      <c r="BP274" s="97"/>
      <c r="BQ274" s="97"/>
      <c r="BR274" s="97"/>
      <c r="BS274" s="97"/>
      <c r="BT274" s="97"/>
      <c r="BU274" s="97"/>
      <c r="BV274" s="97"/>
      <c r="BW274" s="97"/>
      <c r="BX274" s="97"/>
      <c r="BY274" s="97"/>
      <c r="BZ274" s="97"/>
      <c r="CA274" s="97"/>
      <c r="CB274" s="97"/>
      <c r="CC274" s="97"/>
      <c r="CD274" s="97"/>
      <c r="CE274" s="97"/>
      <c r="CF274" s="97"/>
      <c r="CG274" s="97"/>
      <c r="CH274" s="97"/>
      <c r="CI274" s="97"/>
      <c r="CJ274" s="97"/>
      <c r="CK274" s="97"/>
    </row>
    <row r="275" customFormat="false" ht="12.75" hidden="false" customHeight="false" outlineLevel="0" collapsed="false">
      <c r="A275" s="3"/>
      <c r="B275" s="2"/>
      <c r="C275" s="2" t="s">
        <v>176</v>
      </c>
      <c r="D275" s="3"/>
      <c r="E275" s="97"/>
      <c r="F275" s="114"/>
      <c r="G275" s="97"/>
      <c r="H275" s="97" t="n">
        <f aca="false">H273-H274</f>
        <v>70000</v>
      </c>
      <c r="I275" s="97" t="n">
        <f aca="false">I273-I274</f>
        <v>70000</v>
      </c>
      <c r="J275" s="97" t="n">
        <f aca="false">J273-J274</f>
        <v>70000</v>
      </c>
      <c r="K275" s="97" t="n">
        <f aca="false">K273-K274</f>
        <v>70000</v>
      </c>
      <c r="L275" s="97" t="n">
        <f aca="false">L273-L274</f>
        <v>70000</v>
      </c>
      <c r="M275" s="97" t="n">
        <f aca="false">M273-M274</f>
        <v>70000</v>
      </c>
      <c r="N275" s="97" t="n">
        <f aca="false">N273-N274</f>
        <v>70000</v>
      </c>
      <c r="O275" s="97" t="n">
        <f aca="false">O273-O274</f>
        <v>70000</v>
      </c>
      <c r="P275" s="97" t="n">
        <f aca="false">P273-P274</f>
        <v>70000</v>
      </c>
      <c r="Q275" s="97" t="n">
        <f aca="false">Q273-Q274</f>
        <v>70000</v>
      </c>
      <c r="R275" s="97" t="n">
        <f aca="false">R273-R274</f>
        <v>70000</v>
      </c>
      <c r="S275" s="97" t="n">
        <f aca="false">S273-S274</f>
        <v>67125.03</v>
      </c>
      <c r="T275" s="97" t="n">
        <f aca="false">T273-T274</f>
        <v>55350.12</v>
      </c>
      <c r="U275" s="97" t="n">
        <f aca="false">U273-U274</f>
        <v>42450.1</v>
      </c>
      <c r="V275" s="97" t="n">
        <f aca="false">V273-V274</f>
        <v>28275.03</v>
      </c>
      <c r="W275" s="97" t="n">
        <f aca="false">W273-W274</f>
        <v>12600</v>
      </c>
      <c r="X275" s="97"/>
      <c r="Y275" s="97"/>
      <c r="Z275" s="97"/>
      <c r="AA275" s="118"/>
      <c r="AB275" s="118"/>
      <c r="AC275" s="118"/>
      <c r="AD275" s="118"/>
      <c r="AE275" s="118"/>
      <c r="AF275" s="118"/>
      <c r="AG275" s="118"/>
      <c r="AH275" s="118"/>
      <c r="AI275" s="118"/>
      <c r="AJ275" s="118"/>
      <c r="AK275" s="118"/>
      <c r="AL275" s="118"/>
      <c r="AM275" s="118"/>
      <c r="AN275" s="118"/>
      <c r="AO275" s="118"/>
      <c r="AP275" s="118"/>
      <c r="AQ275" s="118"/>
      <c r="AR275" s="128" t="s">
        <v>92</v>
      </c>
      <c r="AS275" s="97"/>
      <c r="AT275" s="97"/>
      <c r="AU275" s="97"/>
      <c r="AV275" s="97"/>
      <c r="AW275" s="97"/>
      <c r="AX275" s="97"/>
      <c r="AY275" s="97"/>
      <c r="AZ275" s="97"/>
      <c r="BA275" s="97"/>
      <c r="BB275" s="97"/>
      <c r="BC275" s="97"/>
      <c r="BD275" s="97"/>
      <c r="BE275" s="97"/>
      <c r="BF275" s="97"/>
      <c r="BG275" s="97"/>
      <c r="BH275" s="97"/>
      <c r="BI275" s="97"/>
      <c r="BJ275" s="97"/>
      <c r="BK275" s="97"/>
      <c r="BL275" s="97"/>
      <c r="BM275" s="97"/>
      <c r="BN275" s="97"/>
      <c r="BO275" s="97"/>
      <c r="BP275" s="97"/>
      <c r="BQ275" s="97"/>
      <c r="BR275" s="97"/>
      <c r="BS275" s="97"/>
      <c r="BT275" s="97"/>
      <c r="BU275" s="97"/>
      <c r="BV275" s="97"/>
      <c r="BW275" s="97"/>
      <c r="BX275" s="97"/>
      <c r="BY275" s="97"/>
      <c r="BZ275" s="97"/>
      <c r="CA275" s="97"/>
      <c r="CB275" s="97"/>
      <c r="CC275" s="97"/>
      <c r="CD275" s="97"/>
      <c r="CE275" s="97"/>
      <c r="CF275" s="97"/>
      <c r="CG275" s="97"/>
      <c r="CH275" s="97"/>
      <c r="CI275" s="97"/>
      <c r="CJ275" s="97"/>
      <c r="CK275" s="97"/>
    </row>
    <row r="276" customFormat="false" ht="12.75" hidden="false" customHeight="false" outlineLevel="0" collapsed="false">
      <c r="A276" s="3"/>
      <c r="B276" s="2" t="s">
        <v>177</v>
      </c>
      <c r="C276" s="2"/>
      <c r="D276" s="3"/>
      <c r="E276" s="97"/>
      <c r="F276" s="114"/>
      <c r="G276" s="97"/>
      <c r="H276" s="97" t="n">
        <f aca="false">+H$272*$G$238/4</f>
        <v>0</v>
      </c>
      <c r="I276" s="97" t="n">
        <f aca="false">+I$272*$G$238/4</f>
        <v>0</v>
      </c>
      <c r="J276" s="97" t="n">
        <f aca="false">+J$272*$G$238/4</f>
        <v>0</v>
      </c>
      <c r="K276" s="97" t="n">
        <f aca="false">+K$272*$G$238/4</f>
        <v>0</v>
      </c>
      <c r="L276" s="97" t="n">
        <f aca="false">+L$272*$G$238/4</f>
        <v>0</v>
      </c>
      <c r="M276" s="97" t="n">
        <f aca="false">+M$272*$G$238/4</f>
        <v>0</v>
      </c>
      <c r="N276" s="97" t="n">
        <f aca="false">+N$272*$G$238/4</f>
        <v>0</v>
      </c>
      <c r="O276" s="97" t="n">
        <f aca="false">+O$272*$G$238/4</f>
        <v>0</v>
      </c>
      <c r="P276" s="97" t="n">
        <f aca="false">+P$272*$G$238/4</f>
        <v>0</v>
      </c>
      <c r="Q276" s="97" t="n">
        <f aca="false">+Q$272*$G$238/4</f>
        <v>0</v>
      </c>
      <c r="R276" s="97" t="n">
        <f aca="false">+R$272*$G$238/4</f>
        <v>0</v>
      </c>
      <c r="S276" s="97" t="n">
        <f aca="false">+S$272*$G$238/4</f>
        <v>2874.97</v>
      </c>
      <c r="T276" s="97" t="n">
        <f aca="false">+T$272*$G$238/4</f>
        <v>3150</v>
      </c>
      <c r="U276" s="97" t="n">
        <f aca="false">+U$272*$G$238/4</f>
        <v>3450.02</v>
      </c>
      <c r="V276" s="97" t="n">
        <f aca="false">+V$272*$G$238/4</f>
        <v>3825.01</v>
      </c>
      <c r="W276" s="97" t="n">
        <f aca="false">+W$272*$G$238/4</f>
        <v>4200</v>
      </c>
      <c r="X276" s="97"/>
      <c r="Y276" s="97"/>
      <c r="Z276" s="97"/>
      <c r="AA276" s="118"/>
      <c r="AB276" s="118"/>
      <c r="AC276" s="118"/>
      <c r="AD276" s="118"/>
      <c r="AE276" s="118"/>
      <c r="AF276" s="118"/>
      <c r="AG276" s="118"/>
      <c r="AH276" s="118"/>
      <c r="AI276" s="118"/>
      <c r="AJ276" s="118"/>
      <c r="AK276" s="118"/>
      <c r="AL276" s="118"/>
      <c r="AM276" s="118"/>
      <c r="AN276" s="118"/>
      <c r="AO276" s="118"/>
      <c r="AP276" s="118"/>
      <c r="AQ276" s="118"/>
      <c r="AR276" s="128" t="s">
        <v>92</v>
      </c>
      <c r="AS276" s="97"/>
      <c r="AT276" s="97"/>
      <c r="AU276" s="97"/>
      <c r="AV276" s="97"/>
      <c r="AW276" s="97"/>
      <c r="AX276" s="97"/>
      <c r="AY276" s="97"/>
      <c r="AZ276" s="97"/>
      <c r="BA276" s="97"/>
      <c r="BB276" s="97"/>
      <c r="BC276" s="97"/>
      <c r="BD276" s="97"/>
      <c r="BE276" s="97"/>
      <c r="BF276" s="97"/>
      <c r="BG276" s="97"/>
      <c r="BH276" s="97"/>
      <c r="BI276" s="97"/>
      <c r="BJ276" s="97"/>
      <c r="BK276" s="97"/>
      <c r="BL276" s="97"/>
      <c r="BM276" s="97"/>
      <c r="BN276" s="97"/>
      <c r="BO276" s="97"/>
      <c r="BP276" s="97"/>
      <c r="BQ276" s="97"/>
      <c r="BR276" s="97"/>
      <c r="BS276" s="97"/>
      <c r="BT276" s="97"/>
      <c r="BU276" s="97"/>
      <c r="BV276" s="97"/>
      <c r="BW276" s="97"/>
      <c r="BX276" s="97"/>
      <c r="BY276" s="97"/>
      <c r="BZ276" s="97"/>
      <c r="CA276" s="97"/>
      <c r="CB276" s="97"/>
      <c r="CC276" s="97"/>
      <c r="CD276" s="97"/>
      <c r="CE276" s="97"/>
      <c r="CF276" s="97"/>
      <c r="CG276" s="97"/>
      <c r="CH276" s="97"/>
      <c r="CI276" s="97"/>
      <c r="CJ276" s="97"/>
      <c r="CK276" s="97"/>
    </row>
    <row r="277" customFormat="false" ht="12.75" hidden="false" customHeight="false" outlineLevel="0" collapsed="false">
      <c r="A277" s="3"/>
      <c r="B277" s="2"/>
      <c r="C277" s="2" t="s">
        <v>178</v>
      </c>
      <c r="D277" s="3"/>
      <c r="E277" s="97"/>
      <c r="F277" s="114"/>
      <c r="G277" s="97"/>
      <c r="H277" s="97" t="n">
        <f aca="false">H275-H276</f>
        <v>70000</v>
      </c>
      <c r="I277" s="97" t="n">
        <f aca="false">I275-I276</f>
        <v>70000</v>
      </c>
      <c r="J277" s="97" t="n">
        <f aca="false">J275-J276</f>
        <v>70000</v>
      </c>
      <c r="K277" s="97" t="n">
        <f aca="false">K275-K276</f>
        <v>70000</v>
      </c>
      <c r="L277" s="97" t="n">
        <f aca="false">L275-L276</f>
        <v>70000</v>
      </c>
      <c r="M277" s="97" t="n">
        <f aca="false">M275-M276</f>
        <v>70000</v>
      </c>
      <c r="N277" s="97" t="n">
        <f aca="false">N275-N276</f>
        <v>70000</v>
      </c>
      <c r="O277" s="97" t="n">
        <f aca="false">O275-O276</f>
        <v>70000</v>
      </c>
      <c r="P277" s="97" t="n">
        <f aca="false">P275-P276</f>
        <v>70000</v>
      </c>
      <c r="Q277" s="97" t="n">
        <f aca="false">Q275-Q276</f>
        <v>70000</v>
      </c>
      <c r="R277" s="97" t="n">
        <f aca="false">R275-R276</f>
        <v>70000</v>
      </c>
      <c r="S277" s="97" t="n">
        <f aca="false">S275-S276</f>
        <v>64250.06</v>
      </c>
      <c r="T277" s="97" t="n">
        <f aca="false">T275-T276</f>
        <v>52200.12</v>
      </c>
      <c r="U277" s="97" t="n">
        <f aca="false">U275-U276</f>
        <v>39000.08</v>
      </c>
      <c r="V277" s="97" t="n">
        <f aca="false">V275-V276</f>
        <v>24450.02</v>
      </c>
      <c r="W277" s="97" t="n">
        <f aca="false">W275-W276</f>
        <v>8399.99999999999</v>
      </c>
      <c r="X277" s="97"/>
      <c r="Y277" s="97"/>
      <c r="Z277" s="97"/>
      <c r="AA277" s="118"/>
      <c r="AB277" s="118"/>
      <c r="AC277" s="118"/>
      <c r="AD277" s="118"/>
      <c r="AE277" s="118"/>
      <c r="AF277" s="118"/>
      <c r="AG277" s="118"/>
      <c r="AH277" s="118"/>
      <c r="AI277" s="118"/>
      <c r="AJ277" s="118"/>
      <c r="AK277" s="118"/>
      <c r="AL277" s="118"/>
      <c r="AM277" s="118"/>
      <c r="AN277" s="118"/>
      <c r="AO277" s="118"/>
      <c r="AP277" s="118"/>
      <c r="AQ277" s="118"/>
      <c r="AR277" s="128" t="s">
        <v>92</v>
      </c>
      <c r="AS277" s="97"/>
      <c r="AT277" s="97"/>
      <c r="AU277" s="97"/>
      <c r="AV277" s="97"/>
      <c r="AW277" s="97"/>
      <c r="AX277" s="97"/>
      <c r="AY277" s="97"/>
      <c r="AZ277" s="97"/>
      <c r="BA277" s="97"/>
      <c r="BB277" s="97"/>
      <c r="BC277" s="97"/>
      <c r="BD277" s="97"/>
      <c r="BE277" s="97"/>
      <c r="BF277" s="97"/>
      <c r="BG277" s="97"/>
      <c r="BH277" s="97"/>
      <c r="BI277" s="97"/>
      <c r="BJ277" s="97"/>
      <c r="BK277" s="97"/>
      <c r="BL277" s="97"/>
      <c r="BM277" s="97"/>
      <c r="BN277" s="97"/>
      <c r="BO277" s="97"/>
      <c r="BP277" s="97"/>
      <c r="BQ277" s="97"/>
      <c r="BR277" s="97"/>
      <c r="BS277" s="97"/>
      <c r="BT277" s="97"/>
      <c r="BU277" s="97"/>
      <c r="BV277" s="97"/>
      <c r="BW277" s="97"/>
      <c r="BX277" s="97"/>
      <c r="BY277" s="97"/>
      <c r="BZ277" s="97"/>
      <c r="CA277" s="97"/>
      <c r="CB277" s="97"/>
      <c r="CC277" s="97"/>
      <c r="CD277" s="97"/>
      <c r="CE277" s="97"/>
      <c r="CF277" s="97"/>
      <c r="CG277" s="97"/>
      <c r="CH277" s="97"/>
      <c r="CI277" s="97"/>
      <c r="CJ277" s="97"/>
      <c r="CK277" s="97"/>
    </row>
    <row r="278" customFormat="false" ht="12.75" hidden="false" customHeight="false" outlineLevel="0" collapsed="false">
      <c r="A278" s="3"/>
      <c r="B278" s="2" t="s">
        <v>179</v>
      </c>
      <c r="C278" s="2"/>
      <c r="D278" s="3"/>
      <c r="E278" s="97"/>
      <c r="F278" s="114"/>
      <c r="G278" s="97"/>
      <c r="H278" s="97" t="n">
        <f aca="false">+H$272*$G$238/4</f>
        <v>0</v>
      </c>
      <c r="I278" s="97" t="n">
        <f aca="false">+I$272*$G$238/4</f>
        <v>0</v>
      </c>
      <c r="J278" s="97" t="n">
        <f aca="false">+J$272*$G$238/4</f>
        <v>0</v>
      </c>
      <c r="K278" s="97" t="n">
        <f aca="false">+K$272*$G$238/4</f>
        <v>0</v>
      </c>
      <c r="L278" s="97" t="n">
        <f aca="false">+L$272*$G$238/4</f>
        <v>0</v>
      </c>
      <c r="M278" s="97" t="n">
        <f aca="false">+M$272*$G$238/4</f>
        <v>0</v>
      </c>
      <c r="N278" s="97" t="n">
        <f aca="false">+N$272*$G$238/4</f>
        <v>0</v>
      </c>
      <c r="O278" s="97" t="n">
        <f aca="false">+O$272*$G$238/4</f>
        <v>0</v>
      </c>
      <c r="P278" s="97" t="n">
        <f aca="false">+P$272*$G$238/4</f>
        <v>0</v>
      </c>
      <c r="Q278" s="97" t="n">
        <f aca="false">+Q$272*$G$238/4</f>
        <v>0</v>
      </c>
      <c r="R278" s="97" t="n">
        <f aca="false">+R$272*$G$238/4</f>
        <v>0</v>
      </c>
      <c r="S278" s="97" t="n">
        <f aca="false">+S$272*$G$238/4</f>
        <v>2874.97</v>
      </c>
      <c r="T278" s="97" t="n">
        <f aca="false">+T$272*$G$238/4</f>
        <v>3150</v>
      </c>
      <c r="U278" s="97" t="n">
        <f aca="false">+U$272*$G$238/4</f>
        <v>3450.02</v>
      </c>
      <c r="V278" s="97" t="n">
        <f aca="false">+V$272*$G$238/4</f>
        <v>3825.01</v>
      </c>
      <c r="W278" s="97" t="n">
        <f aca="false">+W$272*$G$238/4</f>
        <v>4200</v>
      </c>
      <c r="X278" s="97"/>
      <c r="Y278" s="97"/>
      <c r="Z278" s="97"/>
      <c r="AA278" s="118"/>
      <c r="AB278" s="118"/>
      <c r="AC278" s="118"/>
      <c r="AD278" s="118"/>
      <c r="AE278" s="118"/>
      <c r="AF278" s="118"/>
      <c r="AG278" s="118"/>
      <c r="AH278" s="118"/>
      <c r="AI278" s="118"/>
      <c r="AJ278" s="118"/>
      <c r="AK278" s="118"/>
      <c r="AL278" s="118"/>
      <c r="AM278" s="118"/>
      <c r="AN278" s="118"/>
      <c r="AO278" s="118"/>
      <c r="AP278" s="118"/>
      <c r="AQ278" s="118"/>
      <c r="AR278" s="128" t="s">
        <v>92</v>
      </c>
      <c r="AS278" s="97"/>
      <c r="AT278" s="97"/>
      <c r="AU278" s="97"/>
      <c r="AV278" s="97"/>
      <c r="AW278" s="97"/>
      <c r="AX278" s="97"/>
      <c r="AY278" s="97"/>
      <c r="AZ278" s="97"/>
      <c r="BA278" s="97"/>
      <c r="BB278" s="97"/>
      <c r="BC278" s="97"/>
      <c r="BD278" s="97"/>
      <c r="BE278" s="97"/>
      <c r="BF278" s="97"/>
      <c r="BG278" s="97"/>
      <c r="BH278" s="97"/>
      <c r="BI278" s="97"/>
      <c r="BJ278" s="97"/>
      <c r="BK278" s="97"/>
      <c r="BL278" s="97"/>
      <c r="BM278" s="97"/>
      <c r="BN278" s="97"/>
      <c r="BO278" s="97"/>
      <c r="BP278" s="97"/>
      <c r="BQ278" s="97"/>
      <c r="BR278" s="97"/>
      <c r="BS278" s="97"/>
      <c r="BT278" s="97"/>
      <c r="BU278" s="97"/>
      <c r="BV278" s="97"/>
      <c r="BW278" s="97"/>
      <c r="BX278" s="97"/>
      <c r="BY278" s="97"/>
      <c r="BZ278" s="97"/>
      <c r="CA278" s="97"/>
      <c r="CB278" s="97"/>
      <c r="CC278" s="97"/>
      <c r="CD278" s="97"/>
      <c r="CE278" s="97"/>
      <c r="CF278" s="97"/>
      <c r="CG278" s="97"/>
      <c r="CH278" s="97"/>
      <c r="CI278" s="97"/>
      <c r="CJ278" s="97"/>
      <c r="CK278" s="97"/>
    </row>
    <row r="279" customFormat="false" ht="12.75" hidden="false" customHeight="false" outlineLevel="0" collapsed="false">
      <c r="A279" s="3"/>
      <c r="B279" s="2"/>
      <c r="C279" s="2" t="s">
        <v>180</v>
      </c>
      <c r="D279" s="3"/>
      <c r="E279" s="97"/>
      <c r="F279" s="114"/>
      <c r="G279" s="97"/>
      <c r="H279" s="97" t="n">
        <f aca="false">H277-H278</f>
        <v>70000</v>
      </c>
      <c r="I279" s="97" t="n">
        <f aca="false">I277-I278</f>
        <v>70000</v>
      </c>
      <c r="J279" s="97" t="n">
        <f aca="false">J277-J278</f>
        <v>70000</v>
      </c>
      <c r="K279" s="97" t="n">
        <f aca="false">K277-K278</f>
        <v>70000</v>
      </c>
      <c r="L279" s="97" t="n">
        <f aca="false">L277-L278</f>
        <v>70000</v>
      </c>
      <c r="M279" s="97" t="n">
        <f aca="false">M277-M278</f>
        <v>70000</v>
      </c>
      <c r="N279" s="97" t="n">
        <f aca="false">N277-N278</f>
        <v>70000</v>
      </c>
      <c r="O279" s="97" t="n">
        <f aca="false">O277-O278</f>
        <v>70000</v>
      </c>
      <c r="P279" s="97" t="n">
        <f aca="false">P277-P278</f>
        <v>70000</v>
      </c>
      <c r="Q279" s="97" t="n">
        <f aca="false">Q277-Q278</f>
        <v>70000</v>
      </c>
      <c r="R279" s="97" t="n">
        <f aca="false">R277-R278</f>
        <v>70000</v>
      </c>
      <c r="S279" s="97" t="n">
        <f aca="false">S277-S278</f>
        <v>61375.09</v>
      </c>
      <c r="T279" s="97" t="n">
        <f aca="false">T277-T278</f>
        <v>49050.12</v>
      </c>
      <c r="U279" s="97" t="n">
        <f aca="false">U277-U278</f>
        <v>35550.06</v>
      </c>
      <c r="V279" s="97" t="n">
        <f aca="false">V277-V278</f>
        <v>20625.01</v>
      </c>
      <c r="W279" s="97" t="n">
        <f aca="false">W277-W278</f>
        <v>4199.99999999999</v>
      </c>
      <c r="X279" s="97"/>
      <c r="Y279" s="97"/>
      <c r="Z279" s="97"/>
      <c r="AA279" s="118"/>
      <c r="AB279" s="118"/>
      <c r="AC279" s="118"/>
      <c r="AD279" s="118"/>
      <c r="AE279" s="118"/>
      <c r="AF279" s="118"/>
      <c r="AG279" s="118"/>
      <c r="AH279" s="118"/>
      <c r="AI279" s="118"/>
      <c r="AJ279" s="118"/>
      <c r="AK279" s="118"/>
      <c r="AL279" s="118"/>
      <c r="AM279" s="118"/>
      <c r="AN279" s="118"/>
      <c r="AO279" s="118"/>
      <c r="AP279" s="118"/>
      <c r="AQ279" s="118"/>
      <c r="AR279" s="128" t="s">
        <v>92</v>
      </c>
      <c r="AS279" s="97"/>
      <c r="AT279" s="97"/>
      <c r="AU279" s="97"/>
      <c r="AV279" s="97"/>
      <c r="AW279" s="97"/>
      <c r="AX279" s="97"/>
      <c r="AY279" s="97"/>
      <c r="AZ279" s="97"/>
      <c r="BA279" s="97"/>
      <c r="BB279" s="97"/>
      <c r="BC279" s="97"/>
      <c r="BD279" s="97"/>
      <c r="BE279" s="97"/>
      <c r="BF279" s="97"/>
      <c r="BG279" s="97"/>
      <c r="BH279" s="97"/>
      <c r="BI279" s="97"/>
      <c r="BJ279" s="97"/>
      <c r="BK279" s="97"/>
      <c r="BL279" s="97"/>
      <c r="BM279" s="97"/>
      <c r="BN279" s="97"/>
      <c r="BO279" s="97"/>
      <c r="BP279" s="97"/>
      <c r="BQ279" s="97"/>
      <c r="BR279" s="97"/>
      <c r="BS279" s="97"/>
      <c r="BT279" s="97"/>
      <c r="BU279" s="97"/>
      <c r="BV279" s="97"/>
      <c r="BW279" s="97"/>
      <c r="BX279" s="97"/>
      <c r="BY279" s="97"/>
      <c r="BZ279" s="97"/>
      <c r="CA279" s="97"/>
      <c r="CB279" s="97"/>
      <c r="CC279" s="97"/>
      <c r="CD279" s="97"/>
      <c r="CE279" s="97"/>
      <c r="CF279" s="97"/>
      <c r="CG279" s="97"/>
      <c r="CH279" s="97"/>
      <c r="CI279" s="97"/>
      <c r="CJ279" s="97"/>
      <c r="CK279" s="97"/>
    </row>
    <row r="280" customFormat="false" ht="12.75" hidden="false" customHeight="false" outlineLevel="0" collapsed="false">
      <c r="A280" s="3"/>
      <c r="B280" s="2" t="s">
        <v>181</v>
      </c>
      <c r="C280" s="2"/>
      <c r="D280" s="3"/>
      <c r="E280" s="97"/>
      <c r="F280" s="114"/>
      <c r="G280" s="97"/>
      <c r="H280" s="97" t="n">
        <f aca="false">+H$272*$G$238/4</f>
        <v>0</v>
      </c>
      <c r="I280" s="97" t="n">
        <f aca="false">+I$272*$G$238/4</f>
        <v>0</v>
      </c>
      <c r="J280" s="97" t="n">
        <f aca="false">+J$272*$G$238/4</f>
        <v>0</v>
      </c>
      <c r="K280" s="97" t="n">
        <f aca="false">+K$272*$G$238/4</f>
        <v>0</v>
      </c>
      <c r="L280" s="97" t="n">
        <f aca="false">+L$272*$G$238/4</f>
        <v>0</v>
      </c>
      <c r="M280" s="97" t="n">
        <f aca="false">+M$272*$G$238/4</f>
        <v>0</v>
      </c>
      <c r="N280" s="97" t="n">
        <f aca="false">+N$272*$G$238/4</f>
        <v>0</v>
      </c>
      <c r="O280" s="97" t="n">
        <f aca="false">+O$272*$G$238/4</f>
        <v>0</v>
      </c>
      <c r="P280" s="97" t="n">
        <f aca="false">+P$272*$G$238/4</f>
        <v>0</v>
      </c>
      <c r="Q280" s="97" t="n">
        <f aca="false">+Q$272*$G$238/4</f>
        <v>0</v>
      </c>
      <c r="R280" s="97" t="n">
        <f aca="false">+R$272*$G$238/4</f>
        <v>0</v>
      </c>
      <c r="S280" s="97" t="n">
        <f aca="false">+S$272*$G$238/4</f>
        <v>2874.97</v>
      </c>
      <c r="T280" s="97" t="n">
        <f aca="false">+T$272*$G$238/4</f>
        <v>3150</v>
      </c>
      <c r="U280" s="97" t="n">
        <f aca="false">+U$272*$G$238/4</f>
        <v>3450.02</v>
      </c>
      <c r="V280" s="97" t="n">
        <f aca="false">+V$272*$G$238/4</f>
        <v>3825.01</v>
      </c>
      <c r="W280" s="97" t="n">
        <f aca="false">+W$272*$G$238/4</f>
        <v>4200</v>
      </c>
      <c r="X280" s="97"/>
      <c r="Y280" s="97"/>
      <c r="Z280" s="97"/>
      <c r="AA280" s="118"/>
      <c r="AB280" s="118"/>
      <c r="AC280" s="118"/>
      <c r="AD280" s="118"/>
      <c r="AE280" s="118"/>
      <c r="AF280" s="118"/>
      <c r="AG280" s="118"/>
      <c r="AH280" s="118"/>
      <c r="AI280" s="118"/>
      <c r="AJ280" s="118"/>
      <c r="AK280" s="118"/>
      <c r="AL280" s="118"/>
      <c r="AM280" s="118"/>
      <c r="AN280" s="118"/>
      <c r="AO280" s="118"/>
      <c r="AP280" s="118"/>
      <c r="AQ280" s="118"/>
      <c r="AR280" s="128" t="s">
        <v>92</v>
      </c>
      <c r="AS280" s="97"/>
      <c r="AT280" s="97"/>
      <c r="AU280" s="97"/>
      <c r="AV280" s="97"/>
      <c r="AW280" s="97"/>
      <c r="AX280" s="97"/>
      <c r="AY280" s="97"/>
      <c r="AZ280" s="97"/>
      <c r="BA280" s="97"/>
      <c r="BB280" s="97"/>
      <c r="BC280" s="97"/>
      <c r="BD280" s="97"/>
      <c r="BE280" s="97"/>
      <c r="BF280" s="97"/>
      <c r="BG280" s="97"/>
      <c r="BH280" s="97"/>
      <c r="BI280" s="97"/>
      <c r="BJ280" s="97"/>
      <c r="BK280" s="97"/>
      <c r="BL280" s="97"/>
      <c r="BM280" s="97"/>
      <c r="BN280" s="97"/>
      <c r="BO280" s="97"/>
      <c r="BP280" s="97"/>
      <c r="BQ280" s="97"/>
      <c r="BR280" s="97"/>
      <c r="BS280" s="97"/>
      <c r="BT280" s="97"/>
      <c r="BU280" s="97"/>
      <c r="BV280" s="97"/>
      <c r="BW280" s="97"/>
      <c r="BX280" s="97"/>
      <c r="BY280" s="97"/>
      <c r="BZ280" s="97"/>
      <c r="CA280" s="97"/>
      <c r="CB280" s="97"/>
      <c r="CC280" s="97"/>
      <c r="CD280" s="97"/>
      <c r="CE280" s="97"/>
      <c r="CF280" s="97"/>
      <c r="CG280" s="97"/>
      <c r="CH280" s="97"/>
      <c r="CI280" s="97"/>
      <c r="CJ280" s="97"/>
      <c r="CK280" s="97"/>
    </row>
    <row r="281" customFormat="false" ht="12.75" hidden="false" customHeight="false" outlineLevel="0" collapsed="false">
      <c r="A281" s="3"/>
      <c r="B281" s="2"/>
      <c r="C281" s="2" t="s">
        <v>182</v>
      </c>
      <c r="D281" s="3"/>
      <c r="E281" s="97"/>
      <c r="F281" s="114"/>
      <c r="G281" s="90" t="n">
        <v>70000</v>
      </c>
      <c r="H281" s="97" t="n">
        <f aca="false">H279-H280</f>
        <v>70000</v>
      </c>
      <c r="I281" s="97" t="n">
        <f aca="false">I279-I280</f>
        <v>70000</v>
      </c>
      <c r="J281" s="97" t="n">
        <f aca="false">J279-J280</f>
        <v>70000</v>
      </c>
      <c r="K281" s="97" t="n">
        <f aca="false">K279-K280</f>
        <v>70000</v>
      </c>
      <c r="L281" s="97" t="n">
        <f aca="false">L279-L280</f>
        <v>70000</v>
      </c>
      <c r="M281" s="97" t="n">
        <f aca="false">M279-M280</f>
        <v>70000</v>
      </c>
      <c r="N281" s="97" t="n">
        <f aca="false">N279-N280</f>
        <v>70000</v>
      </c>
      <c r="O281" s="97" t="n">
        <f aca="false">O279-O280</f>
        <v>70000</v>
      </c>
      <c r="P281" s="97" t="n">
        <f aca="false">P279-P280</f>
        <v>70000</v>
      </c>
      <c r="Q281" s="97" t="n">
        <f aca="false">Q279-Q280</f>
        <v>70000</v>
      </c>
      <c r="R281" s="97" t="n">
        <f aca="false">R279-R280</f>
        <v>70000</v>
      </c>
      <c r="S281" s="97" t="n">
        <f aca="false">S279-S280</f>
        <v>58500.12</v>
      </c>
      <c r="T281" s="97" t="n">
        <f aca="false">T279-T280</f>
        <v>45900.12</v>
      </c>
      <c r="U281" s="97" t="n">
        <f aca="false">U279-U280</f>
        <v>32100.04</v>
      </c>
      <c r="V281" s="97" t="n">
        <f aca="false">V279-V280</f>
        <v>16800</v>
      </c>
      <c r="W281" s="97" t="n">
        <f aca="false">W279-W280</f>
        <v>0</v>
      </c>
      <c r="X281" s="97"/>
      <c r="Y281" s="97"/>
      <c r="Z281" s="97"/>
      <c r="AA281" s="118"/>
      <c r="AB281" s="118"/>
      <c r="AC281" s="118"/>
      <c r="AD281" s="118"/>
      <c r="AE281" s="118"/>
      <c r="AF281" s="118"/>
      <c r="AG281" s="118"/>
      <c r="AH281" s="118"/>
      <c r="AI281" s="118"/>
      <c r="AJ281" s="118"/>
      <c r="AK281" s="118"/>
      <c r="AL281" s="118"/>
      <c r="AM281" s="118"/>
      <c r="AN281" s="118"/>
      <c r="AO281" s="118"/>
      <c r="AP281" s="118"/>
      <c r="AQ281" s="118"/>
      <c r="AR281" s="128" t="s">
        <v>92</v>
      </c>
      <c r="AS281" s="97"/>
      <c r="AT281" s="97"/>
      <c r="AU281" s="97"/>
      <c r="AV281" s="97"/>
      <c r="AW281" s="97"/>
      <c r="AX281" s="97"/>
      <c r="AY281" s="97"/>
      <c r="AZ281" s="97"/>
      <c r="BA281" s="97"/>
      <c r="BB281" s="97"/>
      <c r="BC281" s="97"/>
      <c r="BD281" s="97"/>
      <c r="BE281" s="97"/>
      <c r="BF281" s="97"/>
      <c r="BG281" s="97"/>
      <c r="BH281" s="97"/>
      <c r="BI281" s="97"/>
      <c r="BJ281" s="97"/>
      <c r="BK281" s="97"/>
      <c r="BL281" s="97"/>
      <c r="BM281" s="97"/>
      <c r="BN281" s="97"/>
      <c r="BO281" s="97"/>
      <c r="BP281" s="97"/>
      <c r="BQ281" s="97"/>
      <c r="BR281" s="97"/>
      <c r="BS281" s="97"/>
      <c r="BT281" s="97"/>
      <c r="BU281" s="97"/>
      <c r="BV281" s="97"/>
      <c r="BW281" s="97"/>
      <c r="BX281" s="97"/>
      <c r="BY281" s="97"/>
      <c r="BZ281" s="97"/>
      <c r="CA281" s="97"/>
      <c r="CB281" s="97"/>
      <c r="CC281" s="97"/>
      <c r="CD281" s="97"/>
      <c r="CE281" s="97"/>
      <c r="CF281" s="97"/>
      <c r="CG281" s="97"/>
      <c r="CH281" s="97"/>
      <c r="CI281" s="97"/>
      <c r="CJ281" s="97"/>
      <c r="CK281" s="97"/>
    </row>
    <row r="282" customFormat="false" ht="12.75" hidden="false" customHeight="false" outlineLevel="0" collapsed="false">
      <c r="A282" s="3"/>
      <c r="B282" s="2"/>
      <c r="C282" s="2"/>
      <c r="D282" s="3"/>
      <c r="E282" s="97"/>
      <c r="F282" s="114"/>
      <c r="G282" s="97"/>
      <c r="H282" s="97"/>
      <c r="I282" s="97"/>
      <c r="J282" s="97"/>
      <c r="K282" s="97"/>
      <c r="L282" s="97"/>
      <c r="M282" s="97"/>
      <c r="N282" s="97"/>
      <c r="O282" s="97"/>
      <c r="P282" s="97"/>
      <c r="Q282" s="97"/>
      <c r="R282" s="97"/>
      <c r="S282" s="97"/>
      <c r="T282" s="97"/>
      <c r="U282" s="97"/>
      <c r="V282" s="97"/>
      <c r="W282" s="97"/>
      <c r="X282" s="97"/>
      <c r="Y282" s="97"/>
      <c r="Z282" s="97"/>
      <c r="AA282" s="118"/>
      <c r="AB282" s="118"/>
      <c r="AC282" s="118"/>
      <c r="AD282" s="118"/>
      <c r="AE282" s="118"/>
      <c r="AF282" s="118"/>
      <c r="AG282" s="118"/>
      <c r="AH282" s="118"/>
      <c r="AI282" s="118"/>
      <c r="AJ282" s="118"/>
      <c r="AK282" s="118"/>
      <c r="AL282" s="118"/>
      <c r="AM282" s="118"/>
      <c r="AN282" s="118"/>
      <c r="AO282" s="118"/>
      <c r="AP282" s="118"/>
      <c r="AQ282" s="118"/>
      <c r="AR282" s="128" t="s">
        <v>92</v>
      </c>
      <c r="AS282" s="97"/>
      <c r="AT282" s="97"/>
      <c r="AU282" s="97"/>
      <c r="AV282" s="97"/>
      <c r="AW282" s="97"/>
      <c r="AX282" s="97"/>
      <c r="AY282" s="97"/>
      <c r="AZ282" s="97"/>
      <c r="BA282" s="97"/>
      <c r="BB282" s="97"/>
      <c r="BC282" s="97"/>
      <c r="BD282" s="97"/>
      <c r="BE282" s="97"/>
      <c r="BF282" s="97"/>
      <c r="BG282" s="97"/>
      <c r="BH282" s="97"/>
      <c r="BI282" s="97"/>
      <c r="BJ282" s="97"/>
      <c r="BK282" s="97"/>
      <c r="BL282" s="97"/>
      <c r="BM282" s="97"/>
      <c r="BN282" s="97"/>
      <c r="BO282" s="97"/>
      <c r="BP282" s="97"/>
      <c r="BQ282" s="97"/>
      <c r="BR282" s="97"/>
      <c r="BS282" s="97"/>
      <c r="BT282" s="97"/>
      <c r="BU282" s="97"/>
      <c r="BV282" s="97"/>
      <c r="BW282" s="97"/>
      <c r="BX282" s="97"/>
      <c r="BY282" s="97"/>
      <c r="BZ282" s="97"/>
      <c r="CA282" s="97"/>
      <c r="CB282" s="97"/>
      <c r="CC282" s="97"/>
      <c r="CD282" s="97"/>
      <c r="CE282" s="97"/>
      <c r="CF282" s="97"/>
      <c r="CG282" s="97"/>
      <c r="CH282" s="97"/>
      <c r="CI282" s="97"/>
      <c r="CJ282" s="97"/>
      <c r="CK282" s="97"/>
    </row>
    <row r="283" customFormat="false" ht="12.75" hidden="false" customHeight="false" outlineLevel="0" collapsed="false">
      <c r="A283" s="3"/>
      <c r="B283" s="2" t="s">
        <v>183</v>
      </c>
      <c r="C283" s="2"/>
      <c r="D283" s="3"/>
      <c r="E283" s="97"/>
      <c r="F283" s="114"/>
      <c r="G283" s="97"/>
      <c r="H283" s="97" t="n">
        <f aca="false">AVERAGE(H279,H277,H275,H273)</f>
        <v>70000</v>
      </c>
      <c r="I283" s="97" t="n">
        <f aca="false">AVERAGE(I279,I277,I275,I273)</f>
        <v>70000</v>
      </c>
      <c r="J283" s="97" t="n">
        <f aca="false">AVERAGE(J279,J277,J275,J273)</f>
        <v>70000</v>
      </c>
      <c r="K283" s="97" t="n">
        <f aca="false">AVERAGE(K279,K277,K275,K273)</f>
        <v>70000</v>
      </c>
      <c r="L283" s="97" t="n">
        <f aca="false">AVERAGE(L279,L277,L275,L273)</f>
        <v>70000</v>
      </c>
      <c r="M283" s="97" t="n">
        <f aca="false">AVERAGE(M279,M277,M275,M273)</f>
        <v>70000</v>
      </c>
      <c r="N283" s="97" t="n">
        <f aca="false">AVERAGE(N279,N277,N275,N273)</f>
        <v>70000</v>
      </c>
      <c r="O283" s="97" t="n">
        <f aca="false">AVERAGE(O279,O277,O275,O273)</f>
        <v>70000</v>
      </c>
      <c r="P283" s="97" t="n">
        <f aca="false">AVERAGE(P279,P277,P275,P273)</f>
        <v>70000</v>
      </c>
      <c r="Q283" s="97" t="n">
        <f aca="false">AVERAGE(Q279,Q277,Q275,Q273)</f>
        <v>70000</v>
      </c>
      <c r="R283" s="97" t="n">
        <f aca="false">AVERAGE(R279,R277,R275,R273)</f>
        <v>70000</v>
      </c>
      <c r="S283" s="97" t="n">
        <f aca="false">AVERAGE(S279,S277,S275,S273)</f>
        <v>65687.545</v>
      </c>
      <c r="T283" s="97" t="n">
        <f aca="false">AVERAGE(T279,T277,T275,T273)</f>
        <v>53775.12</v>
      </c>
      <c r="U283" s="97" t="n">
        <f aca="false">AVERAGE(U279,U277,U275,U273)</f>
        <v>40725.09</v>
      </c>
      <c r="V283" s="97" t="n">
        <f aca="false">AVERAGE(V279,V277,V275,V273)</f>
        <v>26362.525</v>
      </c>
      <c r="W283" s="97" t="n">
        <f aca="false">AVERAGE(W279,W277,W275,W273)</f>
        <v>10500</v>
      </c>
      <c r="X283" s="97"/>
      <c r="Y283" s="97"/>
      <c r="Z283" s="97"/>
      <c r="AA283" s="118"/>
      <c r="AB283" s="118"/>
      <c r="AC283" s="118"/>
      <c r="AD283" s="118"/>
      <c r="AE283" s="118"/>
      <c r="AF283" s="118"/>
      <c r="AG283" s="118"/>
      <c r="AH283" s="118"/>
      <c r="AI283" s="118"/>
      <c r="AJ283" s="118"/>
      <c r="AK283" s="118"/>
      <c r="AL283" s="118"/>
      <c r="AM283" s="118"/>
      <c r="AN283" s="118"/>
      <c r="AO283" s="118"/>
      <c r="AP283" s="118"/>
      <c r="AQ283" s="118"/>
      <c r="AR283" s="128" t="s">
        <v>92</v>
      </c>
      <c r="AS283" s="97"/>
      <c r="AT283" s="97"/>
      <c r="AU283" s="97"/>
      <c r="AV283" s="97"/>
      <c r="AW283" s="97"/>
      <c r="AX283" s="97"/>
      <c r="AY283" s="97"/>
      <c r="AZ283" s="97"/>
      <c r="BA283" s="97"/>
      <c r="BB283" s="97"/>
      <c r="BC283" s="97"/>
      <c r="BD283" s="97"/>
      <c r="BE283" s="97"/>
      <c r="BF283" s="97"/>
      <c r="BG283" s="97"/>
      <c r="BH283" s="97"/>
      <c r="BI283" s="97"/>
      <c r="BJ283" s="97"/>
      <c r="BK283" s="97"/>
      <c r="BL283" s="97"/>
      <c r="BM283" s="97"/>
      <c r="BN283" s="97"/>
      <c r="BO283" s="97"/>
      <c r="BP283" s="97"/>
      <c r="BQ283" s="97"/>
      <c r="BR283" s="97"/>
      <c r="BS283" s="97"/>
      <c r="BT283" s="97"/>
      <c r="BU283" s="97"/>
      <c r="BV283" s="97"/>
      <c r="BW283" s="97"/>
      <c r="BX283" s="97"/>
      <c r="BY283" s="97"/>
      <c r="BZ283" s="97"/>
      <c r="CA283" s="97"/>
      <c r="CB283" s="97"/>
      <c r="CC283" s="97"/>
      <c r="CD283" s="97"/>
      <c r="CE283" s="97"/>
      <c r="CF283" s="97"/>
      <c r="CG283" s="97"/>
      <c r="CH283" s="97"/>
      <c r="CI283" s="97"/>
      <c r="CJ283" s="97"/>
      <c r="CK283" s="97"/>
    </row>
    <row r="284" customFormat="false" ht="12.75" hidden="false" customHeight="false" outlineLevel="0" collapsed="false">
      <c r="A284" s="3"/>
      <c r="B284" s="2"/>
      <c r="C284" s="2"/>
      <c r="D284" s="3"/>
      <c r="E284" s="3"/>
      <c r="F284" s="114"/>
      <c r="G284" s="97"/>
      <c r="H284" s="190" t="n">
        <f aca="false">IF(ISERROR(H283/$G$281),0,H283/$G$281)</f>
        <v>1</v>
      </c>
      <c r="I284" s="183" t="n">
        <f aca="false">IF(ISERROR(I283/$G$281),0,I283/$G$281)</f>
        <v>1</v>
      </c>
      <c r="J284" s="183" t="n">
        <f aca="false">IF(ISERROR(J283/$G$281),0,J283/$G$281)</f>
        <v>1</v>
      </c>
      <c r="K284" s="183" t="n">
        <f aca="false">IF(ISERROR(K283/$G$281),0,K283/$G$281)</f>
        <v>1</v>
      </c>
      <c r="L284" s="183" t="n">
        <f aca="false">IF(ISERROR(L283/$G$281),0,L283/$G$281)</f>
        <v>1</v>
      </c>
      <c r="M284" s="183" t="n">
        <f aca="false">IF(ISERROR(M283/$G$281),0,M283/$G$281)</f>
        <v>1</v>
      </c>
      <c r="N284" s="183" t="n">
        <f aca="false">IF(ISERROR(N283/$G$281),0,N283/$G$281)</f>
        <v>1</v>
      </c>
      <c r="O284" s="183" t="n">
        <f aca="false">IF(ISERROR(O283/$G$281),0,O283/$G$281)</f>
        <v>1</v>
      </c>
      <c r="P284" s="183" t="n">
        <f aca="false">IF(ISERROR(P283/$G$281),0,P283/$G$281)</f>
        <v>1</v>
      </c>
      <c r="Q284" s="183" t="n">
        <f aca="false">IF(ISERROR(Q283/$G$281),0,Q283/$G$281)</f>
        <v>1</v>
      </c>
      <c r="R284" s="183" t="n">
        <f aca="false">IF(ISERROR(R283/$G$281),0,R283/$G$281)</f>
        <v>1</v>
      </c>
      <c r="S284" s="183" t="n">
        <f aca="false">IF(ISERROR(S283/$G$281),0,S283/$G$281)</f>
        <v>0.9383935</v>
      </c>
      <c r="T284" s="183" t="n">
        <f aca="false">IF(ISERROR(T283/$G$281),0,T283/$G$281)</f>
        <v>0.768216</v>
      </c>
      <c r="U284" s="183" t="n">
        <f aca="false">IF(ISERROR(U283/$G$281),0,U283/$G$281)</f>
        <v>0.581787</v>
      </c>
      <c r="V284" s="183" t="n">
        <f aca="false">IF(ISERROR(V283/$G$281),0,V283/$G$281)</f>
        <v>0.3766075</v>
      </c>
      <c r="W284" s="183" t="n">
        <f aca="false">IF(ISERROR(W283/$G$281),0,W283/$G$281)</f>
        <v>0.15</v>
      </c>
      <c r="X284" s="114"/>
      <c r="Y284" s="114"/>
      <c r="Z284" s="11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128" t="s">
        <v>92</v>
      </c>
    </row>
    <row r="285" customFormat="false" ht="12.75" hidden="false" customHeight="false" outlineLevel="0" collapsed="false">
      <c r="A285" s="3"/>
      <c r="B285" s="2"/>
      <c r="C285" s="2"/>
      <c r="D285" s="3"/>
      <c r="E285" s="3"/>
      <c r="F285" s="114"/>
      <c r="G285" s="183"/>
      <c r="H285" s="183"/>
      <c r="I285" s="183"/>
      <c r="J285" s="183"/>
      <c r="K285" s="183"/>
      <c r="L285" s="183"/>
      <c r="M285" s="183"/>
      <c r="N285" s="183"/>
      <c r="O285" s="183"/>
      <c r="P285" s="183"/>
      <c r="Q285" s="183"/>
      <c r="R285" s="183"/>
      <c r="S285" s="183"/>
      <c r="T285" s="183"/>
      <c r="U285" s="183"/>
      <c r="V285" s="183"/>
      <c r="W285" s="183"/>
      <c r="X285" s="114"/>
      <c r="Y285" s="114"/>
      <c r="Z285" s="11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128" t="s">
        <v>92</v>
      </c>
    </row>
    <row r="286" customFormat="false" ht="12.75" hidden="false" customHeight="false" outlineLevel="0" collapsed="false">
      <c r="A286" s="176"/>
      <c r="B286" s="191" t="s">
        <v>185</v>
      </c>
      <c r="C286" s="191"/>
      <c r="D286" s="176"/>
      <c r="E286" s="176"/>
      <c r="F286" s="51"/>
      <c r="G286" s="80"/>
      <c r="H286" s="80" t="n">
        <f aca="false">+H283+H270</f>
        <v>144654.15625</v>
      </c>
      <c r="I286" s="80" t="n">
        <f aca="false">+I283+I270</f>
        <v>142445.90625</v>
      </c>
      <c r="J286" s="80" t="n">
        <f aca="false">+J283+J270</f>
        <v>140087.09375</v>
      </c>
      <c r="K286" s="80" t="n">
        <f aca="false">+K283+K270</f>
        <v>137326.78125</v>
      </c>
      <c r="L286" s="80" t="n">
        <f aca="false">+L283+L270</f>
        <v>134164.96875</v>
      </c>
      <c r="M286" s="80" t="n">
        <f aca="false">+M283+M270</f>
        <v>130601.65625</v>
      </c>
      <c r="N286" s="80" t="n">
        <f aca="false">+N283+N270</f>
        <v>124992.70125</v>
      </c>
      <c r="O286" s="80" t="n">
        <f aca="false">+O283+O270</f>
        <v>115844.52375</v>
      </c>
      <c r="P286" s="80" t="n">
        <f aca="false">+P283+P270</f>
        <v>106041.90125</v>
      </c>
      <c r="Q286" s="80" t="n">
        <f aca="false">+Q283+Q270</f>
        <v>96152.95625</v>
      </c>
      <c r="R286" s="80" t="n">
        <f aca="false">+R283+R270</f>
        <v>84750.35625</v>
      </c>
      <c r="S286" s="80" t="n">
        <f aca="false">+S283+S270</f>
        <v>70029.01375</v>
      </c>
      <c r="T286" s="80" t="n">
        <f aca="false">+T283+T270</f>
        <v>53775.12</v>
      </c>
      <c r="U286" s="80" t="n">
        <f aca="false">+U283+U270</f>
        <v>40725.09</v>
      </c>
      <c r="V286" s="80" t="n">
        <f aca="false">+V283+V270</f>
        <v>26362.525</v>
      </c>
      <c r="W286" s="80" t="n">
        <f aca="false">+W283+W270</f>
        <v>10500</v>
      </c>
      <c r="X286" s="80"/>
      <c r="Y286" s="80"/>
      <c r="Z286" s="80"/>
      <c r="AA286" s="81"/>
      <c r="AB286" s="81"/>
      <c r="AC286" s="81"/>
      <c r="AD286" s="81"/>
      <c r="AE286" s="81"/>
      <c r="AF286" s="81"/>
      <c r="AG286" s="81"/>
      <c r="AH286" s="81"/>
      <c r="AI286" s="81"/>
      <c r="AJ286" s="81"/>
      <c r="AK286" s="81"/>
      <c r="AL286" s="81"/>
      <c r="AM286" s="81"/>
      <c r="AN286" s="81"/>
      <c r="AO286" s="81"/>
      <c r="AP286" s="81"/>
      <c r="AQ286" s="81"/>
      <c r="AR286" s="128" t="s">
        <v>92</v>
      </c>
      <c r="AS286" s="80"/>
      <c r="AT286" s="80"/>
      <c r="AU286" s="80"/>
      <c r="AV286" s="80"/>
      <c r="AW286" s="80"/>
      <c r="AX286" s="80"/>
      <c r="AY286" s="80"/>
      <c r="AZ286" s="80"/>
      <c r="BA286" s="80"/>
      <c r="BB286" s="80"/>
      <c r="BC286" s="80"/>
      <c r="BD286" s="80"/>
      <c r="BE286" s="80"/>
      <c r="BF286" s="80"/>
      <c r="BG286" s="80"/>
      <c r="BH286" s="80"/>
      <c r="BI286" s="80"/>
      <c r="BJ286" s="80"/>
      <c r="BK286" s="80"/>
      <c r="BL286" s="80"/>
      <c r="BM286" s="80"/>
      <c r="BN286" s="80"/>
    </row>
    <row r="287" customFormat="false" ht="12.75" hidden="false" customHeight="false" outlineLevel="0" collapsed="false">
      <c r="A287" s="176"/>
      <c r="B287" s="191" t="s">
        <v>186</v>
      </c>
      <c r="C287" s="191"/>
      <c r="D287" s="176"/>
      <c r="E287" s="176"/>
      <c r="F287" s="51"/>
      <c r="G287" s="90" t="n">
        <v>145482.25</v>
      </c>
      <c r="H287" s="80" t="n">
        <f aca="false">+H281+H268</f>
        <v>143274</v>
      </c>
      <c r="I287" s="80" t="n">
        <f aca="false">+I281+I268</f>
        <v>141065.75</v>
      </c>
      <c r="J287" s="80" t="n">
        <f aca="false">+J281+J268</f>
        <v>138456</v>
      </c>
      <c r="K287" s="80" t="n">
        <f aca="false">+K281+K268</f>
        <v>135444.75</v>
      </c>
      <c r="L287" s="80" t="n">
        <f aca="false">+L281+L268</f>
        <v>132032</v>
      </c>
      <c r="M287" s="80" t="n">
        <f aca="false">+M281+M268</f>
        <v>128217.75</v>
      </c>
      <c r="N287" s="80" t="n">
        <f aca="false">+N281+N268</f>
        <v>119617.62</v>
      </c>
      <c r="O287" s="80" t="n">
        <f aca="false">+O281+O268</f>
        <v>109556.03</v>
      </c>
      <c r="P287" s="80" t="n">
        <f aca="false">+P281+P268</f>
        <v>100185.02</v>
      </c>
      <c r="Q287" s="80" t="n">
        <f aca="false">+Q281+Q268</f>
        <v>89432.85</v>
      </c>
      <c r="R287" s="80" t="n">
        <f aca="false">+R281+R268</f>
        <v>76946.2</v>
      </c>
      <c r="S287" s="80" t="n">
        <f aca="false">+S281+S268</f>
        <v>58500.37</v>
      </c>
      <c r="T287" s="80" t="n">
        <f aca="false">+T281+T268</f>
        <v>45900.12</v>
      </c>
      <c r="U287" s="80" t="n">
        <f aca="false">+U281+U268</f>
        <v>32100.04</v>
      </c>
      <c r="V287" s="80" t="n">
        <f aca="false">+V281+V268</f>
        <v>16800</v>
      </c>
      <c r="W287" s="80" t="n">
        <f aca="false">+W281+W268</f>
        <v>0</v>
      </c>
      <c r="X287" s="80"/>
      <c r="Y287" s="80"/>
      <c r="Z287" s="80"/>
      <c r="AA287" s="81"/>
      <c r="AB287" s="81"/>
      <c r="AC287" s="81"/>
      <c r="AD287" s="81"/>
      <c r="AE287" s="81"/>
      <c r="AF287" s="81"/>
      <c r="AG287" s="81"/>
      <c r="AH287" s="81"/>
      <c r="AI287" s="81"/>
      <c r="AJ287" s="81"/>
      <c r="AK287" s="81"/>
      <c r="AL287" s="81"/>
      <c r="AM287" s="81"/>
      <c r="AN287" s="81"/>
      <c r="AO287" s="81"/>
      <c r="AP287" s="81"/>
      <c r="AQ287" s="81"/>
      <c r="AR287" s="128" t="s">
        <v>126</v>
      </c>
      <c r="AS287" s="80"/>
      <c r="AT287" s="80"/>
      <c r="AU287" s="80"/>
      <c r="AV287" s="80"/>
      <c r="AW287" s="80"/>
      <c r="AX287" s="80"/>
      <c r="AY287" s="80"/>
      <c r="AZ287" s="80"/>
      <c r="BA287" s="80"/>
      <c r="BB287" s="80"/>
      <c r="BC287" s="80"/>
      <c r="BD287" s="80"/>
      <c r="BE287" s="80"/>
      <c r="BF287" s="80"/>
      <c r="BG287" s="80"/>
      <c r="BH287" s="80"/>
      <c r="BI287" s="80"/>
      <c r="BJ287" s="80"/>
      <c r="BK287" s="80"/>
      <c r="BL287" s="80"/>
      <c r="BM287" s="80"/>
      <c r="BN287" s="80"/>
    </row>
    <row r="288" customFormat="false" ht="12.75" hidden="false" customHeight="false" outlineLevel="0" collapsed="false">
      <c r="A288" s="3"/>
      <c r="B288" s="48"/>
      <c r="C288" s="48"/>
      <c r="D288" s="3"/>
      <c r="E288" s="3"/>
      <c r="F288" s="114"/>
      <c r="G288" s="114"/>
      <c r="H288" s="114"/>
      <c r="I288" s="114"/>
      <c r="J288" s="114"/>
      <c r="K288" s="114"/>
      <c r="L288" s="114"/>
      <c r="M288" s="114"/>
      <c r="N288" s="114"/>
      <c r="O288" s="114"/>
      <c r="P288" s="114"/>
      <c r="Q288" s="114"/>
      <c r="R288" s="114"/>
      <c r="S288" s="114"/>
      <c r="T288" s="114"/>
      <c r="U288" s="114"/>
      <c r="V288" s="114"/>
      <c r="W288" s="114"/>
      <c r="X288" s="114"/>
      <c r="Y288" s="114"/>
      <c r="Z288" s="11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5"/>
    </row>
    <row r="289" customFormat="false" ht="12.75" hidden="false" customHeight="false" outlineLevel="0" collapsed="false">
      <c r="A289" s="3"/>
      <c r="B289" s="48" t="s">
        <v>187</v>
      </c>
      <c r="C289" s="48"/>
      <c r="D289" s="3"/>
      <c r="E289" s="3"/>
      <c r="F289" s="114"/>
      <c r="G289" s="97"/>
      <c r="H289" s="97" t="n">
        <f aca="false">+H257+H250+H243</f>
        <v>13689.4609685329</v>
      </c>
      <c r="I289" s="97" t="n">
        <f aca="false">+I257+I250+I243</f>
        <v>13476.7491961905</v>
      </c>
      <c r="J289" s="97" t="n">
        <f aca="false">+J257+J250+J243</f>
        <v>13253.7687267937</v>
      </c>
      <c r="K289" s="97" t="n">
        <f aca="false">+K257+K250+K243</f>
        <v>12997.861327152</v>
      </c>
      <c r="L289" s="97" t="n">
        <f aca="false">+L257+L250+L243</f>
        <v>13011.6897631699</v>
      </c>
      <c r="M289" s="97" t="n">
        <f aca="false">+M257+M250+M243</f>
        <v>12663.7031252712</v>
      </c>
      <c r="N289" s="97" t="n">
        <f aca="false">+N257+N250+N243</f>
        <v>12035.4401958977</v>
      </c>
      <c r="O289" s="97" t="n">
        <f aca="false">+O257+O250+O243</f>
        <v>11135.0631035402</v>
      </c>
      <c r="P289" s="97" t="n">
        <f aca="false">+P257+P250+P243</f>
        <v>10420.2581862697</v>
      </c>
      <c r="Q289" s="97" t="n">
        <f aca="false">+Q257+Q250+Q243</f>
        <v>9311.24794962285</v>
      </c>
      <c r="R289" s="97" t="n">
        <f aca="false">+R257+R250+R243</f>
        <v>8174.96528260077</v>
      </c>
      <c r="S289" s="97" t="n">
        <f aca="false">+S257+S250+S243</f>
        <v>6713.63193791786</v>
      </c>
      <c r="T289" s="97" t="n">
        <f aca="false">+T257+T250+T243</f>
        <v>5360.98401501067</v>
      </c>
      <c r="U289" s="97" t="n">
        <f aca="false">+U257+U250+U243</f>
        <v>4057.69443611409</v>
      </c>
      <c r="V289" s="97" t="n">
        <f aca="false">+V257+V250+V243</f>
        <v>2630.13055640174</v>
      </c>
      <c r="W289" s="97" t="n">
        <f aca="false">+W257+W250+W243</f>
        <v>1044.98978391226</v>
      </c>
      <c r="X289" s="97"/>
      <c r="Y289" s="97"/>
      <c r="Z289" s="97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128" t="s">
        <v>126</v>
      </c>
    </row>
    <row r="290" customFormat="false" ht="12.75" hidden="false" customHeight="false" outlineLevel="0" collapsed="false">
      <c r="A290" s="3"/>
      <c r="B290" s="48" t="s">
        <v>188</v>
      </c>
      <c r="C290" s="48"/>
      <c r="D290" s="3"/>
      <c r="E290" s="3"/>
      <c r="F290" s="114"/>
      <c r="G290" s="97"/>
      <c r="H290" s="97" t="n">
        <f aca="false">(H261+H263+H265+H267)+(H274+H276+H278+H280)</f>
        <v>2208.25</v>
      </c>
      <c r="I290" s="97" t="n">
        <f aca="false">(I261+I263+I265+I267)+(I274+I276+I278+I280)</f>
        <v>2208.25</v>
      </c>
      <c r="J290" s="97" t="n">
        <f aca="false">(J261+J263+J265+J267)+(J274+J276+J278+J280)</f>
        <v>2609.75</v>
      </c>
      <c r="K290" s="97" t="n">
        <f aca="false">(K261+K263+K265+K267)+(K274+K276+K278+K280)</f>
        <v>3011.25</v>
      </c>
      <c r="L290" s="97" t="n">
        <f aca="false">(L261+L263+L265+L267)+(L274+L276+L278+L280)</f>
        <v>3412.75</v>
      </c>
      <c r="M290" s="97" t="n">
        <f aca="false">(M261+M263+M265+M267)+(M274+M276+M278+M280)</f>
        <v>3814.25</v>
      </c>
      <c r="N290" s="97" t="n">
        <f aca="false">(N261+N263+N265+N267)+(N274+N276+N278+N280)</f>
        <v>8600.13</v>
      </c>
      <c r="O290" s="97" t="n">
        <f aca="false">(O261+O263+O265+O267)+(O274+O276+O278+O280)</f>
        <v>10061.59</v>
      </c>
      <c r="P290" s="97" t="n">
        <f aca="false">(P261+P263+P265+P267)+(P274+P276+P278+P280)</f>
        <v>9371.01</v>
      </c>
      <c r="Q290" s="97" t="n">
        <f aca="false">(Q261+Q263+Q265+Q267)+(Q274+Q276+Q278+Q280)</f>
        <v>10752.17</v>
      </c>
      <c r="R290" s="97" t="n">
        <f aca="false">(R261+R263+R265+R267)+(R274+R276+R278+R280)</f>
        <v>12486.65</v>
      </c>
      <c r="S290" s="97" t="n">
        <f aca="false">(S261+S263+S265+S267)+(S274+S276+S278+S280)</f>
        <v>18445.83</v>
      </c>
      <c r="T290" s="97" t="n">
        <f aca="false">(T261+T263+T265+T267)+(T274+T276+T278+T280)</f>
        <v>12600</v>
      </c>
      <c r="U290" s="97" t="n">
        <f aca="false">(U261+U263+U265+U267)+(U274+U276+U278+U280)</f>
        <v>13800.08</v>
      </c>
      <c r="V290" s="97" t="n">
        <f aca="false">(V261+V263+V265+V267)+(V274+V276+V278+V280)</f>
        <v>15300.04</v>
      </c>
      <c r="W290" s="97" t="n">
        <f aca="false">(W261+W263+W265+W267)+(W274+W276+W278+W280)</f>
        <v>16800</v>
      </c>
      <c r="X290" s="97"/>
      <c r="Y290" s="97"/>
      <c r="Z290" s="97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128" t="s">
        <v>126</v>
      </c>
    </row>
    <row r="291" customFormat="false" ht="12.75" hidden="false" customHeight="false" outlineLevel="0" collapsed="false">
      <c r="A291" s="3"/>
      <c r="B291" s="48" t="s">
        <v>189</v>
      </c>
      <c r="C291" s="48"/>
      <c r="D291" s="3"/>
      <c r="E291" s="3"/>
      <c r="F291" s="114"/>
      <c r="G291" s="97"/>
      <c r="H291" s="97" t="n">
        <f aca="false">H289+H290</f>
        <v>15897.7109685329</v>
      </c>
      <c r="I291" s="97" t="n">
        <f aca="false">I289+I290</f>
        <v>15684.9991961905</v>
      </c>
      <c r="J291" s="97" t="n">
        <f aca="false">J289+J290</f>
        <v>15863.5187267937</v>
      </c>
      <c r="K291" s="97" t="n">
        <f aca="false">K289+K290</f>
        <v>16009.111327152</v>
      </c>
      <c r="L291" s="97" t="n">
        <f aca="false">L289+L290</f>
        <v>16424.4397631699</v>
      </c>
      <c r="M291" s="97" t="n">
        <f aca="false">M289+M290</f>
        <v>16477.9531252712</v>
      </c>
      <c r="N291" s="97" t="n">
        <f aca="false">N289+N290</f>
        <v>20635.5701958977</v>
      </c>
      <c r="O291" s="97" t="n">
        <f aca="false">O289+O290</f>
        <v>21196.6531035402</v>
      </c>
      <c r="P291" s="97" t="n">
        <f aca="false">P289+P290</f>
        <v>19791.2681862697</v>
      </c>
      <c r="Q291" s="97" t="n">
        <f aca="false">Q289+Q290</f>
        <v>20063.4179496228</v>
      </c>
      <c r="R291" s="97" t="n">
        <f aca="false">R289+R290</f>
        <v>20661.6152826008</v>
      </c>
      <c r="S291" s="97" t="n">
        <f aca="false">S289+S290</f>
        <v>25159.4619379179</v>
      </c>
      <c r="T291" s="97" t="n">
        <f aca="false">T289+T290</f>
        <v>17960.9840150107</v>
      </c>
      <c r="U291" s="97" t="n">
        <f aca="false">U289+U290</f>
        <v>17857.7744361141</v>
      </c>
      <c r="V291" s="97" t="n">
        <f aca="false">V289+V290</f>
        <v>17930.1705564017</v>
      </c>
      <c r="W291" s="97" t="n">
        <f aca="false">W289+W290</f>
        <v>17844.9897839123</v>
      </c>
      <c r="X291" s="97"/>
      <c r="Y291" s="97"/>
      <c r="Z291" s="97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128" t="s">
        <v>126</v>
      </c>
    </row>
    <row r="292" customFormat="false" ht="12.75" hidden="false" customHeight="false" outlineLevel="0" collapsed="false">
      <c r="A292" s="3"/>
      <c r="B292" s="48" t="s">
        <v>190</v>
      </c>
      <c r="C292" s="46"/>
      <c r="D292" s="3"/>
      <c r="E292" s="3"/>
      <c r="F292" s="114"/>
      <c r="G292" s="183"/>
      <c r="H292" s="183" t="n">
        <f aca="false">+H289/H286</f>
        <v>0.0946357942517317</v>
      </c>
      <c r="I292" s="183" t="n">
        <f aca="false">+I289/I286</f>
        <v>0.0946095928691561</v>
      </c>
      <c r="J292" s="183" t="n">
        <f aca="false">+J289/J286</f>
        <v>0.0946109193359844</v>
      </c>
      <c r="K292" s="183" t="n">
        <f aca="false">+K289/K286</f>
        <v>0.0946491369625106</v>
      </c>
      <c r="L292" s="183" t="n">
        <f aca="false">+L289/L286</f>
        <v>0.0969827659514879</v>
      </c>
      <c r="M292" s="183" t="n">
        <f aca="false">+M289/M286</f>
        <v>0.0969643378873397</v>
      </c>
      <c r="N292" s="183" t="n">
        <f aca="false">+N289/N286</f>
        <v>0.0962891438902936</v>
      </c>
      <c r="O292" s="183" t="n">
        <f aca="false">+O289/O286</f>
        <v>0.0961207551560262</v>
      </c>
      <c r="P292" s="183" t="n">
        <f aca="false">+P289/P286</f>
        <v>0.0982654786781245</v>
      </c>
      <c r="Q292" s="183" t="n">
        <f aca="false">+Q289/Q286</f>
        <v>0.0968378749106099</v>
      </c>
      <c r="R292" s="183" t="n">
        <f aca="false">+R289/R286</f>
        <v>0.0964593618755529</v>
      </c>
      <c r="S292" s="183" t="n">
        <f aca="false">+S289/S286</f>
        <v>0.0958692915751345</v>
      </c>
      <c r="T292" s="183" t="n">
        <f aca="false">+T289/T286</f>
        <v>0.0996926462462692</v>
      </c>
      <c r="U292" s="183" t="n">
        <f aca="false">+U289/U286</f>
        <v>0.0996362300516486</v>
      </c>
      <c r="V292" s="183" t="n">
        <f aca="false">+V289/V286</f>
        <v>0.0997677785569378</v>
      </c>
      <c r="W292" s="183" t="n">
        <f aca="false">+W289/W286</f>
        <v>0.0995228365630723</v>
      </c>
      <c r="X292" s="114"/>
      <c r="Y292" s="114"/>
      <c r="Z292" s="11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128" t="s">
        <v>126</v>
      </c>
    </row>
    <row r="293" customFormat="false" ht="12.75" hidden="false" customHeight="false" outlineLevel="0" collapsed="false">
      <c r="A293" s="3"/>
      <c r="B293" s="3"/>
      <c r="C293" s="3"/>
      <c r="D293" s="3"/>
      <c r="E293" s="3"/>
      <c r="F293" s="3"/>
      <c r="G293" s="3"/>
      <c r="H293" s="97"/>
      <c r="I293" s="97"/>
      <c r="J293" s="97"/>
      <c r="K293" s="97"/>
      <c r="L293" s="97"/>
      <c r="M293" s="97"/>
      <c r="N293" s="97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118"/>
      <c r="AB293" s="118"/>
      <c r="AC293" s="118"/>
      <c r="AD293" s="118"/>
      <c r="AE293" s="118"/>
      <c r="AF293" s="118"/>
      <c r="AG293" s="118"/>
      <c r="AH293" s="118"/>
      <c r="AI293" s="118"/>
      <c r="AJ293" s="118"/>
      <c r="AK293" s="118"/>
      <c r="AL293" s="118"/>
      <c r="AM293" s="118"/>
      <c r="AN293" s="118"/>
      <c r="AO293" s="118"/>
      <c r="AP293" s="118"/>
      <c r="AQ293" s="118"/>
      <c r="AR293" s="25"/>
    </row>
    <row r="294" customFormat="false" ht="13.5" hidden="false" customHeight="false" outlineLevel="0" collapsed="false">
      <c r="A294" s="3"/>
      <c r="B294" s="3"/>
      <c r="C294" s="3"/>
      <c r="D294" s="3"/>
      <c r="E294" s="3"/>
      <c r="F294" s="3"/>
      <c r="G294" s="18" t="s">
        <v>8</v>
      </c>
      <c r="H294" s="20" t="n">
        <f aca="false">+H$9</f>
        <v>2001</v>
      </c>
      <c r="I294" s="20" t="n">
        <f aca="false">+H294+1</f>
        <v>2002</v>
      </c>
      <c r="J294" s="20" t="n">
        <f aca="false">+I294+1</f>
        <v>2003</v>
      </c>
      <c r="K294" s="20" t="n">
        <f aca="false">+J294+1</f>
        <v>2004</v>
      </c>
      <c r="L294" s="20" t="n">
        <f aca="false">+K294+1</f>
        <v>2005</v>
      </c>
      <c r="M294" s="20" t="n">
        <f aca="false">+L294+1</f>
        <v>2006</v>
      </c>
      <c r="N294" s="20" t="n">
        <f aca="false">+M294+1</f>
        <v>2007</v>
      </c>
      <c r="O294" s="20" t="n">
        <f aca="false">+N294+1</f>
        <v>2008</v>
      </c>
      <c r="P294" s="20" t="n">
        <f aca="false">+O294+1</f>
        <v>2009</v>
      </c>
      <c r="Q294" s="20" t="n">
        <f aca="false">+P294+1</f>
        <v>2010</v>
      </c>
      <c r="R294" s="20" t="n">
        <f aca="false">+Q294+1</f>
        <v>2011</v>
      </c>
      <c r="S294" s="20" t="n">
        <f aca="false">+R294+1</f>
        <v>2012</v>
      </c>
      <c r="T294" s="20" t="n">
        <f aca="false">+S294+1</f>
        <v>2013</v>
      </c>
      <c r="U294" s="20" t="n">
        <f aca="false">+T294+1</f>
        <v>2014</v>
      </c>
      <c r="V294" s="20" t="n">
        <f aca="false">+U294+1</f>
        <v>2015</v>
      </c>
      <c r="W294" s="20" t="n">
        <f aca="false">+V294+1</f>
        <v>2016</v>
      </c>
      <c r="X294" s="20" t="n">
        <f aca="false">+W294+1</f>
        <v>2017</v>
      </c>
      <c r="Y294" s="20" t="n">
        <f aca="false">+X294+1</f>
        <v>2018</v>
      </c>
      <c r="Z294" s="20" t="n">
        <f aca="false">+Y294+1</f>
        <v>2019</v>
      </c>
      <c r="AA294" s="118"/>
      <c r="AB294" s="118"/>
      <c r="AC294" s="118"/>
      <c r="AD294" s="118"/>
      <c r="AE294" s="118"/>
      <c r="AF294" s="118"/>
      <c r="AG294" s="118"/>
      <c r="AH294" s="118"/>
      <c r="AI294" s="118"/>
      <c r="AJ294" s="118"/>
      <c r="AK294" s="118"/>
      <c r="AL294" s="118"/>
      <c r="AM294" s="118"/>
      <c r="AN294" s="118"/>
      <c r="AO294" s="118"/>
      <c r="AP294" s="118"/>
      <c r="AQ294" s="118"/>
      <c r="AR294" s="25"/>
    </row>
    <row r="295" customFormat="false" ht="15.75" hidden="false" customHeight="false" outlineLevel="0" collapsed="false">
      <c r="A295" s="23" t="s">
        <v>191</v>
      </c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118"/>
      <c r="AB295" s="118"/>
      <c r="AC295" s="118"/>
      <c r="AD295" s="118"/>
      <c r="AE295" s="118"/>
      <c r="AF295" s="118"/>
      <c r="AG295" s="118"/>
      <c r="AH295" s="118"/>
      <c r="AI295" s="118"/>
      <c r="AJ295" s="118"/>
      <c r="AK295" s="118"/>
      <c r="AL295" s="118"/>
      <c r="AM295" s="118"/>
      <c r="AN295" s="118"/>
      <c r="AO295" s="118"/>
      <c r="AP295" s="118"/>
      <c r="AQ295" s="118"/>
      <c r="AR295" s="25"/>
    </row>
    <row r="296" customFormat="false" ht="15.75" hidden="false" customHeight="false" outlineLevel="0" collapsed="false">
      <c r="A296" s="2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118"/>
      <c r="AB296" s="118"/>
      <c r="AC296" s="118"/>
      <c r="AD296" s="118"/>
      <c r="AE296" s="118"/>
      <c r="AF296" s="118"/>
      <c r="AG296" s="118"/>
      <c r="AH296" s="118"/>
      <c r="AI296" s="118"/>
      <c r="AJ296" s="118"/>
      <c r="AK296" s="118"/>
      <c r="AL296" s="118"/>
      <c r="AM296" s="118"/>
      <c r="AN296" s="118"/>
      <c r="AO296" s="118"/>
      <c r="AP296" s="118"/>
      <c r="AQ296" s="118"/>
      <c r="AR296" s="25"/>
    </row>
    <row r="297" customFormat="false" ht="12.75" hidden="false" customHeight="false" outlineLevel="0" collapsed="false">
      <c r="A297" s="191" t="str">
        <f aca="false">+A59</f>
        <v>Contract Purchase (Status Quo)</v>
      </c>
      <c r="B297" s="3"/>
      <c r="C297" s="3"/>
      <c r="D297" s="3"/>
      <c r="E297" s="45"/>
      <c r="F297" s="45"/>
      <c r="G297" s="45"/>
      <c r="H297" s="159"/>
      <c r="I297" s="159"/>
      <c r="J297" s="159"/>
      <c r="K297" s="159"/>
      <c r="L297" s="159"/>
      <c r="M297" s="159"/>
      <c r="N297" s="159"/>
      <c r="O297" s="159"/>
      <c r="P297" s="159"/>
      <c r="Q297" s="159"/>
      <c r="R297" s="159"/>
      <c r="S297" s="159"/>
      <c r="T297" s="159"/>
      <c r="U297" s="159"/>
      <c r="V297" s="159"/>
      <c r="W297" s="159"/>
      <c r="X297" s="159"/>
      <c r="Y297" s="159"/>
      <c r="Z297" s="159"/>
      <c r="AA297" s="118"/>
      <c r="AB297" s="118"/>
      <c r="AC297" s="118"/>
      <c r="AD297" s="118"/>
      <c r="AE297" s="118"/>
      <c r="AF297" s="118"/>
      <c r="AG297" s="118"/>
      <c r="AH297" s="118"/>
      <c r="AI297" s="118"/>
      <c r="AJ297" s="118"/>
      <c r="AK297" s="118"/>
      <c r="AL297" s="118"/>
      <c r="AM297" s="118"/>
      <c r="AN297" s="118"/>
      <c r="AO297" s="118"/>
      <c r="AP297" s="118"/>
      <c r="AQ297" s="118"/>
      <c r="AR297" s="25"/>
    </row>
    <row r="298" customFormat="false" ht="12.75" hidden="false" customHeight="false" outlineLevel="0" collapsed="false">
      <c r="A298" s="192"/>
      <c r="B298" s="3"/>
      <c r="C298" s="3"/>
      <c r="D298" s="3"/>
      <c r="E298" s="45"/>
      <c r="F298" s="45"/>
      <c r="G298" s="45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5"/>
    </row>
    <row r="299" customFormat="false" ht="12.75" hidden="false" customHeight="false" outlineLevel="0" collapsed="false">
      <c r="A299" s="192"/>
      <c r="B299" s="2" t="s">
        <v>42</v>
      </c>
      <c r="C299" s="3"/>
      <c r="D299" s="3"/>
      <c r="E299" s="45"/>
      <c r="F299" s="45"/>
      <c r="G299" s="45"/>
      <c r="H299" s="159" t="n">
        <f aca="false">+H64</f>
        <v>48508.8</v>
      </c>
      <c r="I299" s="159" t="n">
        <f aca="false">+I64</f>
        <v>50005.44</v>
      </c>
      <c r="J299" s="159" t="n">
        <f aca="false">+J64</f>
        <v>51804.38004</v>
      </c>
      <c r="K299" s="159" t="n">
        <f aca="false">+K64</f>
        <v>53619.68004</v>
      </c>
      <c r="L299" s="159" t="n">
        <f aca="false">+L64</f>
        <v>55303.83996</v>
      </c>
      <c r="M299" s="159" t="n">
        <f aca="false">+M64</f>
        <v>57166.46004</v>
      </c>
      <c r="N299" s="159" t="n">
        <f aca="false">+N64</f>
        <v>57461.76</v>
      </c>
      <c r="O299" s="159" t="n">
        <f aca="false">+O64</f>
        <v>58916.88</v>
      </c>
      <c r="P299" s="159" t="n">
        <f aca="false">+P64</f>
        <v>60960.24</v>
      </c>
      <c r="Q299" s="159" t="n">
        <f aca="false">+Q64</f>
        <v>62724.96</v>
      </c>
      <c r="R299" s="159" t="n">
        <f aca="false">+R64</f>
        <v>64582.56</v>
      </c>
      <c r="S299" s="159" t="n">
        <f aca="false">+S64</f>
        <v>66625.92</v>
      </c>
      <c r="T299" s="159" t="n">
        <f aca="false">+T64</f>
        <v>67988.16</v>
      </c>
      <c r="U299" s="159" t="n">
        <f aca="false">+U64</f>
        <v>68142.96</v>
      </c>
      <c r="V299" s="159" t="n">
        <f aca="false">+V64</f>
        <v>68762.16</v>
      </c>
      <c r="W299" s="159" t="n">
        <f aca="false">+W64</f>
        <v>68916.96</v>
      </c>
      <c r="X299" s="159" t="n">
        <f aca="false">+X64</f>
        <v>71610.48</v>
      </c>
      <c r="Y299" s="159" t="n">
        <f aca="false">+Y64</f>
        <v>73003.68</v>
      </c>
      <c r="Z299" s="159" t="n">
        <f aca="false">+Z64</f>
        <v>74520.72</v>
      </c>
      <c r="AA299" s="118" t="n">
        <f aca="false">+AA64</f>
        <v>14513.7977560653</v>
      </c>
      <c r="AB299" s="118" t="n">
        <f aca="false">+AB64</f>
        <v>13455.0588943567</v>
      </c>
      <c r="AC299" s="118" t="n">
        <f aca="false">+AC64</f>
        <v>17029.3228694056</v>
      </c>
      <c r="AD299" s="118" t="n">
        <f aca="false">+AD64</f>
        <v>14051.3097946892</v>
      </c>
      <c r="AE299" s="118" t="n">
        <f aca="false">+AE64</f>
        <v>14294.5535029392</v>
      </c>
      <c r="AF299" s="118" t="n">
        <f aca="false">+AF64</f>
        <v>22103.6570503555</v>
      </c>
      <c r="AG299" s="118" t="n">
        <f aca="false">+AG64</f>
        <v>14867.2191081293</v>
      </c>
      <c r="AH299" s="118" t="n">
        <f aca="false">+AH64</f>
        <v>13779.6211721834</v>
      </c>
      <c r="AI299" s="118" t="n">
        <f aca="false">+AI64</f>
        <v>17451.3123345493</v>
      </c>
      <c r="AJ299" s="118" t="n">
        <f aca="false">+AJ64</f>
        <v>14392.1246628562</v>
      </c>
      <c r="AK299" s="118" t="n">
        <f aca="false">+AK64</f>
        <v>14641.9987012925</v>
      </c>
      <c r="AL299" s="118" t="n">
        <f aca="false">+AL64</f>
        <v>22663.962574472</v>
      </c>
      <c r="AM299" s="118" t="n">
        <f aca="false">+AM64</f>
        <v>15230.2740095085</v>
      </c>
      <c r="AN299" s="118" t="n">
        <f aca="false">+AN64</f>
        <v>14113.0303594882</v>
      </c>
      <c r="AO299" s="118" t="n">
        <f aca="false">+AO64</f>
        <v>17884.804376714</v>
      </c>
      <c r="AP299" s="118" t="n">
        <f aca="false">+AP64</f>
        <v>14742.2294531535</v>
      </c>
      <c r="AQ299" s="118" t="n">
        <f aca="false">+AQ64</f>
        <v>14998.9145511305</v>
      </c>
      <c r="AR299" s="25"/>
    </row>
    <row r="300" customFormat="false" ht="12.75" hidden="false" customHeight="false" outlineLevel="0" collapsed="false">
      <c r="A300" s="192"/>
      <c r="B300" s="2" t="s">
        <v>45</v>
      </c>
      <c r="C300" s="3"/>
      <c r="D300" s="3"/>
      <c r="E300" s="45"/>
      <c r="F300" s="45"/>
      <c r="G300" s="45"/>
      <c r="H300" s="163" t="n">
        <f aca="false">+H69</f>
        <v>35918.999424</v>
      </c>
      <c r="I300" s="163" t="n">
        <f aca="false">+I69</f>
        <v>36832.52376</v>
      </c>
      <c r="J300" s="163" t="n">
        <f aca="false">+J69</f>
        <v>39223.236384</v>
      </c>
      <c r="K300" s="163" t="n">
        <f aca="false">+K69</f>
        <v>41650.0000704</v>
      </c>
      <c r="L300" s="163" t="n">
        <f aca="false">+L69</f>
        <v>43285.504176</v>
      </c>
      <c r="M300" s="163" t="n">
        <f aca="false">+M69</f>
        <v>45851.146992</v>
      </c>
      <c r="N300" s="163" t="n">
        <f aca="false">+N69</f>
        <v>43290.0983393119</v>
      </c>
      <c r="O300" s="163" t="n">
        <f aca="false">+O69</f>
        <v>44721.2693476375</v>
      </c>
      <c r="P300" s="163" t="n">
        <f aca="false">+P69</f>
        <v>45158.046872656</v>
      </c>
      <c r="Q300" s="163" t="n">
        <f aca="false">+Q69</f>
        <v>46324.0724769065</v>
      </c>
      <c r="R300" s="163" t="n">
        <f aca="false">+R69</f>
        <v>47718.8743538964</v>
      </c>
      <c r="S300" s="163" t="n">
        <f aca="false">+S69</f>
        <v>49274.3447194124</v>
      </c>
      <c r="T300" s="163" t="n">
        <f aca="false">+T69</f>
        <v>50818.7271718862</v>
      </c>
      <c r="U300" s="163" t="n">
        <f aca="false">+U69</f>
        <v>52331.4092008811</v>
      </c>
      <c r="V300" s="163" t="n">
        <f aca="false">+V69</f>
        <v>53189.9746800531</v>
      </c>
      <c r="W300" s="163" t="n">
        <f aca="false">+W69</f>
        <v>55026.1138291484</v>
      </c>
      <c r="X300" s="163" t="n">
        <f aca="false">+X69</f>
        <v>56829.1934220199</v>
      </c>
      <c r="Y300" s="163" t="n">
        <f aca="false">+Y69</f>
        <v>58615.5707123867</v>
      </c>
      <c r="Z300" s="163" t="n">
        <f aca="false">+Z69</f>
        <v>60455.2741076062</v>
      </c>
      <c r="AA300" s="118" t="n">
        <f aca="false">+AA69</f>
        <v>59719.6812235577</v>
      </c>
      <c r="AB300" s="118" t="n">
        <f aca="false">+AB69</f>
        <v>61311.2913456992</v>
      </c>
      <c r="AC300" s="118" t="n">
        <f aca="false">+AC69</f>
        <v>63116.731753732</v>
      </c>
      <c r="AD300" s="118" t="n">
        <f aca="false">+AD69</f>
        <v>64974.3961316561</v>
      </c>
      <c r="AE300" s="118" t="n">
        <f aca="false">+AE69</f>
        <v>67069.1456825812</v>
      </c>
      <c r="AF300" s="118" t="n">
        <f aca="false">+AF69</f>
        <v>68852.8971228861</v>
      </c>
      <c r="AG300" s="118" t="n">
        <f aca="false">+AG69</f>
        <v>70877.114743523</v>
      </c>
      <c r="AH300" s="118" t="n">
        <f aca="false">+AH69</f>
        <v>72960.3218956802</v>
      </c>
      <c r="AI300" s="118" t="n">
        <f aca="false">+AI69</f>
        <v>75310.1133574628</v>
      </c>
      <c r="AJ300" s="118" t="n">
        <f aca="false">+AJ69</f>
        <v>77311.0815545165</v>
      </c>
      <c r="AK300" s="118" t="n">
        <f aca="false">+AK69</f>
        <v>79582.4719385582</v>
      </c>
      <c r="AL300" s="118" t="n">
        <f aca="false">+AL69</f>
        <v>81920.5316981609</v>
      </c>
      <c r="AM300" s="118" t="n">
        <f aca="false">+AM69</f>
        <v>84558.372405524</v>
      </c>
      <c r="AN300" s="118" t="n">
        <f aca="false">+AN69</f>
        <v>86805.0378936173</v>
      </c>
      <c r="AO300" s="118" t="n">
        <f aca="false">+AO69</f>
        <v>89355.8446182235</v>
      </c>
      <c r="AP300" s="118" t="n">
        <f aca="false">+AP69</f>
        <v>91982.0460175445</v>
      </c>
      <c r="AQ300" s="193" t="n">
        <f aca="false">+AQ69</f>
        <v>94945.4177359427</v>
      </c>
      <c r="AR300" s="194"/>
    </row>
    <row r="301" customFormat="false" ht="13.5" hidden="false" customHeight="false" outlineLevel="0" collapsed="false">
      <c r="A301" s="192"/>
      <c r="B301" s="2" t="s">
        <v>50</v>
      </c>
      <c r="C301" s="3"/>
      <c r="D301" s="3"/>
      <c r="E301" s="45"/>
      <c r="F301" s="45"/>
      <c r="G301" s="45"/>
      <c r="H301" s="170" t="n">
        <f aca="false">+H71</f>
        <v>0</v>
      </c>
      <c r="I301" s="170" t="n">
        <f aca="false">+I71</f>
        <v>0</v>
      </c>
      <c r="J301" s="170" t="n">
        <f aca="false">+J71</f>
        <v>0</v>
      </c>
      <c r="K301" s="170" t="n">
        <f aca="false">+K71</f>
        <v>0</v>
      </c>
      <c r="L301" s="170" t="n">
        <f aca="false">+L71</f>
        <v>0</v>
      </c>
      <c r="M301" s="170" t="n">
        <f aca="false">+M71</f>
        <v>0</v>
      </c>
      <c r="N301" s="170" t="n">
        <f aca="false">+N71</f>
        <v>0</v>
      </c>
      <c r="O301" s="170" t="n">
        <f aca="false">+O71</f>
        <v>0</v>
      </c>
      <c r="P301" s="170" t="n">
        <f aca="false">+P71</f>
        <v>0</v>
      </c>
      <c r="Q301" s="170" t="n">
        <f aca="false">+Q71</f>
        <v>0</v>
      </c>
      <c r="R301" s="170" t="n">
        <f aca="false">+R71</f>
        <v>0</v>
      </c>
      <c r="S301" s="170" t="n">
        <f aca="false">+S71</f>
        <v>0</v>
      </c>
      <c r="T301" s="170" t="n">
        <f aca="false">+T71</f>
        <v>0</v>
      </c>
      <c r="U301" s="170" t="n">
        <f aca="false">+U71</f>
        <v>0</v>
      </c>
      <c r="V301" s="170" t="n">
        <f aca="false">+V71</f>
        <v>0</v>
      </c>
      <c r="W301" s="170" t="n">
        <f aca="false">+W71</f>
        <v>0</v>
      </c>
      <c r="X301" s="170" t="n">
        <f aca="false">+X71</f>
        <v>0</v>
      </c>
      <c r="Y301" s="170" t="n">
        <f aca="false">+Y71</f>
        <v>0</v>
      </c>
      <c r="Z301" s="170" t="n">
        <f aca="false">+Z71</f>
        <v>0</v>
      </c>
      <c r="AA301" s="118" t="n">
        <f aca="false">+AA71</f>
        <v>12965.7977560653</v>
      </c>
      <c r="AB301" s="118" t="n">
        <f aca="false">+AB71</f>
        <v>11907.0588943567</v>
      </c>
      <c r="AC301" s="118" t="n">
        <f aca="false">+AC71</f>
        <v>15481.3228694056</v>
      </c>
      <c r="AD301" s="118" t="n">
        <f aca="false">+AD71</f>
        <v>12503.3097946892</v>
      </c>
      <c r="AE301" s="118" t="n">
        <f aca="false">+AE71</f>
        <v>12746.5535029392</v>
      </c>
      <c r="AF301" s="118" t="n">
        <f aca="false">+AF71</f>
        <v>20555.6570503555</v>
      </c>
      <c r="AG301" s="118" t="n">
        <f aca="false">+AG71</f>
        <v>13319.2191081293</v>
      </c>
      <c r="AH301" s="118" t="n">
        <f aca="false">+AH71</f>
        <v>12231.6211721834</v>
      </c>
      <c r="AI301" s="118" t="n">
        <f aca="false">+AI71</f>
        <v>15903.3123345493</v>
      </c>
      <c r="AJ301" s="118" t="n">
        <f aca="false">+AJ71</f>
        <v>12844.1246628562</v>
      </c>
      <c r="AK301" s="118" t="n">
        <f aca="false">+AK71</f>
        <v>13093.9987012925</v>
      </c>
      <c r="AL301" s="118" t="n">
        <f aca="false">+AL71</f>
        <v>21115.962574472</v>
      </c>
      <c r="AM301" s="118" t="n">
        <f aca="false">+AM71</f>
        <v>13682.2740095085</v>
      </c>
      <c r="AN301" s="118" t="n">
        <f aca="false">+AN71</f>
        <v>12565.0303594882</v>
      </c>
      <c r="AO301" s="118" t="n">
        <f aca="false">+AO71</f>
        <v>16336.804376714</v>
      </c>
      <c r="AP301" s="118" t="n">
        <f aca="false">+AP71</f>
        <v>13194.2294531535</v>
      </c>
      <c r="AQ301" s="118" t="n">
        <f aca="false">+AQ71</f>
        <v>13450.9145511305</v>
      </c>
      <c r="AR301" s="25"/>
    </row>
    <row r="302" customFormat="false" ht="13.5" hidden="false" customHeight="false" outlineLevel="0" collapsed="false">
      <c r="A302" s="192"/>
      <c r="B302" s="2" t="s">
        <v>51</v>
      </c>
      <c r="C302" s="3"/>
      <c r="D302" s="3"/>
      <c r="E302" s="45"/>
      <c r="F302" s="45"/>
      <c r="G302" s="45"/>
      <c r="H302" s="195" t="n">
        <f aca="false">SUM(H299:H301)</f>
        <v>84427.799424</v>
      </c>
      <c r="I302" s="196" t="n">
        <f aca="false">SUM(I299:I301)</f>
        <v>86837.96376</v>
      </c>
      <c r="J302" s="196" t="n">
        <f aca="false">SUM(J299:J301)</f>
        <v>91027.616424</v>
      </c>
      <c r="K302" s="196" t="n">
        <f aca="false">SUM(K299:K301)</f>
        <v>95269.6801104</v>
      </c>
      <c r="L302" s="196" t="n">
        <f aca="false">SUM(L299:L301)</f>
        <v>98589.344136</v>
      </c>
      <c r="M302" s="196" t="n">
        <f aca="false">SUM(M299:M301)</f>
        <v>103017.607032</v>
      </c>
      <c r="N302" s="196" t="n">
        <f aca="false">SUM(N299:N301)</f>
        <v>100751.858339312</v>
      </c>
      <c r="O302" s="196" t="n">
        <f aca="false">SUM(O299:O301)</f>
        <v>103638.149347637</v>
      </c>
      <c r="P302" s="196" t="n">
        <f aca="false">SUM(P299:P301)</f>
        <v>106118.286872656</v>
      </c>
      <c r="Q302" s="196" t="n">
        <f aca="false">SUM(Q299:Q301)</f>
        <v>109049.032476906</v>
      </c>
      <c r="R302" s="196" t="n">
        <f aca="false">SUM(R299:R301)</f>
        <v>112301.434353896</v>
      </c>
      <c r="S302" s="196" t="n">
        <f aca="false">SUM(S299:S301)</f>
        <v>115900.264719412</v>
      </c>
      <c r="T302" s="196" t="n">
        <f aca="false">SUM(T299:T301)</f>
        <v>118806.887171886</v>
      </c>
      <c r="U302" s="196" t="n">
        <f aca="false">SUM(U299:U301)</f>
        <v>120474.369200881</v>
      </c>
      <c r="V302" s="196" t="n">
        <f aca="false">SUM(V299:V301)</f>
        <v>121952.134680053</v>
      </c>
      <c r="W302" s="196" t="n">
        <f aca="false">SUM(W299:W301)</f>
        <v>123943.073829148</v>
      </c>
      <c r="X302" s="196" t="n">
        <f aca="false">SUM(X299:X301)</f>
        <v>128439.67342202</v>
      </c>
      <c r="Y302" s="196" t="n">
        <f aca="false">SUM(Y299:Y301)</f>
        <v>131619.250712387</v>
      </c>
      <c r="Z302" s="197" t="n">
        <f aca="false">SUM(Z299:Z301)</f>
        <v>134975.994107606</v>
      </c>
      <c r="AA302" s="198" t="n">
        <f aca="false">SUM(AA299:AA301)</f>
        <v>87199.2767356883</v>
      </c>
      <c r="AB302" s="198" t="n">
        <f aca="false">SUM(AB299:AB301)</f>
        <v>86673.4091344127</v>
      </c>
      <c r="AC302" s="198" t="n">
        <f aca="false">SUM(AC299:AC301)</f>
        <v>95627.3774925431</v>
      </c>
      <c r="AD302" s="198" t="n">
        <f aca="false">SUM(AD299:AD301)</f>
        <v>91529.0157210345</v>
      </c>
      <c r="AE302" s="198" t="n">
        <f aca="false">SUM(AE299:AE301)</f>
        <v>94110.2526884596</v>
      </c>
      <c r="AF302" s="198" t="n">
        <f aca="false">SUM(AF299:AF301)</f>
        <v>111512.211223597</v>
      </c>
      <c r="AG302" s="198" t="n">
        <f aca="false">SUM(AG299:AG301)</f>
        <v>99063.5529597815</v>
      </c>
      <c r="AH302" s="198" t="n">
        <f aca="false">SUM(AH299:AH301)</f>
        <v>98971.564240047</v>
      </c>
      <c r="AI302" s="198" t="n">
        <f aca="false">SUM(AI299:AI301)</f>
        <v>108664.738026561</v>
      </c>
      <c r="AJ302" s="198" t="n">
        <f aca="false">SUM(AJ299:AJ301)</f>
        <v>104547.330880229</v>
      </c>
      <c r="AK302" s="198" t="n">
        <f aca="false">SUM(AK299:AK301)</f>
        <v>107318.469341143</v>
      </c>
      <c r="AL302" s="198" t="n">
        <f aca="false">SUM(AL299:AL301)</f>
        <v>125700.456847105</v>
      </c>
      <c r="AM302" s="198" t="n">
        <f aca="false">SUM(AM299:AM301)</f>
        <v>113470.920424541</v>
      </c>
      <c r="AN302" s="198" t="n">
        <f aca="false">SUM(AN299:AN301)</f>
        <v>113483.098612594</v>
      </c>
      <c r="AO302" s="198" t="n">
        <f aca="false">SUM(AO299:AO301)</f>
        <v>123577.453371652</v>
      </c>
      <c r="AP302" s="198" t="n">
        <f aca="false">SUM(AP299:AP301)</f>
        <v>119918.504923852</v>
      </c>
      <c r="AQ302" s="198" t="n">
        <f aca="false">SUM(AQ299:AQ301)</f>
        <v>123395.246838204</v>
      </c>
      <c r="AR302" s="25"/>
    </row>
    <row r="303" customFormat="false" ht="13.5" hidden="false" customHeight="false" outlineLevel="0" collapsed="false">
      <c r="A303" s="192"/>
      <c r="B303" s="95" t="str">
        <f aca="false">CONCATENATE("NPV ",+$E$16*100," of Cf to Term (2036)")</f>
        <v>NPV 6.25 of Cf to Term (2036)</v>
      </c>
      <c r="C303" s="2"/>
      <c r="D303" s="3"/>
      <c r="E303" s="3"/>
      <c r="F303" s="3"/>
      <c r="G303" s="199" t="n">
        <f aca="false">SUMPRODUCT(H$16:AQ$16,H302:AQ302)</f>
        <v>1484626.69762458</v>
      </c>
      <c r="H303" s="157" t="str">
        <f aca="false">CONCATENATE(" = ",DOLLAR($G$303-G303,0)," in Savings or a ",ROUND(($G$303-G303)/$G$91,2)*100,"% Reduction in Stranded Investment")</f>
        <v> = $0 in Savings or a 0% Reduction in Stranded Investment</v>
      </c>
      <c r="I303" s="200"/>
      <c r="J303" s="200"/>
      <c r="K303" s="200"/>
      <c r="L303" s="200"/>
      <c r="M303" s="201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5"/>
    </row>
    <row r="304" customFormat="false" ht="12.75" hidden="false" customHeight="false" outlineLevel="0" collapsed="false">
      <c r="A304" s="192"/>
      <c r="B304" s="48"/>
      <c r="C304" s="2"/>
      <c r="D304" s="202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5"/>
    </row>
    <row r="305" customFormat="false" ht="12.75" hidden="false" customHeight="false" outlineLevel="0" collapsed="false">
      <c r="A305" s="192"/>
      <c r="B305" s="48" t="str">
        <f aca="false">+A297</f>
        <v>Contract Purchase (Status Quo)</v>
      </c>
      <c r="C305" s="2"/>
      <c r="D305" s="202"/>
      <c r="E305" s="3"/>
      <c r="F305" s="3"/>
      <c r="G305" s="66" t="s">
        <v>28</v>
      </c>
      <c r="H305" s="65" t="n">
        <f aca="false">+H302/H$25*1000</f>
        <v>43.4373384107416</v>
      </c>
      <c r="I305" s="65" t="n">
        <f aca="false">+I302/I$25*1000</f>
        <v>44.6773461404536</v>
      </c>
      <c r="J305" s="65" t="n">
        <f aca="false">+J302/J$25*1000</f>
        <v>46.8328845037797</v>
      </c>
      <c r="K305" s="65" t="n">
        <f aca="false">+K302/K$25*1000</f>
        <v>48.8814660388474</v>
      </c>
      <c r="L305" s="65" t="n">
        <f aca="false">+L302/L$25*1000</f>
        <v>50.7233249491889</v>
      </c>
      <c r="M305" s="65" t="n">
        <f aca="false">+M302/M$25*1000</f>
        <v>53.0016261165483</v>
      </c>
      <c r="N305" s="65" t="n">
        <f aca="false">+N302/N$25*1000</f>
        <v>51.8359189278091</v>
      </c>
      <c r="O305" s="65" t="n">
        <f aca="false">+O302/O$25*1000</f>
        <v>53.1752040291832</v>
      </c>
      <c r="P305" s="65" t="n">
        <f aca="false">+P302/P$25*1000</f>
        <v>54.5968978216124</v>
      </c>
      <c r="Q305" s="65" t="n">
        <f aca="false">+Q302/Q$25*1000</f>
        <v>56.1047399005975</v>
      </c>
      <c r="R305" s="65" t="n">
        <f aca="false">+R302/R$25*1000</f>
        <v>57.7780712196936</v>
      </c>
      <c r="S305" s="65" t="n">
        <f aca="false">+S302/S$25*1000</f>
        <v>59.4667143545591</v>
      </c>
      <c r="T305" s="65" t="n">
        <f aca="false">+T302/T$25*1000</f>
        <v>61.1250677954424</v>
      </c>
      <c r="U305" s="65" t="n">
        <f aca="false">+U302/U$25*1000</f>
        <v>61.9829722023017</v>
      </c>
      <c r="V305" s="65" t="n">
        <f aca="false">+V302/V$25*1000</f>
        <v>62.7432691619339</v>
      </c>
      <c r="W305" s="65" t="n">
        <f aca="false">+W302/W$25*1000</f>
        <v>63.5933609424233</v>
      </c>
      <c r="X305" s="65" t="n">
        <f aca="false">+X302/X$25*1000</f>
        <v>66.0810491077595</v>
      </c>
      <c r="Y305" s="65" t="n">
        <f aca="false">+Y302/Y$25*1000</f>
        <v>67.7169128363776</v>
      </c>
      <c r="Z305" s="65" t="n">
        <f aca="false">+Z302/Z$25*1000</f>
        <v>69.443926921915</v>
      </c>
      <c r="AA305" s="65" t="n">
        <f aca="false">+AA302/AA$25*1000</f>
        <v>44.7406612411025</v>
      </c>
      <c r="AB305" s="65" t="n">
        <f aca="false">+AB302/AB$25*1000</f>
        <v>44.5926842754345</v>
      </c>
      <c r="AC305" s="65" t="n">
        <f aca="false">+AC302/AC$25*1000</f>
        <v>49.1994199282013</v>
      </c>
      <c r="AD305" s="65" t="n">
        <f aca="false">+AD302/AD$25*1000</f>
        <v>47.090849902532</v>
      </c>
      <c r="AE305" s="65" t="n">
        <f aca="false">+AE302/AE$25*1000</f>
        <v>48.286580949652</v>
      </c>
      <c r="AF305" s="65" t="n">
        <f aca="false">+AF302/AF$25*1000</f>
        <v>57.3720230646276</v>
      </c>
      <c r="AG305" s="65" t="n">
        <f aca="false">+AG302/AG$25*1000</f>
        <v>50.9673010956298</v>
      </c>
      <c r="AH305" s="65" t="n">
        <f aca="false">+AH302/AH$25*1000</f>
        <v>50.9199737321745</v>
      </c>
      <c r="AI305" s="65" t="n">
        <f aca="false">+AI302/AI$25*1000</f>
        <v>55.7542724538419</v>
      </c>
      <c r="AJ305" s="65" t="n">
        <f aca="false">+AJ302/AJ$25*1000</f>
        <v>53.7886551866392</v>
      </c>
      <c r="AK305" s="65" t="n">
        <f aca="false">+AK302/AK$25*1000</f>
        <v>55.21438083543</v>
      </c>
      <c r="AL305" s="65" t="n">
        <f aca="false">+AL302/AL$25*1000</f>
        <v>64.6717469803008</v>
      </c>
      <c r="AM305" s="65" t="n">
        <f aca="false">+AM302/AM$25*1000</f>
        <v>58.2202536704378</v>
      </c>
      <c r="AN305" s="65" t="n">
        <f aca="false">+AN302/AN$25*1000</f>
        <v>58.3860267822345</v>
      </c>
      <c r="AO305" s="65" t="n">
        <f aca="false">+AO302/AO$25*1000</f>
        <v>63.5794809134414</v>
      </c>
      <c r="AP305" s="65" t="n">
        <f aca="false">+AP302/AP$25*1000</f>
        <v>61.6969850644572</v>
      </c>
      <c r="AQ305" s="65" t="n">
        <f aca="false">+AQ302/AQ$25*1000</f>
        <v>63.3122790030067</v>
      </c>
      <c r="AR305" s="25"/>
    </row>
    <row r="306" customFormat="false" ht="12.75" hidden="false" customHeight="false" outlineLevel="0" collapsed="false">
      <c r="A306" s="192"/>
      <c r="B306" s="3"/>
      <c r="C306" s="3"/>
      <c r="D306" s="3"/>
      <c r="E306" s="45"/>
      <c r="F306" s="45"/>
      <c r="G306" s="45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5"/>
    </row>
    <row r="307" customFormat="false" ht="12.75" hidden="false" customHeight="false" outlineLevel="0" collapsed="false">
      <c r="A307" s="191" t="str">
        <f aca="false">+A96</f>
        <v>Plant Ownership/Operation</v>
      </c>
      <c r="B307" s="3"/>
      <c r="C307" s="3"/>
      <c r="D307" s="3"/>
      <c r="E307" s="45"/>
      <c r="F307" s="45"/>
      <c r="G307" s="45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5"/>
    </row>
    <row r="308" customFormat="false" ht="12.75" hidden="false" customHeight="false" outlineLevel="0" collapsed="false">
      <c r="A308" s="192"/>
      <c r="B308" s="3"/>
      <c r="C308" s="3"/>
      <c r="D308" s="3"/>
      <c r="E308" s="45"/>
      <c r="F308" s="45"/>
      <c r="G308" s="45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118"/>
      <c r="AB308" s="118"/>
      <c r="AC308" s="118"/>
      <c r="AD308" s="118"/>
      <c r="AE308" s="118"/>
      <c r="AF308" s="118"/>
      <c r="AG308" s="118"/>
      <c r="AH308" s="118"/>
      <c r="AI308" s="118"/>
      <c r="AJ308" s="118"/>
      <c r="AK308" s="118"/>
      <c r="AL308" s="118"/>
      <c r="AM308" s="118"/>
      <c r="AN308" s="118"/>
      <c r="AO308" s="118"/>
      <c r="AP308" s="118"/>
      <c r="AQ308" s="118"/>
      <c r="AR308" s="25"/>
    </row>
    <row r="309" customFormat="false" ht="12.75" hidden="false" customHeight="false" outlineLevel="0" collapsed="false">
      <c r="A309" s="192"/>
      <c r="B309" s="2" t="s">
        <v>192</v>
      </c>
      <c r="C309" s="3"/>
      <c r="D309" s="3"/>
      <c r="E309" s="45"/>
      <c r="F309" s="45"/>
      <c r="G309" s="45"/>
      <c r="H309" s="159" t="n">
        <f aca="false">SUM(H168:H173)</f>
        <v>54391.4564003545</v>
      </c>
      <c r="I309" s="159" t="n">
        <f aca="false">SUM(I168:I173)</f>
        <v>51674.5016303465</v>
      </c>
      <c r="J309" s="159" t="n">
        <f aca="false">SUM(J168:J173)</f>
        <v>52822.0622361765</v>
      </c>
      <c r="K309" s="159" t="n">
        <f aca="false">SUM(K168:K173)</f>
        <v>58851.5866933154</v>
      </c>
      <c r="L309" s="159" t="n">
        <f aca="false">SUM(L168:L173)</f>
        <v>58142.7586980523</v>
      </c>
      <c r="M309" s="159" t="n">
        <f aca="false">SUM(M168:M173)</f>
        <v>60697.248129781</v>
      </c>
      <c r="N309" s="159" t="n">
        <f aca="false">SUM(N168:N173)</f>
        <v>60459.57855207</v>
      </c>
      <c r="O309" s="159" t="n">
        <f aca="false">SUM(O168:O173)</f>
        <v>53446.6503636859</v>
      </c>
      <c r="P309" s="159" t="n">
        <f aca="false">SUM(P168:P173)</f>
        <v>53002.3744573083</v>
      </c>
      <c r="Q309" s="159" t="n">
        <f aca="false">SUM(Q168:Q173)</f>
        <v>62473.375915672</v>
      </c>
      <c r="R309" s="159" t="n">
        <f aca="false">SUM(R168:R173)</f>
        <v>57066.8788099471</v>
      </c>
      <c r="S309" s="159" t="n">
        <f aca="false">SUM(S168:S173)</f>
        <v>58701.5220865582</v>
      </c>
      <c r="T309" s="159" t="n">
        <f aca="false">SUM(T168:T173)</f>
        <v>66744.1706256872</v>
      </c>
      <c r="U309" s="159" t="n">
        <f aca="false">SUM(U168:U173)</f>
        <v>61756.6726470493</v>
      </c>
      <c r="V309" s="159" t="n">
        <f aca="false">SUM(V168:V173)</f>
        <v>61640.2457557732</v>
      </c>
      <c r="W309" s="159" t="n">
        <f aca="false">SUM(W168:W173)</f>
        <v>66897.3514569863</v>
      </c>
      <c r="X309" s="159" t="n">
        <f aca="false">SUM(X168:X173)</f>
        <v>65619.3136664042</v>
      </c>
      <c r="Y309" s="159" t="n">
        <f aca="false">SUM(Y168:Y173)</f>
        <v>67099.3349398117</v>
      </c>
      <c r="Z309" s="159" t="n">
        <f aca="false">SUM(Z168:Z173)</f>
        <v>76426.2883130366</v>
      </c>
      <c r="AA309" s="118" t="n">
        <f aca="false">SUM(AA168:AA173)</f>
        <v>71866.2291164918</v>
      </c>
      <c r="AB309" s="118" t="n">
        <f aca="false">SUM(AB168:AB173)</f>
        <v>72338.6899509131</v>
      </c>
      <c r="AC309" s="118" t="n">
        <f aca="false">SUM(AC168:AC173)</f>
        <v>77652.018903887</v>
      </c>
      <c r="AD309" s="118" t="n">
        <f aca="false">SUM(AD168:AD173)</f>
        <v>76461.3656336432</v>
      </c>
      <c r="AE309" s="118" t="n">
        <f aca="false">SUM(AE168:AE173)</f>
        <v>78721.9236235374</v>
      </c>
      <c r="AF309" s="118" t="n">
        <f aca="false">SUM(AF168:AF173)</f>
        <v>88238.9538167038</v>
      </c>
      <c r="AG309" s="118" t="n">
        <f aca="false">SUM(AG168:AG173)</f>
        <v>82943.3179229124</v>
      </c>
      <c r="AH309" s="118" t="n">
        <f aca="false">SUM(AH168:AH173)</f>
        <v>83850.6610956688</v>
      </c>
      <c r="AI309" s="118" t="n">
        <f aca="false">SUM(AI168:AI173)</f>
        <v>89774.8355804284</v>
      </c>
      <c r="AJ309" s="118" t="n">
        <f aca="false">SUM(AJ168:AJ173)</f>
        <v>88621.782984547</v>
      </c>
      <c r="AK309" s="118" t="n">
        <f aca="false">SUM(AK168:AK173)</f>
        <v>91038.6087243754</v>
      </c>
      <c r="AL309" s="118" t="n">
        <f aca="false">SUM(AL168:AL173)</f>
        <v>101288.214854066</v>
      </c>
      <c r="AM309" s="118" t="n">
        <f aca="false">SUM(AM168:AM173)</f>
        <v>96370.5415245197</v>
      </c>
      <c r="AN309" s="118" t="n">
        <f aca="false">SUM(AN168:AN173)</f>
        <v>97381.7225372211</v>
      </c>
      <c r="AO309" s="118" t="n">
        <f aca="false">SUM(AO168:AO173)</f>
        <v>103573.96487511</v>
      </c>
      <c r="AP309" s="118" t="n">
        <f aca="false">SUM(AP168:AP173)</f>
        <v>102919.893179758</v>
      </c>
      <c r="AQ309" s="118" t="n">
        <f aca="false">SUM(AQ168:AQ173)</f>
        <v>105987.920735764</v>
      </c>
      <c r="AR309" s="25"/>
    </row>
    <row r="310" customFormat="false" ht="13.5" hidden="false" customHeight="false" outlineLevel="0" collapsed="false">
      <c r="A310" s="192"/>
      <c r="B310" s="2" t="s">
        <v>148</v>
      </c>
      <c r="C310" s="3"/>
      <c r="D310" s="3"/>
      <c r="E310" s="45"/>
      <c r="F310" s="45"/>
      <c r="G310" s="159" t="n">
        <f aca="false">-$G$181</f>
        <v>6888</v>
      </c>
      <c r="H310" s="159" t="n">
        <f aca="false">H175</f>
        <v>39397.6825197938</v>
      </c>
      <c r="I310" s="159" t="n">
        <f aca="false">I175</f>
        <v>39397.6825197938</v>
      </c>
      <c r="J310" s="159" t="n">
        <f aca="false">J175</f>
        <v>39397.6825197938</v>
      </c>
      <c r="K310" s="159" t="n">
        <f aca="false">K175</f>
        <v>39397.6825197938</v>
      </c>
      <c r="L310" s="159" t="n">
        <f aca="false">L175</f>
        <v>39397.6825197938</v>
      </c>
      <c r="M310" s="159" t="n">
        <f aca="false">M175</f>
        <v>39397.6825197938</v>
      </c>
      <c r="N310" s="159" t="n">
        <f aca="false">N175</f>
        <v>39397.6825197938</v>
      </c>
      <c r="O310" s="159" t="n">
        <f aca="false">O175</f>
        <v>39397.6825197938</v>
      </c>
      <c r="P310" s="159" t="n">
        <f aca="false">P175</f>
        <v>39397.6825197938</v>
      </c>
      <c r="Q310" s="159" t="n">
        <f aca="false">Q175</f>
        <v>39397.6825197938</v>
      </c>
      <c r="R310" s="159" t="n">
        <f aca="false">R175</f>
        <v>39397.6825197938</v>
      </c>
      <c r="S310" s="159" t="n">
        <f aca="false">S175</f>
        <v>39397.6825197938</v>
      </c>
      <c r="T310" s="159" t="n">
        <f aca="false">T175</f>
        <v>39397.6825197938</v>
      </c>
      <c r="U310" s="159" t="n">
        <f aca="false">U175</f>
        <v>22034.0297564955</v>
      </c>
      <c r="V310" s="159" t="n">
        <f aca="false">V175</f>
        <v>22034.0297564955</v>
      </c>
      <c r="W310" s="159" t="n">
        <f aca="false">W175</f>
        <v>22034.0297564955</v>
      </c>
      <c r="X310" s="159" t="n">
        <f aca="false">X175</f>
        <v>22034.0297564955</v>
      </c>
      <c r="Y310" s="159" t="n">
        <f aca="false">Y175</f>
        <v>22034.0297564955</v>
      </c>
      <c r="Z310" s="159" t="n">
        <f aca="false">Z175</f>
        <v>22034.0297564955</v>
      </c>
      <c r="AA310" s="118" t="n">
        <f aca="false">AA175</f>
        <v>22034.0297564955</v>
      </c>
      <c r="AB310" s="118" t="n">
        <f aca="false">AB175</f>
        <v>22034.0297564955</v>
      </c>
      <c r="AC310" s="118" t="n">
        <f aca="false">AC175</f>
        <v>22034.0297564955</v>
      </c>
      <c r="AD310" s="118" t="n">
        <f aca="false">AD175</f>
        <v>22034.0297564955</v>
      </c>
      <c r="AE310" s="118" t="n">
        <f aca="false">AE175</f>
        <v>22034.0297564955</v>
      </c>
      <c r="AF310" s="118" t="n">
        <f aca="false">AF175</f>
        <v>22034.0297564955</v>
      </c>
      <c r="AG310" s="118" t="n">
        <f aca="false">AG175</f>
        <v>0</v>
      </c>
      <c r="AH310" s="118" t="n">
        <f aca="false">AH175</f>
        <v>0</v>
      </c>
      <c r="AI310" s="118" t="n">
        <f aca="false">AI175</f>
        <v>0</v>
      </c>
      <c r="AJ310" s="118" t="n">
        <f aca="false">AJ175</f>
        <v>0</v>
      </c>
      <c r="AK310" s="118" t="n">
        <f aca="false">AK175</f>
        <v>0</v>
      </c>
      <c r="AL310" s="118" t="n">
        <f aca="false">AL175</f>
        <v>0</v>
      </c>
      <c r="AM310" s="118" t="n">
        <f aca="false">AM175</f>
        <v>0</v>
      </c>
      <c r="AN310" s="118" t="n">
        <f aca="false">AN175</f>
        <v>0</v>
      </c>
      <c r="AO310" s="118" t="n">
        <f aca="false">AO175</f>
        <v>0</v>
      </c>
      <c r="AP310" s="118" t="n">
        <f aca="false">AP175</f>
        <v>0</v>
      </c>
      <c r="AQ310" s="118" t="n">
        <f aca="false">AQ175</f>
        <v>0</v>
      </c>
      <c r="AR310" s="25"/>
    </row>
    <row r="311" customFormat="false" ht="13.5" hidden="false" customHeight="false" outlineLevel="0" collapsed="false">
      <c r="A311" s="192"/>
      <c r="B311" s="2" t="s">
        <v>51</v>
      </c>
      <c r="C311" s="3"/>
      <c r="D311" s="3"/>
      <c r="E311" s="45"/>
      <c r="F311" s="45"/>
      <c r="G311" s="203" t="n">
        <f aca="false">SUM(G309:G310)</f>
        <v>6888</v>
      </c>
      <c r="H311" s="204" t="n">
        <f aca="false">SUM(H309:H310)</f>
        <v>93789.1389201483</v>
      </c>
      <c r="I311" s="204" t="n">
        <f aca="false">SUM(I309:I310)</f>
        <v>91072.1841501404</v>
      </c>
      <c r="J311" s="204" t="n">
        <f aca="false">SUM(J309:J310)</f>
        <v>92219.7447559703</v>
      </c>
      <c r="K311" s="204" t="n">
        <f aca="false">SUM(K309:K310)</f>
        <v>98249.2692131092</v>
      </c>
      <c r="L311" s="204" t="n">
        <f aca="false">SUM(L309:L310)</f>
        <v>97540.4412178461</v>
      </c>
      <c r="M311" s="204" t="n">
        <f aca="false">SUM(M309:M310)</f>
        <v>100094.930649575</v>
      </c>
      <c r="N311" s="196" t="n">
        <f aca="false">SUM(N309:N310)</f>
        <v>99857.2610718638</v>
      </c>
      <c r="O311" s="196" t="n">
        <f aca="false">SUM(O309:O310)</f>
        <v>92844.3328834797</v>
      </c>
      <c r="P311" s="196" t="n">
        <f aca="false">SUM(P309:P310)</f>
        <v>92400.0569771021</v>
      </c>
      <c r="Q311" s="196" t="n">
        <f aca="false">SUM(Q309:Q310)</f>
        <v>101871.058435466</v>
      </c>
      <c r="R311" s="196" t="n">
        <f aca="false">SUM(R309:R310)</f>
        <v>96464.5613297409</v>
      </c>
      <c r="S311" s="196" t="n">
        <f aca="false">SUM(S309:S310)</f>
        <v>98099.204606352</v>
      </c>
      <c r="T311" s="196" t="n">
        <f aca="false">SUM(T309:T310)</f>
        <v>106141.853145481</v>
      </c>
      <c r="U311" s="196" t="n">
        <f aca="false">SUM(U309:U310)</f>
        <v>83790.7024035449</v>
      </c>
      <c r="V311" s="196" t="n">
        <f aca="false">SUM(V309:V310)</f>
        <v>83674.2755122687</v>
      </c>
      <c r="W311" s="196" t="n">
        <f aca="false">SUM(W309:W310)</f>
        <v>88931.3812134818</v>
      </c>
      <c r="X311" s="196" t="n">
        <f aca="false">SUM(X309:X310)</f>
        <v>87653.3434228998</v>
      </c>
      <c r="Y311" s="196" t="n">
        <f aca="false">SUM(Y309:Y310)</f>
        <v>89133.3646963073</v>
      </c>
      <c r="Z311" s="197" t="n">
        <f aca="false">SUM(Z309:Z310)</f>
        <v>98460.3180695322</v>
      </c>
      <c r="AA311" s="198" t="n">
        <f aca="false">SUM(AA309:AA310)</f>
        <v>93900.2588729874</v>
      </c>
      <c r="AB311" s="198" t="n">
        <f aca="false">SUM(AB309:AB310)</f>
        <v>94372.7197074087</v>
      </c>
      <c r="AC311" s="198" t="n">
        <f aca="false">SUM(AC309:AC310)</f>
        <v>99686.0486603825</v>
      </c>
      <c r="AD311" s="198" t="n">
        <f aca="false">SUM(AD309:AD310)</f>
        <v>98495.3953901387</v>
      </c>
      <c r="AE311" s="198" t="n">
        <f aca="false">SUM(AE309:AE310)</f>
        <v>100755.953380033</v>
      </c>
      <c r="AF311" s="198" t="n">
        <f aca="false">SUM(AF309:AF310)</f>
        <v>110272.983573199</v>
      </c>
      <c r="AG311" s="198" t="n">
        <f aca="false">SUM(AG309:AG310)</f>
        <v>82943.3179229124</v>
      </c>
      <c r="AH311" s="198" t="n">
        <f aca="false">SUM(AH309:AH310)</f>
        <v>83850.6610956688</v>
      </c>
      <c r="AI311" s="198" t="n">
        <f aca="false">SUM(AI309:AI310)</f>
        <v>89774.8355804284</v>
      </c>
      <c r="AJ311" s="198" t="n">
        <f aca="false">SUM(AJ309:AJ310)</f>
        <v>88621.782984547</v>
      </c>
      <c r="AK311" s="198" t="n">
        <f aca="false">SUM(AK309:AK310)</f>
        <v>91038.6087243754</v>
      </c>
      <c r="AL311" s="198" t="n">
        <f aca="false">SUM(AL309:AL310)</f>
        <v>101288.214854066</v>
      </c>
      <c r="AM311" s="198" t="n">
        <f aca="false">SUM(AM309:AM310)</f>
        <v>96370.5415245197</v>
      </c>
      <c r="AN311" s="198" t="n">
        <f aca="false">SUM(AN309:AN310)</f>
        <v>97381.7225372211</v>
      </c>
      <c r="AO311" s="198" t="n">
        <f aca="false">SUM(AO309:AO310)</f>
        <v>103573.96487511</v>
      </c>
      <c r="AP311" s="198" t="n">
        <f aca="false">SUM(AP309:AP310)</f>
        <v>102919.893179758</v>
      </c>
      <c r="AQ311" s="198" t="n">
        <f aca="false">SUM(AQ309:AQ310)</f>
        <v>105987.920735764</v>
      </c>
      <c r="AR311" s="25"/>
    </row>
    <row r="312" customFormat="false" ht="13.5" hidden="false" customHeight="false" outlineLevel="0" collapsed="false">
      <c r="A312" s="192"/>
      <c r="B312" s="95" t="str">
        <f aca="false">CONCATENATE("NPV ",+$E$16*100," of Cf to Term (2036)")</f>
        <v>NPV 6.25 of Cf to Term (2036)</v>
      </c>
      <c r="C312" s="2"/>
      <c r="D312" s="3"/>
      <c r="E312" s="3"/>
      <c r="F312" s="45"/>
      <c r="G312" s="199" t="n">
        <f aca="false">SUMPRODUCT(G$16:AQ$16,G311:AQ311)</f>
        <v>1356465.75687723</v>
      </c>
      <c r="H312" s="157" t="str">
        <f aca="false">CONCATENATE(" = ",DOLLAR($G$303-G312,0)," in Savings or a ",ROUND(($G$303-G312)/$G$91,2)*100,"% Reduction in Stranded Investment")</f>
        <v> = $128,161 in Savings or a 43% Reduction in Stranded Investment</v>
      </c>
      <c r="I312" s="200"/>
      <c r="J312" s="200"/>
      <c r="K312" s="200"/>
      <c r="L312" s="200"/>
      <c r="M312" s="201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5"/>
    </row>
    <row r="313" customFormat="false" ht="12.75" hidden="false" customHeight="false" outlineLevel="0" collapsed="false">
      <c r="A313" s="192"/>
      <c r="B313" s="3"/>
      <c r="C313" s="3"/>
      <c r="D313" s="3"/>
      <c r="E313" s="45"/>
      <c r="F313" s="45"/>
      <c r="G313" s="45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5"/>
    </row>
    <row r="314" customFormat="false" ht="12.75" hidden="false" customHeight="false" outlineLevel="0" collapsed="false">
      <c r="A314" s="192"/>
      <c r="B314" s="48" t="str">
        <f aca="false">+A307</f>
        <v>Plant Ownership/Operation</v>
      </c>
      <c r="C314" s="2"/>
      <c r="D314" s="202"/>
      <c r="E314" s="3"/>
      <c r="F314" s="3"/>
      <c r="G314" s="66" t="s">
        <v>28</v>
      </c>
      <c r="H314" s="65" t="n">
        <f aca="false">+H311/H$25*1000</f>
        <v>48.2536628257593</v>
      </c>
      <c r="I314" s="65" t="n">
        <f aca="false">+I311/I$25*1000</f>
        <v>46.8558141953713</v>
      </c>
      <c r="J314" s="65" t="n">
        <f aca="false">+J311/J$25*1000</f>
        <v>47.4462237372799</v>
      </c>
      <c r="K314" s="65" t="n">
        <f aca="false">+K311/K$25*1000</f>
        <v>50.4102492085297</v>
      </c>
      <c r="L314" s="65" t="n">
        <f aca="false">+L311/L$25*1000</f>
        <v>50.1836738943621</v>
      </c>
      <c r="M314" s="65" t="n">
        <f aca="false">+M311/M$25*1000</f>
        <v>51.4979355791351</v>
      </c>
      <c r="N314" s="65" t="n">
        <f aca="false">+N311/N$25*1000</f>
        <v>51.375656733217</v>
      </c>
      <c r="O314" s="65" t="n">
        <f aca="false">+O311/O$25*1000</f>
        <v>47.637056191268</v>
      </c>
      <c r="P314" s="65" t="n">
        <f aca="false">+P311/P$25*1000</f>
        <v>47.5389927425403</v>
      </c>
      <c r="Q314" s="65" t="n">
        <f aca="false">+Q311/Q$25*1000</f>
        <v>52.4117372442598</v>
      </c>
      <c r="R314" s="65" t="n">
        <f aca="false">+R311/R$25*1000</f>
        <v>49.6301434327396</v>
      </c>
      <c r="S314" s="65" t="n">
        <f aca="false">+S311/S$25*1000</f>
        <v>50.3332532747727</v>
      </c>
      <c r="T314" s="65" t="n">
        <f aca="false">+T311/T$25*1000</f>
        <v>54.6090224556164</v>
      </c>
      <c r="U314" s="65" t="n">
        <f aca="false">+U311/U$25*1000</f>
        <v>43.1095577618702</v>
      </c>
      <c r="V314" s="65" t="n">
        <f aca="false">+V311/V$25*1000</f>
        <v>43.0496571804151</v>
      </c>
      <c r="W314" s="65" t="n">
        <f aca="false">+W311/W$25*1000</f>
        <v>45.6293784710636</v>
      </c>
      <c r="X314" s="65" t="n">
        <f aca="false">+X311/X$25*1000</f>
        <v>45.0968515947263</v>
      </c>
      <c r="Y314" s="65" t="n">
        <f aca="false">+Y311/Y$25*1000</f>
        <v>45.8583091400692</v>
      </c>
      <c r="Z314" s="65" t="n">
        <f aca="false">+Z311/Z$25*1000</f>
        <v>50.6569422061681</v>
      </c>
      <c r="AA314" s="65" t="n">
        <f aca="false">+AA311/AA$25*1000</f>
        <v>48.1788362238644</v>
      </c>
      <c r="AB314" s="65" t="n">
        <f aca="false">+AB311/AB$25*1000</f>
        <v>48.5539098571777</v>
      </c>
      <c r="AC314" s="65" t="n">
        <f aca="false">+AC311/AC$25*1000</f>
        <v>51.2875694976338</v>
      </c>
      <c r="AD314" s="65" t="n">
        <f aca="false">+AD311/AD$25*1000</f>
        <v>50.674989170037</v>
      </c>
      <c r="AE314" s="65" t="n">
        <f aca="false">+AE311/AE$25*1000</f>
        <v>51.6963918389407</v>
      </c>
      <c r="AF314" s="65" t="n">
        <f aca="false">+AF311/AF$25*1000</f>
        <v>56.7344516582246</v>
      </c>
      <c r="AG314" s="65" t="n">
        <f aca="false">+AG311/AG$25*1000</f>
        <v>42.6735861186393</v>
      </c>
      <c r="AH314" s="65" t="n">
        <f aca="false">+AH311/AH$25*1000</f>
        <v>43.1404059661136</v>
      </c>
      <c r="AI314" s="65" t="n">
        <f aca="false">+AI311/AI$25*1000</f>
        <v>46.0621424516442</v>
      </c>
      <c r="AJ314" s="65" t="n">
        <f aca="false">+AJ311/AJ$25*1000</f>
        <v>45.59510498113</v>
      </c>
      <c r="AK314" s="65" t="n">
        <f aca="false">+AK311/AK$25*1000</f>
        <v>46.8385399428007</v>
      </c>
      <c r="AL314" s="65" t="n">
        <f aca="false">+AL311/AL$25*1000</f>
        <v>52.1118694985821</v>
      </c>
      <c r="AM314" s="65" t="n">
        <f aca="false">+AM311/AM$25*1000</f>
        <v>49.4463017742609</v>
      </c>
      <c r="AN314" s="65" t="n">
        <f aca="false">+AN311/AN$25*1000</f>
        <v>50.1020145701886</v>
      </c>
      <c r="AO314" s="65" t="n">
        <f aca="false">+AO311/AO$25*1000</f>
        <v>53.2878671896725</v>
      </c>
      <c r="AP314" s="65" t="n">
        <f aca="false">+AP311/AP$25*1000</f>
        <v>52.951353224252</v>
      </c>
      <c r="AQ314" s="65" t="n">
        <f aca="false">+AQ311/AQ$25*1000</f>
        <v>54.3808370298886</v>
      </c>
      <c r="AR314" s="25"/>
    </row>
    <row r="315" customFormat="false" ht="12.75" hidden="false" customHeight="false" outlineLevel="0" collapsed="false">
      <c r="A315" s="192"/>
      <c r="B315" s="3"/>
      <c r="C315" s="3"/>
      <c r="D315" s="3"/>
      <c r="E315" s="45"/>
      <c r="F315" s="45"/>
      <c r="G315" s="45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5"/>
    </row>
    <row r="316" customFormat="false" ht="12.75" hidden="false" customHeight="false" outlineLevel="0" collapsed="false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5"/>
    </row>
    <row r="317" customFormat="false" ht="12.75" hidden="false" customHeight="false" outlineLevel="0" collapsed="false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5"/>
    </row>
    <row r="318" customFormat="false" ht="12.75" hidden="false" customHeight="false" outlineLevel="0" collapsed="false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5"/>
    </row>
    <row r="319" customFormat="false" ht="13.5" hidden="false" customHeight="false" outlineLevel="0" collapsed="false">
      <c r="A319" s="3"/>
      <c r="B319" s="3"/>
      <c r="C319" s="3"/>
      <c r="D319" s="3"/>
      <c r="E319" s="3"/>
      <c r="F319" s="3"/>
      <c r="G319" s="18" t="s">
        <v>8</v>
      </c>
      <c r="H319" s="20" t="n">
        <f aca="false">+H$9</f>
        <v>2001</v>
      </c>
      <c r="I319" s="20" t="n">
        <f aca="false">+I$9</f>
        <v>2002</v>
      </c>
      <c r="J319" s="20" t="n">
        <f aca="false">+J$9</f>
        <v>2003</v>
      </c>
      <c r="K319" s="20" t="n">
        <f aca="false">+K$9</f>
        <v>2004</v>
      </c>
      <c r="L319" s="20" t="n">
        <f aca="false">+L$9</f>
        <v>2005</v>
      </c>
      <c r="M319" s="20" t="n">
        <f aca="false">+M$9</f>
        <v>2006</v>
      </c>
      <c r="N319" s="20" t="n">
        <f aca="false">+N$9</f>
        <v>2007</v>
      </c>
      <c r="O319" s="20" t="n">
        <f aca="false">+O$9</f>
        <v>2008</v>
      </c>
      <c r="P319" s="20" t="n">
        <f aca="false">+P$9</f>
        <v>2009</v>
      </c>
      <c r="Q319" s="20" t="n">
        <f aca="false">+Q$9</f>
        <v>2010</v>
      </c>
      <c r="R319" s="20" t="n">
        <f aca="false">+R$9</f>
        <v>2011</v>
      </c>
      <c r="S319" s="20" t="n">
        <f aca="false">+S$9</f>
        <v>2012</v>
      </c>
      <c r="T319" s="20" t="n">
        <f aca="false">+T$9</f>
        <v>2013</v>
      </c>
      <c r="U319" s="20" t="n">
        <f aca="false">+U$9</f>
        <v>2014</v>
      </c>
      <c r="V319" s="20" t="n">
        <f aca="false">+V$9</f>
        <v>2015</v>
      </c>
      <c r="W319" s="20" t="n">
        <f aca="false">+W$9</f>
        <v>2016</v>
      </c>
      <c r="X319" s="20" t="n">
        <f aca="false">+X$9</f>
        <v>2017</v>
      </c>
      <c r="Y319" s="20" t="n">
        <f aca="false">+Y$9</f>
        <v>2018</v>
      </c>
      <c r="Z319" s="20" t="n">
        <f aca="false">+Z$9</f>
        <v>2019</v>
      </c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  <c r="AM319" s="24"/>
      <c r="AN319" s="24"/>
      <c r="AO319" s="24"/>
      <c r="AP319" s="24"/>
      <c r="AQ319" s="24"/>
      <c r="AR319" s="25"/>
    </row>
    <row r="320" customFormat="false" ht="15.75" hidden="false" customHeight="false" outlineLevel="0" collapsed="false">
      <c r="A320" s="205" t="s">
        <v>193</v>
      </c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5"/>
    </row>
    <row r="321" customFormat="false" ht="13.5" hidden="false" customHeight="false" outlineLevel="0" collapsed="false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5"/>
    </row>
    <row r="322" customFormat="false" ht="12.75" hidden="false" customHeight="false" outlineLevel="0" collapsed="false">
      <c r="A322" s="2"/>
      <c r="B322" s="26" t="s">
        <v>10</v>
      </c>
      <c r="C322" s="27"/>
      <c r="D322" s="27"/>
      <c r="E322" s="28" t="n">
        <v>0.07</v>
      </c>
      <c r="F322" s="29" t="s">
        <v>11</v>
      </c>
      <c r="G322" s="31" t="n">
        <f aca="false">+G12</f>
        <v>36891</v>
      </c>
      <c r="H322" s="31" t="n">
        <f aca="false">+H12</f>
        <v>37256</v>
      </c>
      <c r="I322" s="31" t="n">
        <f aca="false">+I12</f>
        <v>37621</v>
      </c>
      <c r="J322" s="31" t="n">
        <f aca="false">+J12</f>
        <v>37986</v>
      </c>
      <c r="K322" s="31" t="n">
        <f aca="false">+K12</f>
        <v>38352</v>
      </c>
      <c r="L322" s="31" t="n">
        <f aca="false">+L12</f>
        <v>38717</v>
      </c>
      <c r="M322" s="31" t="n">
        <f aca="false">+M12</f>
        <v>39082</v>
      </c>
      <c r="N322" s="31" t="n">
        <f aca="false">+N12</f>
        <v>39447</v>
      </c>
      <c r="O322" s="31" t="n">
        <f aca="false">+O12</f>
        <v>39813</v>
      </c>
      <c r="P322" s="31" t="n">
        <f aca="false">+P12</f>
        <v>40178</v>
      </c>
      <c r="Q322" s="31" t="n">
        <f aca="false">+Q12</f>
        <v>40543</v>
      </c>
      <c r="R322" s="31" t="n">
        <f aca="false">+R12</f>
        <v>40908</v>
      </c>
      <c r="S322" s="31" t="n">
        <f aca="false">+S12</f>
        <v>41274</v>
      </c>
      <c r="T322" s="31" t="n">
        <f aca="false">+T12</f>
        <v>41639</v>
      </c>
      <c r="U322" s="31" t="n">
        <f aca="false">+U12</f>
        <v>42004</v>
      </c>
      <c r="V322" s="31" t="n">
        <f aca="false">+V12</f>
        <v>42369</v>
      </c>
      <c r="W322" s="31" t="n">
        <f aca="false">+W12</f>
        <v>42735</v>
      </c>
      <c r="X322" s="31" t="n">
        <f aca="false">+X12</f>
        <v>43100</v>
      </c>
      <c r="Y322" s="31" t="n">
        <f aca="false">+Y12</f>
        <v>43465</v>
      </c>
      <c r="Z322" s="31" t="n">
        <f aca="false">+Z12</f>
        <v>43830</v>
      </c>
      <c r="AA322" s="32" t="n">
        <f aca="false">+AA12</f>
        <v>44196</v>
      </c>
      <c r="AB322" s="32" t="n">
        <f aca="false">+AB12</f>
        <v>44561</v>
      </c>
      <c r="AC322" s="32" t="n">
        <f aca="false">+AC12</f>
        <v>44926</v>
      </c>
      <c r="AD322" s="32" t="n">
        <f aca="false">+AD12</f>
        <v>45291</v>
      </c>
      <c r="AE322" s="32" t="n">
        <f aca="false">+AE12</f>
        <v>45657</v>
      </c>
      <c r="AF322" s="32" t="n">
        <f aca="false">+AF12</f>
        <v>46022</v>
      </c>
      <c r="AG322" s="32" t="n">
        <f aca="false">+AG12</f>
        <v>46387</v>
      </c>
      <c r="AH322" s="32" t="n">
        <f aca="false">+AH12</f>
        <v>46752</v>
      </c>
      <c r="AI322" s="32" t="n">
        <f aca="false">+AI12</f>
        <v>47118</v>
      </c>
      <c r="AJ322" s="32" t="n">
        <f aca="false">+AJ12</f>
        <v>47483</v>
      </c>
      <c r="AK322" s="32" t="n">
        <f aca="false">+AK12</f>
        <v>47848</v>
      </c>
      <c r="AL322" s="32" t="n">
        <f aca="false">+AL12</f>
        <v>48213</v>
      </c>
      <c r="AM322" s="32" t="n">
        <f aca="false">+AM12</f>
        <v>48579</v>
      </c>
      <c r="AN322" s="32" t="n">
        <f aca="false">+AN12</f>
        <v>48944</v>
      </c>
      <c r="AO322" s="32" t="n">
        <f aca="false">+AO12</f>
        <v>49309</v>
      </c>
      <c r="AP322" s="32" t="n">
        <f aca="false">+AP12</f>
        <v>49674</v>
      </c>
      <c r="AQ322" s="32" t="n">
        <f aca="false">+AQ12</f>
        <v>50040</v>
      </c>
      <c r="AR322" s="206" t="s">
        <v>92</v>
      </c>
    </row>
    <row r="323" customFormat="false" ht="12.75" hidden="false" customHeight="false" outlineLevel="0" collapsed="false">
      <c r="A323" s="2"/>
      <c r="B323" s="33" t="s">
        <v>12</v>
      </c>
      <c r="C323" s="34"/>
      <c r="D323" s="34"/>
      <c r="E323" s="35" t="n">
        <v>0.02</v>
      </c>
      <c r="F323" s="29" t="s">
        <v>13</v>
      </c>
      <c r="G323" s="36" t="n">
        <f aca="false">+G13</f>
        <v>0</v>
      </c>
      <c r="H323" s="36" t="n">
        <f aca="false">(H322-G322)/365</f>
        <v>1</v>
      </c>
      <c r="I323" s="36" t="n">
        <f aca="false">+H323+1</f>
        <v>2</v>
      </c>
      <c r="J323" s="36" t="n">
        <f aca="false">+I323+1</f>
        <v>3</v>
      </c>
      <c r="K323" s="36" t="n">
        <f aca="false">+J323+1</f>
        <v>4</v>
      </c>
      <c r="L323" s="36" t="n">
        <f aca="false">+K323+1</f>
        <v>5</v>
      </c>
      <c r="M323" s="36" t="n">
        <f aca="false">+L323+1</f>
        <v>6</v>
      </c>
      <c r="N323" s="36" t="n">
        <f aca="false">+M323+1</f>
        <v>7</v>
      </c>
      <c r="O323" s="36" t="n">
        <f aca="false">+N323+1</f>
        <v>8</v>
      </c>
      <c r="P323" s="36" t="n">
        <f aca="false">+O323+1</f>
        <v>9</v>
      </c>
      <c r="Q323" s="36" t="n">
        <f aca="false">+P323+1</f>
        <v>10</v>
      </c>
      <c r="R323" s="36" t="n">
        <f aca="false">+Q323+1</f>
        <v>11</v>
      </c>
      <c r="S323" s="36" t="n">
        <f aca="false">+R323+1</f>
        <v>12</v>
      </c>
      <c r="T323" s="36" t="n">
        <f aca="false">+S323+1</f>
        <v>13</v>
      </c>
      <c r="U323" s="36" t="n">
        <f aca="false">+T323+1</f>
        <v>14</v>
      </c>
      <c r="V323" s="36" t="n">
        <f aca="false">+U323+1</f>
        <v>15</v>
      </c>
      <c r="W323" s="36" t="n">
        <f aca="false">+V323+1</f>
        <v>16</v>
      </c>
      <c r="X323" s="36" t="n">
        <f aca="false">+W323+1</f>
        <v>17</v>
      </c>
      <c r="Y323" s="36" t="n">
        <f aca="false">+X323+1</f>
        <v>18</v>
      </c>
      <c r="Z323" s="36" t="n">
        <f aca="false">+Y323+1</f>
        <v>19</v>
      </c>
      <c r="AA323" s="37" t="n">
        <f aca="false">+Z323+1</f>
        <v>20</v>
      </c>
      <c r="AB323" s="37" t="n">
        <f aca="false">+AA323+1</f>
        <v>21</v>
      </c>
      <c r="AC323" s="37" t="n">
        <f aca="false">+AB323+1</f>
        <v>22</v>
      </c>
      <c r="AD323" s="37" t="n">
        <f aca="false">+AC323+1</f>
        <v>23</v>
      </c>
      <c r="AE323" s="37" t="n">
        <f aca="false">+AD323+1</f>
        <v>24</v>
      </c>
      <c r="AF323" s="37" t="n">
        <f aca="false">+AE323+1</f>
        <v>25</v>
      </c>
      <c r="AG323" s="37" t="n">
        <f aca="false">+AF323+1</f>
        <v>26</v>
      </c>
      <c r="AH323" s="37" t="n">
        <f aca="false">+AG323+1</f>
        <v>27</v>
      </c>
      <c r="AI323" s="37" t="n">
        <f aca="false">+AH323+1</f>
        <v>28</v>
      </c>
      <c r="AJ323" s="37" t="n">
        <f aca="false">+AI323+1</f>
        <v>29</v>
      </c>
      <c r="AK323" s="37" t="n">
        <f aca="false">+AJ323+1</f>
        <v>30</v>
      </c>
      <c r="AL323" s="37" t="n">
        <f aca="false">+AK323+1</f>
        <v>31</v>
      </c>
      <c r="AM323" s="37" t="n">
        <f aca="false">+AL323+1</f>
        <v>32</v>
      </c>
      <c r="AN323" s="37" t="n">
        <f aca="false">+AM323+1</f>
        <v>33</v>
      </c>
      <c r="AO323" s="37" t="n">
        <f aca="false">+AN323+1</f>
        <v>34</v>
      </c>
      <c r="AP323" s="37" t="n">
        <f aca="false">+AO323+1</f>
        <v>35</v>
      </c>
      <c r="AQ323" s="37" t="n">
        <f aca="false">+AP323+1</f>
        <v>36</v>
      </c>
      <c r="AR323" s="206" t="s">
        <v>92</v>
      </c>
    </row>
    <row r="324" customFormat="false" ht="13.5" hidden="false" customHeight="false" outlineLevel="0" collapsed="false">
      <c r="A324" s="2"/>
      <c r="B324" s="40" t="s">
        <v>194</v>
      </c>
      <c r="C324" s="41"/>
      <c r="D324" s="41"/>
      <c r="E324" s="42" t="n">
        <f aca="false">SUM(E322:E323)</f>
        <v>0.09</v>
      </c>
      <c r="F324" s="29" t="s">
        <v>16</v>
      </c>
      <c r="G324" s="43" t="n">
        <f aca="false">1/(1+$E$324)^G$323</f>
        <v>1</v>
      </c>
      <c r="H324" s="43" t="n">
        <f aca="false">1/(1+$E$324)^H$323</f>
        <v>0.91743119266055</v>
      </c>
      <c r="I324" s="43" t="n">
        <f aca="false">1/(1+$E$324)^I$323</f>
        <v>0.84167999326656</v>
      </c>
      <c r="J324" s="43" t="n">
        <f aca="false">1/(1+$E$324)^J$323</f>
        <v>0.772183480061064</v>
      </c>
      <c r="K324" s="43" t="n">
        <f aca="false">1/(1+$E$324)^K$323</f>
        <v>0.708425211065196</v>
      </c>
      <c r="L324" s="43" t="n">
        <f aca="false">1/(1+$E$324)^L$323</f>
        <v>0.649931386298345</v>
      </c>
      <c r="M324" s="43" t="n">
        <f aca="false">1/(1+$E$324)^M$323</f>
        <v>0.596267326879216</v>
      </c>
      <c r="N324" s="43" t="n">
        <f aca="false">1/(1+$E$324)^N$323</f>
        <v>0.547034244843317</v>
      </c>
      <c r="O324" s="43" t="n">
        <f aca="false">1/(1+$E$324)^O$323</f>
        <v>0.501866279672768</v>
      </c>
      <c r="P324" s="43" t="n">
        <f aca="false">1/(1+$E$324)^P$323</f>
        <v>0.460427779516301</v>
      </c>
      <c r="Q324" s="43" t="n">
        <f aca="false">1/(1+$E$324)^Q$323</f>
        <v>0.422410806895689</v>
      </c>
      <c r="R324" s="43" t="n">
        <f aca="false">1/(1+$E$324)^R$323</f>
        <v>0.387532850363017</v>
      </c>
      <c r="S324" s="43" t="n">
        <f aca="false">1/(1+$E$324)^S$323</f>
        <v>0.355534725103686</v>
      </c>
      <c r="T324" s="43" t="n">
        <f aca="false">1/(1+$E$324)^T$323</f>
        <v>0.326178646884115</v>
      </c>
      <c r="U324" s="43" t="n">
        <f aca="false">1/(1+$E$324)^U$323</f>
        <v>0.299246465031298</v>
      </c>
      <c r="V324" s="43" t="n">
        <f aca="false">1/(1+$E$324)^V$323</f>
        <v>0.274538041313118</v>
      </c>
      <c r="W324" s="43" t="n">
        <f aca="false">1/(1+$E$324)^W$323</f>
        <v>0.251869762672585</v>
      </c>
      <c r="X324" s="43" t="n">
        <f aca="false">1/(1+$E$324)^X$323</f>
        <v>0.231073176763839</v>
      </c>
      <c r="Y324" s="43" t="n">
        <f aca="false">1/(1+$E$324)^Y$323</f>
        <v>0.211993740150311</v>
      </c>
      <c r="Z324" s="43" t="n">
        <f aca="false">1/(1+$E$324)^Z$323</f>
        <v>0.194489669862671</v>
      </c>
      <c r="AA324" s="44" t="n">
        <f aca="false">1/(1+$E$324)^AA$323</f>
        <v>0.178430889782267</v>
      </c>
      <c r="AB324" s="44" t="n">
        <f aca="false">1/(1+$E$324)^AB$323</f>
        <v>0.163698064020428</v>
      </c>
      <c r="AC324" s="44" t="n">
        <f aca="false">1/(1+$E$324)^AC$323</f>
        <v>0.150181710110485</v>
      </c>
      <c r="AD324" s="44" t="n">
        <f aca="false">1/(1+$E$324)^AD$323</f>
        <v>0.137781385422463</v>
      </c>
      <c r="AE324" s="44" t="n">
        <f aca="false">1/(1+$E$324)^AE$323</f>
        <v>0.126404940754553</v>
      </c>
      <c r="AF324" s="44" t="n">
        <f aca="false">1/(1+$E$324)^AF$323</f>
        <v>0.115967835554636</v>
      </c>
      <c r="AG324" s="44" t="n">
        <f aca="false">1/(1+$E$324)^AG$323</f>
        <v>0.106392509683152</v>
      </c>
      <c r="AH324" s="44" t="n">
        <f aca="false">1/(1+$E$324)^AH$323</f>
        <v>0.0976078070487636</v>
      </c>
      <c r="AI324" s="44" t="n">
        <f aca="false">1/(1+$E$324)^AI$323</f>
        <v>0.089548446833728</v>
      </c>
      <c r="AJ324" s="44" t="n">
        <f aca="false">1/(1+$E$324)^AJ$323</f>
        <v>0.082154538379567</v>
      </c>
      <c r="AK324" s="44" t="n">
        <f aca="false">1/(1+$E$324)^AK$323</f>
        <v>0.0753711361280431</v>
      </c>
      <c r="AL324" s="44" t="n">
        <f aca="false">1/(1+$E$324)^AL$323</f>
        <v>0.0691478313101313</v>
      </c>
      <c r="AM324" s="44" t="n">
        <f aca="false">1/(1+$E$324)^AM$323</f>
        <v>0.0634383773487443</v>
      </c>
      <c r="AN324" s="44" t="n">
        <f aca="false">1/(1+$E$324)^AN$323</f>
        <v>0.0582003461915085</v>
      </c>
      <c r="AO324" s="44" t="n">
        <f aca="false">1/(1+$E$324)^AO$323</f>
        <v>0.0533948130197326</v>
      </c>
      <c r="AP324" s="44" t="n">
        <f aca="false">1/(1+$E$324)^AP$323</f>
        <v>0.0489860669905804</v>
      </c>
      <c r="AQ324" s="44" t="n">
        <f aca="false">1/(1+$E$324)^AQ$323</f>
        <v>0.0449413458629178</v>
      </c>
      <c r="AR324" s="206" t="s">
        <v>92</v>
      </c>
    </row>
    <row r="325" customFormat="false" ht="13.5" hidden="false" customHeight="false" outlineLevel="0" collapsed="false">
      <c r="A325" s="192"/>
      <c r="B325" s="3"/>
      <c r="C325" s="3"/>
      <c r="D325" s="3"/>
      <c r="E325" s="45"/>
      <c r="F325" s="45"/>
      <c r="G325" s="45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24"/>
      <c r="AM325" s="24"/>
      <c r="AN325" s="24"/>
      <c r="AO325" s="24"/>
      <c r="AP325" s="24"/>
      <c r="AQ325" s="24"/>
      <c r="AR325" s="206" t="s">
        <v>92</v>
      </c>
    </row>
    <row r="326" customFormat="false" ht="12.75" hidden="false" customHeight="false" outlineLevel="0" collapsed="false">
      <c r="A326" s="192"/>
      <c r="B326" s="26" t="s">
        <v>169</v>
      </c>
      <c r="C326" s="27"/>
      <c r="D326" s="27"/>
      <c r="E326" s="28" t="n">
        <v>0.07</v>
      </c>
      <c r="F326" s="45"/>
      <c r="G326" s="45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24"/>
      <c r="AM326" s="24"/>
      <c r="AN326" s="24"/>
      <c r="AO326" s="24"/>
      <c r="AP326" s="24"/>
      <c r="AQ326" s="24"/>
      <c r="AR326" s="206"/>
    </row>
    <row r="327" customFormat="false" ht="12.75" hidden="false" customHeight="false" outlineLevel="0" collapsed="false">
      <c r="A327" s="192"/>
      <c r="B327" s="33" t="s">
        <v>195</v>
      </c>
      <c r="C327" s="34"/>
      <c r="D327" s="34"/>
      <c r="E327" s="35" t="n">
        <v>0.02</v>
      </c>
      <c r="F327" s="45"/>
      <c r="G327" s="45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06"/>
    </row>
    <row r="328" customFormat="false" ht="13.5" hidden="false" customHeight="false" outlineLevel="0" collapsed="false">
      <c r="A328" s="192"/>
      <c r="B328" s="40" t="s">
        <v>196</v>
      </c>
      <c r="C328" s="41"/>
      <c r="D328" s="41"/>
      <c r="E328" s="42" t="n">
        <f aca="false">SUM(E326:E327)</f>
        <v>0.09</v>
      </c>
      <c r="F328" s="29" t="s">
        <v>16</v>
      </c>
      <c r="G328" s="43" t="n">
        <f aca="false">1/(1+$E$328)^G$323</f>
        <v>1</v>
      </c>
      <c r="H328" s="43" t="n">
        <f aca="false">1/(1+$E$328)^H$323</f>
        <v>0.91743119266055</v>
      </c>
      <c r="I328" s="43" t="n">
        <f aca="false">1/(1+$E$328)^I$323</f>
        <v>0.84167999326656</v>
      </c>
      <c r="J328" s="43" t="n">
        <f aca="false">1/(1+$E$328)^J$323</f>
        <v>0.772183480061064</v>
      </c>
      <c r="K328" s="43" t="n">
        <f aca="false">1/(1+$E$328)^K$323</f>
        <v>0.708425211065196</v>
      </c>
      <c r="L328" s="43" t="n">
        <f aca="false">1/(1+$E$328)^L$323</f>
        <v>0.649931386298345</v>
      </c>
      <c r="M328" s="43" t="n">
        <f aca="false">1/(1+$E$328)^M$323</f>
        <v>0.596267326879216</v>
      </c>
      <c r="N328" s="43" t="n">
        <f aca="false">1/(1+$E$328)^N$323</f>
        <v>0.547034244843317</v>
      </c>
      <c r="O328" s="43" t="n">
        <f aca="false">1/(1+$E$328)^O$323</f>
        <v>0.501866279672768</v>
      </c>
      <c r="P328" s="43" t="n">
        <f aca="false">1/(1+$E$328)^P$323</f>
        <v>0.460427779516301</v>
      </c>
      <c r="Q328" s="43" t="n">
        <f aca="false">1/(1+$E$328)^Q$323</f>
        <v>0.422410806895689</v>
      </c>
      <c r="R328" s="43" t="n">
        <f aca="false">1/(1+$E$328)^R$323</f>
        <v>0.387532850363017</v>
      </c>
      <c r="S328" s="43" t="n">
        <f aca="false">1/(1+$E$328)^S$323</f>
        <v>0.355534725103686</v>
      </c>
      <c r="T328" s="43" t="n">
        <f aca="false">1/(1+$E$328)^T$323</f>
        <v>0.326178646884115</v>
      </c>
      <c r="U328" s="43" t="n">
        <f aca="false">1/(1+$E$328)^U$323</f>
        <v>0.299246465031298</v>
      </c>
      <c r="V328" s="43" t="n">
        <f aca="false">1/(1+$E$328)^V$323</f>
        <v>0.274538041313118</v>
      </c>
      <c r="W328" s="43" t="n">
        <f aca="false">1/(1+$E$328)^W$323</f>
        <v>0.251869762672585</v>
      </c>
      <c r="X328" s="43" t="n">
        <f aca="false">1/(1+$E$328)^X$323</f>
        <v>0.231073176763839</v>
      </c>
      <c r="Y328" s="43" t="n">
        <f aca="false">1/(1+$E$328)^Y$323</f>
        <v>0.211993740150311</v>
      </c>
      <c r="Z328" s="43" t="n">
        <f aca="false">1/(1+$E$328)^Z$323</f>
        <v>0.194489669862671</v>
      </c>
      <c r="AA328" s="44" t="n">
        <f aca="false">1/(1+$E$328)^AA$323</f>
        <v>0.178430889782267</v>
      </c>
      <c r="AB328" s="44" t="n">
        <f aca="false">1/(1+$E$328)^AB$323</f>
        <v>0.163698064020428</v>
      </c>
      <c r="AC328" s="44" t="n">
        <f aca="false">1/(1+$E$328)^AC$323</f>
        <v>0.150181710110485</v>
      </c>
      <c r="AD328" s="44" t="n">
        <f aca="false">1/(1+$E$328)^AD$323</f>
        <v>0.137781385422463</v>
      </c>
      <c r="AE328" s="44" t="n">
        <f aca="false">1/(1+$E$328)^AE$323</f>
        <v>0.126404940754553</v>
      </c>
      <c r="AF328" s="44" t="n">
        <f aca="false">1/(1+$E$328)^AF$323</f>
        <v>0.115967835554636</v>
      </c>
      <c r="AG328" s="44" t="n">
        <f aca="false">1/(1+$E$328)^AG$323</f>
        <v>0.106392509683152</v>
      </c>
      <c r="AH328" s="44" t="n">
        <f aca="false">1/(1+$E$328)^AH$323</f>
        <v>0.0976078070487636</v>
      </c>
      <c r="AI328" s="44" t="n">
        <f aca="false">1/(1+$E$328)^AI$323</f>
        <v>0.089548446833728</v>
      </c>
      <c r="AJ328" s="44" t="n">
        <f aca="false">1/(1+$E$328)^AJ$323</f>
        <v>0.082154538379567</v>
      </c>
      <c r="AK328" s="44" t="n">
        <f aca="false">1/(1+$E$328)^AK$323</f>
        <v>0.0753711361280431</v>
      </c>
      <c r="AL328" s="44" t="n">
        <f aca="false">1/(1+$E$328)^AL$323</f>
        <v>0.0691478313101313</v>
      </c>
      <c r="AM328" s="44" t="n">
        <f aca="false">1/(1+$E$328)^AM$323</f>
        <v>0.0634383773487443</v>
      </c>
      <c r="AN328" s="44" t="n">
        <f aca="false">1/(1+$E$328)^AN$323</f>
        <v>0.0582003461915085</v>
      </c>
      <c r="AO328" s="44" t="n">
        <f aca="false">1/(1+$E$328)^AO$323</f>
        <v>0.0533948130197326</v>
      </c>
      <c r="AP328" s="44" t="n">
        <f aca="false">1/(1+$E$328)^AP$323</f>
        <v>0.0489860669905804</v>
      </c>
      <c r="AQ328" s="44" t="n">
        <f aca="false">1/(1+$E$328)^AQ$323</f>
        <v>0.0449413458629178</v>
      </c>
      <c r="AR328" s="206"/>
    </row>
    <row r="329" customFormat="false" ht="12.75" hidden="false" customHeight="false" outlineLevel="0" collapsed="false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5"/>
    </row>
    <row r="330" customFormat="false" ht="12.75" hidden="false" customHeight="false" outlineLevel="0" collapsed="false">
      <c r="A330" s="48" t="s">
        <v>197</v>
      </c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5"/>
    </row>
    <row r="331" customFormat="false" ht="12.75" hidden="false" customHeight="false" outlineLevel="0" collapsed="false">
      <c r="A331" s="192"/>
      <c r="B331" s="48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24"/>
      <c r="AM331" s="24"/>
      <c r="AN331" s="24"/>
      <c r="AO331" s="24"/>
      <c r="AP331" s="24"/>
      <c r="AQ331" s="24"/>
      <c r="AR331" s="25"/>
    </row>
    <row r="332" customFormat="false" ht="12.75" hidden="false" customHeight="false" outlineLevel="0" collapsed="false">
      <c r="A332" s="192"/>
      <c r="B332" s="48" t="s">
        <v>198</v>
      </c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24"/>
      <c r="AM332" s="24"/>
      <c r="AN332" s="24"/>
      <c r="AO332" s="24"/>
      <c r="AP332" s="24"/>
      <c r="AQ332" s="24"/>
      <c r="AR332" s="25"/>
    </row>
    <row r="333" customFormat="false" ht="12.75" hidden="false" customHeight="false" outlineLevel="0" collapsed="false">
      <c r="A333" s="192"/>
      <c r="B333" s="2" t="s">
        <v>21</v>
      </c>
      <c r="C333" s="3"/>
      <c r="D333" s="3"/>
      <c r="E333" s="3"/>
      <c r="F333" s="3"/>
      <c r="G333" s="14" t="s">
        <v>22</v>
      </c>
      <c r="H333" s="49" t="n">
        <v>258000</v>
      </c>
      <c r="I333" s="114" t="n">
        <f aca="false">+H333</f>
        <v>258000</v>
      </c>
      <c r="J333" s="114" t="n">
        <f aca="false">+I333</f>
        <v>258000</v>
      </c>
      <c r="K333" s="114" t="n">
        <f aca="false">+J333</f>
        <v>258000</v>
      </c>
      <c r="L333" s="114" t="n">
        <f aca="false">+K333</f>
        <v>258000</v>
      </c>
      <c r="M333" s="114" t="n">
        <f aca="false">+L333</f>
        <v>258000</v>
      </c>
      <c r="N333" s="114" t="n">
        <f aca="false">+M333</f>
        <v>258000</v>
      </c>
      <c r="O333" s="114" t="n">
        <f aca="false">+N333</f>
        <v>258000</v>
      </c>
      <c r="P333" s="114" t="n">
        <f aca="false">+O333</f>
        <v>258000</v>
      </c>
      <c r="Q333" s="114" t="n">
        <f aca="false">+P333</f>
        <v>258000</v>
      </c>
      <c r="R333" s="114" t="n">
        <f aca="false">+Q333</f>
        <v>258000</v>
      </c>
      <c r="S333" s="114" t="n">
        <f aca="false">+R333</f>
        <v>258000</v>
      </c>
      <c r="T333" s="114" t="n">
        <f aca="false">+S333</f>
        <v>258000</v>
      </c>
      <c r="U333" s="114" t="n">
        <f aca="false">+T333</f>
        <v>258000</v>
      </c>
      <c r="V333" s="114" t="n">
        <f aca="false">+U333</f>
        <v>258000</v>
      </c>
      <c r="W333" s="114" t="n">
        <f aca="false">+V333</f>
        <v>258000</v>
      </c>
      <c r="X333" s="114" t="n">
        <f aca="false">+W333</f>
        <v>258000</v>
      </c>
      <c r="Y333" s="114" t="n">
        <f aca="false">+X333</f>
        <v>258000</v>
      </c>
      <c r="Z333" s="114" t="n">
        <f aca="false">+Y333</f>
        <v>258000</v>
      </c>
      <c r="AA333" s="115" t="n">
        <f aca="false">+Z333</f>
        <v>258000</v>
      </c>
      <c r="AB333" s="115" t="n">
        <f aca="false">+AA333</f>
        <v>258000</v>
      </c>
      <c r="AC333" s="115" t="n">
        <f aca="false">+AB333</f>
        <v>258000</v>
      </c>
      <c r="AD333" s="115" t="n">
        <f aca="false">+AC333</f>
        <v>258000</v>
      </c>
      <c r="AE333" s="115" t="n">
        <f aca="false">+AD333</f>
        <v>258000</v>
      </c>
      <c r="AF333" s="115" t="n">
        <f aca="false">+AE333</f>
        <v>258000</v>
      </c>
      <c r="AG333" s="115" t="n">
        <f aca="false">+AF333</f>
        <v>258000</v>
      </c>
      <c r="AH333" s="115" t="n">
        <f aca="false">+AG333</f>
        <v>258000</v>
      </c>
      <c r="AI333" s="115" t="n">
        <f aca="false">+AH333</f>
        <v>258000</v>
      </c>
      <c r="AJ333" s="115" t="n">
        <f aca="false">+AI333</f>
        <v>258000</v>
      </c>
      <c r="AK333" s="115" t="n">
        <f aca="false">+AJ333</f>
        <v>258000</v>
      </c>
      <c r="AL333" s="115" t="n">
        <f aca="false">+AK333</f>
        <v>258000</v>
      </c>
      <c r="AM333" s="115" t="n">
        <f aca="false">+AL333</f>
        <v>258000</v>
      </c>
      <c r="AN333" s="115" t="n">
        <f aca="false">+AM333</f>
        <v>258000</v>
      </c>
      <c r="AO333" s="115" t="n">
        <f aca="false">+AN333</f>
        <v>258000</v>
      </c>
      <c r="AP333" s="115" t="n">
        <f aca="false">+AO333</f>
        <v>258000</v>
      </c>
      <c r="AQ333" s="115" t="n">
        <f aca="false">+AP333</f>
        <v>258000</v>
      </c>
      <c r="AR333" s="25"/>
    </row>
    <row r="334" customFormat="false" ht="13.5" hidden="false" customHeight="false" outlineLevel="0" collapsed="false">
      <c r="A334" s="192"/>
      <c r="B334" s="2" t="s">
        <v>43</v>
      </c>
      <c r="C334" s="3"/>
      <c r="D334" s="3"/>
      <c r="E334" s="98" t="s">
        <v>199</v>
      </c>
      <c r="F334" s="207" t="n">
        <v>-0.0144889002215023</v>
      </c>
      <c r="G334" s="3" t="s">
        <v>200</v>
      </c>
      <c r="H334" s="208" t="n">
        <v>13.6367833713906</v>
      </c>
      <c r="I334" s="209" t="n">
        <f aca="false">+H334*(1+$F$334)</f>
        <v>13.4392013777803</v>
      </c>
      <c r="J334" s="209" t="n">
        <f aca="false">+I334*(1+$F$334)</f>
        <v>13.2444821299609</v>
      </c>
      <c r="K334" s="209" t="n">
        <f aca="false">+J334*(1+$F$334)</f>
        <v>13.0525841498945</v>
      </c>
      <c r="L334" s="209" t="n">
        <f aca="false">+K334*(1+$F$334)</f>
        <v>12.8634665605139</v>
      </c>
      <c r="M334" s="209" t="n">
        <f aca="false">+L334*(1+$F$334)</f>
        <v>12.677089077016</v>
      </c>
      <c r="N334" s="209" t="n">
        <f aca="false">+M334*(1+$F$334)</f>
        <v>12.49341199828</v>
      </c>
      <c r="O334" s="209" t="n">
        <f aca="false">+N334*(1+$F$334)</f>
        <v>12.3123961984108</v>
      </c>
      <c r="P334" s="209" t="n">
        <f aca="false">+O334*(1+$F$334)</f>
        <v>12.1340031184044</v>
      </c>
      <c r="Q334" s="209" t="n">
        <f aca="false">+P334*(1+$F$334)</f>
        <v>11.9581947579344</v>
      </c>
      <c r="R334" s="209" t="n">
        <f aca="false">+Q334*(1+$F$334)</f>
        <v>11.7849336672574</v>
      </c>
      <c r="S334" s="209" t="n">
        <f aca="false">+R334*(1+$F$334)</f>
        <v>11.6141829392355</v>
      </c>
      <c r="T334" s="209" t="n">
        <f aca="false">+S334*(1+$F$334)</f>
        <v>11.4459062014747</v>
      </c>
      <c r="U334" s="209" t="n">
        <f aca="false">+T334*(1+$F$334)</f>
        <v>11.2800676085768</v>
      </c>
      <c r="V334" s="209" t="n">
        <f aca="false">+U334*(1+$F$334)</f>
        <v>11.1166318345044</v>
      </c>
      <c r="W334" s="209" t="n">
        <f aca="false">+V334*(1+$F$334)</f>
        <v>10.955564065055</v>
      </c>
      <c r="X334" s="209" t="n">
        <f aca="false">+W334*(1+$F$334)</f>
        <v>10.7968299904462</v>
      </c>
      <c r="Y334" s="209" t="n">
        <f aca="false">+X334*(1+$F$334)</f>
        <v>10.6403957980061</v>
      </c>
      <c r="Z334" s="209" t="n">
        <f aca="false">+Y334*(1+$F$334)</f>
        <v>10.4862281649715</v>
      </c>
      <c r="AA334" s="210" t="n">
        <f aca="false">+Z334*(1+$F$334)</f>
        <v>10.3342942513893</v>
      </c>
      <c r="AB334" s="210" t="n">
        <f aca="false">+AA334*(1+$F$334)</f>
        <v>10.1845616931213</v>
      </c>
      <c r="AC334" s="210" t="n">
        <f aca="false">+AB334*(1+$F$334)</f>
        <v>10.0369985949499</v>
      </c>
      <c r="AD334" s="210" t="n">
        <f aca="false">+AC334*(1+$F$334)</f>
        <v>9.89157352378432</v>
      </c>
      <c r="AE334" s="210" t="n">
        <f aca="false">+AD334*(1+$F$334)</f>
        <v>9.74825550196456</v>
      </c>
      <c r="AF334" s="210" t="n">
        <f aca="false">+AE334*(1+$F$334)</f>
        <v>9.60701400066288</v>
      </c>
      <c r="AG334" s="210" t="n">
        <f aca="false">+AF334*(1+$F$334)</f>
        <v>9.4678189333807</v>
      </c>
      <c r="AH334" s="210" t="n">
        <f aca="false">+AG334*(1+$F$334)</f>
        <v>9.3306406495397</v>
      </c>
      <c r="AI334" s="210" t="n">
        <f aca="false">+AH334*(1+$F$334)</f>
        <v>9.19544992816583</v>
      </c>
      <c r="AJ334" s="210" t="n">
        <f aca="false">+AI334*(1+$F$334)</f>
        <v>9.06221797166481</v>
      </c>
      <c r="AK334" s="210" t="n">
        <f aca="false">+AJ334*(1+$F$334)</f>
        <v>8.93091639968785</v>
      </c>
      <c r="AL334" s="210" t="n">
        <f aca="false">+AK334*(1+$F$334)</f>
        <v>8.8015172430862</v>
      </c>
      <c r="AM334" s="210" t="n">
        <f aca="false">+AL334*(1+$F$334)</f>
        <v>8.67399293795329</v>
      </c>
      <c r="AN334" s="210" t="n">
        <f aca="false">+AM334*(1+$F$334)</f>
        <v>8.54831631975327</v>
      </c>
      <c r="AO334" s="210" t="n">
        <f aca="false">+AN334*(1+$F$334)</f>
        <v>8.42446061753453</v>
      </c>
      <c r="AP334" s="210" t="n">
        <f aca="false">+AO334*(1+$F$334)</f>
        <v>8.30239944822709</v>
      </c>
      <c r="AQ334" s="210" t="n">
        <f aca="false">+AP334*(1+$F$334)</f>
        <v>8.18210681102267</v>
      </c>
      <c r="AR334" s="25"/>
    </row>
    <row r="335" customFormat="false" ht="12.75" hidden="false" customHeight="false" outlineLevel="0" collapsed="false">
      <c r="A335" s="192"/>
      <c r="B335" s="2" t="s">
        <v>42</v>
      </c>
      <c r="C335" s="3"/>
      <c r="D335" s="3"/>
      <c r="E335" s="98"/>
      <c r="F335" s="3"/>
      <c r="G335" s="3"/>
      <c r="H335" s="211" t="n">
        <f aca="false">+H333*H334*12/1000</f>
        <v>42219.4813178252</v>
      </c>
      <c r="I335" s="211" t="n">
        <f aca="false">+I333*I334*12/1000</f>
        <v>41607.7674656077</v>
      </c>
      <c r="J335" s="211" t="n">
        <f aca="false">+J333*J334*12/1000</f>
        <v>41004.916674359</v>
      </c>
      <c r="K335" s="211" t="n">
        <f aca="false">+K333*K334*12/1000</f>
        <v>40410.8005280732</v>
      </c>
      <c r="L335" s="211" t="n">
        <f aca="false">+L333*L334*12/1000</f>
        <v>39825.292471351</v>
      </c>
      <c r="M335" s="211" t="n">
        <f aca="false">+M333*M334*12/1000</f>
        <v>39248.2677824414</v>
      </c>
      <c r="N335" s="211" t="n">
        <f aca="false">+N333*N334*12/1000</f>
        <v>38679.6035466748</v>
      </c>
      <c r="O335" s="211" t="n">
        <f aca="false">+O333*O334*12/1000</f>
        <v>38119.1786302798</v>
      </c>
      <c r="P335" s="211" t="n">
        <f aca="false">+P333*P334*12/1000</f>
        <v>37566.87365458</v>
      </c>
      <c r="Q335" s="211" t="n">
        <f aca="false">+Q333*Q334*12/1000</f>
        <v>37022.570970565</v>
      </c>
      <c r="R335" s="211" t="n">
        <f aca="false">+R333*R334*12/1000</f>
        <v>36486.154633829</v>
      </c>
      <c r="S335" s="211" t="n">
        <f aca="false">+S333*S334*12/1000</f>
        <v>35957.5103798732</v>
      </c>
      <c r="T335" s="211" t="n">
        <f aca="false">+T333*T334*12/1000</f>
        <v>35436.5255997656</v>
      </c>
      <c r="U335" s="211" t="n">
        <f aca="false">+U333*U334*12/1000</f>
        <v>34923.0893161538</v>
      </c>
      <c r="V335" s="211" t="n">
        <f aca="false">+V333*V334*12/1000</f>
        <v>34417.0921596255</v>
      </c>
      <c r="W335" s="211" t="n">
        <f aca="false">+W333*W334*12/1000</f>
        <v>33918.4263454104</v>
      </c>
      <c r="X335" s="211" t="n">
        <f aca="false">+X333*X334*12/1000</f>
        <v>33426.9856504214</v>
      </c>
      <c r="Y335" s="211" t="n">
        <f aca="false">+Y333*Y334*12/1000</f>
        <v>32942.6653906268</v>
      </c>
      <c r="Z335" s="211" t="n">
        <f aca="false">+Z333*Z334*12/1000</f>
        <v>32465.3623987517</v>
      </c>
      <c r="AA335" s="198" t="n">
        <f aca="false">+AA333*AA334*12/1000</f>
        <v>31994.9750023013</v>
      </c>
      <c r="AB335" s="198" t="n">
        <f aca="false">+AB333*AB334*12/1000</f>
        <v>31531.4030019035</v>
      </c>
      <c r="AC335" s="198" t="n">
        <f aca="false">+AC333*AC334*12/1000</f>
        <v>31074.5476499649</v>
      </c>
      <c r="AD335" s="198" t="n">
        <f aca="false">+AD333*AD334*12/1000</f>
        <v>30624.3116296363</v>
      </c>
      <c r="AE335" s="198" t="n">
        <f aca="false">+AE333*AE334*12/1000</f>
        <v>30180.5990340823</v>
      </c>
      <c r="AF335" s="198" t="n">
        <f aca="false">+AF333*AF334*12/1000</f>
        <v>29743.3153460523</v>
      </c>
      <c r="AG335" s="198" t="n">
        <f aca="false">+AG333*AG334*12/1000</f>
        <v>29312.3674177467</v>
      </c>
      <c r="AH335" s="198" t="n">
        <f aca="false">+AH333*AH334*12/1000</f>
        <v>28887.6634509749</v>
      </c>
      <c r="AI335" s="198" t="n">
        <f aca="false">+AI333*AI334*12/1000</f>
        <v>28469.1129776014</v>
      </c>
      <c r="AJ335" s="198" t="n">
        <f aca="false">+AJ333*AJ334*12/1000</f>
        <v>28056.6268402743</v>
      </c>
      <c r="AK335" s="198" t="n">
        <f aca="false">+AK333*AK334*12/1000</f>
        <v>27650.1171734336</v>
      </c>
      <c r="AL335" s="198" t="n">
        <f aca="false">+AL333*AL334*12/1000</f>
        <v>27249.4973845949</v>
      </c>
      <c r="AM335" s="198" t="n">
        <f aca="false">+AM333*AM334*12/1000</f>
        <v>26854.6821359034</v>
      </c>
      <c r="AN335" s="198" t="n">
        <f aca="false">+AN333*AN334*12/1000</f>
        <v>26465.5873259561</v>
      </c>
      <c r="AO335" s="198" t="n">
        <f aca="false">+AO333*AO334*12/1000</f>
        <v>26082.1300718869</v>
      </c>
      <c r="AP335" s="198" t="n">
        <f aca="false">+AP333*AP334*12/1000</f>
        <v>25704.2286917111</v>
      </c>
      <c r="AQ335" s="198" t="n">
        <f aca="false">+AQ333*AQ334*12/1000</f>
        <v>25331.8026869262</v>
      </c>
      <c r="AR335" s="25"/>
    </row>
    <row r="336" customFormat="false" ht="13.5" hidden="false" customHeight="false" outlineLevel="0" collapsed="false">
      <c r="A336" s="192"/>
      <c r="B336" s="212" t="str">
        <f aca="false">+B167</f>
        <v>Operating Costs - Other Than Fuel</v>
      </c>
      <c r="C336" s="3"/>
      <c r="D336" s="3"/>
      <c r="E336" s="3"/>
      <c r="F336" s="3"/>
      <c r="G336" s="3"/>
      <c r="H336" s="166" t="n">
        <f aca="false">-H167</f>
        <v>-13717.1060308749</v>
      </c>
      <c r="I336" s="166" t="n">
        <f aca="false">-I167</f>
        <v>-8892.97984060327</v>
      </c>
      <c r="J336" s="166" t="n">
        <f aca="false">-J167</f>
        <v>-8132.03607346756</v>
      </c>
      <c r="K336" s="166" t="n">
        <f aca="false">-K167</f>
        <v>-11642.4696009899</v>
      </c>
      <c r="L336" s="166" t="n">
        <f aca="false">-L167</f>
        <v>-8626.53862422952</v>
      </c>
      <c r="M336" s="166" t="n">
        <f aca="false">-M167</f>
        <v>-10027.4590494222</v>
      </c>
      <c r="N336" s="166" t="n">
        <f aca="false">-N167</f>
        <v>-19421.2933417992</v>
      </c>
      <c r="O336" s="166" t="n">
        <f aca="false">-O167</f>
        <v>-11127.6043954815</v>
      </c>
      <c r="P336" s="166" t="n">
        <f aca="false">-P167</f>
        <v>-10175.6033788493</v>
      </c>
      <c r="Q336" s="166" t="n">
        <f aca="false">-Q167</f>
        <v>-18491.8105786882</v>
      </c>
      <c r="R336" s="166" t="n">
        <f aca="false">-R167</f>
        <v>-11837.2498791268</v>
      </c>
      <c r="S336" s="166" t="n">
        <f aca="false">-S167</f>
        <v>-12356.1835392745</v>
      </c>
      <c r="T336" s="166" t="n">
        <f aca="false">-T167</f>
        <v>-18942.8002301355</v>
      </c>
      <c r="U336" s="166" t="n">
        <f aca="false">-U167</f>
        <v>-12621.7543300705</v>
      </c>
      <c r="V336" s="166" t="n">
        <f aca="false">-V167</f>
        <v>-11591.1087760063</v>
      </c>
      <c r="W336" s="166" t="n">
        <f aca="false">-W167</f>
        <v>-15070.5307639657</v>
      </c>
      <c r="X336" s="166" t="n">
        <f aca="false">-X167</f>
        <v>-12171.5383434472</v>
      </c>
      <c r="Y336" s="166" t="n">
        <f aca="false">-Y167</f>
        <v>-12408.3276552681</v>
      </c>
      <c r="Z336" s="166" t="n">
        <f aca="false">-Z167</f>
        <v>-20010.2190597105</v>
      </c>
      <c r="AA336" s="139" t="n">
        <f aca="false">-AA167</f>
        <v>-12965.7977560653</v>
      </c>
      <c r="AB336" s="139" t="n">
        <f aca="false">-AB167</f>
        <v>-11907.0588943567</v>
      </c>
      <c r="AC336" s="139" t="n">
        <f aca="false">-AC167</f>
        <v>-15481.3228694056</v>
      </c>
      <c r="AD336" s="139" t="n">
        <f aca="false">-AD167</f>
        <v>-12503.3097946892</v>
      </c>
      <c r="AE336" s="139" t="n">
        <f aca="false">-AE167</f>
        <v>-12746.5535029392</v>
      </c>
      <c r="AF336" s="139" t="n">
        <f aca="false">-AF167</f>
        <v>-20555.6570503555</v>
      </c>
      <c r="AG336" s="139" t="n">
        <f aca="false">-AG167</f>
        <v>-13319.2191081293</v>
      </c>
      <c r="AH336" s="139" t="n">
        <f aca="false">-AH167</f>
        <v>-12231.6211721834</v>
      </c>
      <c r="AI336" s="139" t="n">
        <f aca="false">-AI167</f>
        <v>-15903.3123345493</v>
      </c>
      <c r="AJ336" s="139" t="n">
        <f aca="false">-AJ167</f>
        <v>-12844.1246628562</v>
      </c>
      <c r="AK336" s="139" t="n">
        <f aca="false">-AK167</f>
        <v>-13093.9987012925</v>
      </c>
      <c r="AL336" s="139" t="n">
        <f aca="false">-AL167</f>
        <v>-21115.962574472</v>
      </c>
      <c r="AM336" s="139" t="n">
        <f aca="false">-AM167</f>
        <v>-13682.2740095085</v>
      </c>
      <c r="AN336" s="139" t="n">
        <f aca="false">-AN167</f>
        <v>-12565.0303594882</v>
      </c>
      <c r="AO336" s="139" t="n">
        <f aca="false">-AO167</f>
        <v>-16336.804376714</v>
      </c>
      <c r="AP336" s="139" t="n">
        <f aca="false">-AP167</f>
        <v>-13194.2294531535</v>
      </c>
      <c r="AQ336" s="139" t="n">
        <f aca="false">-AQ167</f>
        <v>-13450.9145511305</v>
      </c>
      <c r="AR336" s="206" t="s">
        <v>92</v>
      </c>
    </row>
    <row r="337" customFormat="false" ht="13.5" hidden="false" customHeight="false" outlineLevel="0" collapsed="false">
      <c r="A337" s="192"/>
      <c r="B337" s="2" t="s">
        <v>201</v>
      </c>
      <c r="C337" s="3"/>
      <c r="D337" s="3"/>
      <c r="E337" s="3"/>
      <c r="F337" s="3"/>
      <c r="G337" s="3"/>
      <c r="H337" s="213" t="n">
        <f aca="false">SUM(H335:H336)</f>
        <v>28502.3752869503</v>
      </c>
      <c r="I337" s="214" t="n">
        <f aca="false">SUM(I335:I336)</f>
        <v>32714.7876250044</v>
      </c>
      <c r="J337" s="214" t="n">
        <f aca="false">SUM(J335:J336)</f>
        <v>32872.8806008915</v>
      </c>
      <c r="K337" s="214" t="n">
        <f aca="false">SUM(K335:K336)</f>
        <v>28768.3309270833</v>
      </c>
      <c r="L337" s="214" t="n">
        <f aca="false">SUM(L335:L336)</f>
        <v>31198.7538471214</v>
      </c>
      <c r="M337" s="214" t="n">
        <f aca="false">SUM(M335:M336)</f>
        <v>29220.8087330192</v>
      </c>
      <c r="N337" s="214" t="n">
        <f aca="false">SUM(N335:N336)</f>
        <v>19258.3102048756</v>
      </c>
      <c r="O337" s="214" t="n">
        <f aca="false">SUM(O335:O336)</f>
        <v>26991.5742347982</v>
      </c>
      <c r="P337" s="214" t="n">
        <f aca="false">SUM(P335:P336)</f>
        <v>27391.2702757307</v>
      </c>
      <c r="Q337" s="214" t="n">
        <f aca="false">SUM(Q335:Q336)</f>
        <v>18530.7603918768</v>
      </c>
      <c r="R337" s="214" t="n">
        <f aca="false">SUM(R335:R336)</f>
        <v>24648.9047547022</v>
      </c>
      <c r="S337" s="214" t="n">
        <f aca="false">SUM(S335:S336)</f>
        <v>23601.3268405986</v>
      </c>
      <c r="T337" s="214" t="n">
        <f aca="false">SUM(T335:T336)</f>
        <v>16493.72536963</v>
      </c>
      <c r="U337" s="214" t="n">
        <f aca="false">SUM(U335:U336)</f>
        <v>22301.3349860833</v>
      </c>
      <c r="V337" s="214" t="n">
        <f aca="false">SUM(V335:V336)</f>
        <v>22825.9833836192</v>
      </c>
      <c r="W337" s="214" t="n">
        <f aca="false">SUM(W335:W336)</f>
        <v>18847.8955814448</v>
      </c>
      <c r="X337" s="214" t="n">
        <f aca="false">SUM(X335:X336)</f>
        <v>21255.4473069742</v>
      </c>
      <c r="Y337" s="214" t="n">
        <f aca="false">SUM(Y335:Y336)</f>
        <v>20534.3377353587</v>
      </c>
      <c r="Z337" s="214" t="n">
        <f aca="false">SUM(Z335:Z336)</f>
        <v>12455.1433390413</v>
      </c>
      <c r="AA337" s="215" t="n">
        <f aca="false">SUM(AA335:AA336)</f>
        <v>19029.177246236</v>
      </c>
      <c r="AB337" s="215" t="n">
        <f aca="false">SUM(AB335:AB336)</f>
        <v>19624.3441075467</v>
      </c>
      <c r="AC337" s="215" t="n">
        <f aca="false">SUM(AC335:AC336)</f>
        <v>15593.2247805594</v>
      </c>
      <c r="AD337" s="215" t="n">
        <f aca="false">SUM(AD335:AD336)</f>
        <v>18121.0018349471</v>
      </c>
      <c r="AE337" s="215" t="n">
        <f aca="false">SUM(AE335:AE336)</f>
        <v>17434.0455311431</v>
      </c>
      <c r="AF337" s="215" t="n">
        <f aca="false">SUM(AF335:AF336)</f>
        <v>9187.65829569675</v>
      </c>
      <c r="AG337" s="215" t="n">
        <f aca="false">SUM(AG335:AG336)</f>
        <v>15993.1483096174</v>
      </c>
      <c r="AH337" s="215" t="n">
        <f aca="false">SUM(AH335:AH336)</f>
        <v>16656.0422787915</v>
      </c>
      <c r="AI337" s="215" t="n">
        <f aca="false">SUM(AI335:AI336)</f>
        <v>12565.8006430521</v>
      </c>
      <c r="AJ337" s="215" t="n">
        <f aca="false">SUM(AJ335:AJ336)</f>
        <v>15212.5021774181</v>
      </c>
      <c r="AK337" s="215" t="n">
        <f aca="false">SUM(AK335:AK336)</f>
        <v>14556.1184721411</v>
      </c>
      <c r="AL337" s="215" t="n">
        <f aca="false">SUM(AL335:AL336)</f>
        <v>6133.53481012292</v>
      </c>
      <c r="AM337" s="215" t="n">
        <f aca="false">SUM(AM335:AM336)</f>
        <v>13172.4081263949</v>
      </c>
      <c r="AN337" s="215" t="n">
        <f aca="false">SUM(AN335:AN336)</f>
        <v>13900.556966468</v>
      </c>
      <c r="AO337" s="215" t="n">
        <f aca="false">SUM(AO335:AO336)</f>
        <v>9745.32569517284</v>
      </c>
      <c r="AP337" s="215" t="n">
        <f aca="false">SUM(AP335:AP336)</f>
        <v>12509.9992385576</v>
      </c>
      <c r="AQ337" s="215" t="n">
        <f aca="false">SUM(AQ335:AQ336)</f>
        <v>11880.8881357957</v>
      </c>
      <c r="AR337" s="206" t="s">
        <v>92</v>
      </c>
    </row>
    <row r="338" customFormat="false" ht="13.5" hidden="false" customHeight="false" outlineLevel="0" collapsed="false">
      <c r="A338" s="192"/>
      <c r="B338" s="48" t="s">
        <v>135</v>
      </c>
      <c r="C338" s="46"/>
      <c r="D338" s="216" t="n">
        <f aca="false">+E324*100</f>
        <v>9</v>
      </c>
      <c r="E338" s="3"/>
      <c r="F338" s="3"/>
      <c r="G338" s="217" t="n">
        <f aca="false">SUMPRODUCT(H324:AQ324,H337:AQ337)</f>
        <v>259618.071549972</v>
      </c>
      <c r="H338" s="143"/>
      <c r="I338" s="143"/>
      <c r="J338" s="143"/>
      <c r="K338" s="143"/>
      <c r="L338" s="143"/>
      <c r="M338" s="143"/>
      <c r="N338" s="143"/>
      <c r="O338" s="143"/>
      <c r="P338" s="143"/>
      <c r="Q338" s="143"/>
      <c r="R338" s="143"/>
      <c r="S338" s="143"/>
      <c r="T338" s="143"/>
      <c r="U338" s="143"/>
      <c r="V338" s="143"/>
      <c r="W338" s="143"/>
      <c r="X338" s="143"/>
      <c r="Y338" s="143"/>
      <c r="Z338" s="143"/>
      <c r="AA338" s="148"/>
      <c r="AB338" s="148"/>
      <c r="AC338" s="148"/>
      <c r="AD338" s="148"/>
      <c r="AE338" s="148"/>
      <c r="AF338" s="148"/>
      <c r="AG338" s="148"/>
      <c r="AH338" s="148"/>
      <c r="AI338" s="148"/>
      <c r="AJ338" s="148"/>
      <c r="AK338" s="148"/>
      <c r="AL338" s="24"/>
      <c r="AM338" s="24"/>
      <c r="AN338" s="24"/>
      <c r="AO338" s="24"/>
      <c r="AP338" s="24"/>
      <c r="AQ338" s="24"/>
      <c r="AR338" s="206" t="s">
        <v>92</v>
      </c>
    </row>
    <row r="339" customFormat="false" ht="13.5" hidden="false" customHeight="false" outlineLevel="0" collapsed="false">
      <c r="A339" s="192"/>
      <c r="B339" s="48"/>
      <c r="C339" s="46"/>
      <c r="D339" s="216"/>
      <c r="E339" s="3"/>
      <c r="F339" s="3"/>
      <c r="G339" s="3"/>
      <c r="H339" s="143"/>
      <c r="I339" s="143"/>
      <c r="J339" s="143"/>
      <c r="K339" s="143"/>
      <c r="L339" s="143"/>
      <c r="M339" s="143"/>
      <c r="N339" s="143"/>
      <c r="O339" s="143"/>
      <c r="P339" s="143"/>
      <c r="Q339" s="143"/>
      <c r="R339" s="143"/>
      <c r="S339" s="143"/>
      <c r="T339" s="143"/>
      <c r="U339" s="143"/>
      <c r="V339" s="143"/>
      <c r="W339" s="143"/>
      <c r="X339" s="143"/>
      <c r="Y339" s="143"/>
      <c r="Z339" s="143"/>
      <c r="AA339" s="148"/>
      <c r="AB339" s="148"/>
      <c r="AC339" s="148"/>
      <c r="AD339" s="148"/>
      <c r="AE339" s="148"/>
      <c r="AF339" s="148"/>
      <c r="AG339" s="148"/>
      <c r="AH339" s="148"/>
      <c r="AI339" s="148"/>
      <c r="AJ339" s="148"/>
      <c r="AK339" s="148"/>
      <c r="AL339" s="24"/>
      <c r="AM339" s="24"/>
      <c r="AN339" s="24"/>
      <c r="AO339" s="24"/>
      <c r="AP339" s="24"/>
      <c r="AQ339" s="24"/>
      <c r="AR339" s="206" t="s">
        <v>92</v>
      </c>
    </row>
    <row r="340" customFormat="false" ht="13.5" hidden="false" customHeight="false" outlineLevel="0" collapsed="false">
      <c r="A340" s="192"/>
      <c r="B340" s="2" t="s">
        <v>202</v>
      </c>
      <c r="C340" s="3"/>
      <c r="D340" s="3"/>
      <c r="E340" s="3"/>
      <c r="F340" s="3"/>
      <c r="G340" s="218" t="n">
        <f aca="false">SUM(G99:G100)-G338</f>
        <v>-0.0715499723737594</v>
      </c>
      <c r="H340" s="143"/>
      <c r="I340" s="143"/>
      <c r="J340" s="143"/>
      <c r="K340" s="143"/>
      <c r="L340" s="143"/>
      <c r="M340" s="143"/>
      <c r="N340" s="143"/>
      <c r="O340" s="143"/>
      <c r="P340" s="143"/>
      <c r="Q340" s="143"/>
      <c r="R340" s="143"/>
      <c r="S340" s="143"/>
      <c r="T340" s="143"/>
      <c r="U340" s="143"/>
      <c r="V340" s="143"/>
      <c r="W340" s="143"/>
      <c r="X340" s="143"/>
      <c r="Y340" s="143"/>
      <c r="Z340" s="143"/>
      <c r="AA340" s="148"/>
      <c r="AB340" s="148"/>
      <c r="AC340" s="148"/>
      <c r="AD340" s="148"/>
      <c r="AE340" s="148"/>
      <c r="AF340" s="148"/>
      <c r="AG340" s="148"/>
      <c r="AH340" s="148"/>
      <c r="AI340" s="148"/>
      <c r="AJ340" s="148"/>
      <c r="AK340" s="148"/>
      <c r="AL340" s="24"/>
      <c r="AM340" s="24"/>
      <c r="AN340" s="24"/>
      <c r="AO340" s="24"/>
      <c r="AP340" s="24"/>
      <c r="AQ340" s="24"/>
      <c r="AR340" s="206" t="s">
        <v>92</v>
      </c>
    </row>
    <row r="341" customFormat="false" ht="12.75" hidden="false" customHeight="false" outlineLevel="0" collapsed="false">
      <c r="A341" s="192"/>
      <c r="B341" s="3"/>
      <c r="C341" s="3"/>
      <c r="D341" s="3"/>
      <c r="E341" s="3"/>
      <c r="F341" s="3"/>
      <c r="G341" s="3"/>
      <c r="H341" s="143"/>
      <c r="I341" s="143"/>
      <c r="J341" s="143"/>
      <c r="K341" s="143"/>
      <c r="L341" s="143"/>
      <c r="M341" s="143"/>
      <c r="N341" s="143"/>
      <c r="O341" s="143"/>
      <c r="P341" s="143"/>
      <c r="Q341" s="143"/>
      <c r="R341" s="143"/>
      <c r="S341" s="143"/>
      <c r="T341" s="143"/>
      <c r="U341" s="143"/>
      <c r="V341" s="143"/>
      <c r="W341" s="143"/>
      <c r="X341" s="143"/>
      <c r="Y341" s="143"/>
      <c r="Z341" s="143"/>
      <c r="AA341" s="148"/>
      <c r="AB341" s="148"/>
      <c r="AC341" s="148"/>
      <c r="AD341" s="148"/>
      <c r="AE341" s="148"/>
      <c r="AF341" s="148"/>
      <c r="AG341" s="148"/>
      <c r="AH341" s="148"/>
      <c r="AI341" s="148"/>
      <c r="AJ341" s="148"/>
      <c r="AK341" s="148"/>
      <c r="AL341" s="24"/>
      <c r="AM341" s="24"/>
      <c r="AN341" s="24"/>
      <c r="AO341" s="24"/>
      <c r="AP341" s="24"/>
      <c r="AQ341" s="24"/>
      <c r="AR341" s="206" t="s">
        <v>92</v>
      </c>
    </row>
    <row r="342" customFormat="false" ht="12.75" hidden="false" customHeight="false" outlineLevel="0" collapsed="false">
      <c r="A342" s="192"/>
      <c r="B342" s="48" t="s">
        <v>203</v>
      </c>
      <c r="C342" s="3"/>
      <c r="D342" s="3"/>
      <c r="E342" s="3"/>
      <c r="F342" s="3"/>
      <c r="G342" s="3"/>
      <c r="H342" s="143"/>
      <c r="I342" s="143"/>
      <c r="J342" s="143"/>
      <c r="K342" s="143"/>
      <c r="L342" s="143"/>
      <c r="M342" s="143"/>
      <c r="N342" s="143"/>
      <c r="O342" s="143"/>
      <c r="P342" s="143"/>
      <c r="Q342" s="143"/>
      <c r="R342" s="143"/>
      <c r="S342" s="143"/>
      <c r="T342" s="143"/>
      <c r="U342" s="143"/>
      <c r="V342" s="143"/>
      <c r="W342" s="143"/>
      <c r="X342" s="143"/>
      <c r="Y342" s="143"/>
      <c r="Z342" s="143"/>
      <c r="AA342" s="148"/>
      <c r="AB342" s="148"/>
      <c r="AC342" s="148"/>
      <c r="AD342" s="148"/>
      <c r="AE342" s="148"/>
      <c r="AF342" s="148"/>
      <c r="AG342" s="148"/>
      <c r="AH342" s="148"/>
      <c r="AI342" s="148"/>
      <c r="AJ342" s="148"/>
      <c r="AK342" s="148"/>
      <c r="AL342" s="24"/>
      <c r="AM342" s="24"/>
      <c r="AN342" s="24"/>
      <c r="AO342" s="24"/>
      <c r="AP342" s="24"/>
      <c r="AQ342" s="24"/>
      <c r="AR342" s="206"/>
    </row>
    <row r="343" customFormat="false" ht="12.75" hidden="false" customHeight="false" outlineLevel="0" collapsed="false">
      <c r="A343" s="192"/>
      <c r="B343" s="2" t="s">
        <v>42</v>
      </c>
      <c r="C343" s="3"/>
      <c r="D343" s="3"/>
      <c r="E343" s="3"/>
      <c r="F343" s="3"/>
      <c r="G343" s="3"/>
      <c r="H343" s="134" t="n">
        <f aca="false">+H335</f>
        <v>42219.4813178252</v>
      </c>
      <c r="I343" s="134" t="n">
        <f aca="false">+I335</f>
        <v>41607.7674656077</v>
      </c>
      <c r="J343" s="134" t="n">
        <f aca="false">+J335</f>
        <v>41004.916674359</v>
      </c>
      <c r="K343" s="134" t="n">
        <f aca="false">+K335</f>
        <v>40410.8005280732</v>
      </c>
      <c r="L343" s="134" t="n">
        <f aca="false">+L335</f>
        <v>39825.292471351</v>
      </c>
      <c r="M343" s="134" t="n">
        <f aca="false">+M335</f>
        <v>39248.2677824414</v>
      </c>
      <c r="N343" s="134" t="n">
        <f aca="false">+N335</f>
        <v>38679.6035466748</v>
      </c>
      <c r="O343" s="134" t="n">
        <f aca="false">+O335</f>
        <v>38119.1786302798</v>
      </c>
      <c r="P343" s="134" t="n">
        <f aca="false">+P335</f>
        <v>37566.87365458</v>
      </c>
      <c r="Q343" s="134" t="n">
        <f aca="false">+Q335</f>
        <v>37022.570970565</v>
      </c>
      <c r="R343" s="134" t="n">
        <f aca="false">+R335</f>
        <v>36486.154633829</v>
      </c>
      <c r="S343" s="134" t="n">
        <f aca="false">+S335</f>
        <v>35957.5103798732</v>
      </c>
      <c r="T343" s="134" t="n">
        <f aca="false">+T335</f>
        <v>35436.5255997656</v>
      </c>
      <c r="U343" s="134" t="n">
        <f aca="false">+U335</f>
        <v>34923.0893161538</v>
      </c>
      <c r="V343" s="134" t="n">
        <f aca="false">+V335</f>
        <v>34417.0921596255</v>
      </c>
      <c r="W343" s="134" t="n">
        <f aca="false">+W335</f>
        <v>33918.4263454104</v>
      </c>
      <c r="X343" s="134" t="n">
        <f aca="false">+X335</f>
        <v>33426.9856504214</v>
      </c>
      <c r="Y343" s="134" t="n">
        <f aca="false">+Y335</f>
        <v>32942.6653906268</v>
      </c>
      <c r="Z343" s="134" t="n">
        <f aca="false">+Z335</f>
        <v>32465.3623987517</v>
      </c>
      <c r="AA343" s="94" t="n">
        <f aca="false">+AA335</f>
        <v>31994.9750023013</v>
      </c>
      <c r="AB343" s="94" t="n">
        <f aca="false">+AB335</f>
        <v>31531.4030019035</v>
      </c>
      <c r="AC343" s="94" t="n">
        <f aca="false">+AC335</f>
        <v>31074.5476499649</v>
      </c>
      <c r="AD343" s="94" t="n">
        <f aca="false">+AD335</f>
        <v>30624.3116296363</v>
      </c>
      <c r="AE343" s="94" t="n">
        <f aca="false">+AE335</f>
        <v>30180.5990340823</v>
      </c>
      <c r="AF343" s="94" t="n">
        <f aca="false">+AF335</f>
        <v>29743.3153460523</v>
      </c>
      <c r="AG343" s="94" t="n">
        <f aca="false">+AG335</f>
        <v>29312.3674177467</v>
      </c>
      <c r="AH343" s="94" t="n">
        <f aca="false">+AH335</f>
        <v>28887.6634509749</v>
      </c>
      <c r="AI343" s="94" t="n">
        <f aca="false">+AI335</f>
        <v>28469.1129776014</v>
      </c>
      <c r="AJ343" s="94" t="n">
        <f aca="false">+AJ335</f>
        <v>28056.6268402743</v>
      </c>
      <c r="AK343" s="94" t="n">
        <f aca="false">+AK335</f>
        <v>27650.1171734336</v>
      </c>
      <c r="AL343" s="94" t="n">
        <f aca="false">+AL335</f>
        <v>27249.4973845949</v>
      </c>
      <c r="AM343" s="94" t="n">
        <f aca="false">+AM335</f>
        <v>26854.6821359034</v>
      </c>
      <c r="AN343" s="94" t="n">
        <f aca="false">+AN335</f>
        <v>26465.5873259561</v>
      </c>
      <c r="AO343" s="94" t="n">
        <f aca="false">+AO335</f>
        <v>26082.1300718869</v>
      </c>
      <c r="AP343" s="94" t="n">
        <f aca="false">+AP335</f>
        <v>25704.2286917111</v>
      </c>
      <c r="AQ343" s="94" t="n">
        <f aca="false">+AQ335</f>
        <v>25331.8026869262</v>
      </c>
      <c r="AR343" s="206"/>
    </row>
    <row r="344" customFormat="false" ht="13.5" hidden="false" customHeight="false" outlineLevel="0" collapsed="false">
      <c r="A344" s="192"/>
      <c r="B344" s="2" t="s">
        <v>45</v>
      </c>
      <c r="C344" s="3"/>
      <c r="D344" s="3"/>
      <c r="E344" s="3"/>
      <c r="F344" s="3"/>
      <c r="G344" s="3"/>
      <c r="H344" s="149" t="n">
        <f aca="false">H124</f>
        <v>42213.4913541747</v>
      </c>
      <c r="I344" s="149" t="n">
        <f aca="false">I124</f>
        <v>44391.6151787586</v>
      </c>
      <c r="J344" s="149" t="n">
        <f aca="false">J124</f>
        <v>46364.8920730146</v>
      </c>
      <c r="K344" s="149" t="n">
        <f aca="false">K124</f>
        <v>48967.3582488724</v>
      </c>
      <c r="L344" s="149" t="n">
        <f aca="false">L124</f>
        <v>51351.3157329743</v>
      </c>
      <c r="M344" s="149" t="n">
        <f aca="false">M124</f>
        <v>52546.0807582494</v>
      </c>
      <c r="N344" s="149" t="n">
        <f aca="false">N124</f>
        <v>42803.7044092171</v>
      </c>
      <c r="O344" s="149" t="n">
        <f aca="false">O124</f>
        <v>44138.4191005621</v>
      </c>
      <c r="P344" s="149" t="n">
        <f aca="false">P124</f>
        <v>44676.5365215969</v>
      </c>
      <c r="Q344" s="149" t="n">
        <f aca="false">Q124</f>
        <v>45882.0962127073</v>
      </c>
      <c r="R344" s="149" t="n">
        <f aca="false">R124</f>
        <v>47184.1956324047</v>
      </c>
      <c r="S344" s="149" t="n">
        <f aca="false">S124</f>
        <v>48350.2576990499</v>
      </c>
      <c r="T344" s="149" t="n">
        <f aca="false">T124</f>
        <v>49867.6342759832</v>
      </c>
      <c r="U344" s="149" t="n">
        <f aca="false">U124</f>
        <v>51259.2695376078</v>
      </c>
      <c r="V344" s="149" t="n">
        <f aca="false">V124</f>
        <v>52219.1639183141</v>
      </c>
      <c r="W344" s="149" t="n">
        <f aca="false">W124</f>
        <v>54069.8254644744</v>
      </c>
      <c r="X344" s="149" t="n">
        <f aca="false">X124</f>
        <v>55759.5264811599</v>
      </c>
      <c r="Y344" s="149" t="n">
        <f aca="false">Y124</f>
        <v>57060.4327604778</v>
      </c>
      <c r="Z344" s="149" t="n">
        <f aca="false">Z124</f>
        <v>58858.7475487984</v>
      </c>
      <c r="AA344" s="219" t="n">
        <f aca="false">AA124</f>
        <v>58900.4313604265</v>
      </c>
      <c r="AB344" s="219" t="n">
        <f aca="false">AB124</f>
        <v>60431.6310565564</v>
      </c>
      <c r="AC344" s="219" t="n">
        <f aca="false">AC124</f>
        <v>62170.6960344814</v>
      </c>
      <c r="AD344" s="219" t="n">
        <f aca="false">AD124</f>
        <v>63958.055838954</v>
      </c>
      <c r="AE344" s="219" t="n">
        <f aca="false">AE124</f>
        <v>65975.3701205982</v>
      </c>
      <c r="AF344" s="219" t="n">
        <f aca="false">AF124</f>
        <v>67683.2967663483</v>
      </c>
      <c r="AG344" s="219" t="n">
        <f aca="false">AG124</f>
        <v>69624.0988147831</v>
      </c>
      <c r="AH344" s="219" t="n">
        <f aca="false">AH124</f>
        <v>71619.0399234853</v>
      </c>
      <c r="AI344" s="219" t="n">
        <f aca="false">AI124</f>
        <v>73871.5232458791</v>
      </c>
      <c r="AJ344" s="219" t="n">
        <f aca="false">AJ124</f>
        <v>75777.6583216908</v>
      </c>
      <c r="AK344" s="219" t="n">
        <f aca="false">AK124</f>
        <v>77944.610023083</v>
      </c>
      <c r="AL344" s="219" t="n">
        <f aca="false">AL124</f>
        <v>80172.2522795938</v>
      </c>
      <c r="AM344" s="219" t="n">
        <f aca="false">AM124</f>
        <v>82688.2675150112</v>
      </c>
      <c r="AN344" s="219" t="n">
        <f aca="false">AN124</f>
        <v>84816.6921777329</v>
      </c>
      <c r="AO344" s="219" t="n">
        <f aca="false">AO124</f>
        <v>87237.1604983961</v>
      </c>
      <c r="AP344" s="219" t="n">
        <f aca="false">AP124</f>
        <v>89725.6637266046</v>
      </c>
      <c r="AQ344" s="219" t="n">
        <f aca="false">AQ124</f>
        <v>92537.0061846331</v>
      </c>
      <c r="AR344" s="206"/>
    </row>
    <row r="345" customFormat="false" ht="13.5" hidden="false" customHeight="false" outlineLevel="0" collapsed="false">
      <c r="A345" s="192"/>
      <c r="B345" s="2" t="s">
        <v>51</v>
      </c>
      <c r="C345" s="2"/>
      <c r="D345" s="3"/>
      <c r="E345" s="2"/>
      <c r="F345" s="3"/>
      <c r="G345" s="3"/>
      <c r="H345" s="91" t="n">
        <f aca="false">SUM(H343:H344)</f>
        <v>84432.972672</v>
      </c>
      <c r="I345" s="92" t="n">
        <f aca="false">SUM(I343:I344)</f>
        <v>85999.3826443663</v>
      </c>
      <c r="J345" s="92" t="n">
        <f aca="false">SUM(J343:J344)</f>
        <v>87369.8087473736</v>
      </c>
      <c r="K345" s="92" t="n">
        <f aca="false">SUM(K343:K344)</f>
        <v>89378.1587769456</v>
      </c>
      <c r="L345" s="92" t="n">
        <f aca="false">SUM(L343:L344)</f>
        <v>91176.6082043253</v>
      </c>
      <c r="M345" s="92" t="n">
        <f aca="false">SUM(M343:M344)</f>
        <v>91794.3485406907</v>
      </c>
      <c r="N345" s="92" t="n">
        <f aca="false">SUM(N343:N344)</f>
        <v>81483.3079558919</v>
      </c>
      <c r="O345" s="92" t="n">
        <f aca="false">SUM(O343:O344)</f>
        <v>82257.5977308418</v>
      </c>
      <c r="P345" s="92" t="n">
        <f aca="false">SUM(P343:P344)</f>
        <v>82243.4101761769</v>
      </c>
      <c r="Q345" s="92" t="n">
        <f aca="false">SUM(Q343:Q344)</f>
        <v>82904.6671832724</v>
      </c>
      <c r="R345" s="92" t="n">
        <f aca="false">SUM(R343:R344)</f>
        <v>83670.3502662337</v>
      </c>
      <c r="S345" s="92" t="n">
        <f aca="false">SUM(S343:S344)</f>
        <v>84307.7680789231</v>
      </c>
      <c r="T345" s="92" t="n">
        <f aca="false">SUM(T343:T344)</f>
        <v>85304.1598757488</v>
      </c>
      <c r="U345" s="92" t="n">
        <f aca="false">SUM(U343:U344)</f>
        <v>86182.3588537616</v>
      </c>
      <c r="V345" s="92" t="n">
        <f aca="false">SUM(V343:V344)</f>
        <v>86636.2560779396</v>
      </c>
      <c r="W345" s="92" t="n">
        <f aca="false">SUM(W343:W344)</f>
        <v>87988.2518098848</v>
      </c>
      <c r="X345" s="92" t="n">
        <f aca="false">SUM(X343:X344)</f>
        <v>89186.5121315812</v>
      </c>
      <c r="Y345" s="92" t="n">
        <f aca="false">SUM(Y343:Y344)</f>
        <v>90003.0981511046</v>
      </c>
      <c r="Z345" s="93" t="n">
        <f aca="false">SUM(Z343:Z344)</f>
        <v>91324.1099475501</v>
      </c>
      <c r="AA345" s="94" t="n">
        <f aca="false">SUM(AA343:AA344)</f>
        <v>90895.4063627278</v>
      </c>
      <c r="AB345" s="94" t="n">
        <f aca="false">SUM(AB343:AB344)</f>
        <v>91963.0340584599</v>
      </c>
      <c r="AC345" s="94" t="n">
        <f aca="false">SUM(AC343:AC344)</f>
        <v>93245.2436844464</v>
      </c>
      <c r="AD345" s="94" t="n">
        <f aca="false">SUM(AD343:AD344)</f>
        <v>94582.3674685903</v>
      </c>
      <c r="AE345" s="94" t="n">
        <f aca="false">SUM(AE343:AE344)</f>
        <v>96155.9691546805</v>
      </c>
      <c r="AF345" s="94" t="n">
        <f aca="false">SUM(AF343:AF344)</f>
        <v>97426.6121124006</v>
      </c>
      <c r="AG345" s="94" t="n">
        <f aca="false">SUM(AG343:AG344)</f>
        <v>98936.4662325297</v>
      </c>
      <c r="AH345" s="94" t="n">
        <f aca="false">SUM(AH343:AH344)</f>
        <v>100506.70337446</v>
      </c>
      <c r="AI345" s="94" t="n">
        <f aca="false">SUM(AI343:AI344)</f>
        <v>102340.636223481</v>
      </c>
      <c r="AJ345" s="94" t="n">
        <f aca="false">SUM(AJ343:AJ344)</f>
        <v>103834.285161965</v>
      </c>
      <c r="AK345" s="94" t="n">
        <f aca="false">SUM(AK343:AK344)</f>
        <v>105594.727196517</v>
      </c>
      <c r="AL345" s="94" t="n">
        <f aca="false">SUM(AL343:AL344)</f>
        <v>107421.749664189</v>
      </c>
      <c r="AM345" s="94" t="n">
        <f aca="false">SUM(AM343:AM344)</f>
        <v>109542.949650915</v>
      </c>
      <c r="AN345" s="94" t="n">
        <f aca="false">SUM(AN343:AN344)</f>
        <v>111282.279503689</v>
      </c>
      <c r="AO345" s="94" t="n">
        <f aca="false">SUM(AO343:AO344)</f>
        <v>113319.290570283</v>
      </c>
      <c r="AP345" s="94" t="n">
        <f aca="false">SUM(AP343:AP344)</f>
        <v>115429.892418316</v>
      </c>
      <c r="AQ345" s="94" t="n">
        <f aca="false">SUM(AQ343:AQ344)</f>
        <v>117868.808871559</v>
      </c>
      <c r="AR345" s="206"/>
    </row>
    <row r="346" customFormat="false" ht="13.5" hidden="false" customHeight="false" outlineLevel="0" collapsed="false">
      <c r="A346" s="3"/>
      <c r="B346" s="95" t="str">
        <f aca="false">CONCATENATE("NPV ",+$E$16*100," of Cf to Term (2036)")</f>
        <v>NPV 6.25 of Cf to Term (2036)</v>
      </c>
      <c r="C346" s="2"/>
      <c r="D346" s="3"/>
      <c r="E346" s="3"/>
      <c r="F346" s="3"/>
      <c r="G346" s="199" t="n">
        <f aca="false">SUMPRODUCT(G$16:AQ$16,G345:AQ345)</f>
        <v>1272264.26642876</v>
      </c>
      <c r="H346" s="157" t="str">
        <f aca="false">CONCATENATE(" = ",DOLLAR($G$303-G346,0)," in Savings or a ",ROUND(($G$303-G346)/$G$91,2)*100,"% Reduction in Stranded Investment")</f>
        <v> = $212,362 in Savings or a 71% Reduction in Stranded Investment</v>
      </c>
      <c r="I346" s="200"/>
      <c r="J346" s="200"/>
      <c r="K346" s="200"/>
      <c r="L346" s="200"/>
      <c r="M346" s="201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5"/>
    </row>
    <row r="347" customFormat="false" ht="12.75" hidden="false" customHeight="false" outlineLevel="0" collapsed="false">
      <c r="A347" s="3"/>
      <c r="B347" s="3"/>
      <c r="C347" s="3"/>
      <c r="D347" s="3"/>
      <c r="E347" s="3"/>
      <c r="F347" s="3"/>
      <c r="G347" s="100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24"/>
      <c r="AM347" s="24"/>
      <c r="AN347" s="24"/>
      <c r="AO347" s="24"/>
      <c r="AP347" s="24"/>
      <c r="AQ347" s="24"/>
      <c r="AR347" s="25"/>
    </row>
    <row r="348" customFormat="false" ht="12.75" hidden="false" customHeight="false" outlineLevel="0" collapsed="false">
      <c r="A348" s="192"/>
      <c r="B348" s="48" t="str">
        <f aca="false">+A330</f>
        <v>Full Term Blend &amp; Extend from Equity Seller</v>
      </c>
      <c r="C348" s="2"/>
      <c r="D348" s="202"/>
      <c r="E348" s="3"/>
      <c r="F348" s="3"/>
      <c r="G348" s="66" t="s">
        <v>28</v>
      </c>
      <c r="H348" s="65" t="n">
        <f aca="false">+H345/H$25*1000</f>
        <v>43.44</v>
      </c>
      <c r="I348" s="65" t="n">
        <f aca="false">+I345/I$25*1000</f>
        <v>44.2459037488106</v>
      </c>
      <c r="J348" s="65" t="n">
        <f aca="false">+J345/J$25*1000</f>
        <v>44.950975571236</v>
      </c>
      <c r="K348" s="65" t="n">
        <f aca="false">+K345/K$25*1000</f>
        <v>45.8586134414137</v>
      </c>
      <c r="L348" s="65" t="n">
        <f aca="false">+L345/L$25*1000</f>
        <v>46.9095394258143</v>
      </c>
      <c r="M348" s="65" t="n">
        <f aca="false">+M345/M$25*1000</f>
        <v>47.2273612359733</v>
      </c>
      <c r="N348" s="65" t="n">
        <f aca="false">+N345/N$25*1000</f>
        <v>41.9224242092541</v>
      </c>
      <c r="O348" s="65" t="n">
        <f aca="false">+O345/O$25*1000</f>
        <v>42.2051587163709</v>
      </c>
      <c r="P348" s="65" t="n">
        <f aca="false">+P345/P$25*1000</f>
        <v>42.3134899197728</v>
      </c>
      <c r="Q348" s="65" t="n">
        <f aca="false">+Q345/Q$25*1000</f>
        <v>42.6537006630308</v>
      </c>
      <c r="R348" s="65" t="n">
        <f aca="false">+R345/R$25*1000</f>
        <v>43.0476376768685</v>
      </c>
      <c r="S348" s="65" t="n">
        <f aca="false">+S345/S$25*1000</f>
        <v>43.25707084757</v>
      </c>
      <c r="T348" s="65" t="n">
        <f aca="false">+T345/T$25*1000</f>
        <v>43.8882179287689</v>
      </c>
      <c r="U348" s="65" t="n">
        <f aca="false">+U345/U$25*1000</f>
        <v>44.3400433519135</v>
      </c>
      <c r="V348" s="65" t="n">
        <f aca="false">+V345/V$25*1000</f>
        <v>44.5735693642557</v>
      </c>
      <c r="W348" s="65" t="n">
        <f aca="false">+W345/W$25*1000</f>
        <v>45.1454727010563</v>
      </c>
      <c r="X348" s="65" t="n">
        <f aca="false">+X345/X$25*1000</f>
        <v>45.8856530143311</v>
      </c>
      <c r="Y348" s="65" t="n">
        <f aca="false">+Y345/Y$25*1000</f>
        <v>46.3057791281646</v>
      </c>
      <c r="Z348" s="65" t="n">
        <f aca="false">+Z345/Z$25*1000</f>
        <v>46.9854277372514</v>
      </c>
      <c r="AA348" s="65" t="n">
        <f aca="false">+AA345/AA$25*1000</f>
        <v>46.6370907728269</v>
      </c>
      <c r="AB348" s="65" t="n">
        <f aca="false">+AB345/AB$25*1000</f>
        <v>47.3141484076196</v>
      </c>
      <c r="AC348" s="65" t="n">
        <f aca="false">+AC345/AC$25*1000</f>
        <v>47.9738336513126</v>
      </c>
      <c r="AD348" s="65" t="n">
        <f aca="false">+AD345/AD$25*1000</f>
        <v>48.6617717321955</v>
      </c>
      <c r="AE348" s="65" t="n">
        <f aca="false">+AE345/AE$25*1000</f>
        <v>49.336207859838</v>
      </c>
      <c r="AF348" s="65" t="n">
        <f aca="false">+AF345/AF$25*1000</f>
        <v>50.125109850197</v>
      </c>
      <c r="AG348" s="65" t="n">
        <f aca="false">+AG345/AG$25*1000</f>
        <v>50.9019161250773</v>
      </c>
      <c r="AH348" s="65" t="n">
        <f aca="false">+AH345/AH$25*1000</f>
        <v>51.7097889179783</v>
      </c>
      <c r="AI348" s="65" t="n">
        <f aca="false">+AI345/AI$25*1000</f>
        <v>52.5094692052608</v>
      </c>
      <c r="AJ348" s="65" t="n">
        <f aca="false">+AJ345/AJ$25*1000</f>
        <v>53.42179962037</v>
      </c>
      <c r="AK348" s="65" t="n">
        <f aca="false">+AK345/AK$25*1000</f>
        <v>54.3275311084463</v>
      </c>
      <c r="AL348" s="65" t="n">
        <f aca="false">+AL345/AL$25*1000</f>
        <v>55.2675176265569</v>
      </c>
      <c r="AM348" s="65" t="n">
        <f aca="false">+AM345/AM$25*1000</f>
        <v>56.2048698699453</v>
      </c>
      <c r="AN348" s="65" t="n">
        <f aca="false">+AN345/AN$25*1000</f>
        <v>57.2537252764921</v>
      </c>
      <c r="AO348" s="65" t="n">
        <f aca="false">+AO345/AO$25*1000</f>
        <v>58.3017490275519</v>
      </c>
      <c r="AP348" s="65" t="n">
        <f aca="false">+AP345/AP$25*1000</f>
        <v>59.3876345693853</v>
      </c>
      <c r="AQ348" s="65" t="n">
        <f aca="false">+AQ345/AQ$25*1000</f>
        <v>60.4767452899798</v>
      </c>
      <c r="AR348" s="25"/>
    </row>
    <row r="349" customFormat="false" ht="12.75" hidden="false" customHeight="false" outlineLevel="0" collapsed="false">
      <c r="A349" s="3"/>
      <c r="B349" s="3"/>
      <c r="C349" s="3"/>
      <c r="D349" s="3"/>
      <c r="E349" s="3"/>
      <c r="F349" s="3"/>
      <c r="G349" s="3"/>
      <c r="H349" s="220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5"/>
    </row>
    <row r="350" customFormat="false" ht="12.75" hidden="false" customHeight="false" outlineLevel="0" collapsed="false">
      <c r="A350" s="48" t="s">
        <v>204</v>
      </c>
      <c r="B350" s="3"/>
      <c r="C350" s="3"/>
      <c r="D350" s="3"/>
      <c r="E350" s="3"/>
      <c r="F350" s="3"/>
      <c r="G350" s="3"/>
      <c r="H350" s="220"/>
      <c r="I350" s="220"/>
      <c r="J350" s="220"/>
      <c r="K350" s="220"/>
      <c r="L350" s="220"/>
      <c r="M350" s="220"/>
      <c r="N350" s="220"/>
      <c r="O350" s="220"/>
      <c r="P350" s="220"/>
      <c r="Q350" s="220"/>
      <c r="R350" s="220"/>
      <c r="S350" s="220"/>
      <c r="T350" s="220"/>
      <c r="U350" s="220"/>
      <c r="V350" s="220"/>
      <c r="W350" s="220"/>
      <c r="X350" s="220"/>
      <c r="Y350" s="220"/>
      <c r="Z350" s="220"/>
      <c r="AA350" s="57"/>
      <c r="AB350" s="57"/>
      <c r="AC350" s="57"/>
      <c r="AD350" s="57"/>
      <c r="AE350" s="57"/>
      <c r="AF350" s="57"/>
      <c r="AG350" s="57"/>
      <c r="AH350" s="57"/>
      <c r="AI350" s="57"/>
      <c r="AJ350" s="57"/>
      <c r="AK350" s="57"/>
      <c r="AL350" s="57"/>
      <c r="AM350" s="57"/>
      <c r="AN350" s="57"/>
      <c r="AO350" s="57"/>
      <c r="AP350" s="57"/>
      <c r="AQ350" s="57"/>
      <c r="AR350" s="25"/>
    </row>
    <row r="351" customFormat="false" ht="12.75" hidden="false" customHeight="false" outlineLevel="0" collapsed="false">
      <c r="A351" s="3"/>
      <c r="B351" s="3"/>
      <c r="C351" s="3"/>
      <c r="D351" s="3"/>
      <c r="E351" s="3"/>
      <c r="F351" s="3"/>
      <c r="G351" s="3"/>
      <c r="H351" s="220"/>
      <c r="I351" s="220"/>
      <c r="J351" s="220"/>
      <c r="K351" s="220"/>
      <c r="L351" s="220"/>
      <c r="M351" s="220"/>
      <c r="N351" s="220"/>
      <c r="O351" s="220"/>
      <c r="P351" s="220"/>
      <c r="Q351" s="220"/>
      <c r="R351" s="220"/>
      <c r="S351" s="220"/>
      <c r="T351" s="220"/>
      <c r="U351" s="220"/>
      <c r="V351" s="220"/>
      <c r="W351" s="220"/>
      <c r="X351" s="220"/>
      <c r="Y351" s="220"/>
      <c r="Z351" s="220"/>
      <c r="AA351" s="57"/>
      <c r="AB351" s="57"/>
      <c r="AC351" s="57"/>
      <c r="AD351" s="57"/>
      <c r="AE351" s="57"/>
      <c r="AF351" s="57"/>
      <c r="AG351" s="57"/>
      <c r="AH351" s="57"/>
      <c r="AI351" s="57"/>
      <c r="AJ351" s="57"/>
      <c r="AK351" s="57"/>
      <c r="AL351" s="57"/>
      <c r="AM351" s="57"/>
      <c r="AN351" s="57"/>
      <c r="AO351" s="57"/>
      <c r="AP351" s="57"/>
      <c r="AQ351" s="57"/>
      <c r="AR351" s="25"/>
    </row>
    <row r="352" customFormat="false" ht="13.5" hidden="false" customHeight="false" outlineLevel="0" collapsed="false">
      <c r="A352" s="3"/>
      <c r="B352" s="48" t="s">
        <v>198</v>
      </c>
      <c r="C352" s="3"/>
      <c r="D352" s="3"/>
      <c r="E352" s="3"/>
      <c r="F352" s="3"/>
      <c r="G352" s="3"/>
      <c r="H352" s="220"/>
      <c r="I352" s="220"/>
      <c r="J352" s="220"/>
      <c r="K352" s="220"/>
      <c r="L352" s="220"/>
      <c r="M352" s="220"/>
      <c r="N352" s="220"/>
      <c r="O352" s="220"/>
      <c r="P352" s="220"/>
      <c r="Q352" s="220"/>
      <c r="R352" s="220"/>
      <c r="S352" s="220"/>
      <c r="T352" s="220"/>
      <c r="U352" s="220"/>
      <c r="V352" s="220"/>
      <c r="W352" s="220"/>
      <c r="X352" s="220"/>
      <c r="Y352" s="220"/>
      <c r="Z352" s="220"/>
      <c r="AA352" s="57"/>
      <c r="AB352" s="57"/>
      <c r="AC352" s="57"/>
      <c r="AD352" s="57"/>
      <c r="AE352" s="57"/>
      <c r="AF352" s="57"/>
      <c r="AG352" s="57"/>
      <c r="AH352" s="57"/>
      <c r="AI352" s="57"/>
      <c r="AJ352" s="57"/>
      <c r="AK352" s="57"/>
      <c r="AL352" s="57"/>
      <c r="AM352" s="57"/>
      <c r="AN352" s="57"/>
      <c r="AO352" s="57"/>
      <c r="AP352" s="57"/>
      <c r="AQ352" s="57"/>
      <c r="AR352" s="25"/>
    </row>
    <row r="353" customFormat="false" ht="13.5" hidden="false" customHeight="false" outlineLevel="0" collapsed="false">
      <c r="A353" s="3"/>
      <c r="B353" s="2" t="s">
        <v>205</v>
      </c>
      <c r="C353" s="3"/>
      <c r="D353" s="3"/>
      <c r="E353" s="3"/>
      <c r="F353" s="98" t="s">
        <v>206</v>
      </c>
      <c r="G353" s="221" t="n">
        <v>13</v>
      </c>
      <c r="H353" s="114" t="n">
        <f aca="false">IF(+H13&lt;=$G$353,+H25,0)</f>
        <v>1943668.8</v>
      </c>
      <c r="I353" s="114" t="n">
        <f aca="false">IF(+I13&lt;=$G$353,+I25,0)</f>
        <v>1943668.8</v>
      </c>
      <c r="J353" s="114" t="n">
        <f aca="false">IF(+J13&lt;=$G$353,+J25,0)</f>
        <v>1943668.8</v>
      </c>
      <c r="K353" s="114" t="n">
        <f aca="false">IF(+K13&lt;=$G$353,+K25,0)</f>
        <v>1948993.92</v>
      </c>
      <c r="L353" s="114" t="n">
        <f aca="false">IF(+L13&lt;=$G$353,+L25,0)</f>
        <v>1943668.8</v>
      </c>
      <c r="M353" s="114" t="n">
        <f aca="false">IF(+M13&lt;=$G$353,+M25,0)</f>
        <v>1943668.8</v>
      </c>
      <c r="N353" s="114" t="n">
        <f aca="false">IF(+N13&lt;=$G$353,+N25,0)</f>
        <v>1943668.8</v>
      </c>
      <c r="O353" s="114" t="n">
        <f aca="false">IF(+O13&lt;=$G$353,+O25,0)</f>
        <v>1948993.92</v>
      </c>
      <c r="P353" s="114" t="n">
        <f aca="false">IF(+P13&lt;=$G$353,+P25,0)</f>
        <v>1943668.8</v>
      </c>
      <c r="Q353" s="114" t="n">
        <f aca="false">IF(+Q13&lt;=$G$353,+Q25,0)</f>
        <v>1943668.8</v>
      </c>
      <c r="R353" s="114" t="n">
        <f aca="false">IF(+R13&lt;=$G$353,+R25,0)</f>
        <v>1943668.8</v>
      </c>
      <c r="S353" s="114" t="n">
        <f aca="false">IF(+S13&lt;=$G$353,+S25,0)</f>
        <v>1948993.92</v>
      </c>
      <c r="T353" s="114" t="n">
        <f aca="false">IF(+T13&lt;=$G$353,+T25,0)</f>
        <v>1943668.8</v>
      </c>
      <c r="U353" s="114" t="n">
        <f aca="false">IF(+U13&lt;=$G$353,+U25,0)</f>
        <v>0</v>
      </c>
      <c r="V353" s="114" t="n">
        <f aca="false">IF(+V13&lt;=$G$353,+V25,0)</f>
        <v>0</v>
      </c>
      <c r="W353" s="114" t="n">
        <f aca="false">IF(+W13&lt;=$G$353,+W25,0)</f>
        <v>0</v>
      </c>
      <c r="X353" s="114" t="n">
        <f aca="false">IF(+X13&lt;=$G$353,+X25,0)</f>
        <v>0</v>
      </c>
      <c r="Y353" s="114" t="n">
        <f aca="false">IF(+Y13&lt;=$G$353,+Y25,0)</f>
        <v>0</v>
      </c>
      <c r="Z353" s="114" t="n">
        <f aca="false">IF(+Z13&lt;=$G$353,+Z25,0)</f>
        <v>0</v>
      </c>
      <c r="AA353" s="94" t="n">
        <f aca="false">IF(+AA13&lt;=$G$353,+AA25,0)</f>
        <v>0</v>
      </c>
      <c r="AB353" s="94" t="n">
        <f aca="false">IF(+AB13&lt;=$G$353,+AB25,0)</f>
        <v>0</v>
      </c>
      <c r="AC353" s="94" t="n">
        <f aca="false">IF(+AC13&lt;=$G$353,+AC25,0)</f>
        <v>0</v>
      </c>
      <c r="AD353" s="94" t="n">
        <f aca="false">IF(+AD13&lt;=$G$353,+AD25,0)</f>
        <v>0</v>
      </c>
      <c r="AE353" s="94" t="n">
        <f aca="false">IF(+AE13&lt;=$G$353,+AE25,0)</f>
        <v>0</v>
      </c>
      <c r="AF353" s="94" t="n">
        <f aca="false">IF(+AF13&lt;=$G$353,+AF25,0)</f>
        <v>0</v>
      </c>
      <c r="AG353" s="94" t="n">
        <f aca="false">IF(+AG13&lt;=$G$353,+AG25,0)</f>
        <v>0</v>
      </c>
      <c r="AH353" s="94" t="n">
        <f aca="false">IF(+AH13&lt;=$G$353,+AH25,0)</f>
        <v>0</v>
      </c>
      <c r="AI353" s="94" t="n">
        <f aca="false">IF(+AI13&lt;=$G$353,+AI25,0)</f>
        <v>0</v>
      </c>
      <c r="AJ353" s="94" t="n">
        <f aca="false">IF(+AJ13&lt;=$G$353,+AJ25,0)</f>
        <v>0</v>
      </c>
      <c r="AK353" s="94" t="n">
        <f aca="false">IF(+AK13&lt;=$G$353,+AK25,0)</f>
        <v>0</v>
      </c>
      <c r="AL353" s="94" t="n">
        <f aca="false">IF(+AL13&lt;=$G$353,+AL25,0)</f>
        <v>0</v>
      </c>
      <c r="AM353" s="94" t="n">
        <f aca="false">IF(+AM13&lt;=$G$353,+AM25,0)</f>
        <v>0</v>
      </c>
      <c r="AN353" s="94" t="n">
        <f aca="false">IF(+AN13&lt;=$G$353,+AN25,0)</f>
        <v>0</v>
      </c>
      <c r="AO353" s="94" t="n">
        <f aca="false">IF(+AO13&lt;=$G$353,+AO25,0)</f>
        <v>0</v>
      </c>
      <c r="AP353" s="94" t="n">
        <f aca="false">IF(+AP13&lt;=$G$353,+AP25,0)</f>
        <v>0</v>
      </c>
      <c r="AQ353" s="94" t="n">
        <f aca="false">IF(+AQ13&lt;=$G$353,+AQ25,0)</f>
        <v>0</v>
      </c>
      <c r="AR353" s="25"/>
    </row>
    <row r="354" customFormat="false" ht="13.5" hidden="false" customHeight="false" outlineLevel="0" collapsed="false">
      <c r="A354" s="3"/>
      <c r="B354" s="2" t="s">
        <v>207</v>
      </c>
      <c r="C354" s="3"/>
      <c r="D354" s="3"/>
      <c r="E354" s="3"/>
      <c r="F354" s="3"/>
      <c r="G354" s="3" t="s">
        <v>28</v>
      </c>
      <c r="H354" s="78" t="n">
        <v>8.92832628149182</v>
      </c>
      <c r="I354" s="222" t="n">
        <f aca="false">IF(+I13&lt;=$G$353,+H354,0)</f>
        <v>8.92832628149182</v>
      </c>
      <c r="J354" s="222" t="n">
        <f aca="false">IF(+J13&lt;=$G$353,+I354,0)</f>
        <v>8.92832628149182</v>
      </c>
      <c r="K354" s="222" t="n">
        <f aca="false">IF(+K13&lt;=$G$353,+J354,0)</f>
        <v>8.92832628149182</v>
      </c>
      <c r="L354" s="222" t="n">
        <f aca="false">IF(+L13&lt;=$G$353,+K354,0)</f>
        <v>8.92832628149182</v>
      </c>
      <c r="M354" s="222" t="n">
        <f aca="false">IF(+M13&lt;=$G$353,+L354,0)</f>
        <v>8.92832628149182</v>
      </c>
      <c r="N354" s="222" t="n">
        <f aca="false">IF(+N13&lt;=$G$353,+M354,0)</f>
        <v>8.92832628149182</v>
      </c>
      <c r="O354" s="222" t="n">
        <f aca="false">IF(+O13&lt;=$G$353,+N354,0)</f>
        <v>8.92832628149182</v>
      </c>
      <c r="P354" s="222" t="n">
        <f aca="false">IF(+P13&lt;=$G$353,+O354,0)</f>
        <v>8.92832628149182</v>
      </c>
      <c r="Q354" s="222" t="n">
        <f aca="false">IF(+Q13&lt;=$G$353,+P354,0)</f>
        <v>8.92832628149182</v>
      </c>
      <c r="R354" s="222" t="n">
        <f aca="false">IF(+R13&lt;=$G$353,+Q354,0)</f>
        <v>8.92832628149182</v>
      </c>
      <c r="S354" s="222" t="n">
        <f aca="false">IF(+S13&lt;=$G$353,+R354,0)</f>
        <v>8.92832628149182</v>
      </c>
      <c r="T354" s="222" t="n">
        <f aca="false">IF(+T13&lt;=$G$353,+S354,0)</f>
        <v>8.92832628149182</v>
      </c>
      <c r="U354" s="222" t="n">
        <f aca="false">IF(+U13&lt;=$G$353,+T354,0)</f>
        <v>0</v>
      </c>
      <c r="V354" s="222" t="n">
        <f aca="false">IF(+V13&lt;=$G$353,+U354,0)</f>
        <v>0</v>
      </c>
      <c r="W354" s="222" t="n">
        <f aca="false">IF(+W13&lt;=$G$353,+V354,0)</f>
        <v>0</v>
      </c>
      <c r="X354" s="222" t="n">
        <f aca="false">IF(+X13&lt;=$G$353,+W354,0)</f>
        <v>0</v>
      </c>
      <c r="Y354" s="222" t="n">
        <f aca="false">IF(+Y13&lt;=$G$353,+X354,0)</f>
        <v>0</v>
      </c>
      <c r="Z354" s="222" t="n">
        <f aca="false">IF(+Z13&lt;=$G$353,+Y354,0)</f>
        <v>0</v>
      </c>
      <c r="AA354" s="219" t="n">
        <f aca="false">IF(+AA13&lt;=$G$353,+Z354,0)</f>
        <v>0</v>
      </c>
      <c r="AB354" s="219" t="n">
        <f aca="false">IF(+AB13&lt;=$G$353,+AA354,0)</f>
        <v>0</v>
      </c>
      <c r="AC354" s="219" t="n">
        <f aca="false">IF(+AC13&lt;=$G$353,+AB354,0)</f>
        <v>0</v>
      </c>
      <c r="AD354" s="219" t="n">
        <f aca="false">IF(+AD13&lt;=$G$353,+AC354,0)</f>
        <v>0</v>
      </c>
      <c r="AE354" s="219" t="n">
        <f aca="false">IF(+AE13&lt;=$G$353,+AD354,0)</f>
        <v>0</v>
      </c>
      <c r="AF354" s="219" t="n">
        <f aca="false">IF(+AF13&lt;=$G$353,+AE354,0)</f>
        <v>0</v>
      </c>
      <c r="AG354" s="219" t="n">
        <f aca="false">IF(+AG13&lt;=$G$353,+AF354,0)</f>
        <v>0</v>
      </c>
      <c r="AH354" s="219" t="n">
        <f aca="false">IF(+AH13&lt;=$G$353,+AG354,0)</f>
        <v>0</v>
      </c>
      <c r="AI354" s="219" t="n">
        <f aca="false">IF(+AI13&lt;=$G$353,+AH354,0)</f>
        <v>0</v>
      </c>
      <c r="AJ354" s="219" t="n">
        <f aca="false">IF(+AJ13&lt;=$G$353,+AI354,0)</f>
        <v>0</v>
      </c>
      <c r="AK354" s="219" t="n">
        <f aca="false">IF(+AK13&lt;=$G$353,+AJ354,0)</f>
        <v>0</v>
      </c>
      <c r="AL354" s="219" t="n">
        <f aca="false">IF(+AL13&lt;=$G$353,+AK354,0)</f>
        <v>0</v>
      </c>
      <c r="AM354" s="219" t="n">
        <f aca="false">IF(+AM13&lt;=$G$353,+AL354,0)</f>
        <v>0</v>
      </c>
      <c r="AN354" s="219" t="n">
        <f aca="false">IF(+AN13&lt;=$G$353,+AM354,0)</f>
        <v>0</v>
      </c>
      <c r="AO354" s="219" t="n">
        <f aca="false">IF(+AO13&lt;=$G$353,+AN354,0)</f>
        <v>0</v>
      </c>
      <c r="AP354" s="219" t="n">
        <f aca="false">IF(+AP13&lt;=$G$353,+AO354,0)</f>
        <v>0</v>
      </c>
      <c r="AQ354" s="219" t="n">
        <f aca="false">IF(+AQ13&lt;=$G$353,+AP354,0)</f>
        <v>0</v>
      </c>
      <c r="AR354" s="25"/>
    </row>
    <row r="355" customFormat="false" ht="13.5" hidden="false" customHeight="false" outlineLevel="0" collapsed="false">
      <c r="A355" s="3"/>
      <c r="B355" s="2" t="s">
        <v>207</v>
      </c>
      <c r="C355" s="3"/>
      <c r="D355" s="3"/>
      <c r="E355" s="3"/>
      <c r="F355" s="3"/>
      <c r="G355" s="3"/>
      <c r="H355" s="195" t="n">
        <f aca="false">+H353*H354/1000</f>
        <v>17353.7092295557</v>
      </c>
      <c r="I355" s="196" t="n">
        <f aca="false">+I353*I354/1000</f>
        <v>17353.7092295557</v>
      </c>
      <c r="J355" s="196" t="n">
        <f aca="false">+J353*J354/1000</f>
        <v>17353.7092295557</v>
      </c>
      <c r="K355" s="196" t="n">
        <f aca="false">+K353*K354/1000</f>
        <v>17401.2536384038</v>
      </c>
      <c r="L355" s="196" t="n">
        <f aca="false">+L353*L354/1000</f>
        <v>17353.7092295557</v>
      </c>
      <c r="M355" s="196" t="n">
        <f aca="false">+M353*M354/1000</f>
        <v>17353.7092295557</v>
      </c>
      <c r="N355" s="196" t="n">
        <f aca="false">+N353*N354/1000</f>
        <v>17353.7092295557</v>
      </c>
      <c r="O355" s="196" t="n">
        <f aca="false">+O353*O354/1000</f>
        <v>17401.2536384038</v>
      </c>
      <c r="P355" s="196" t="n">
        <f aca="false">+P353*P354/1000</f>
        <v>17353.7092295557</v>
      </c>
      <c r="Q355" s="196" t="n">
        <f aca="false">+Q353*Q354/1000</f>
        <v>17353.7092295557</v>
      </c>
      <c r="R355" s="196" t="n">
        <f aca="false">+R353*R354/1000</f>
        <v>17353.7092295557</v>
      </c>
      <c r="S355" s="196" t="n">
        <f aca="false">+S353*S354/1000</f>
        <v>17401.2536384038</v>
      </c>
      <c r="T355" s="196" t="n">
        <f aca="false">+T353*T354/1000</f>
        <v>17353.7092295557</v>
      </c>
      <c r="U355" s="196" t="n">
        <f aca="false">+U353*U354/1000</f>
        <v>0</v>
      </c>
      <c r="V355" s="196" t="n">
        <f aca="false">+V353*V354/1000</f>
        <v>0</v>
      </c>
      <c r="W355" s="196" t="n">
        <f aca="false">+W353*W354/1000</f>
        <v>0</v>
      </c>
      <c r="X355" s="196" t="n">
        <f aca="false">+X353*X354/1000</f>
        <v>0</v>
      </c>
      <c r="Y355" s="196" t="n">
        <f aca="false">+Y353*Y354/1000</f>
        <v>0</v>
      </c>
      <c r="Z355" s="197" t="n">
        <f aca="false">+Z353*Z354/1000</f>
        <v>0</v>
      </c>
      <c r="AA355" s="94" t="n">
        <f aca="false">+AA353*AA354/1000</f>
        <v>0</v>
      </c>
      <c r="AB355" s="94" t="n">
        <f aca="false">+AB353*AB354/1000</f>
        <v>0</v>
      </c>
      <c r="AC355" s="94" t="n">
        <f aca="false">+AC353*AC354/1000</f>
        <v>0</v>
      </c>
      <c r="AD355" s="94" t="n">
        <f aca="false">+AD353*AD354/1000</f>
        <v>0</v>
      </c>
      <c r="AE355" s="94" t="n">
        <f aca="false">+AE353*AE354/1000</f>
        <v>0</v>
      </c>
      <c r="AF355" s="94" t="n">
        <f aca="false">+AF353*AF354/1000</f>
        <v>0</v>
      </c>
      <c r="AG355" s="94" t="n">
        <f aca="false">+AG353*AG354/1000</f>
        <v>0</v>
      </c>
      <c r="AH355" s="94" t="n">
        <f aca="false">+AH353*AH354/1000</f>
        <v>0</v>
      </c>
      <c r="AI355" s="94" t="n">
        <f aca="false">+AI353*AI354/1000</f>
        <v>0</v>
      </c>
      <c r="AJ355" s="94" t="n">
        <f aca="false">+AJ353*AJ354/1000</f>
        <v>0</v>
      </c>
      <c r="AK355" s="94" t="n">
        <f aca="false">+AK353*AK354/1000</f>
        <v>0</v>
      </c>
      <c r="AL355" s="94" t="n">
        <f aca="false">+AL353*AL354/1000</f>
        <v>0</v>
      </c>
      <c r="AM355" s="94" t="n">
        <f aca="false">+AM353*AM354/1000</f>
        <v>0</v>
      </c>
      <c r="AN355" s="94" t="n">
        <f aca="false">+AN353*AN354/1000</f>
        <v>0</v>
      </c>
      <c r="AO355" s="94" t="n">
        <f aca="false">+AO353*AO354/1000</f>
        <v>0</v>
      </c>
      <c r="AP355" s="94" t="n">
        <f aca="false">+AP353*AP354/1000</f>
        <v>0</v>
      </c>
      <c r="AQ355" s="94" t="n">
        <f aca="false">+AQ353*AQ354/1000</f>
        <v>0</v>
      </c>
      <c r="AR355" s="25"/>
    </row>
    <row r="356" customFormat="false" ht="13.5" hidden="false" customHeight="false" outlineLevel="0" collapsed="false">
      <c r="A356" s="3"/>
      <c r="B356" s="2" t="str">
        <f aca="false">CONCATENATE("NPV ",$E$328*100," to Seller to Term Selected")</f>
        <v>NPV 9 to Seller to Term Selected</v>
      </c>
      <c r="C356" s="3"/>
      <c r="D356" s="3"/>
      <c r="E356" s="3"/>
      <c r="F356" s="3"/>
      <c r="G356" s="217" t="n">
        <f aca="false">SUMPRODUCT(H$328:AQ$328,H355:AQ355)</f>
        <v>130000</v>
      </c>
      <c r="H356" s="220"/>
      <c r="I356" s="220"/>
      <c r="J356" s="220"/>
      <c r="K356" s="220"/>
      <c r="L356" s="220"/>
      <c r="M356" s="220"/>
      <c r="N356" s="220"/>
      <c r="O356" s="220"/>
      <c r="P356" s="220"/>
      <c r="Q356" s="220"/>
      <c r="R356" s="220"/>
      <c r="S356" s="220"/>
      <c r="T356" s="220"/>
      <c r="U356" s="220"/>
      <c r="V356" s="220"/>
      <c r="W356" s="220"/>
      <c r="X356" s="220"/>
      <c r="Y356" s="220"/>
      <c r="Z356" s="220"/>
      <c r="AA356" s="57"/>
      <c r="AB356" s="57"/>
      <c r="AC356" s="57"/>
      <c r="AD356" s="57"/>
      <c r="AE356" s="57"/>
      <c r="AF356" s="57"/>
      <c r="AG356" s="57"/>
      <c r="AH356" s="57"/>
      <c r="AI356" s="57"/>
      <c r="AJ356" s="57"/>
      <c r="AK356" s="57"/>
      <c r="AL356" s="57"/>
      <c r="AM356" s="57"/>
      <c r="AN356" s="57"/>
      <c r="AO356" s="57"/>
      <c r="AP356" s="57"/>
      <c r="AQ356" s="57"/>
      <c r="AR356" s="25"/>
    </row>
    <row r="357" customFormat="false" ht="12.75" hidden="false" customHeight="false" outlineLevel="0" collapsed="false">
      <c r="A357" s="3"/>
      <c r="B357" s="2"/>
      <c r="C357" s="3"/>
      <c r="D357" s="3"/>
      <c r="E357" s="3"/>
      <c r="F357" s="3"/>
      <c r="G357" s="97"/>
      <c r="H357" s="220"/>
      <c r="I357" s="220"/>
      <c r="J357" s="220"/>
      <c r="K357" s="220"/>
      <c r="L357" s="220"/>
      <c r="M357" s="220"/>
      <c r="N357" s="220"/>
      <c r="O357" s="220"/>
      <c r="P357" s="220"/>
      <c r="Q357" s="220"/>
      <c r="R357" s="220"/>
      <c r="S357" s="220"/>
      <c r="T357" s="220"/>
      <c r="U357" s="220"/>
      <c r="V357" s="220"/>
      <c r="W357" s="220"/>
      <c r="X357" s="220"/>
      <c r="Y357" s="220"/>
      <c r="Z357" s="220"/>
      <c r="AA357" s="57"/>
      <c r="AB357" s="57"/>
      <c r="AC357" s="57"/>
      <c r="AD357" s="57"/>
      <c r="AE357" s="57"/>
      <c r="AF357" s="57"/>
      <c r="AG357" s="57"/>
      <c r="AH357" s="57"/>
      <c r="AI357" s="57"/>
      <c r="AJ357" s="57"/>
      <c r="AK357" s="57"/>
      <c r="AL357" s="57"/>
      <c r="AM357" s="57"/>
      <c r="AN357" s="57"/>
      <c r="AO357" s="57"/>
      <c r="AP357" s="57"/>
      <c r="AQ357" s="57"/>
      <c r="AR357" s="25"/>
    </row>
    <row r="358" customFormat="false" ht="12.75" hidden="false" customHeight="false" outlineLevel="0" collapsed="false">
      <c r="A358" s="3"/>
      <c r="B358" s="2" t="s">
        <v>208</v>
      </c>
      <c r="C358" s="3"/>
      <c r="D358" s="3"/>
      <c r="E358" s="3"/>
      <c r="F358" s="3"/>
      <c r="G358" s="159" t="n">
        <f aca="false">+$G$100</f>
        <v>130000</v>
      </c>
      <c r="H358" s="3"/>
      <c r="I358" s="220"/>
      <c r="J358" s="220"/>
      <c r="K358" s="220"/>
      <c r="L358" s="220"/>
      <c r="M358" s="220"/>
      <c r="N358" s="220"/>
      <c r="O358" s="220"/>
      <c r="P358" s="220"/>
      <c r="Q358" s="220"/>
      <c r="R358" s="220"/>
      <c r="S358" s="220"/>
      <c r="T358" s="220"/>
      <c r="U358" s="220"/>
      <c r="V358" s="220"/>
      <c r="W358" s="220"/>
      <c r="X358" s="220"/>
      <c r="Y358" s="220"/>
      <c r="Z358" s="220"/>
      <c r="AA358" s="57"/>
      <c r="AB358" s="57"/>
      <c r="AC358" s="57"/>
      <c r="AD358" s="57"/>
      <c r="AE358" s="57"/>
      <c r="AF358" s="57"/>
      <c r="AG358" s="57"/>
      <c r="AH358" s="57"/>
      <c r="AI358" s="57"/>
      <c r="AJ358" s="57"/>
      <c r="AK358" s="57"/>
      <c r="AL358" s="57"/>
      <c r="AM358" s="57"/>
      <c r="AN358" s="57"/>
      <c r="AO358" s="57"/>
      <c r="AP358" s="57"/>
      <c r="AQ358" s="57"/>
      <c r="AR358" s="25"/>
    </row>
    <row r="359" customFormat="false" ht="13.5" hidden="false" customHeight="false" outlineLevel="0" collapsed="false">
      <c r="A359" s="3"/>
      <c r="B359" s="2"/>
      <c r="C359" s="3"/>
      <c r="D359" s="3"/>
      <c r="E359" s="3"/>
      <c r="F359" s="3"/>
      <c r="G359" s="159"/>
      <c r="H359" s="220"/>
      <c r="I359" s="220"/>
      <c r="J359" s="220"/>
      <c r="K359" s="220"/>
      <c r="L359" s="220"/>
      <c r="M359" s="220"/>
      <c r="N359" s="220"/>
      <c r="O359" s="220"/>
      <c r="P359" s="220"/>
      <c r="Q359" s="220"/>
      <c r="R359" s="220"/>
      <c r="S359" s="220"/>
      <c r="T359" s="220"/>
      <c r="U359" s="220"/>
      <c r="V359" s="220"/>
      <c r="W359" s="220"/>
      <c r="X359" s="220"/>
      <c r="Y359" s="220"/>
      <c r="Z359" s="220"/>
      <c r="AA359" s="57"/>
      <c r="AB359" s="57"/>
      <c r="AC359" s="57"/>
      <c r="AD359" s="57"/>
      <c r="AE359" s="57"/>
      <c r="AF359" s="57"/>
      <c r="AG359" s="57"/>
      <c r="AH359" s="57"/>
      <c r="AI359" s="57"/>
      <c r="AJ359" s="57"/>
      <c r="AK359" s="57"/>
      <c r="AL359" s="57"/>
      <c r="AM359" s="57"/>
      <c r="AN359" s="57"/>
      <c r="AO359" s="57"/>
      <c r="AP359" s="57"/>
      <c r="AQ359" s="57"/>
      <c r="AR359" s="25"/>
    </row>
    <row r="360" customFormat="false" ht="13.5" hidden="false" customHeight="false" outlineLevel="0" collapsed="false">
      <c r="A360" s="3"/>
      <c r="B360" s="2" t="s">
        <v>209</v>
      </c>
      <c r="C360" s="3"/>
      <c r="D360" s="3"/>
      <c r="E360" s="3"/>
      <c r="F360" s="3"/>
      <c r="G360" s="218" t="n">
        <f aca="false">+G358-G356</f>
        <v>0</v>
      </c>
      <c r="H360" s="220"/>
      <c r="I360" s="220"/>
      <c r="J360" s="220"/>
      <c r="K360" s="220"/>
      <c r="L360" s="220"/>
      <c r="M360" s="220"/>
      <c r="N360" s="220"/>
      <c r="O360" s="220"/>
      <c r="P360" s="220"/>
      <c r="Q360" s="220"/>
      <c r="R360" s="220"/>
      <c r="S360" s="220"/>
      <c r="T360" s="220"/>
      <c r="U360" s="220"/>
      <c r="V360" s="220"/>
      <c r="W360" s="220"/>
      <c r="X360" s="220"/>
      <c r="Y360" s="220"/>
      <c r="Z360" s="220"/>
      <c r="AA360" s="57"/>
      <c r="AB360" s="57"/>
      <c r="AC360" s="57"/>
      <c r="AD360" s="57"/>
      <c r="AE360" s="57"/>
      <c r="AF360" s="57"/>
      <c r="AG360" s="57"/>
      <c r="AH360" s="57"/>
      <c r="AI360" s="57"/>
      <c r="AJ360" s="57"/>
      <c r="AK360" s="57"/>
      <c r="AL360" s="57"/>
      <c r="AM360" s="57"/>
      <c r="AN360" s="57"/>
      <c r="AO360" s="57"/>
      <c r="AP360" s="57"/>
      <c r="AQ360" s="57"/>
      <c r="AR360" s="25"/>
    </row>
    <row r="361" customFormat="false" ht="12.75" hidden="false" customHeight="false" outlineLevel="0" collapsed="false">
      <c r="A361" s="3"/>
      <c r="B361" s="3"/>
      <c r="C361" s="3"/>
      <c r="D361" s="3"/>
      <c r="E361" s="3"/>
      <c r="F361" s="3"/>
      <c r="G361" s="3"/>
      <c r="H361" s="220"/>
      <c r="I361" s="220"/>
      <c r="J361" s="220"/>
      <c r="K361" s="220"/>
      <c r="L361" s="220"/>
      <c r="M361" s="220"/>
      <c r="N361" s="220"/>
      <c r="O361" s="220"/>
      <c r="P361" s="220"/>
      <c r="Q361" s="220"/>
      <c r="R361" s="220"/>
      <c r="S361" s="220"/>
      <c r="T361" s="220"/>
      <c r="U361" s="220"/>
      <c r="V361" s="220"/>
      <c r="W361" s="220"/>
      <c r="X361" s="220"/>
      <c r="Y361" s="220"/>
      <c r="Z361" s="220"/>
      <c r="AA361" s="57"/>
      <c r="AB361" s="57"/>
      <c r="AC361" s="57"/>
      <c r="AD361" s="57"/>
      <c r="AE361" s="57"/>
      <c r="AF361" s="57"/>
      <c r="AG361" s="57"/>
      <c r="AH361" s="57"/>
      <c r="AI361" s="57"/>
      <c r="AJ361" s="57"/>
      <c r="AK361" s="57"/>
      <c r="AL361" s="57"/>
      <c r="AM361" s="57"/>
      <c r="AN361" s="57"/>
      <c r="AO361" s="57"/>
      <c r="AP361" s="57"/>
      <c r="AQ361" s="57"/>
      <c r="AR361" s="25"/>
    </row>
    <row r="362" customFormat="false" ht="12.75" hidden="false" customHeight="false" outlineLevel="0" collapsed="false">
      <c r="A362" s="3"/>
      <c r="B362" s="48" t="s">
        <v>203</v>
      </c>
      <c r="C362" s="3"/>
      <c r="D362" s="3"/>
      <c r="E362" s="3"/>
      <c r="F362" s="3"/>
      <c r="G362" s="3"/>
      <c r="H362" s="143"/>
      <c r="I362" s="220"/>
      <c r="J362" s="220"/>
      <c r="K362" s="220"/>
      <c r="L362" s="220"/>
      <c r="M362" s="220"/>
      <c r="N362" s="220"/>
      <c r="O362" s="220"/>
      <c r="P362" s="220"/>
      <c r="Q362" s="220"/>
      <c r="R362" s="220"/>
      <c r="S362" s="220"/>
      <c r="T362" s="220"/>
      <c r="U362" s="220"/>
      <c r="V362" s="220"/>
      <c r="W362" s="220"/>
      <c r="X362" s="220"/>
      <c r="Y362" s="220"/>
      <c r="Z362" s="220"/>
      <c r="AA362" s="57"/>
      <c r="AB362" s="57"/>
      <c r="AC362" s="57"/>
      <c r="AD362" s="57"/>
      <c r="AE362" s="57"/>
      <c r="AF362" s="57"/>
      <c r="AG362" s="57"/>
      <c r="AH362" s="57"/>
      <c r="AI362" s="57"/>
      <c r="AJ362" s="57"/>
      <c r="AK362" s="57"/>
      <c r="AL362" s="57"/>
      <c r="AM362" s="57"/>
      <c r="AN362" s="57"/>
      <c r="AO362" s="57"/>
      <c r="AP362" s="57"/>
      <c r="AQ362" s="57"/>
      <c r="AR362" s="25"/>
    </row>
    <row r="363" customFormat="false" ht="12.75" hidden="false" customHeight="false" outlineLevel="0" collapsed="false">
      <c r="A363" s="3"/>
      <c r="B363" s="2" t="s">
        <v>210</v>
      </c>
      <c r="C363" s="3"/>
      <c r="D363" s="3"/>
      <c r="E363" s="3"/>
      <c r="F363" s="3"/>
      <c r="G363" s="3"/>
      <c r="H363" s="134" t="n">
        <f aca="false">SUM(H$168:H$173)</f>
        <v>54391.4564003545</v>
      </c>
      <c r="I363" s="134" t="n">
        <f aca="false">SUM(I$168:I$173)</f>
        <v>51674.5016303465</v>
      </c>
      <c r="J363" s="134" t="n">
        <f aca="false">SUM(J$168:J$173)</f>
        <v>52822.0622361765</v>
      </c>
      <c r="K363" s="134" t="n">
        <f aca="false">SUM(K$168:K$173)</f>
        <v>58851.5866933154</v>
      </c>
      <c r="L363" s="134" t="n">
        <f aca="false">SUM(L$168:L$173)</f>
        <v>58142.7586980523</v>
      </c>
      <c r="M363" s="134" t="n">
        <f aca="false">SUM(M$168:M$173)</f>
        <v>60697.248129781</v>
      </c>
      <c r="N363" s="134" t="n">
        <f aca="false">SUM(N$168:N$173)</f>
        <v>60459.57855207</v>
      </c>
      <c r="O363" s="134" t="n">
        <f aca="false">SUM(O$168:O$173)</f>
        <v>53446.6503636859</v>
      </c>
      <c r="P363" s="134" t="n">
        <f aca="false">SUM(P$168:P$173)</f>
        <v>53002.3744573083</v>
      </c>
      <c r="Q363" s="134" t="n">
        <f aca="false">SUM(Q$168:Q$173)</f>
        <v>62473.375915672</v>
      </c>
      <c r="R363" s="134" t="n">
        <f aca="false">SUM(R$168:R$173)</f>
        <v>57066.8788099471</v>
      </c>
      <c r="S363" s="134" t="n">
        <f aca="false">SUM(S$168:S$173)</f>
        <v>58701.5220865582</v>
      </c>
      <c r="T363" s="134" t="n">
        <f aca="false">SUM(T$168:T$173)</f>
        <v>66744.1706256872</v>
      </c>
      <c r="U363" s="134" t="n">
        <f aca="false">SUM(U$168:U$173)</f>
        <v>61756.6726470493</v>
      </c>
      <c r="V363" s="134" t="n">
        <f aca="false">SUM(V$168:V$173)</f>
        <v>61640.2457557732</v>
      </c>
      <c r="W363" s="134" t="n">
        <f aca="false">SUM(W$168:W$173)</f>
        <v>66897.3514569863</v>
      </c>
      <c r="X363" s="134" t="n">
        <f aca="false">SUM(X$168:X$173)</f>
        <v>65619.3136664042</v>
      </c>
      <c r="Y363" s="134" t="n">
        <f aca="false">SUM(Y$168:Y$173)</f>
        <v>67099.3349398117</v>
      </c>
      <c r="Z363" s="134" t="n">
        <f aca="false">SUM(Z$168:Z$173)</f>
        <v>76426.2883130366</v>
      </c>
      <c r="AA363" s="94" t="n">
        <f aca="false">SUM(AA$168:AA$173)</f>
        <v>71866.2291164918</v>
      </c>
      <c r="AB363" s="94" t="n">
        <f aca="false">SUM(AB$168:AB$173)</f>
        <v>72338.6899509131</v>
      </c>
      <c r="AC363" s="94" t="n">
        <f aca="false">SUM(AC$168:AC$173)</f>
        <v>77652.018903887</v>
      </c>
      <c r="AD363" s="94" t="n">
        <f aca="false">SUM(AD$168:AD$173)</f>
        <v>76461.3656336432</v>
      </c>
      <c r="AE363" s="94" t="n">
        <f aca="false">SUM(AE$168:AE$173)</f>
        <v>78721.9236235374</v>
      </c>
      <c r="AF363" s="94" t="n">
        <f aca="false">SUM(AF$168:AF$173)</f>
        <v>88238.9538167038</v>
      </c>
      <c r="AG363" s="94" t="n">
        <f aca="false">SUM(AG$168:AG$173)</f>
        <v>82943.3179229124</v>
      </c>
      <c r="AH363" s="94" t="n">
        <f aca="false">SUM(AH$168:AH$173)</f>
        <v>83850.6610956688</v>
      </c>
      <c r="AI363" s="94" t="n">
        <f aca="false">SUM(AI$168:AI$173)</f>
        <v>89774.8355804284</v>
      </c>
      <c r="AJ363" s="94" t="n">
        <f aca="false">SUM(AJ$168:AJ$173)</f>
        <v>88621.782984547</v>
      </c>
      <c r="AK363" s="94" t="n">
        <f aca="false">SUM(AK$168:AK$173)</f>
        <v>91038.6087243754</v>
      </c>
      <c r="AL363" s="94" t="n">
        <f aca="false">SUM(AL$168:AL$173)</f>
        <v>101288.214854066</v>
      </c>
      <c r="AM363" s="94" t="n">
        <f aca="false">SUM(AM$168:AM$173)</f>
        <v>96370.5415245197</v>
      </c>
      <c r="AN363" s="94" t="n">
        <f aca="false">SUM(AN$168:AN$173)</f>
        <v>97381.7225372211</v>
      </c>
      <c r="AO363" s="94" t="n">
        <f aca="false">SUM(AO$168:AO$173)</f>
        <v>103573.96487511</v>
      </c>
      <c r="AP363" s="94" t="n">
        <f aca="false">SUM(AP$168:AP$173)</f>
        <v>102919.893179758</v>
      </c>
      <c r="AQ363" s="94" t="n">
        <f aca="false">SUM(AQ$168:AQ$173)</f>
        <v>105987.920735764</v>
      </c>
      <c r="AR363" s="25"/>
    </row>
    <row r="364" customFormat="false" ht="12.75" hidden="false" customHeight="false" outlineLevel="0" collapsed="false">
      <c r="A364" s="3"/>
      <c r="B364" s="2" t="s">
        <v>148</v>
      </c>
      <c r="C364" s="3"/>
      <c r="D364" s="3"/>
      <c r="E364" s="3"/>
      <c r="F364" s="3"/>
      <c r="G364" s="159" t="n">
        <f aca="false">-$G$181</f>
        <v>6888</v>
      </c>
      <c r="H364" s="134" t="n">
        <f aca="false">+H$175-H$220-H$221</f>
        <v>22034.0297564955</v>
      </c>
      <c r="I364" s="134" t="n">
        <f aca="false">+I$175-I$220-I$221</f>
        <v>22034.0297564955</v>
      </c>
      <c r="J364" s="134" t="n">
        <f aca="false">+J$175-J$220-J$221</f>
        <v>22034.0297564955</v>
      </c>
      <c r="K364" s="134" t="n">
        <f aca="false">+K$175-K$220-K$221</f>
        <v>22034.0297564955</v>
      </c>
      <c r="L364" s="134" t="n">
        <f aca="false">+L$175-L$220-L$221</f>
        <v>22034.0297564955</v>
      </c>
      <c r="M364" s="134" t="n">
        <f aca="false">+M$175-M$220-M$221</f>
        <v>22034.0297564955</v>
      </c>
      <c r="N364" s="134" t="n">
        <f aca="false">+N$175-N$220-N$221</f>
        <v>22034.0297564956</v>
      </c>
      <c r="O364" s="134" t="n">
        <f aca="false">+O$175-O$220-O$221</f>
        <v>22034.0297564955</v>
      </c>
      <c r="P364" s="134" t="n">
        <f aca="false">+P$175-P$220-P$221</f>
        <v>22034.0297564955</v>
      </c>
      <c r="Q364" s="134" t="n">
        <f aca="false">+Q$175-Q$220-Q$221</f>
        <v>22034.0297564955</v>
      </c>
      <c r="R364" s="134" t="n">
        <f aca="false">+R$175-R$220-R$221</f>
        <v>22034.0297564955</v>
      </c>
      <c r="S364" s="134" t="n">
        <f aca="false">+S$175-S$220-S$221</f>
        <v>22034.0297564956</v>
      </c>
      <c r="T364" s="134" t="n">
        <f aca="false">+T$175-T$220-T$221</f>
        <v>22034.0297564956</v>
      </c>
      <c r="U364" s="134" t="n">
        <f aca="false">+U$175-U$220-U$221</f>
        <v>22034.0297564955</v>
      </c>
      <c r="V364" s="134" t="n">
        <f aca="false">+V$175-V$220-V$221</f>
        <v>22034.0297564955</v>
      </c>
      <c r="W364" s="134" t="n">
        <f aca="false">+W$175-W$220-W$221</f>
        <v>22034.0297564955</v>
      </c>
      <c r="X364" s="134" t="n">
        <f aca="false">+X$175-X$220-X$221</f>
        <v>22034.0297564955</v>
      </c>
      <c r="Y364" s="134" t="n">
        <f aca="false">+Y$175-Y$220-Y$221</f>
        <v>22034.0297564955</v>
      </c>
      <c r="Z364" s="134" t="n">
        <f aca="false">+Z$175-Z$220-Z$221</f>
        <v>22034.0297564955</v>
      </c>
      <c r="AA364" s="94" t="n">
        <f aca="false">+AA$175-AA$220-AA$221</f>
        <v>22034.0297564955</v>
      </c>
      <c r="AB364" s="94" t="n">
        <f aca="false">+AB$175-AB$220-AB$221</f>
        <v>22034.0297564955</v>
      </c>
      <c r="AC364" s="94" t="n">
        <f aca="false">+AC$175-AC$220-AC$221</f>
        <v>22034.0297564955</v>
      </c>
      <c r="AD364" s="94" t="n">
        <f aca="false">+AD$175-AD$220-AD$221</f>
        <v>22034.0297564955</v>
      </c>
      <c r="AE364" s="94" t="n">
        <f aca="false">+AE$175-AE$220-AE$221</f>
        <v>22034.0297564955</v>
      </c>
      <c r="AF364" s="94" t="n">
        <f aca="false">+AF$175-AF$220-AF$221</f>
        <v>22034.0297564955</v>
      </c>
      <c r="AG364" s="94" t="n">
        <f aca="false">+AG$175-AG$220-AG$221</f>
        <v>0</v>
      </c>
      <c r="AH364" s="94" t="n">
        <f aca="false">+AH$175-AH$220-AH$221</f>
        <v>0</v>
      </c>
      <c r="AI364" s="94" t="n">
        <f aca="false">+AI$175-AI$220-AI$221</f>
        <v>0</v>
      </c>
      <c r="AJ364" s="94" t="n">
        <f aca="false">+AJ$175-AJ$220-AJ$221</f>
        <v>0</v>
      </c>
      <c r="AK364" s="94" t="n">
        <f aca="false">+AK$175-AK$220-AK$221</f>
        <v>0</v>
      </c>
      <c r="AL364" s="94" t="n">
        <f aca="false">+AL$175-AL$220-AL$221</f>
        <v>0</v>
      </c>
      <c r="AM364" s="94" t="n">
        <f aca="false">+AM$175-AM$220-AM$221</f>
        <v>0</v>
      </c>
      <c r="AN364" s="94" t="n">
        <f aca="false">+AN$175-AN$220-AN$221</f>
        <v>0</v>
      </c>
      <c r="AO364" s="94" t="n">
        <f aca="false">+AO$175-AO$220-AO$221</f>
        <v>0</v>
      </c>
      <c r="AP364" s="94" t="n">
        <f aca="false">+AP$175-AP$220-AP$221</f>
        <v>0</v>
      </c>
      <c r="AQ364" s="94" t="n">
        <f aca="false">+AQ$175-AQ$220-AQ$221</f>
        <v>0</v>
      </c>
      <c r="AR364" s="25"/>
    </row>
    <row r="365" customFormat="false" ht="13.5" hidden="false" customHeight="false" outlineLevel="0" collapsed="false">
      <c r="A365" s="3"/>
      <c r="B365" s="2" t="s">
        <v>211</v>
      </c>
      <c r="C365" s="3"/>
      <c r="D365" s="3"/>
      <c r="E365" s="3"/>
      <c r="F365" s="3"/>
      <c r="G365" s="3"/>
      <c r="H365" s="134" t="n">
        <f aca="false">+H355</f>
        <v>17353.7092295557</v>
      </c>
      <c r="I365" s="149" t="n">
        <f aca="false">+I355</f>
        <v>17353.7092295557</v>
      </c>
      <c r="J365" s="149" t="n">
        <f aca="false">+J355</f>
        <v>17353.7092295557</v>
      </c>
      <c r="K365" s="149" t="n">
        <f aca="false">+K355</f>
        <v>17401.2536384038</v>
      </c>
      <c r="L365" s="149" t="n">
        <f aca="false">+L355</f>
        <v>17353.7092295557</v>
      </c>
      <c r="M365" s="149" t="n">
        <f aca="false">+M355</f>
        <v>17353.7092295557</v>
      </c>
      <c r="N365" s="149" t="n">
        <f aca="false">+N355</f>
        <v>17353.7092295557</v>
      </c>
      <c r="O365" s="149" t="n">
        <f aca="false">+O355</f>
        <v>17401.2536384038</v>
      </c>
      <c r="P365" s="149" t="n">
        <f aca="false">+P355</f>
        <v>17353.7092295557</v>
      </c>
      <c r="Q365" s="149" t="n">
        <f aca="false">+Q355</f>
        <v>17353.7092295557</v>
      </c>
      <c r="R365" s="149" t="n">
        <f aca="false">+R355</f>
        <v>17353.7092295557</v>
      </c>
      <c r="S365" s="149" t="n">
        <f aca="false">+S355</f>
        <v>17401.2536384038</v>
      </c>
      <c r="T365" s="149" t="n">
        <f aca="false">+T355</f>
        <v>17353.7092295557</v>
      </c>
      <c r="U365" s="149" t="n">
        <f aca="false">+U355</f>
        <v>0</v>
      </c>
      <c r="V365" s="149" t="n">
        <f aca="false">+V355</f>
        <v>0</v>
      </c>
      <c r="W365" s="149" t="n">
        <f aca="false">+W355</f>
        <v>0</v>
      </c>
      <c r="X365" s="149" t="n">
        <f aca="false">+X355</f>
        <v>0</v>
      </c>
      <c r="Y365" s="149" t="n">
        <f aca="false">+Y355</f>
        <v>0</v>
      </c>
      <c r="Z365" s="149" t="n">
        <f aca="false">+Z355</f>
        <v>0</v>
      </c>
      <c r="AA365" s="219" t="n">
        <f aca="false">+AA355</f>
        <v>0</v>
      </c>
      <c r="AB365" s="219" t="n">
        <f aca="false">+AB355</f>
        <v>0</v>
      </c>
      <c r="AC365" s="219" t="n">
        <f aca="false">+AC355</f>
        <v>0</v>
      </c>
      <c r="AD365" s="219" t="n">
        <f aca="false">+AD355</f>
        <v>0</v>
      </c>
      <c r="AE365" s="219" t="n">
        <f aca="false">+AE355</f>
        <v>0</v>
      </c>
      <c r="AF365" s="219" t="n">
        <f aca="false">+AF355</f>
        <v>0</v>
      </c>
      <c r="AG365" s="219" t="n">
        <f aca="false">+AG355</f>
        <v>0</v>
      </c>
      <c r="AH365" s="219" t="n">
        <f aca="false">+AH355</f>
        <v>0</v>
      </c>
      <c r="AI365" s="219" t="n">
        <f aca="false">+AI355</f>
        <v>0</v>
      </c>
      <c r="AJ365" s="219" t="n">
        <f aca="false">+AJ355</f>
        <v>0</v>
      </c>
      <c r="AK365" s="219" t="n">
        <f aca="false">+AK355</f>
        <v>0</v>
      </c>
      <c r="AL365" s="219" t="n">
        <f aca="false">+AL355</f>
        <v>0</v>
      </c>
      <c r="AM365" s="219" t="n">
        <f aca="false">+AM355</f>
        <v>0</v>
      </c>
      <c r="AN365" s="219" t="n">
        <f aca="false">+AN355</f>
        <v>0</v>
      </c>
      <c r="AO365" s="219" t="n">
        <f aca="false">+AO355</f>
        <v>0</v>
      </c>
      <c r="AP365" s="219" t="n">
        <f aca="false">+AP355</f>
        <v>0</v>
      </c>
      <c r="AQ365" s="219" t="n">
        <f aca="false">+AQ355</f>
        <v>0</v>
      </c>
      <c r="AR365" s="25"/>
    </row>
    <row r="366" customFormat="false" ht="13.5" hidden="false" customHeight="false" outlineLevel="0" collapsed="false">
      <c r="A366" s="3"/>
      <c r="B366" s="2" t="s">
        <v>51</v>
      </c>
      <c r="C366" s="2"/>
      <c r="D366" s="3"/>
      <c r="E366" s="2"/>
      <c r="F366" s="3"/>
      <c r="G366" s="213" t="n">
        <f aca="false">SUM(G363:G365)</f>
        <v>6888</v>
      </c>
      <c r="H366" s="92" t="n">
        <f aca="false">SUM(H363:H365)</f>
        <v>93779.1953864057</v>
      </c>
      <c r="I366" s="92" t="n">
        <f aca="false">SUM(I363:I365)</f>
        <v>91062.2406163977</v>
      </c>
      <c r="J366" s="92" t="n">
        <f aca="false">SUM(J363:J365)</f>
        <v>92209.8012222278</v>
      </c>
      <c r="K366" s="92" t="n">
        <f aca="false">SUM(K363:K365)</f>
        <v>98286.8700882147</v>
      </c>
      <c r="L366" s="92" t="n">
        <f aca="false">SUM(L363:L365)</f>
        <v>97530.4976841035</v>
      </c>
      <c r="M366" s="92" t="n">
        <f aca="false">SUM(M363:M365)</f>
        <v>100084.987115832</v>
      </c>
      <c r="N366" s="92" t="n">
        <f aca="false">SUM(N363:N365)</f>
        <v>99847.3175381212</v>
      </c>
      <c r="O366" s="92" t="n">
        <f aca="false">SUM(O363:O365)</f>
        <v>92881.9337585852</v>
      </c>
      <c r="P366" s="92" t="n">
        <f aca="false">SUM(P363:P365)</f>
        <v>92390.1134433595</v>
      </c>
      <c r="Q366" s="92" t="n">
        <f aca="false">SUM(Q363:Q365)</f>
        <v>101861.114901723</v>
      </c>
      <c r="R366" s="92" t="n">
        <f aca="false">SUM(R363:R365)</f>
        <v>96454.6177959984</v>
      </c>
      <c r="S366" s="92" t="n">
        <f aca="false">SUM(S363:S365)</f>
        <v>98136.8054814575</v>
      </c>
      <c r="T366" s="92" t="n">
        <f aca="false">SUM(T363:T365)</f>
        <v>106131.909611738</v>
      </c>
      <c r="U366" s="92" t="n">
        <f aca="false">SUM(U363:U365)</f>
        <v>83790.7024035449</v>
      </c>
      <c r="V366" s="92" t="n">
        <f aca="false">SUM(V363:V365)</f>
        <v>83674.2755122687</v>
      </c>
      <c r="W366" s="92" t="n">
        <f aca="false">SUM(W363:W365)</f>
        <v>88931.3812134818</v>
      </c>
      <c r="X366" s="92" t="n">
        <f aca="false">SUM(X363:X365)</f>
        <v>87653.3434228998</v>
      </c>
      <c r="Y366" s="92" t="n">
        <f aca="false">SUM(Y363:Y365)</f>
        <v>89133.3646963073</v>
      </c>
      <c r="Z366" s="93" t="n">
        <f aca="false">SUM(Z363:Z365)</f>
        <v>98460.3180695322</v>
      </c>
      <c r="AA366" s="94" t="n">
        <f aca="false">SUM(AA363:AA365)</f>
        <v>93900.2588729874</v>
      </c>
      <c r="AB366" s="94" t="n">
        <f aca="false">SUM(AB363:AB365)</f>
        <v>94372.7197074087</v>
      </c>
      <c r="AC366" s="94" t="n">
        <f aca="false">SUM(AC363:AC365)</f>
        <v>99686.0486603825</v>
      </c>
      <c r="AD366" s="94" t="n">
        <f aca="false">SUM(AD363:AD365)</f>
        <v>98495.3953901387</v>
      </c>
      <c r="AE366" s="94" t="n">
        <f aca="false">SUM(AE363:AE365)</f>
        <v>100755.953380033</v>
      </c>
      <c r="AF366" s="94" t="n">
        <f aca="false">SUM(AF363:AF365)</f>
        <v>110272.983573199</v>
      </c>
      <c r="AG366" s="94" t="n">
        <f aca="false">SUM(AG363:AG365)</f>
        <v>82943.3179229124</v>
      </c>
      <c r="AH366" s="94" t="n">
        <f aca="false">SUM(AH363:AH365)</f>
        <v>83850.6610956688</v>
      </c>
      <c r="AI366" s="94" t="n">
        <f aca="false">SUM(AI363:AI365)</f>
        <v>89774.8355804284</v>
      </c>
      <c r="AJ366" s="94" t="n">
        <f aca="false">SUM(AJ363:AJ365)</f>
        <v>88621.782984547</v>
      </c>
      <c r="AK366" s="94" t="n">
        <f aca="false">SUM(AK363:AK365)</f>
        <v>91038.6087243754</v>
      </c>
      <c r="AL366" s="94" t="n">
        <f aca="false">SUM(AL363:AL365)</f>
        <v>101288.214854066</v>
      </c>
      <c r="AM366" s="94" t="n">
        <f aca="false">SUM(AM363:AM365)</f>
        <v>96370.5415245197</v>
      </c>
      <c r="AN366" s="94" t="n">
        <f aca="false">SUM(AN363:AN365)</f>
        <v>97381.7225372211</v>
      </c>
      <c r="AO366" s="94" t="n">
        <f aca="false">SUM(AO363:AO365)</f>
        <v>103573.96487511</v>
      </c>
      <c r="AP366" s="94" t="n">
        <f aca="false">SUM(AP363:AP365)</f>
        <v>102919.893179758</v>
      </c>
      <c r="AQ366" s="94" t="n">
        <f aca="false">SUM(AQ363:AQ365)</f>
        <v>105987.920735764</v>
      </c>
      <c r="AR366" s="25"/>
    </row>
    <row r="367" customFormat="false" ht="13.5" hidden="false" customHeight="false" outlineLevel="0" collapsed="false">
      <c r="A367" s="3"/>
      <c r="B367" s="95" t="str">
        <f aca="false">CONCATENATE("NPV ",+$E$16*100," of Cf to Term (2036)")</f>
        <v>NPV 6.25 of Cf to Term (2036)</v>
      </c>
      <c r="C367" s="2"/>
      <c r="D367" s="3"/>
      <c r="E367" s="3"/>
      <c r="F367" s="3"/>
      <c r="G367" s="199" t="n">
        <f aca="false">SUMPRODUCT(G$16:AQ$16,G366:AQ366)</f>
        <v>1356468.55035363</v>
      </c>
      <c r="H367" s="157" t="str">
        <f aca="false">CONCATENATE(" = ",DOLLAR($G$303-G367,0)," in Savings or a ",ROUND(($G$303-G367)/$G$91,2)*100,"% Reduction in Stranded Investment")</f>
        <v> = $128,158 in Savings or a 43% Reduction in Stranded Investment</v>
      </c>
      <c r="I367" s="200"/>
      <c r="J367" s="200"/>
      <c r="K367" s="200"/>
      <c r="L367" s="200"/>
      <c r="M367" s="201"/>
      <c r="N367" s="220"/>
      <c r="O367" s="220"/>
      <c r="P367" s="220"/>
      <c r="Q367" s="220"/>
      <c r="R367" s="220"/>
      <c r="S367" s="220"/>
      <c r="T367" s="220"/>
      <c r="U367" s="220"/>
      <c r="V367" s="220"/>
      <c r="W367" s="220"/>
      <c r="X367" s="220"/>
      <c r="Y367" s="220"/>
      <c r="Z367" s="220"/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  <c r="AK367" s="57"/>
      <c r="AL367" s="57"/>
      <c r="AM367" s="57"/>
      <c r="AN367" s="57"/>
      <c r="AO367" s="57"/>
      <c r="AP367" s="57"/>
      <c r="AQ367" s="57"/>
      <c r="AR367" s="25"/>
    </row>
    <row r="368" customFormat="false" ht="12.75" hidden="false" customHeight="false" outlineLevel="0" collapsed="false">
      <c r="A368" s="3"/>
      <c r="B368" s="3"/>
      <c r="C368" s="3"/>
      <c r="D368" s="3"/>
      <c r="E368" s="3"/>
      <c r="F368" s="3"/>
      <c r="G368" s="159"/>
      <c r="H368" s="220"/>
      <c r="I368" s="220"/>
      <c r="J368" s="220"/>
      <c r="K368" s="220"/>
      <c r="L368" s="220"/>
      <c r="M368" s="220"/>
      <c r="N368" s="220"/>
      <c r="O368" s="220"/>
      <c r="P368" s="220"/>
      <c r="Q368" s="220"/>
      <c r="R368" s="220"/>
      <c r="S368" s="220"/>
      <c r="T368" s="220"/>
      <c r="U368" s="220"/>
      <c r="V368" s="220"/>
      <c r="W368" s="220"/>
      <c r="X368" s="220"/>
      <c r="Y368" s="220"/>
      <c r="Z368" s="220"/>
      <c r="AA368" s="57"/>
      <c r="AB368" s="57"/>
      <c r="AC368" s="57"/>
      <c r="AD368" s="57"/>
      <c r="AE368" s="57"/>
      <c r="AF368" s="57"/>
      <c r="AG368" s="57"/>
      <c r="AH368" s="57"/>
      <c r="AI368" s="57"/>
      <c r="AJ368" s="57"/>
      <c r="AK368" s="57"/>
      <c r="AL368" s="57"/>
      <c r="AM368" s="57"/>
      <c r="AN368" s="57"/>
      <c r="AO368" s="57"/>
      <c r="AP368" s="57"/>
      <c r="AQ368" s="57"/>
      <c r="AR368" s="25"/>
    </row>
    <row r="369" customFormat="false" ht="12.75" hidden="false" customHeight="false" outlineLevel="0" collapsed="false">
      <c r="A369" s="192"/>
      <c r="B369" s="48" t="str">
        <f aca="false">+A350</f>
        <v>Market (Index) Plus Power Exchange on Full Output</v>
      </c>
      <c r="C369" s="2"/>
      <c r="D369" s="202"/>
      <c r="E369" s="3"/>
      <c r="F369" s="3"/>
      <c r="G369" s="66" t="s">
        <v>28</v>
      </c>
      <c r="H369" s="65" t="n">
        <f aca="false">+H366/H$25*1000</f>
        <v>48.2485469676756</v>
      </c>
      <c r="I369" s="65" t="n">
        <f aca="false">+I366/I$25*1000</f>
        <v>46.8506983372876</v>
      </c>
      <c r="J369" s="65" t="n">
        <f aca="false">+J366/J$25*1000</f>
        <v>47.4411078791962</v>
      </c>
      <c r="K369" s="65" t="n">
        <f aca="false">+K366/K$25*1000</f>
        <v>50.4295416623027</v>
      </c>
      <c r="L369" s="65" t="n">
        <f aca="false">+L366/L$25*1000</f>
        <v>50.1785580362783</v>
      </c>
      <c r="M369" s="65" t="n">
        <f aca="false">+M366/M$25*1000</f>
        <v>51.4928197210514</v>
      </c>
      <c r="N369" s="65" t="n">
        <f aca="false">+N366/N$25*1000</f>
        <v>51.3705408751333</v>
      </c>
      <c r="O369" s="65" t="n">
        <f aca="false">+O366/O$25*1000</f>
        <v>47.656348645041</v>
      </c>
      <c r="P369" s="65" t="n">
        <f aca="false">+P366/P$25*1000</f>
        <v>47.5338768844566</v>
      </c>
      <c r="Q369" s="65" t="n">
        <f aca="false">+Q366/Q$25*1000</f>
        <v>52.4066213861761</v>
      </c>
      <c r="R369" s="65" t="n">
        <f aca="false">+R366/R$25*1000</f>
        <v>49.6250275746559</v>
      </c>
      <c r="S369" s="65" t="n">
        <f aca="false">+S366/S$25*1000</f>
        <v>50.3525457285457</v>
      </c>
      <c r="T369" s="65" t="n">
        <f aca="false">+T366/T$25*1000</f>
        <v>54.6039065975327</v>
      </c>
      <c r="U369" s="65" t="n">
        <f aca="false">+U366/U$25*1000</f>
        <v>43.1095577618702</v>
      </c>
      <c r="V369" s="65" t="n">
        <f aca="false">+V366/V$25*1000</f>
        <v>43.0496571804151</v>
      </c>
      <c r="W369" s="65" t="n">
        <f aca="false">+W366/W$25*1000</f>
        <v>45.6293784710636</v>
      </c>
      <c r="X369" s="65" t="n">
        <f aca="false">+X366/X$25*1000</f>
        <v>45.0968515947263</v>
      </c>
      <c r="Y369" s="65" t="n">
        <f aca="false">+Y366/Y$25*1000</f>
        <v>45.8583091400692</v>
      </c>
      <c r="Z369" s="65" t="n">
        <f aca="false">+Z366/Z$25*1000</f>
        <v>50.6569422061681</v>
      </c>
      <c r="AA369" s="65" t="n">
        <f aca="false">+AA366/AA$25*1000</f>
        <v>48.1788362238644</v>
      </c>
      <c r="AB369" s="65" t="n">
        <f aca="false">+AB366/AB$25*1000</f>
        <v>48.5539098571777</v>
      </c>
      <c r="AC369" s="65" t="n">
        <f aca="false">+AC366/AC$25*1000</f>
        <v>51.2875694976338</v>
      </c>
      <c r="AD369" s="65" t="n">
        <f aca="false">+AD366/AD$25*1000</f>
        <v>50.674989170037</v>
      </c>
      <c r="AE369" s="65" t="n">
        <f aca="false">+AE366/AE$25*1000</f>
        <v>51.6963918389407</v>
      </c>
      <c r="AF369" s="65" t="n">
        <f aca="false">+AF366/AF$25*1000</f>
        <v>56.7344516582246</v>
      </c>
      <c r="AG369" s="65" t="n">
        <f aca="false">+AG366/AG$25*1000</f>
        <v>42.6735861186393</v>
      </c>
      <c r="AH369" s="65" t="n">
        <f aca="false">+AH366/AH$25*1000</f>
        <v>43.1404059661136</v>
      </c>
      <c r="AI369" s="65" t="n">
        <f aca="false">+AI366/AI$25*1000</f>
        <v>46.0621424516442</v>
      </c>
      <c r="AJ369" s="65" t="n">
        <f aca="false">+AJ366/AJ$25*1000</f>
        <v>45.59510498113</v>
      </c>
      <c r="AK369" s="65" t="n">
        <f aca="false">+AK366/AK$25*1000</f>
        <v>46.8385399428007</v>
      </c>
      <c r="AL369" s="65" t="n">
        <f aca="false">+AL366/AL$25*1000</f>
        <v>52.1118694985821</v>
      </c>
      <c r="AM369" s="65" t="n">
        <f aca="false">+AM366/AM$25*1000</f>
        <v>49.4463017742609</v>
      </c>
      <c r="AN369" s="65" t="n">
        <f aca="false">+AN366/AN$25*1000</f>
        <v>50.1020145701886</v>
      </c>
      <c r="AO369" s="65" t="n">
        <f aca="false">+AO366/AO$25*1000</f>
        <v>53.2878671896725</v>
      </c>
      <c r="AP369" s="65" t="n">
        <f aca="false">+AP366/AP$25*1000</f>
        <v>52.951353224252</v>
      </c>
      <c r="AQ369" s="65" t="n">
        <f aca="false">+AQ366/AQ$25*1000</f>
        <v>54.3808370298886</v>
      </c>
      <c r="AR369" s="25"/>
    </row>
    <row r="370" customFormat="false" ht="12.75" hidden="false" customHeight="false" outlineLevel="0" collapsed="false">
      <c r="A370" s="3"/>
      <c r="B370" s="3"/>
      <c r="C370" s="3"/>
      <c r="D370" s="3"/>
      <c r="E370" s="3"/>
      <c r="F370" s="3"/>
      <c r="G370" s="159"/>
      <c r="H370" s="220"/>
      <c r="I370" s="220"/>
      <c r="J370" s="220"/>
      <c r="K370" s="220"/>
      <c r="L370" s="220"/>
      <c r="M370" s="220"/>
      <c r="N370" s="220"/>
      <c r="O370" s="220"/>
      <c r="P370" s="220"/>
      <c r="Q370" s="220"/>
      <c r="R370" s="220"/>
      <c r="S370" s="220"/>
      <c r="T370" s="220"/>
      <c r="U370" s="220"/>
      <c r="V370" s="220"/>
      <c r="W370" s="220"/>
      <c r="X370" s="220"/>
      <c r="Y370" s="220"/>
      <c r="Z370" s="220"/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  <c r="AK370" s="57"/>
      <c r="AL370" s="57"/>
      <c r="AM370" s="57"/>
      <c r="AN370" s="57"/>
      <c r="AO370" s="57"/>
      <c r="AP370" s="57"/>
      <c r="AQ370" s="57"/>
      <c r="AR370" s="25"/>
    </row>
    <row r="371" customFormat="false" ht="12.75" hidden="false" customHeight="false" outlineLevel="0" collapsed="false">
      <c r="A371" s="48" t="s">
        <v>212</v>
      </c>
      <c r="B371" s="3"/>
      <c r="C371" s="3"/>
      <c r="D371" s="3"/>
      <c r="E371" s="3"/>
      <c r="F371" s="3"/>
      <c r="G371" s="159"/>
      <c r="H371" s="220"/>
      <c r="I371" s="220"/>
      <c r="J371" s="220"/>
      <c r="K371" s="220"/>
      <c r="L371" s="220"/>
      <c r="M371" s="220"/>
      <c r="N371" s="220"/>
      <c r="O371" s="220"/>
      <c r="P371" s="220"/>
      <c r="Q371" s="220"/>
      <c r="R371" s="220"/>
      <c r="S371" s="220"/>
      <c r="T371" s="220"/>
      <c r="U371" s="220"/>
      <c r="V371" s="220"/>
      <c r="W371" s="220"/>
      <c r="X371" s="220"/>
      <c r="Y371" s="220"/>
      <c r="Z371" s="220"/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  <c r="AK371" s="57"/>
      <c r="AL371" s="57"/>
      <c r="AM371" s="57"/>
      <c r="AN371" s="57"/>
      <c r="AO371" s="57"/>
      <c r="AP371" s="57"/>
      <c r="AQ371" s="57"/>
      <c r="AR371" s="25"/>
    </row>
    <row r="372" customFormat="false" ht="12.75" hidden="false" customHeight="false" outlineLevel="0" collapsed="false">
      <c r="A372" s="3"/>
      <c r="B372" s="3"/>
      <c r="C372" s="3"/>
      <c r="D372" s="3"/>
      <c r="E372" s="3"/>
      <c r="F372" s="3"/>
      <c r="G372" s="159"/>
      <c r="H372" s="220"/>
      <c r="I372" s="220"/>
      <c r="J372" s="220"/>
      <c r="K372" s="220"/>
      <c r="L372" s="220"/>
      <c r="M372" s="220"/>
      <c r="N372" s="220"/>
      <c r="O372" s="220"/>
      <c r="P372" s="220"/>
      <c r="Q372" s="220"/>
      <c r="R372" s="220"/>
      <c r="S372" s="220"/>
      <c r="T372" s="220"/>
      <c r="U372" s="220"/>
      <c r="V372" s="220"/>
      <c r="W372" s="220"/>
      <c r="X372" s="220"/>
      <c r="Y372" s="220"/>
      <c r="Z372" s="220"/>
      <c r="AA372" s="57"/>
      <c r="AB372" s="57"/>
      <c r="AC372" s="57"/>
      <c r="AD372" s="57"/>
      <c r="AE372" s="57"/>
      <c r="AF372" s="57"/>
      <c r="AG372" s="57"/>
      <c r="AH372" s="57"/>
      <c r="AI372" s="57"/>
      <c r="AJ372" s="57"/>
      <c r="AK372" s="57"/>
      <c r="AL372" s="57"/>
      <c r="AM372" s="57"/>
      <c r="AN372" s="57"/>
      <c r="AO372" s="57"/>
      <c r="AP372" s="57"/>
      <c r="AQ372" s="57"/>
      <c r="AR372" s="25"/>
    </row>
    <row r="373" customFormat="false" ht="12.75" hidden="false" customHeight="false" outlineLevel="0" collapsed="false">
      <c r="A373" s="3"/>
      <c r="B373" s="48" t="s">
        <v>198</v>
      </c>
      <c r="C373" s="3"/>
      <c r="D373" s="3"/>
      <c r="E373" s="3"/>
      <c r="F373" s="3"/>
      <c r="G373" s="159"/>
      <c r="H373" s="220"/>
      <c r="I373" s="220"/>
      <c r="J373" s="220"/>
      <c r="K373" s="220"/>
      <c r="L373" s="220"/>
      <c r="M373" s="220"/>
      <c r="N373" s="220"/>
      <c r="O373" s="220"/>
      <c r="P373" s="220"/>
      <c r="Q373" s="220"/>
      <c r="R373" s="220"/>
      <c r="S373" s="220"/>
      <c r="T373" s="220"/>
      <c r="U373" s="220"/>
      <c r="V373" s="220"/>
      <c r="W373" s="220"/>
      <c r="X373" s="220"/>
      <c r="Y373" s="220"/>
      <c r="Z373" s="220"/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  <c r="AK373" s="57"/>
      <c r="AL373" s="57"/>
      <c r="AM373" s="57"/>
      <c r="AN373" s="57"/>
      <c r="AO373" s="57"/>
      <c r="AP373" s="57"/>
      <c r="AQ373" s="57"/>
      <c r="AR373" s="25"/>
    </row>
    <row r="374" customFormat="false" ht="12.75" hidden="false" customHeight="false" outlineLevel="0" collapsed="false">
      <c r="A374" s="3"/>
      <c r="B374" s="66" t="s">
        <v>213</v>
      </c>
      <c r="C374" s="3"/>
      <c r="D374" s="3"/>
      <c r="E374" s="3"/>
      <c r="F374" s="3"/>
      <c r="G374" s="159" t="s">
        <v>214</v>
      </c>
      <c r="H374" s="223" t="n">
        <v>45.8005678224575</v>
      </c>
      <c r="I374" s="224" t="n">
        <f aca="false">IF(+I$13&lt;=$G$376,+H374,0)</f>
        <v>45.8005678224575</v>
      </c>
      <c r="J374" s="224" t="n">
        <f aca="false">IF(+J$13&lt;=$G$376,+I374,0)</f>
        <v>45.8005678224575</v>
      </c>
      <c r="K374" s="224" t="n">
        <f aca="false">IF(+K$13&lt;=$G$376,+J374,0)</f>
        <v>45.8005678224575</v>
      </c>
      <c r="L374" s="224" t="n">
        <f aca="false">IF(+L$13&lt;=$G$376,+K374,0)</f>
        <v>45.8005678224575</v>
      </c>
      <c r="M374" s="224" t="n">
        <f aca="false">IF(+M$13&lt;=$G$376,+L374,0)</f>
        <v>45.8005678224575</v>
      </c>
      <c r="N374" s="224" t="n">
        <f aca="false">IF(+N$13&lt;=$G$376,+M374,0)</f>
        <v>45.8005678224575</v>
      </c>
      <c r="O374" s="224" t="n">
        <f aca="false">IF(+O$13&lt;=$G$376,+N374,0)</f>
        <v>45.8005678224575</v>
      </c>
      <c r="P374" s="224" t="n">
        <f aca="false">IF(+P$13&lt;=$G$376,+O374,0)</f>
        <v>45.8005678224575</v>
      </c>
      <c r="Q374" s="224" t="n">
        <f aca="false">IF(+Q$13&lt;=$G$376,+P374,0)</f>
        <v>45.8005678224575</v>
      </c>
      <c r="R374" s="224" t="n">
        <f aca="false">IF(+R$13&lt;=$G$376,+Q374,0)</f>
        <v>45.8005678224575</v>
      </c>
      <c r="S374" s="224" t="n">
        <f aca="false">IF(+S$13&lt;=$G$376,+R374,0)</f>
        <v>45.8005678224575</v>
      </c>
      <c r="T374" s="224" t="n">
        <f aca="false">IF(+T$13&lt;=$G$376,+S374,0)</f>
        <v>45.8005678224575</v>
      </c>
      <c r="U374" s="224" t="n">
        <f aca="false">IF(+U$13&lt;=$G$376,+T374,0)</f>
        <v>0</v>
      </c>
      <c r="V374" s="224" t="n">
        <f aca="false">IF(+V$13&lt;=$G$376,+U374,0)</f>
        <v>0</v>
      </c>
      <c r="W374" s="224" t="n">
        <f aca="false">IF(+W$13&lt;=$G$376,+V374,0)</f>
        <v>0</v>
      </c>
      <c r="X374" s="224" t="n">
        <f aca="false">IF(+X$13&lt;=$G$376,+W374,0)</f>
        <v>0</v>
      </c>
      <c r="Y374" s="224" t="n">
        <f aca="false">IF(+Y$13&lt;=$G$376,+X374,0)</f>
        <v>0</v>
      </c>
      <c r="Z374" s="224" t="n">
        <f aca="false">IF(+Z$13&lt;=$G$376,+Y374,0)</f>
        <v>0</v>
      </c>
      <c r="AA374" s="225" t="n">
        <f aca="false">IF(+AA$13&lt;=$G$376,+Z374,0)</f>
        <v>0</v>
      </c>
      <c r="AB374" s="225" t="n">
        <f aca="false">IF(+AB$13&lt;=$G$376,+AA374,0)</f>
        <v>0</v>
      </c>
      <c r="AC374" s="225" t="n">
        <f aca="false">IF(+AC$13&lt;=$G$376,+AB374,0)</f>
        <v>0</v>
      </c>
      <c r="AD374" s="225" t="n">
        <f aca="false">IF(+AD$13&lt;=$G$376,+AC374,0)</f>
        <v>0</v>
      </c>
      <c r="AE374" s="225" t="n">
        <f aca="false">IF(+AE$13&lt;=$G$376,+AD374,0)</f>
        <v>0</v>
      </c>
      <c r="AF374" s="225" t="n">
        <f aca="false">IF(+AF$13&lt;=$G$376,+AE374,0)</f>
        <v>0</v>
      </c>
      <c r="AG374" s="225" t="n">
        <f aca="false">IF(+AG$13&lt;=$G$376,+AF374,0)</f>
        <v>0</v>
      </c>
      <c r="AH374" s="225" t="n">
        <f aca="false">IF(+AH$13&lt;=$G$376,+AG374,0)</f>
        <v>0</v>
      </c>
      <c r="AI374" s="225" t="n">
        <f aca="false">IF(+AI$13&lt;=$G$376,+AH374,0)</f>
        <v>0</v>
      </c>
      <c r="AJ374" s="225" t="n">
        <f aca="false">IF(+AJ$13&lt;=$G$376,+AI374,0)</f>
        <v>0</v>
      </c>
      <c r="AK374" s="225" t="n">
        <f aca="false">IF(+AK$13&lt;=$G$376,+AJ374,0)</f>
        <v>0</v>
      </c>
      <c r="AL374" s="225" t="n">
        <f aca="false">IF(+AL$13&lt;=$G$376,+AK374,0)</f>
        <v>0</v>
      </c>
      <c r="AM374" s="225" t="n">
        <f aca="false">IF(+AM$13&lt;=$G$376,+AL374,0)</f>
        <v>0</v>
      </c>
      <c r="AN374" s="225" t="n">
        <f aca="false">IF(+AN$13&lt;=$G$376,+AM374,0)</f>
        <v>0</v>
      </c>
      <c r="AO374" s="225" t="n">
        <f aca="false">IF(+AO$13&lt;=$G$376,+AN374,0)</f>
        <v>0</v>
      </c>
      <c r="AP374" s="225" t="n">
        <f aca="false">IF(+AP$13&lt;=$G$376,+AO374,0)</f>
        <v>0</v>
      </c>
      <c r="AQ374" s="225" t="n">
        <f aca="false">IF(+AQ$13&lt;=$G$376,+AP374,0)</f>
        <v>0</v>
      </c>
      <c r="AR374" s="25"/>
    </row>
    <row r="375" customFormat="false" ht="13.5" hidden="false" customHeight="false" outlineLevel="0" collapsed="false">
      <c r="A375" s="3"/>
      <c r="B375" s="66" t="s">
        <v>23</v>
      </c>
      <c r="C375" s="3"/>
      <c r="D375" s="3"/>
      <c r="E375" s="3"/>
      <c r="F375" s="3"/>
      <c r="G375" s="159"/>
      <c r="H375" s="226" t="n">
        <v>1</v>
      </c>
      <c r="I375" s="75" t="n">
        <f aca="false">+H375</f>
        <v>1</v>
      </c>
      <c r="J375" s="75" t="n">
        <f aca="false">+I375</f>
        <v>1</v>
      </c>
      <c r="K375" s="75" t="n">
        <f aca="false">+J375</f>
        <v>1</v>
      </c>
      <c r="L375" s="75" t="n">
        <f aca="false">+K375</f>
        <v>1</v>
      </c>
      <c r="M375" s="75" t="n">
        <f aca="false">+L375</f>
        <v>1</v>
      </c>
      <c r="N375" s="75" t="n">
        <f aca="false">+M375</f>
        <v>1</v>
      </c>
      <c r="O375" s="75" t="n">
        <f aca="false">+N375</f>
        <v>1</v>
      </c>
      <c r="P375" s="75" t="n">
        <f aca="false">+O375</f>
        <v>1</v>
      </c>
      <c r="Q375" s="75" t="n">
        <f aca="false">+P375</f>
        <v>1</v>
      </c>
      <c r="R375" s="75" t="n">
        <f aca="false">+Q375</f>
        <v>1</v>
      </c>
      <c r="S375" s="75" t="n">
        <f aca="false">+R375</f>
        <v>1</v>
      </c>
      <c r="T375" s="75" t="n">
        <f aca="false">+S375</f>
        <v>1</v>
      </c>
      <c r="U375" s="75" t="n">
        <f aca="false">+T375</f>
        <v>1</v>
      </c>
      <c r="V375" s="75" t="n">
        <f aca="false">+U375</f>
        <v>1</v>
      </c>
      <c r="W375" s="75" t="n">
        <f aca="false">+V375</f>
        <v>1</v>
      </c>
      <c r="X375" s="75" t="n">
        <f aca="false">+W375</f>
        <v>1</v>
      </c>
      <c r="Y375" s="75" t="n">
        <f aca="false">+X375</f>
        <v>1</v>
      </c>
      <c r="Z375" s="75" t="n">
        <f aca="false">+Y375</f>
        <v>1</v>
      </c>
      <c r="AA375" s="227" t="n">
        <f aca="false">+Z375</f>
        <v>1</v>
      </c>
      <c r="AB375" s="227" t="n">
        <f aca="false">+AA375</f>
        <v>1</v>
      </c>
      <c r="AC375" s="227" t="n">
        <f aca="false">+AB375</f>
        <v>1</v>
      </c>
      <c r="AD375" s="227" t="n">
        <f aca="false">+AC375</f>
        <v>1</v>
      </c>
      <c r="AE375" s="227" t="n">
        <f aca="false">+AD375</f>
        <v>1</v>
      </c>
      <c r="AF375" s="227" t="n">
        <f aca="false">+AE375</f>
        <v>1</v>
      </c>
      <c r="AG375" s="227" t="n">
        <f aca="false">+AF375</f>
        <v>1</v>
      </c>
      <c r="AH375" s="227" t="n">
        <f aca="false">+AG375</f>
        <v>1</v>
      </c>
      <c r="AI375" s="227" t="n">
        <f aca="false">+AH375</f>
        <v>1</v>
      </c>
      <c r="AJ375" s="227" t="n">
        <f aca="false">+AI375</f>
        <v>1</v>
      </c>
      <c r="AK375" s="227" t="n">
        <f aca="false">+AJ375</f>
        <v>1</v>
      </c>
      <c r="AL375" s="227" t="n">
        <f aca="false">+AK375</f>
        <v>1</v>
      </c>
      <c r="AM375" s="227" t="n">
        <f aca="false">+AL375</f>
        <v>1</v>
      </c>
      <c r="AN375" s="227" t="n">
        <f aca="false">+AM375</f>
        <v>1</v>
      </c>
      <c r="AO375" s="227" t="n">
        <f aca="false">+AN375</f>
        <v>1</v>
      </c>
      <c r="AP375" s="227" t="n">
        <f aca="false">+AO375</f>
        <v>1</v>
      </c>
      <c r="AQ375" s="227" t="n">
        <f aca="false">+AP375</f>
        <v>1</v>
      </c>
      <c r="AR375" s="25"/>
    </row>
    <row r="376" customFormat="false" ht="13.5" hidden="false" customHeight="false" outlineLevel="0" collapsed="false">
      <c r="A376" s="3"/>
      <c r="B376" s="66" t="s">
        <v>24</v>
      </c>
      <c r="C376" s="3"/>
      <c r="D376" s="3"/>
      <c r="E376" s="3"/>
      <c r="F376" s="98" t="s">
        <v>206</v>
      </c>
      <c r="G376" s="221" t="n">
        <v>13</v>
      </c>
      <c r="H376" s="114" t="n">
        <f aca="false">+H374*H20*H375</f>
        <v>401212.974124728</v>
      </c>
      <c r="I376" s="114" t="n">
        <f aca="false">+I374*I20*I375</f>
        <v>401212.974124728</v>
      </c>
      <c r="J376" s="114" t="n">
        <f aca="false">+J374*J20*J375</f>
        <v>401212.974124728</v>
      </c>
      <c r="K376" s="114" t="n">
        <f aca="false">+K374*K20*K375</f>
        <v>402312.187752467</v>
      </c>
      <c r="L376" s="114" t="n">
        <f aca="false">+L374*L20*L375</f>
        <v>401212.974124728</v>
      </c>
      <c r="M376" s="114" t="n">
        <f aca="false">+M374*M20*M375</f>
        <v>401212.974124728</v>
      </c>
      <c r="N376" s="114" t="n">
        <f aca="false">+N374*N20*N375</f>
        <v>401212.974124728</v>
      </c>
      <c r="O376" s="114" t="n">
        <f aca="false">+O374*O20*O375</f>
        <v>402312.187752467</v>
      </c>
      <c r="P376" s="114" t="n">
        <f aca="false">+P374*P20*P375</f>
        <v>401212.974124728</v>
      </c>
      <c r="Q376" s="114" t="n">
        <f aca="false">+Q374*Q20*Q375</f>
        <v>401212.974124728</v>
      </c>
      <c r="R376" s="114" t="n">
        <f aca="false">+R374*R20*R375</f>
        <v>401212.974124728</v>
      </c>
      <c r="S376" s="114" t="n">
        <f aca="false">+S374*S20*S375</f>
        <v>402312.187752467</v>
      </c>
      <c r="T376" s="114" t="n">
        <f aca="false">+T374*T20*T375</f>
        <v>401212.974124728</v>
      </c>
      <c r="U376" s="114" t="n">
        <f aca="false">+U374*U20*U375</f>
        <v>0</v>
      </c>
      <c r="V376" s="114" t="n">
        <f aca="false">+V374*V20*V375</f>
        <v>0</v>
      </c>
      <c r="W376" s="114" t="n">
        <f aca="false">+W374*W20*W375</f>
        <v>0</v>
      </c>
      <c r="X376" s="114" t="n">
        <f aca="false">+X374*X20*X375</f>
        <v>0</v>
      </c>
      <c r="Y376" s="114" t="n">
        <f aca="false">+Y374*Y20*Y375</f>
        <v>0</v>
      </c>
      <c r="Z376" s="114" t="n">
        <f aca="false">+Z374*Z20*Z375</f>
        <v>0</v>
      </c>
      <c r="AA376" s="115" t="n">
        <f aca="false">+AA374*AA20*AA375</f>
        <v>0</v>
      </c>
      <c r="AB376" s="115" t="n">
        <f aca="false">+AB374*AB20*AB375</f>
        <v>0</v>
      </c>
      <c r="AC376" s="115" t="n">
        <f aca="false">+AC374*AC20*AC375</f>
        <v>0</v>
      </c>
      <c r="AD376" s="115" t="n">
        <f aca="false">+AD374*AD20*AD375</f>
        <v>0</v>
      </c>
      <c r="AE376" s="115" t="n">
        <f aca="false">+AE374*AE20*AE375</f>
        <v>0</v>
      </c>
      <c r="AF376" s="115" t="n">
        <f aca="false">+AF374*AF20*AF375</f>
        <v>0</v>
      </c>
      <c r="AG376" s="115" t="n">
        <f aca="false">+AG374*AG20*AG375</f>
        <v>0</v>
      </c>
      <c r="AH376" s="115" t="n">
        <f aca="false">+AH374*AH20*AH375</f>
        <v>0</v>
      </c>
      <c r="AI376" s="115" t="n">
        <f aca="false">+AI374*AI20*AI375</f>
        <v>0</v>
      </c>
      <c r="AJ376" s="115" t="n">
        <f aca="false">+AJ374*AJ20*AJ375</f>
        <v>0</v>
      </c>
      <c r="AK376" s="115" t="n">
        <f aca="false">+AK374*AK20*AK375</f>
        <v>0</v>
      </c>
      <c r="AL376" s="115" t="n">
        <f aca="false">+AL374*AL20*AL375</f>
        <v>0</v>
      </c>
      <c r="AM376" s="115" t="n">
        <f aca="false">+AM374*AM20*AM375</f>
        <v>0</v>
      </c>
      <c r="AN376" s="115" t="n">
        <f aca="false">+AN374*AN20*AN375</f>
        <v>0</v>
      </c>
      <c r="AO376" s="115" t="n">
        <f aca="false">+AO374*AO20*AO375</f>
        <v>0</v>
      </c>
      <c r="AP376" s="115" t="n">
        <f aca="false">+AP374*AP20*AP375</f>
        <v>0</v>
      </c>
      <c r="AQ376" s="115" t="n">
        <f aca="false">+AQ374*AQ20*AQ375</f>
        <v>0</v>
      </c>
      <c r="AR376" s="25"/>
    </row>
    <row r="377" customFormat="false" ht="13.5" hidden="false" customHeight="false" outlineLevel="0" collapsed="false">
      <c r="A377" s="3"/>
      <c r="B377" s="66" t="str">
        <f aca="false">+A41</f>
        <v>Market Price - ERCOT 7x24 w/Wheeling (Enron-Mid)</v>
      </c>
      <c r="C377" s="3"/>
      <c r="D377" s="3"/>
      <c r="E377" s="3"/>
      <c r="F377" s="3"/>
      <c r="G377" s="159" t="s">
        <v>28</v>
      </c>
      <c r="H377" s="160" t="n">
        <f aca="false">+H41</f>
        <v>46.4175544178919</v>
      </c>
      <c r="I377" s="160" t="n">
        <f aca="false">+I41</f>
        <v>40.8216040267261</v>
      </c>
      <c r="J377" s="160" t="n">
        <f aca="false">+J41</f>
        <v>39.8645918254628</v>
      </c>
      <c r="K377" s="160" t="n">
        <f aca="false">+K41</f>
        <v>38.946346757857</v>
      </c>
      <c r="L377" s="160" t="n">
        <f aca="false">+L41</f>
        <v>39.7376165630694</v>
      </c>
      <c r="M377" s="160" t="n">
        <f aca="false">+M41</f>
        <v>40.8566679527021</v>
      </c>
      <c r="N377" s="160" t="n">
        <f aca="false">+N41</f>
        <v>42.278921070344</v>
      </c>
      <c r="O377" s="160" t="n">
        <f aca="false">+O41</f>
        <v>43.7491682885255</v>
      </c>
      <c r="P377" s="160" t="n">
        <f aca="false">+P41</f>
        <v>45.5195239440119</v>
      </c>
      <c r="Q377" s="160" t="n">
        <f aca="false">+Q41</f>
        <v>46.7117944573961</v>
      </c>
      <c r="R377" s="160" t="n">
        <f aca="false">+R41</f>
        <v>48.1377912942522</v>
      </c>
      <c r="S377" s="160" t="n">
        <f aca="false">+S41</f>
        <v>49.2906767058468</v>
      </c>
      <c r="T377" s="160" t="n">
        <f aca="false">+T41</f>
        <v>50.2015537835105</v>
      </c>
      <c r="U377" s="160" t="n">
        <f aca="false">+U41</f>
        <v>51.146403141387</v>
      </c>
      <c r="V377" s="160" t="n">
        <f aca="false">+V41</f>
        <v>51.7078220750923</v>
      </c>
      <c r="W377" s="160" t="n">
        <f aca="false">+W41</f>
        <v>51.994616913152</v>
      </c>
      <c r="X377" s="160" t="n">
        <f aca="false">+X41</f>
        <v>52.2128949112274</v>
      </c>
      <c r="Y377" s="160" t="n">
        <f aca="false">+Y41</f>
        <v>52.3209248702718</v>
      </c>
      <c r="Z377" s="160" t="n">
        <f aca="false">+Z41</f>
        <v>51.7155331567939</v>
      </c>
      <c r="AA377" s="161" t="n">
        <f aca="false">+AA41</f>
        <v>51.7186726582661</v>
      </c>
      <c r="AB377" s="161" t="n">
        <f aca="false">+AB41</f>
        <v>51.7218123503284</v>
      </c>
      <c r="AC377" s="161" t="n">
        <f aca="false">+AC41</f>
        <v>51.7249522329925</v>
      </c>
      <c r="AD377" s="161" t="n">
        <f aca="false">+AD41</f>
        <v>51.7280923062697</v>
      </c>
      <c r="AE377" s="161" t="n">
        <f aca="false">+AE41</f>
        <v>51.7312325701718</v>
      </c>
      <c r="AF377" s="161" t="n">
        <f aca="false">+AF41</f>
        <v>51.7343730247103</v>
      </c>
      <c r="AG377" s="161" t="n">
        <f aca="false">+AG41</f>
        <v>51.7375136698968</v>
      </c>
      <c r="AH377" s="161" t="n">
        <f aca="false">+AH41</f>
        <v>51.7406545057428</v>
      </c>
      <c r="AI377" s="161" t="n">
        <f aca="false">+AI41</f>
        <v>51.74379553226</v>
      </c>
      <c r="AJ377" s="161" t="n">
        <f aca="false">+AJ41</f>
        <v>51.7469367494598</v>
      </c>
      <c r="AK377" s="161" t="n">
        <f aca="false">+AK41</f>
        <v>51.750078157354</v>
      </c>
      <c r="AL377" s="161" t="n">
        <f aca="false">+AL41</f>
        <v>51.7532197559539</v>
      </c>
      <c r="AM377" s="161" t="n">
        <f aca="false">+AM41</f>
        <v>51.7563615452713</v>
      </c>
      <c r="AN377" s="161" t="n">
        <f aca="false">+AN41</f>
        <v>51.7595035253177</v>
      </c>
      <c r="AO377" s="161" t="n">
        <f aca="false">+AO41</f>
        <v>51.7626456961047</v>
      </c>
      <c r="AP377" s="161" t="n">
        <f aca="false">+AP41</f>
        <v>51.7657880576439</v>
      </c>
      <c r="AQ377" s="161" t="n">
        <f aca="false">+AQ41</f>
        <v>51.7689306099468</v>
      </c>
      <c r="AR377" s="25"/>
    </row>
    <row r="378" customFormat="false" ht="13.5" hidden="false" customHeight="false" outlineLevel="0" collapsed="false">
      <c r="A378" s="3"/>
      <c r="B378" s="66" t="s">
        <v>215</v>
      </c>
      <c r="C378" s="3"/>
      <c r="D378" s="3"/>
      <c r="E378" s="3"/>
      <c r="F378" s="3"/>
      <c r="G378" s="159"/>
      <c r="H378" s="195" t="n">
        <f aca="false">+H376*H377/1000</f>
        <v>18623.3250595988</v>
      </c>
      <c r="I378" s="196" t="n">
        <f aca="false">+I376*I377/1000</f>
        <v>16378.1571601047</v>
      </c>
      <c r="J378" s="196" t="n">
        <f aca="false">+J376*J377/1000</f>
        <v>15994.1914485622</v>
      </c>
      <c r="K378" s="196" t="n">
        <f aca="false">+K376*K377/1000</f>
        <v>15668.5899691196</v>
      </c>
      <c r="L378" s="196" t="n">
        <f aca="false">+L376*L377/1000</f>
        <v>15943.2473258971</v>
      </c>
      <c r="M378" s="196" t="n">
        <f aca="false">+M376*M377/1000</f>
        <v>16392.2252621301</v>
      </c>
      <c r="N378" s="196" t="n">
        <f aca="false">+N376*N377/1000</f>
        <v>16962.8516654174</v>
      </c>
      <c r="O378" s="196" t="n">
        <f aca="false">+O376*O377/1000</f>
        <v>17600.8236065075</v>
      </c>
      <c r="P378" s="196" t="n">
        <f aca="false">+P376*P377/1000</f>
        <v>18263.0235823188</v>
      </c>
      <c r="Q378" s="196" t="n">
        <f aca="false">+Q376*Q377/1000</f>
        <v>18741.3779809549</v>
      </c>
      <c r="R378" s="196" t="n">
        <f aca="false">+R376*R377/1000</f>
        <v>19313.5064129624</v>
      </c>
      <c r="S378" s="196" t="n">
        <f aca="false">+S376*S377/1000</f>
        <v>19830.2399813288</v>
      </c>
      <c r="T378" s="196" t="n">
        <f aca="false">+T376*T377/1000</f>
        <v>20141.5146991647</v>
      </c>
      <c r="U378" s="196" t="n">
        <f aca="false">+U376*U377/1000</f>
        <v>0</v>
      </c>
      <c r="V378" s="196" t="n">
        <f aca="false">+V376*V377/1000</f>
        <v>0</v>
      </c>
      <c r="W378" s="196" t="n">
        <f aca="false">+W376*W377/1000</f>
        <v>0</v>
      </c>
      <c r="X378" s="196" t="n">
        <f aca="false">+X376*X377/1000</f>
        <v>0</v>
      </c>
      <c r="Y378" s="196" t="n">
        <f aca="false">+Y376*Y377/1000</f>
        <v>0</v>
      </c>
      <c r="Z378" s="197" t="n">
        <f aca="false">+Z376*Z377/1000</f>
        <v>0</v>
      </c>
      <c r="AA378" s="228" t="n">
        <f aca="false">+AA376*AA377/1000</f>
        <v>0</v>
      </c>
      <c r="AB378" s="228" t="n">
        <f aca="false">+AB376*AB377/1000</f>
        <v>0</v>
      </c>
      <c r="AC378" s="228" t="n">
        <f aca="false">+AC376*AC377/1000</f>
        <v>0</v>
      </c>
      <c r="AD378" s="228" t="n">
        <f aca="false">+AD376*AD377/1000</f>
        <v>0</v>
      </c>
      <c r="AE378" s="228" t="n">
        <f aca="false">+AE376*AE377/1000</f>
        <v>0</v>
      </c>
      <c r="AF378" s="228" t="n">
        <f aca="false">+AF376*AF377/1000</f>
        <v>0</v>
      </c>
      <c r="AG378" s="228" t="n">
        <f aca="false">+AG376*AG377/1000</f>
        <v>0</v>
      </c>
      <c r="AH378" s="228" t="n">
        <f aca="false">+AH376*AH377/1000</f>
        <v>0</v>
      </c>
      <c r="AI378" s="228" t="n">
        <f aca="false">+AI376*AI377/1000</f>
        <v>0</v>
      </c>
      <c r="AJ378" s="228" t="n">
        <f aca="false">+AJ376*AJ377/1000</f>
        <v>0</v>
      </c>
      <c r="AK378" s="228" t="n">
        <f aca="false">+AK376*AK377/1000</f>
        <v>0</v>
      </c>
      <c r="AL378" s="228" t="n">
        <f aca="false">+AL376*AL377/1000</f>
        <v>0</v>
      </c>
      <c r="AM378" s="228" t="n">
        <f aca="false">+AM376*AM377/1000</f>
        <v>0</v>
      </c>
      <c r="AN378" s="228" t="n">
        <f aca="false">+AN376*AN377/1000</f>
        <v>0</v>
      </c>
      <c r="AO378" s="228" t="n">
        <f aca="false">+AO376*AO377/1000</f>
        <v>0</v>
      </c>
      <c r="AP378" s="228" t="n">
        <f aca="false">+AP376*AP377/1000</f>
        <v>0</v>
      </c>
      <c r="AQ378" s="228" t="n">
        <f aca="false">+AQ376*AQ377/1000</f>
        <v>0</v>
      </c>
      <c r="AR378" s="25"/>
    </row>
    <row r="379" customFormat="false" ht="13.5" hidden="false" customHeight="false" outlineLevel="0" collapsed="false">
      <c r="A379" s="3"/>
      <c r="B379" s="2" t="str">
        <f aca="false">CONCATENATE("NPV ",$E$328*100," to Seller to Term Selected")</f>
        <v>NPV 9 to Seller to Term Selected</v>
      </c>
      <c r="C379" s="3"/>
      <c r="D379" s="3"/>
      <c r="E379" s="3"/>
      <c r="F379" s="3"/>
      <c r="G379" s="217" t="n">
        <f aca="false">SUMPRODUCT(H$328:AQ$328,H378:AQ378)</f>
        <v>130000</v>
      </c>
      <c r="H379" s="220"/>
      <c r="I379" s="220"/>
      <c r="J379" s="220"/>
      <c r="K379" s="220"/>
      <c r="L379" s="220"/>
      <c r="M379" s="220"/>
      <c r="N379" s="220"/>
      <c r="O379" s="220"/>
      <c r="P379" s="220"/>
      <c r="Q379" s="220"/>
      <c r="R379" s="220"/>
      <c r="S379" s="220"/>
      <c r="T379" s="220"/>
      <c r="U379" s="220"/>
      <c r="V379" s="220"/>
      <c r="W379" s="220"/>
      <c r="X379" s="220"/>
      <c r="Y379" s="220"/>
      <c r="Z379" s="220"/>
      <c r="AA379" s="57"/>
      <c r="AB379" s="57"/>
      <c r="AC379" s="57"/>
      <c r="AD379" s="57"/>
      <c r="AE379" s="57"/>
      <c r="AF379" s="57"/>
      <c r="AG379" s="57"/>
      <c r="AH379" s="57"/>
      <c r="AI379" s="57"/>
      <c r="AJ379" s="57"/>
      <c r="AK379" s="57"/>
      <c r="AL379" s="57"/>
      <c r="AM379" s="57"/>
      <c r="AN379" s="57"/>
      <c r="AO379" s="57"/>
      <c r="AP379" s="57"/>
      <c r="AQ379" s="57"/>
      <c r="AR379" s="25"/>
    </row>
    <row r="380" customFormat="false" ht="12.75" hidden="false" customHeight="false" outlineLevel="0" collapsed="false">
      <c r="A380" s="3"/>
      <c r="B380" s="66"/>
      <c r="C380" s="3"/>
      <c r="D380" s="3"/>
      <c r="E380" s="3"/>
      <c r="F380" s="3"/>
      <c r="G380" s="159"/>
      <c r="H380" s="220"/>
      <c r="I380" s="220"/>
      <c r="J380" s="220"/>
      <c r="K380" s="220"/>
      <c r="L380" s="220"/>
      <c r="M380" s="220"/>
      <c r="N380" s="220"/>
      <c r="O380" s="220"/>
      <c r="P380" s="220"/>
      <c r="Q380" s="220"/>
      <c r="R380" s="220"/>
      <c r="S380" s="220"/>
      <c r="T380" s="220"/>
      <c r="U380" s="220"/>
      <c r="V380" s="220"/>
      <c r="W380" s="220"/>
      <c r="X380" s="220"/>
      <c r="Y380" s="220"/>
      <c r="Z380" s="220"/>
      <c r="AA380" s="57"/>
      <c r="AB380" s="57"/>
      <c r="AC380" s="57"/>
      <c r="AD380" s="57"/>
      <c r="AE380" s="57"/>
      <c r="AF380" s="57"/>
      <c r="AG380" s="57"/>
      <c r="AH380" s="57"/>
      <c r="AI380" s="57"/>
      <c r="AJ380" s="57"/>
      <c r="AK380" s="57"/>
      <c r="AL380" s="57"/>
      <c r="AM380" s="57"/>
      <c r="AN380" s="57"/>
      <c r="AO380" s="57"/>
      <c r="AP380" s="57"/>
      <c r="AQ380" s="57"/>
      <c r="AR380" s="25"/>
    </row>
    <row r="381" customFormat="false" ht="12.75" hidden="false" customHeight="false" outlineLevel="0" collapsed="false">
      <c r="A381" s="3"/>
      <c r="B381" s="2" t="s">
        <v>208</v>
      </c>
      <c r="C381" s="3"/>
      <c r="D381" s="3"/>
      <c r="E381" s="3"/>
      <c r="F381" s="3"/>
      <c r="G381" s="159" t="n">
        <f aca="false">+$G$100</f>
        <v>130000</v>
      </c>
      <c r="H381" s="220"/>
      <c r="I381" s="220"/>
      <c r="J381" s="220"/>
      <c r="K381" s="220"/>
      <c r="L381" s="220"/>
      <c r="M381" s="220"/>
      <c r="N381" s="220"/>
      <c r="O381" s="220"/>
      <c r="P381" s="220"/>
      <c r="Q381" s="220"/>
      <c r="R381" s="220"/>
      <c r="S381" s="220"/>
      <c r="T381" s="220"/>
      <c r="U381" s="220"/>
      <c r="V381" s="220"/>
      <c r="W381" s="220"/>
      <c r="X381" s="220"/>
      <c r="Y381" s="220"/>
      <c r="Z381" s="220"/>
      <c r="AA381" s="57"/>
      <c r="AB381" s="57"/>
      <c r="AC381" s="57"/>
      <c r="AD381" s="57"/>
      <c r="AE381" s="57"/>
      <c r="AF381" s="57"/>
      <c r="AG381" s="57"/>
      <c r="AH381" s="57"/>
      <c r="AI381" s="57"/>
      <c r="AJ381" s="57"/>
      <c r="AK381" s="57"/>
      <c r="AL381" s="57"/>
      <c r="AM381" s="57"/>
      <c r="AN381" s="57"/>
      <c r="AO381" s="57"/>
      <c r="AP381" s="57"/>
      <c r="AQ381" s="57"/>
      <c r="AR381" s="25"/>
    </row>
    <row r="382" customFormat="false" ht="13.5" hidden="false" customHeight="false" outlineLevel="0" collapsed="false">
      <c r="A382" s="3"/>
      <c r="B382" s="2"/>
      <c r="C382" s="3"/>
      <c r="D382" s="3"/>
      <c r="E382" s="3"/>
      <c r="F382" s="3"/>
      <c r="G382" s="159"/>
      <c r="H382" s="220"/>
      <c r="I382" s="220"/>
      <c r="J382" s="220"/>
      <c r="K382" s="220"/>
      <c r="L382" s="220"/>
      <c r="M382" s="220"/>
      <c r="N382" s="220"/>
      <c r="O382" s="220"/>
      <c r="P382" s="220"/>
      <c r="Q382" s="220"/>
      <c r="R382" s="220"/>
      <c r="S382" s="220"/>
      <c r="T382" s="220"/>
      <c r="U382" s="220"/>
      <c r="V382" s="220"/>
      <c r="W382" s="220"/>
      <c r="X382" s="220"/>
      <c r="Y382" s="220"/>
      <c r="Z382" s="220"/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  <c r="AK382" s="57"/>
      <c r="AL382" s="57"/>
      <c r="AM382" s="57"/>
      <c r="AN382" s="57"/>
      <c r="AO382" s="57"/>
      <c r="AP382" s="57"/>
      <c r="AQ382" s="57"/>
      <c r="AR382" s="25"/>
    </row>
    <row r="383" customFormat="false" ht="13.5" hidden="false" customHeight="false" outlineLevel="0" collapsed="false">
      <c r="A383" s="3"/>
      <c r="B383" s="2" t="s">
        <v>209</v>
      </c>
      <c r="C383" s="3"/>
      <c r="D383" s="3"/>
      <c r="E383" s="3"/>
      <c r="F383" s="3"/>
      <c r="G383" s="218" t="n">
        <f aca="false">+G381-G379</f>
        <v>0</v>
      </c>
      <c r="H383" s="220"/>
      <c r="I383" s="220"/>
      <c r="J383" s="220"/>
      <c r="K383" s="220"/>
      <c r="L383" s="220"/>
      <c r="M383" s="220"/>
      <c r="N383" s="220"/>
      <c r="O383" s="220"/>
      <c r="P383" s="220"/>
      <c r="Q383" s="220"/>
      <c r="R383" s="220"/>
      <c r="S383" s="220"/>
      <c r="T383" s="220"/>
      <c r="U383" s="220"/>
      <c r="V383" s="220"/>
      <c r="W383" s="220"/>
      <c r="X383" s="220"/>
      <c r="Y383" s="220"/>
      <c r="Z383" s="220"/>
      <c r="AA383" s="57"/>
      <c r="AB383" s="57"/>
      <c r="AC383" s="57"/>
      <c r="AD383" s="57"/>
      <c r="AE383" s="57"/>
      <c r="AF383" s="57"/>
      <c r="AG383" s="57"/>
      <c r="AH383" s="57"/>
      <c r="AI383" s="57"/>
      <c r="AJ383" s="57"/>
      <c r="AK383" s="57"/>
      <c r="AL383" s="57"/>
      <c r="AM383" s="57"/>
      <c r="AN383" s="57"/>
      <c r="AO383" s="57"/>
      <c r="AP383" s="57"/>
      <c r="AQ383" s="57"/>
      <c r="AR383" s="25"/>
    </row>
    <row r="384" customFormat="false" ht="12.75" hidden="false" customHeight="false" outlineLevel="0" collapsed="false">
      <c r="A384" s="3"/>
      <c r="B384" s="66"/>
      <c r="C384" s="3"/>
      <c r="D384" s="3"/>
      <c r="E384" s="3"/>
      <c r="F384" s="3"/>
      <c r="G384" s="159"/>
      <c r="H384" s="220"/>
      <c r="I384" s="220"/>
      <c r="J384" s="220"/>
      <c r="K384" s="220"/>
      <c r="L384" s="220"/>
      <c r="M384" s="220"/>
      <c r="N384" s="220"/>
      <c r="O384" s="220"/>
      <c r="P384" s="220"/>
      <c r="Q384" s="220"/>
      <c r="R384" s="220"/>
      <c r="S384" s="220"/>
      <c r="T384" s="220"/>
      <c r="U384" s="220"/>
      <c r="V384" s="220"/>
      <c r="W384" s="220"/>
      <c r="X384" s="220"/>
      <c r="Y384" s="220"/>
      <c r="Z384" s="220"/>
      <c r="AA384" s="57"/>
      <c r="AB384" s="57"/>
      <c r="AC384" s="57"/>
      <c r="AD384" s="57"/>
      <c r="AE384" s="57"/>
      <c r="AF384" s="57"/>
      <c r="AG384" s="57"/>
      <c r="AH384" s="57"/>
      <c r="AI384" s="57"/>
      <c r="AJ384" s="57"/>
      <c r="AK384" s="57"/>
      <c r="AL384" s="57"/>
      <c r="AM384" s="57"/>
      <c r="AN384" s="57"/>
      <c r="AO384" s="57"/>
      <c r="AP384" s="57"/>
      <c r="AQ384" s="57"/>
      <c r="AR384" s="25"/>
    </row>
    <row r="385" customFormat="false" ht="12.75" hidden="false" customHeight="false" outlineLevel="0" collapsed="false">
      <c r="A385" s="3"/>
      <c r="B385" s="48" t="s">
        <v>203</v>
      </c>
      <c r="C385" s="3"/>
      <c r="D385" s="3"/>
      <c r="E385" s="3"/>
      <c r="F385" s="3"/>
      <c r="G385" s="159"/>
      <c r="H385" s="220"/>
      <c r="I385" s="220"/>
      <c r="J385" s="220"/>
      <c r="K385" s="220"/>
      <c r="L385" s="220"/>
      <c r="M385" s="220"/>
      <c r="N385" s="220"/>
      <c r="O385" s="220"/>
      <c r="P385" s="220"/>
      <c r="Q385" s="220"/>
      <c r="R385" s="220"/>
      <c r="S385" s="220"/>
      <c r="T385" s="220"/>
      <c r="U385" s="220"/>
      <c r="V385" s="220"/>
      <c r="W385" s="220"/>
      <c r="X385" s="220"/>
      <c r="Y385" s="220"/>
      <c r="Z385" s="220"/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  <c r="AK385" s="57"/>
      <c r="AL385" s="57"/>
      <c r="AM385" s="57"/>
      <c r="AN385" s="57"/>
      <c r="AO385" s="57"/>
      <c r="AP385" s="57"/>
      <c r="AQ385" s="57"/>
      <c r="AR385" s="25"/>
    </row>
    <row r="386" customFormat="false" ht="12.75" hidden="false" customHeight="false" outlineLevel="0" collapsed="false">
      <c r="A386" s="3"/>
      <c r="B386" s="2" t="s">
        <v>210</v>
      </c>
      <c r="C386" s="3"/>
      <c r="D386" s="3"/>
      <c r="E386" s="3"/>
      <c r="F386" s="3"/>
      <c r="G386" s="159"/>
      <c r="H386" s="134" t="n">
        <f aca="false">SUM(H$168:H$173)</f>
        <v>54391.4564003545</v>
      </c>
      <c r="I386" s="134" t="n">
        <f aca="false">SUM(I$168:I$173)</f>
        <v>51674.5016303465</v>
      </c>
      <c r="J386" s="134" t="n">
        <f aca="false">SUM(J$168:J$173)</f>
        <v>52822.0622361765</v>
      </c>
      <c r="K386" s="134" t="n">
        <f aca="false">SUM(K$168:K$173)</f>
        <v>58851.5866933154</v>
      </c>
      <c r="L386" s="134" t="n">
        <f aca="false">SUM(L$168:L$173)</f>
        <v>58142.7586980523</v>
      </c>
      <c r="M386" s="134" t="n">
        <f aca="false">SUM(M$168:M$173)</f>
        <v>60697.248129781</v>
      </c>
      <c r="N386" s="134" t="n">
        <f aca="false">SUM(N$168:N$173)</f>
        <v>60459.57855207</v>
      </c>
      <c r="O386" s="134" t="n">
        <f aca="false">SUM(O$168:O$173)</f>
        <v>53446.6503636859</v>
      </c>
      <c r="P386" s="134" t="n">
        <f aca="false">SUM(P$168:P$173)</f>
        <v>53002.3744573083</v>
      </c>
      <c r="Q386" s="134" t="n">
        <f aca="false">SUM(Q$168:Q$173)</f>
        <v>62473.375915672</v>
      </c>
      <c r="R386" s="134" t="n">
        <f aca="false">SUM(R$168:R$173)</f>
        <v>57066.8788099471</v>
      </c>
      <c r="S386" s="134" t="n">
        <f aca="false">SUM(S$168:S$173)</f>
        <v>58701.5220865582</v>
      </c>
      <c r="T386" s="134" t="n">
        <f aca="false">SUM(T$168:T$173)</f>
        <v>66744.1706256872</v>
      </c>
      <c r="U386" s="134" t="n">
        <f aca="false">SUM(U$168:U$173)</f>
        <v>61756.6726470493</v>
      </c>
      <c r="V386" s="134" t="n">
        <f aca="false">SUM(V$168:V$173)</f>
        <v>61640.2457557732</v>
      </c>
      <c r="W386" s="134" t="n">
        <f aca="false">SUM(W$168:W$173)</f>
        <v>66897.3514569863</v>
      </c>
      <c r="X386" s="134" t="n">
        <f aca="false">SUM(X$168:X$173)</f>
        <v>65619.3136664042</v>
      </c>
      <c r="Y386" s="134" t="n">
        <f aca="false">SUM(Y$168:Y$173)</f>
        <v>67099.3349398117</v>
      </c>
      <c r="Z386" s="134" t="n">
        <f aca="false">SUM(Z$168:Z$173)</f>
        <v>76426.2883130366</v>
      </c>
      <c r="AA386" s="94" t="n">
        <f aca="false">SUM(AA$168:AA$173)</f>
        <v>71866.2291164918</v>
      </c>
      <c r="AB386" s="94" t="n">
        <f aca="false">SUM(AB$168:AB$173)</f>
        <v>72338.6899509131</v>
      </c>
      <c r="AC386" s="94" t="n">
        <f aca="false">SUM(AC$168:AC$173)</f>
        <v>77652.018903887</v>
      </c>
      <c r="AD386" s="94" t="n">
        <f aca="false">SUM(AD$168:AD$173)</f>
        <v>76461.3656336432</v>
      </c>
      <c r="AE386" s="94" t="n">
        <f aca="false">SUM(AE$168:AE$173)</f>
        <v>78721.9236235374</v>
      </c>
      <c r="AF386" s="94" t="n">
        <f aca="false">SUM(AF$168:AF$173)</f>
        <v>88238.9538167038</v>
      </c>
      <c r="AG386" s="94" t="n">
        <f aca="false">SUM(AG$168:AG$173)</f>
        <v>82943.3179229124</v>
      </c>
      <c r="AH386" s="94" t="n">
        <f aca="false">SUM(AH$168:AH$173)</f>
        <v>83850.6610956688</v>
      </c>
      <c r="AI386" s="94" t="n">
        <f aca="false">SUM(AI$168:AI$173)</f>
        <v>89774.8355804284</v>
      </c>
      <c r="AJ386" s="94" t="n">
        <f aca="false">SUM(AJ$168:AJ$173)</f>
        <v>88621.782984547</v>
      </c>
      <c r="AK386" s="94" t="n">
        <f aca="false">SUM(AK$168:AK$173)</f>
        <v>91038.6087243754</v>
      </c>
      <c r="AL386" s="94" t="n">
        <f aca="false">SUM(AL$168:AL$173)</f>
        <v>101288.214854066</v>
      </c>
      <c r="AM386" s="94" t="n">
        <f aca="false">SUM(AM$168:AM$173)</f>
        <v>96370.5415245197</v>
      </c>
      <c r="AN386" s="94" t="n">
        <f aca="false">SUM(AN$168:AN$173)</f>
        <v>97381.7225372211</v>
      </c>
      <c r="AO386" s="94" t="n">
        <f aca="false">SUM(AO$168:AO$173)</f>
        <v>103573.96487511</v>
      </c>
      <c r="AP386" s="94" t="n">
        <f aca="false">SUM(AP$168:AP$173)</f>
        <v>102919.893179758</v>
      </c>
      <c r="AQ386" s="94" t="n">
        <f aca="false">SUM(AQ$168:AQ$173)</f>
        <v>105987.920735764</v>
      </c>
      <c r="AR386" s="25"/>
    </row>
    <row r="387" customFormat="false" ht="12.75" hidden="false" customHeight="false" outlineLevel="0" collapsed="false">
      <c r="A387" s="3"/>
      <c r="B387" s="2" t="s">
        <v>148</v>
      </c>
      <c r="C387" s="3"/>
      <c r="D387" s="3"/>
      <c r="E387" s="3"/>
      <c r="F387" s="188"/>
      <c r="G387" s="159" t="n">
        <f aca="false">-$G$181</f>
        <v>6888</v>
      </c>
      <c r="H387" s="134" t="n">
        <f aca="false">+H$175-H$220-H$221</f>
        <v>22034.0297564955</v>
      </c>
      <c r="I387" s="134" t="n">
        <f aca="false">+I$175-I$220-I$221</f>
        <v>22034.0297564955</v>
      </c>
      <c r="J387" s="134" t="n">
        <f aca="false">+J$175-J$220-J$221</f>
        <v>22034.0297564955</v>
      </c>
      <c r="K387" s="134" t="n">
        <f aca="false">+K$175-K$220-K$221</f>
        <v>22034.0297564955</v>
      </c>
      <c r="L387" s="134" t="n">
        <f aca="false">+L$175-L$220-L$221</f>
        <v>22034.0297564955</v>
      </c>
      <c r="M387" s="134" t="n">
        <f aca="false">+M$175-M$220-M$221</f>
        <v>22034.0297564955</v>
      </c>
      <c r="N387" s="134" t="n">
        <f aca="false">+N$175-N$220-N$221</f>
        <v>22034.0297564956</v>
      </c>
      <c r="O387" s="134" t="n">
        <f aca="false">+O$175-O$220-O$221</f>
        <v>22034.0297564955</v>
      </c>
      <c r="P387" s="134" t="n">
        <f aca="false">+P$175-P$220-P$221</f>
        <v>22034.0297564955</v>
      </c>
      <c r="Q387" s="134" t="n">
        <f aca="false">+Q$175-Q$220-Q$221</f>
        <v>22034.0297564955</v>
      </c>
      <c r="R387" s="134" t="n">
        <f aca="false">+R$175-R$220-R$221</f>
        <v>22034.0297564955</v>
      </c>
      <c r="S387" s="134" t="n">
        <f aca="false">+S$175-S$220-S$221</f>
        <v>22034.0297564956</v>
      </c>
      <c r="T387" s="134" t="n">
        <f aca="false">+T$175-T$220-T$221</f>
        <v>22034.0297564956</v>
      </c>
      <c r="U387" s="134" t="n">
        <f aca="false">+U$175-U$220-U$221</f>
        <v>22034.0297564955</v>
      </c>
      <c r="V387" s="134" t="n">
        <f aca="false">+V$175-V$220-V$221</f>
        <v>22034.0297564955</v>
      </c>
      <c r="W387" s="134" t="n">
        <f aca="false">+W$175-W$220-W$221</f>
        <v>22034.0297564955</v>
      </c>
      <c r="X387" s="134" t="n">
        <f aca="false">+X$175-X$220-X$221</f>
        <v>22034.0297564955</v>
      </c>
      <c r="Y387" s="134" t="n">
        <f aca="false">+Y$175-Y$220-Y$221</f>
        <v>22034.0297564955</v>
      </c>
      <c r="Z387" s="134" t="n">
        <f aca="false">+Z$175-Z$220-Z$221</f>
        <v>22034.0297564955</v>
      </c>
      <c r="AA387" s="94" t="n">
        <f aca="false">+AA$175-AA$220-AA$221</f>
        <v>22034.0297564955</v>
      </c>
      <c r="AB387" s="94" t="n">
        <f aca="false">+AB$175-AB$220-AB$221</f>
        <v>22034.0297564955</v>
      </c>
      <c r="AC387" s="94" t="n">
        <f aca="false">+AC$175-AC$220-AC$221</f>
        <v>22034.0297564955</v>
      </c>
      <c r="AD387" s="94" t="n">
        <f aca="false">+AD$175-AD$220-AD$221</f>
        <v>22034.0297564955</v>
      </c>
      <c r="AE387" s="94" t="n">
        <f aca="false">+AE$175-AE$220-AE$221</f>
        <v>22034.0297564955</v>
      </c>
      <c r="AF387" s="94" t="n">
        <f aca="false">+AF$175-AF$220-AF$221</f>
        <v>22034.0297564955</v>
      </c>
      <c r="AG387" s="94" t="n">
        <f aca="false">+AG$175-AG$220-AG$221</f>
        <v>0</v>
      </c>
      <c r="AH387" s="94" t="n">
        <f aca="false">+AH$175-AH$220-AH$221</f>
        <v>0</v>
      </c>
      <c r="AI387" s="94" t="n">
        <f aca="false">+AI$175-AI$220-AI$221</f>
        <v>0</v>
      </c>
      <c r="AJ387" s="94" t="n">
        <f aca="false">+AJ$175-AJ$220-AJ$221</f>
        <v>0</v>
      </c>
      <c r="AK387" s="94" t="n">
        <f aca="false">+AK$175-AK$220-AK$221</f>
        <v>0</v>
      </c>
      <c r="AL387" s="94" t="n">
        <f aca="false">+AL$175-AL$220-AL$221</f>
        <v>0</v>
      </c>
      <c r="AM387" s="94" t="n">
        <f aca="false">+AM$175-AM$220-AM$221</f>
        <v>0</v>
      </c>
      <c r="AN387" s="94" t="n">
        <f aca="false">+AN$175-AN$220-AN$221</f>
        <v>0</v>
      </c>
      <c r="AO387" s="94" t="n">
        <f aca="false">+AO$175-AO$220-AO$221</f>
        <v>0</v>
      </c>
      <c r="AP387" s="94" t="n">
        <f aca="false">+AP$175-AP$220-AP$221</f>
        <v>0</v>
      </c>
      <c r="AQ387" s="94" t="n">
        <f aca="false">+AQ$175-AQ$220-AQ$221</f>
        <v>0</v>
      </c>
      <c r="AR387" s="25"/>
    </row>
    <row r="388" customFormat="false" ht="13.5" hidden="false" customHeight="false" outlineLevel="0" collapsed="false">
      <c r="A388" s="3"/>
      <c r="B388" s="2" t="s">
        <v>216</v>
      </c>
      <c r="C388" s="3"/>
      <c r="D388" s="3"/>
      <c r="E388" s="3"/>
      <c r="F388" s="3"/>
      <c r="G388" s="159"/>
      <c r="H388" s="159" t="n">
        <f aca="false">+H378</f>
        <v>18623.3250595988</v>
      </c>
      <c r="I388" s="159" t="n">
        <f aca="false">+I378</f>
        <v>16378.1571601047</v>
      </c>
      <c r="J388" s="159" t="n">
        <f aca="false">+J378</f>
        <v>15994.1914485622</v>
      </c>
      <c r="K388" s="159" t="n">
        <f aca="false">+K378</f>
        <v>15668.5899691196</v>
      </c>
      <c r="L388" s="159" t="n">
        <f aca="false">+L378</f>
        <v>15943.2473258971</v>
      </c>
      <c r="M388" s="159" t="n">
        <f aca="false">+M378</f>
        <v>16392.2252621301</v>
      </c>
      <c r="N388" s="159" t="n">
        <f aca="false">+N378</f>
        <v>16962.8516654174</v>
      </c>
      <c r="O388" s="159" t="n">
        <f aca="false">+O378</f>
        <v>17600.8236065075</v>
      </c>
      <c r="P388" s="159" t="n">
        <f aca="false">+P378</f>
        <v>18263.0235823188</v>
      </c>
      <c r="Q388" s="159" t="n">
        <f aca="false">+Q378</f>
        <v>18741.3779809549</v>
      </c>
      <c r="R388" s="159" t="n">
        <f aca="false">+R378</f>
        <v>19313.5064129624</v>
      </c>
      <c r="S388" s="159" t="n">
        <f aca="false">+S378</f>
        <v>19830.2399813288</v>
      </c>
      <c r="T388" s="159" t="n">
        <f aca="false">+T378</f>
        <v>20141.5146991647</v>
      </c>
      <c r="U388" s="159" t="n">
        <f aca="false">+U378</f>
        <v>0</v>
      </c>
      <c r="V388" s="159" t="n">
        <f aca="false">+V378</f>
        <v>0</v>
      </c>
      <c r="W388" s="159" t="n">
        <f aca="false">+W378</f>
        <v>0</v>
      </c>
      <c r="X388" s="159" t="n">
        <f aca="false">+X378</f>
        <v>0</v>
      </c>
      <c r="Y388" s="159" t="n">
        <f aca="false">+Y378</f>
        <v>0</v>
      </c>
      <c r="Z388" s="159" t="n">
        <f aca="false">+Z378</f>
        <v>0</v>
      </c>
      <c r="AA388" s="228" t="n">
        <f aca="false">+AA378</f>
        <v>0</v>
      </c>
      <c r="AB388" s="228" t="n">
        <f aca="false">+AB378</f>
        <v>0</v>
      </c>
      <c r="AC388" s="228" t="n">
        <f aca="false">+AC378</f>
        <v>0</v>
      </c>
      <c r="AD388" s="228" t="n">
        <f aca="false">+AD378</f>
        <v>0</v>
      </c>
      <c r="AE388" s="228" t="n">
        <f aca="false">+AE378</f>
        <v>0</v>
      </c>
      <c r="AF388" s="228" t="n">
        <f aca="false">+AF378</f>
        <v>0</v>
      </c>
      <c r="AG388" s="228" t="n">
        <f aca="false">+AG378</f>
        <v>0</v>
      </c>
      <c r="AH388" s="228" t="n">
        <f aca="false">+AH378</f>
        <v>0</v>
      </c>
      <c r="AI388" s="228" t="n">
        <f aca="false">+AI378</f>
        <v>0</v>
      </c>
      <c r="AJ388" s="228" t="n">
        <f aca="false">+AJ378</f>
        <v>0</v>
      </c>
      <c r="AK388" s="228" t="n">
        <f aca="false">+AK378</f>
        <v>0</v>
      </c>
      <c r="AL388" s="228" t="n">
        <f aca="false">+AL378</f>
        <v>0</v>
      </c>
      <c r="AM388" s="228" t="n">
        <f aca="false">+AM378</f>
        <v>0</v>
      </c>
      <c r="AN388" s="228" t="n">
        <f aca="false">+AN378</f>
        <v>0</v>
      </c>
      <c r="AO388" s="228" t="n">
        <f aca="false">+AO378</f>
        <v>0</v>
      </c>
      <c r="AP388" s="228" t="n">
        <f aca="false">+AP378</f>
        <v>0</v>
      </c>
      <c r="AQ388" s="228" t="n">
        <f aca="false">+AQ378</f>
        <v>0</v>
      </c>
      <c r="AR388" s="25"/>
    </row>
    <row r="389" customFormat="false" ht="13.5" hidden="false" customHeight="false" outlineLevel="0" collapsed="false">
      <c r="A389" s="3"/>
      <c r="B389" s="2" t="s">
        <v>51</v>
      </c>
      <c r="C389" s="3"/>
      <c r="D389" s="3"/>
      <c r="E389" s="3"/>
      <c r="F389" s="3"/>
      <c r="G389" s="213" t="n">
        <f aca="false">SUM(G386:G388)</f>
        <v>6888</v>
      </c>
      <c r="H389" s="92" t="n">
        <f aca="false">SUM(H386:H388)</f>
        <v>95048.8112164488</v>
      </c>
      <c r="I389" s="92" t="n">
        <f aca="false">SUM(I386:I388)</f>
        <v>90086.6885469468</v>
      </c>
      <c r="J389" s="92" t="n">
        <f aca="false">SUM(J386:J388)</f>
        <v>90850.2834412343</v>
      </c>
      <c r="K389" s="92" t="n">
        <f aca="false">SUM(K386:K388)</f>
        <v>96554.2064189306</v>
      </c>
      <c r="L389" s="92" t="n">
        <f aca="false">SUM(L386:L388)</f>
        <v>96120.0357804449</v>
      </c>
      <c r="M389" s="92" t="n">
        <f aca="false">SUM(M386:M388)</f>
        <v>99123.5031484067</v>
      </c>
      <c r="N389" s="92" t="n">
        <f aca="false">SUM(N386:N388)</f>
        <v>99456.4599739829</v>
      </c>
      <c r="O389" s="92" t="n">
        <f aca="false">SUM(O386:O388)</f>
        <v>93081.503726689</v>
      </c>
      <c r="P389" s="92" t="n">
        <f aca="false">SUM(P386:P388)</f>
        <v>93299.4277961226</v>
      </c>
      <c r="Q389" s="92" t="n">
        <f aca="false">SUM(Q386:Q388)</f>
        <v>103248.783653122</v>
      </c>
      <c r="R389" s="92" t="n">
        <f aca="false">SUM(R386:R388)</f>
        <v>98414.4149794051</v>
      </c>
      <c r="S389" s="92" t="n">
        <f aca="false">SUM(S386:S388)</f>
        <v>100565.791824383</v>
      </c>
      <c r="T389" s="92" t="n">
        <f aca="false">SUM(T386:T388)</f>
        <v>108919.715081347</v>
      </c>
      <c r="U389" s="92" t="n">
        <f aca="false">SUM(U386:U388)</f>
        <v>83790.7024035449</v>
      </c>
      <c r="V389" s="92" t="n">
        <f aca="false">SUM(V386:V388)</f>
        <v>83674.2755122687</v>
      </c>
      <c r="W389" s="92" t="n">
        <f aca="false">SUM(W386:W388)</f>
        <v>88931.3812134818</v>
      </c>
      <c r="X389" s="92" t="n">
        <f aca="false">SUM(X386:X388)</f>
        <v>87653.3434228998</v>
      </c>
      <c r="Y389" s="92" t="n">
        <f aca="false">SUM(Y386:Y388)</f>
        <v>89133.3646963073</v>
      </c>
      <c r="Z389" s="93" t="n">
        <f aca="false">SUM(Z386:Z388)</f>
        <v>98460.3180695322</v>
      </c>
      <c r="AA389" s="94" t="n">
        <f aca="false">SUM(AA386:AA388)</f>
        <v>93900.2588729874</v>
      </c>
      <c r="AB389" s="94" t="n">
        <f aca="false">SUM(AB386:AB388)</f>
        <v>94372.7197074087</v>
      </c>
      <c r="AC389" s="94" t="n">
        <f aca="false">SUM(AC386:AC388)</f>
        <v>99686.0486603825</v>
      </c>
      <c r="AD389" s="94" t="n">
        <f aca="false">SUM(AD386:AD388)</f>
        <v>98495.3953901387</v>
      </c>
      <c r="AE389" s="94" t="n">
        <f aca="false">SUM(AE386:AE388)</f>
        <v>100755.953380033</v>
      </c>
      <c r="AF389" s="94" t="n">
        <f aca="false">SUM(AF386:AF388)</f>
        <v>110272.983573199</v>
      </c>
      <c r="AG389" s="94" t="n">
        <f aca="false">SUM(AG386:AG388)</f>
        <v>82943.3179229124</v>
      </c>
      <c r="AH389" s="94" t="n">
        <f aca="false">SUM(AH386:AH388)</f>
        <v>83850.6610956688</v>
      </c>
      <c r="AI389" s="94" t="n">
        <f aca="false">SUM(AI386:AI388)</f>
        <v>89774.8355804284</v>
      </c>
      <c r="AJ389" s="94" t="n">
        <f aca="false">SUM(AJ386:AJ388)</f>
        <v>88621.782984547</v>
      </c>
      <c r="AK389" s="94" t="n">
        <f aca="false">SUM(AK386:AK388)</f>
        <v>91038.6087243754</v>
      </c>
      <c r="AL389" s="94" t="n">
        <f aca="false">SUM(AL386:AL388)</f>
        <v>101288.214854066</v>
      </c>
      <c r="AM389" s="94" t="n">
        <f aca="false">SUM(AM386:AM388)</f>
        <v>96370.5415245197</v>
      </c>
      <c r="AN389" s="94" t="n">
        <f aca="false">SUM(AN386:AN388)</f>
        <v>97381.7225372211</v>
      </c>
      <c r="AO389" s="94" t="n">
        <f aca="false">SUM(AO386:AO388)</f>
        <v>103573.96487511</v>
      </c>
      <c r="AP389" s="94" t="n">
        <f aca="false">SUM(AP386:AP388)</f>
        <v>102919.893179758</v>
      </c>
      <c r="AQ389" s="94" t="n">
        <f aca="false">SUM(AQ386:AQ388)</f>
        <v>105987.920735764</v>
      </c>
      <c r="AR389" s="25"/>
    </row>
    <row r="390" customFormat="false" ht="13.5" hidden="false" customHeight="false" outlineLevel="0" collapsed="false">
      <c r="A390" s="3"/>
      <c r="B390" s="95" t="str">
        <f aca="false">CONCATENATE("NPV ",+$E$16*100," of Cf to Term (2036)")</f>
        <v>NPV 6.25 of Cf to Term (2036)</v>
      </c>
      <c r="C390" s="3"/>
      <c r="D390" s="3"/>
      <c r="E390" s="3"/>
      <c r="F390" s="3"/>
      <c r="G390" s="199" t="n">
        <f aca="false">SUMPRODUCT(G$16:AQ$16,G389:AQ389)</f>
        <v>1357194.42057663</v>
      </c>
      <c r="H390" s="157" t="str">
        <f aca="false">CONCATENATE(" = ",DOLLAR($G$303-G390,0)," in Savings or a ",ROUND(($G$303-G390)/$G$91,2)*100,"% Reduction in Stranded Investment")</f>
        <v> = $127,432 in Savings or a 43% Reduction in Stranded Investment</v>
      </c>
      <c r="I390" s="200"/>
      <c r="J390" s="200"/>
      <c r="K390" s="200"/>
      <c r="L390" s="200"/>
      <c r="M390" s="201"/>
      <c r="N390" s="220"/>
      <c r="O390" s="220"/>
      <c r="P390" s="220"/>
      <c r="Q390" s="220"/>
      <c r="R390" s="220"/>
      <c r="S390" s="220"/>
      <c r="T390" s="220"/>
      <c r="U390" s="220"/>
      <c r="V390" s="220"/>
      <c r="W390" s="220"/>
      <c r="X390" s="220"/>
      <c r="Y390" s="220"/>
      <c r="Z390" s="220"/>
      <c r="AA390" s="57"/>
      <c r="AB390" s="57"/>
      <c r="AC390" s="57"/>
      <c r="AD390" s="57"/>
      <c r="AE390" s="57"/>
      <c r="AF390" s="57"/>
      <c r="AG390" s="57"/>
      <c r="AH390" s="57"/>
      <c r="AI390" s="57"/>
      <c r="AJ390" s="57"/>
      <c r="AK390" s="57"/>
      <c r="AL390" s="57"/>
      <c r="AM390" s="57"/>
      <c r="AN390" s="57"/>
      <c r="AO390" s="57"/>
      <c r="AP390" s="57"/>
      <c r="AQ390" s="57"/>
      <c r="AR390" s="25"/>
    </row>
    <row r="391" customFormat="false" ht="12.75" hidden="false" customHeight="false" outlineLevel="0" collapsed="false">
      <c r="A391" s="3"/>
      <c r="B391" s="66"/>
      <c r="C391" s="3"/>
      <c r="D391" s="3"/>
      <c r="E391" s="3"/>
      <c r="F391" s="3"/>
      <c r="G391" s="159"/>
      <c r="H391" s="220"/>
      <c r="I391" s="220"/>
      <c r="J391" s="220"/>
      <c r="K391" s="220"/>
      <c r="L391" s="220"/>
      <c r="M391" s="220"/>
      <c r="N391" s="220"/>
      <c r="O391" s="220"/>
      <c r="P391" s="220"/>
      <c r="Q391" s="220"/>
      <c r="R391" s="220"/>
      <c r="S391" s="220"/>
      <c r="T391" s="220"/>
      <c r="U391" s="220"/>
      <c r="V391" s="220"/>
      <c r="W391" s="220"/>
      <c r="X391" s="220"/>
      <c r="Y391" s="220"/>
      <c r="Z391" s="220"/>
      <c r="AA391" s="57"/>
      <c r="AB391" s="57"/>
      <c r="AC391" s="57"/>
      <c r="AD391" s="57"/>
      <c r="AE391" s="57"/>
      <c r="AF391" s="57"/>
      <c r="AG391" s="57"/>
      <c r="AH391" s="57"/>
      <c r="AI391" s="57"/>
      <c r="AJ391" s="57"/>
      <c r="AK391" s="57"/>
      <c r="AL391" s="57"/>
      <c r="AM391" s="57"/>
      <c r="AN391" s="57"/>
      <c r="AO391" s="57"/>
      <c r="AP391" s="57"/>
      <c r="AQ391" s="57"/>
      <c r="AR391" s="25"/>
    </row>
    <row r="392" customFormat="false" ht="12.75" hidden="false" customHeight="false" outlineLevel="0" collapsed="false">
      <c r="A392" s="192"/>
      <c r="B392" s="48" t="str">
        <f aca="false">+A371</f>
        <v>Production Payment on Partial Output</v>
      </c>
      <c r="C392" s="2"/>
      <c r="D392" s="202"/>
      <c r="E392" s="3"/>
      <c r="F392" s="3"/>
      <c r="G392" s="66" t="s">
        <v>28</v>
      </c>
      <c r="H392" s="65" t="n">
        <f aca="false">+H389/H$25*1000</f>
        <v>48.9017528173775</v>
      </c>
      <c r="I392" s="65" t="n">
        <f aca="false">+I389/I$25*1000</f>
        <v>46.3487856300141</v>
      </c>
      <c r="J392" s="65" t="n">
        <f aca="false">+J389/J$25*1000</f>
        <v>46.7416482896851</v>
      </c>
      <c r="K392" s="65" t="n">
        <f aca="false">+K389/K$25*1000</f>
        <v>49.5405375194452</v>
      </c>
      <c r="L392" s="65" t="n">
        <f aca="false">+L389/L$25*1000</f>
        <v>49.4528881568943</v>
      </c>
      <c r="M392" s="65" t="n">
        <f aca="false">+M389/M$25*1000</f>
        <v>50.9981449249001</v>
      </c>
      <c r="N392" s="65" t="n">
        <f aca="false">+N389/N$25*1000</f>
        <v>51.1694481971326</v>
      </c>
      <c r="O392" s="65" t="n">
        <f aca="false">+O389/O$25*1000</f>
        <v>47.7587450486706</v>
      </c>
      <c r="P392" s="65" t="n">
        <f aca="false">+P389/P$25*1000</f>
        <v>48.0017108861976</v>
      </c>
      <c r="Q392" s="65" t="n">
        <f aca="false">+Q389/Q$25*1000</f>
        <v>53.1205643950875</v>
      </c>
      <c r="R392" s="65" t="n">
        <f aca="false">+R389/R$25*1000</f>
        <v>50.6333254818954</v>
      </c>
      <c r="S392" s="65" t="n">
        <f aca="false">+S389/S$25*1000</f>
        <v>51.5988227528091</v>
      </c>
      <c r="T392" s="65" t="n">
        <f aca="false">+T389/T$25*1000</f>
        <v>56.038207271397</v>
      </c>
      <c r="U392" s="65" t="n">
        <f aca="false">+U389/U$25*1000</f>
        <v>43.1095577618702</v>
      </c>
      <c r="V392" s="65" t="n">
        <f aca="false">+V389/V$25*1000</f>
        <v>43.0496571804151</v>
      </c>
      <c r="W392" s="65" t="n">
        <f aca="false">+W389/W$25*1000</f>
        <v>45.6293784710636</v>
      </c>
      <c r="X392" s="65" t="n">
        <f aca="false">+X389/X$25*1000</f>
        <v>45.0968515947263</v>
      </c>
      <c r="Y392" s="65" t="n">
        <f aca="false">+Y389/Y$25*1000</f>
        <v>45.8583091400692</v>
      </c>
      <c r="Z392" s="65" t="n">
        <f aca="false">+Z389/Z$25*1000</f>
        <v>50.6569422061681</v>
      </c>
      <c r="AA392" s="65" t="n">
        <f aca="false">+AA389/AA$25*1000</f>
        <v>48.1788362238644</v>
      </c>
      <c r="AB392" s="65" t="n">
        <f aca="false">+AB389/AB$25*1000</f>
        <v>48.5539098571777</v>
      </c>
      <c r="AC392" s="65" t="n">
        <f aca="false">+AC389/AC$25*1000</f>
        <v>51.2875694976338</v>
      </c>
      <c r="AD392" s="65" t="n">
        <f aca="false">+AD389/AD$25*1000</f>
        <v>50.674989170037</v>
      </c>
      <c r="AE392" s="65" t="n">
        <f aca="false">+AE389/AE$25*1000</f>
        <v>51.6963918389407</v>
      </c>
      <c r="AF392" s="65" t="n">
        <f aca="false">+AF389/AF$25*1000</f>
        <v>56.7344516582246</v>
      </c>
      <c r="AG392" s="65" t="n">
        <f aca="false">+AG389/AG$25*1000</f>
        <v>42.6735861186393</v>
      </c>
      <c r="AH392" s="65" t="n">
        <f aca="false">+AH389/AH$25*1000</f>
        <v>43.1404059661136</v>
      </c>
      <c r="AI392" s="65" t="n">
        <f aca="false">+AI389/AI$25*1000</f>
        <v>46.0621424516442</v>
      </c>
      <c r="AJ392" s="65" t="n">
        <f aca="false">+AJ389/AJ$25*1000</f>
        <v>45.59510498113</v>
      </c>
      <c r="AK392" s="65" t="n">
        <f aca="false">+AK389/AK$25*1000</f>
        <v>46.8385399428007</v>
      </c>
      <c r="AL392" s="65" t="n">
        <f aca="false">+AL389/AL$25*1000</f>
        <v>52.1118694985821</v>
      </c>
      <c r="AM392" s="65" t="n">
        <f aca="false">+AM389/AM$25*1000</f>
        <v>49.4463017742609</v>
      </c>
      <c r="AN392" s="65" t="n">
        <f aca="false">+AN389/AN$25*1000</f>
        <v>50.1020145701886</v>
      </c>
      <c r="AO392" s="65" t="n">
        <f aca="false">+AO389/AO$25*1000</f>
        <v>53.2878671896725</v>
      </c>
      <c r="AP392" s="65" t="n">
        <f aca="false">+AP389/AP$25*1000</f>
        <v>52.951353224252</v>
      </c>
      <c r="AQ392" s="65" t="n">
        <f aca="false">+AQ389/AQ$25*1000</f>
        <v>54.3808370298886</v>
      </c>
      <c r="AR392" s="25"/>
    </row>
    <row r="393" customFormat="false" ht="12.75" hidden="false" customHeight="false" outlineLevel="0" collapsed="false">
      <c r="A393" s="192"/>
      <c r="B393" s="48"/>
      <c r="C393" s="2"/>
      <c r="D393" s="202"/>
      <c r="E393" s="3"/>
      <c r="F393" s="3"/>
      <c r="G393" s="66"/>
      <c r="H393" s="229"/>
      <c r="I393" s="229"/>
      <c r="J393" s="229"/>
      <c r="K393" s="229"/>
      <c r="L393" s="229"/>
      <c r="M393" s="229"/>
      <c r="N393" s="229"/>
      <c r="O393" s="229"/>
      <c r="P393" s="229"/>
      <c r="Q393" s="229"/>
      <c r="R393" s="229"/>
      <c r="S393" s="229"/>
      <c r="T393" s="229"/>
      <c r="U393" s="229"/>
      <c r="V393" s="229"/>
      <c r="W393" s="229"/>
      <c r="X393" s="229"/>
      <c r="Y393" s="229"/>
      <c r="Z393" s="229"/>
      <c r="AA393" s="24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24"/>
      <c r="AM393" s="24"/>
      <c r="AN393" s="24"/>
      <c r="AO393" s="24"/>
      <c r="AP393" s="24"/>
      <c r="AQ393" s="24"/>
      <c r="AR393" s="25"/>
    </row>
    <row r="394" customFormat="false" ht="13.5" hidden="false" customHeight="false" outlineLevel="0" collapsed="false">
      <c r="A394" s="3"/>
      <c r="B394" s="3"/>
      <c r="C394" s="3"/>
      <c r="D394" s="3"/>
      <c r="E394" s="3"/>
      <c r="F394" s="3"/>
      <c r="G394" s="20" t="str">
        <f aca="false">+G$9</f>
        <v>t = 0</v>
      </c>
      <c r="H394" s="20" t="n">
        <f aca="false">+Z9+1</f>
        <v>2020</v>
      </c>
      <c r="I394" s="20" t="n">
        <f aca="false">+H394+1</f>
        <v>2021</v>
      </c>
      <c r="J394" s="20" t="n">
        <f aca="false">+I394+1</f>
        <v>2022</v>
      </c>
      <c r="K394" s="20" t="n">
        <f aca="false">+J394+1</f>
        <v>2023</v>
      </c>
      <c r="L394" s="20" t="n">
        <f aca="false">+K394+1</f>
        <v>2024</v>
      </c>
      <c r="M394" s="20" t="n">
        <f aca="false">+L394+1</f>
        <v>2025</v>
      </c>
      <c r="N394" s="20" t="n">
        <f aca="false">+M394+1</f>
        <v>2026</v>
      </c>
      <c r="O394" s="20" t="n">
        <f aca="false">+N394+1</f>
        <v>2027</v>
      </c>
      <c r="P394" s="20" t="n">
        <f aca="false">+O394+1</f>
        <v>2028</v>
      </c>
      <c r="Q394" s="20" t="n">
        <f aca="false">+P394+1</f>
        <v>2029</v>
      </c>
      <c r="R394" s="20" t="n">
        <f aca="false">+Q394+1</f>
        <v>2030</v>
      </c>
      <c r="S394" s="20" t="n">
        <f aca="false">+R394+1</f>
        <v>2031</v>
      </c>
      <c r="T394" s="20" t="n">
        <f aca="false">+S394+1</f>
        <v>2032</v>
      </c>
      <c r="U394" s="20" t="n">
        <f aca="false">+T394+1</f>
        <v>2033</v>
      </c>
      <c r="V394" s="20" t="n">
        <f aca="false">+U394+1</f>
        <v>2034</v>
      </c>
      <c r="W394" s="20" t="n">
        <f aca="false">+V394+1</f>
        <v>2035</v>
      </c>
      <c r="X394" s="20" t="n">
        <f aca="false">+W394+1</f>
        <v>2036</v>
      </c>
      <c r="Y394" s="3"/>
      <c r="Z394" s="3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  <c r="AM394" s="24"/>
      <c r="AN394" s="24"/>
      <c r="AO394" s="24"/>
      <c r="AP394" s="24"/>
      <c r="AQ394" s="24"/>
      <c r="AR394" s="25"/>
    </row>
    <row r="395" customFormat="false" ht="12.75" hidden="false" customHeight="fals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24"/>
      <c r="AB395" s="24"/>
      <c r="AC395" s="24"/>
      <c r="AD395" s="24"/>
      <c r="AE395" s="24"/>
      <c r="AF395" s="24"/>
      <c r="AG395" s="24"/>
      <c r="AH395" s="24"/>
      <c r="AI395" s="24"/>
      <c r="AJ395" s="24"/>
      <c r="AK395" s="24"/>
      <c r="AL395" s="24"/>
      <c r="AM395" s="24"/>
      <c r="AN395" s="24"/>
      <c r="AO395" s="24"/>
      <c r="AP395" s="24"/>
      <c r="AQ395" s="24"/>
      <c r="AR395" s="25"/>
    </row>
    <row r="396" customFormat="false" ht="15.75" hidden="false" customHeight="false" outlineLevel="0" collapsed="false">
      <c r="A396" s="23" t="s">
        <v>217</v>
      </c>
      <c r="B396" s="3"/>
      <c r="C396" s="3"/>
      <c r="D396" s="3"/>
      <c r="E396" s="3"/>
      <c r="F396" s="29" t="s">
        <v>11</v>
      </c>
      <c r="G396" s="3"/>
      <c r="H396" s="31" t="n">
        <f aca="false">+$Z$12+366</f>
        <v>44196</v>
      </c>
      <c r="I396" s="31" t="n">
        <f aca="false">+H396+365</f>
        <v>44561</v>
      </c>
      <c r="J396" s="31" t="n">
        <f aca="false">+I396+365</f>
        <v>44926</v>
      </c>
      <c r="K396" s="31" t="n">
        <f aca="false">+J396+365</f>
        <v>45291</v>
      </c>
      <c r="L396" s="31" t="n">
        <f aca="false">+K396+366</f>
        <v>45657</v>
      </c>
      <c r="M396" s="31" t="n">
        <f aca="false">+L396+365</f>
        <v>46022</v>
      </c>
      <c r="N396" s="31" t="n">
        <f aca="false">+M396+365</f>
        <v>46387</v>
      </c>
      <c r="O396" s="31" t="n">
        <f aca="false">+N396+365</f>
        <v>46752</v>
      </c>
      <c r="P396" s="31" t="n">
        <f aca="false">+O396+366</f>
        <v>47118</v>
      </c>
      <c r="Q396" s="31" t="n">
        <f aca="false">+P396+365</f>
        <v>47483</v>
      </c>
      <c r="R396" s="31" t="n">
        <f aca="false">+Q396+365</f>
        <v>47848</v>
      </c>
      <c r="S396" s="31" t="n">
        <f aca="false">+R396+365</f>
        <v>48213</v>
      </c>
      <c r="T396" s="31" t="n">
        <f aca="false">+S396+366</f>
        <v>48579</v>
      </c>
      <c r="U396" s="31" t="n">
        <f aca="false">+T396+365</f>
        <v>48944</v>
      </c>
      <c r="V396" s="31" t="n">
        <f aca="false">+U396+365</f>
        <v>49309</v>
      </c>
      <c r="W396" s="31" t="n">
        <f aca="false">+V396+365</f>
        <v>49674</v>
      </c>
      <c r="X396" s="31" t="n">
        <f aca="false">+W396+366</f>
        <v>50040</v>
      </c>
      <c r="Y396" s="31"/>
      <c r="Z396" s="31"/>
      <c r="AA396" s="32"/>
      <c r="AB396" s="24"/>
      <c r="AC396" s="24"/>
      <c r="AD396" s="24"/>
      <c r="AE396" s="24"/>
      <c r="AF396" s="24"/>
      <c r="AG396" s="24"/>
      <c r="AH396" s="24"/>
      <c r="AI396" s="24"/>
      <c r="AJ396" s="24"/>
      <c r="AK396" s="24"/>
      <c r="AL396" s="24"/>
      <c r="AM396" s="24"/>
      <c r="AN396" s="24"/>
      <c r="AO396" s="24"/>
      <c r="AP396" s="24"/>
      <c r="AQ396" s="24"/>
      <c r="AR396" s="25"/>
    </row>
    <row r="397" customFormat="false" ht="12.75" hidden="false" customHeight="false" outlineLevel="0" collapsed="false">
      <c r="A397" s="3"/>
      <c r="B397" s="3"/>
      <c r="C397" s="3"/>
      <c r="D397" s="3"/>
      <c r="E397" s="3"/>
      <c r="F397" s="29" t="s">
        <v>13</v>
      </c>
      <c r="G397" s="3"/>
      <c r="H397" s="36" t="n">
        <f aca="false">+Z13+1</f>
        <v>20</v>
      </c>
      <c r="I397" s="36" t="n">
        <f aca="false">+H397+1</f>
        <v>21</v>
      </c>
      <c r="J397" s="36" t="n">
        <f aca="false">+I397+1</f>
        <v>22</v>
      </c>
      <c r="K397" s="36" t="n">
        <f aca="false">+J397+1</f>
        <v>23</v>
      </c>
      <c r="L397" s="36" t="n">
        <f aca="false">+K397+1</f>
        <v>24</v>
      </c>
      <c r="M397" s="36" t="n">
        <f aca="false">+L397+1</f>
        <v>25</v>
      </c>
      <c r="N397" s="36" t="n">
        <f aca="false">+M397+1</f>
        <v>26</v>
      </c>
      <c r="O397" s="36" t="n">
        <f aca="false">+N397+1</f>
        <v>27</v>
      </c>
      <c r="P397" s="36" t="n">
        <f aca="false">+O397+1</f>
        <v>28</v>
      </c>
      <c r="Q397" s="36" t="n">
        <f aca="false">+P397+1</f>
        <v>29</v>
      </c>
      <c r="R397" s="36" t="n">
        <f aca="false">+Q397+1</f>
        <v>30</v>
      </c>
      <c r="S397" s="36" t="n">
        <f aca="false">+R397+1</f>
        <v>31</v>
      </c>
      <c r="T397" s="36" t="n">
        <f aca="false">+S397+1</f>
        <v>32</v>
      </c>
      <c r="U397" s="36" t="n">
        <f aca="false">+T397+1</f>
        <v>33</v>
      </c>
      <c r="V397" s="36" t="n">
        <f aca="false">+U397+1</f>
        <v>34</v>
      </c>
      <c r="W397" s="36" t="n">
        <f aca="false">+V397+1</f>
        <v>35</v>
      </c>
      <c r="X397" s="36" t="n">
        <f aca="false">+W397+1</f>
        <v>36</v>
      </c>
      <c r="Y397" s="3"/>
      <c r="Z397" s="3"/>
      <c r="AA397" s="24"/>
      <c r="AB397" s="24"/>
      <c r="AC397" s="24"/>
      <c r="AD397" s="24"/>
      <c r="AE397" s="24"/>
      <c r="AF397" s="24"/>
      <c r="AG397" s="24"/>
      <c r="AH397" s="24"/>
      <c r="AI397" s="24"/>
      <c r="AJ397" s="24"/>
      <c r="AK397" s="24"/>
      <c r="AL397" s="24"/>
      <c r="AM397" s="24"/>
      <c r="AN397" s="24"/>
      <c r="AO397" s="24"/>
      <c r="AP397" s="24"/>
      <c r="AQ397" s="24"/>
      <c r="AR397" s="25"/>
    </row>
    <row r="398" customFormat="false" ht="12.75" hidden="false" customHeight="false" outlineLevel="0" collapsed="false">
      <c r="A398" s="3"/>
      <c r="B398" s="3"/>
      <c r="C398" s="3"/>
      <c r="D398" s="3"/>
      <c r="E398" s="3"/>
      <c r="F398" s="29" t="s">
        <v>16</v>
      </c>
      <c r="G398" s="3"/>
      <c r="H398" s="43" t="n">
        <f aca="false">1/(1+$E$16)^H$397</f>
        <v>0.297454967164831</v>
      </c>
      <c r="I398" s="43" t="n">
        <f aca="false">1/(1+$E$16)^I$397</f>
        <v>0.279957616155135</v>
      </c>
      <c r="J398" s="43" t="n">
        <f aca="false">1/(1+$E$16)^J$397</f>
        <v>0.263489521087186</v>
      </c>
      <c r="K398" s="43" t="n">
        <f aca="false">1/(1+$E$16)^K$397</f>
        <v>0.247990137493822</v>
      </c>
      <c r="L398" s="43" t="n">
        <f aca="false">1/(1+$E$16)^L$397</f>
        <v>0.233402482347127</v>
      </c>
      <c r="M398" s="43" t="n">
        <f aca="false">1/(1+$E$16)^M$397</f>
        <v>0.219672924562002</v>
      </c>
      <c r="N398" s="43" t="n">
        <f aca="false">1/(1+$E$16)^N$397</f>
        <v>0.20675098782306</v>
      </c>
      <c r="O398" s="43" t="n">
        <f aca="false">1/(1+$E$16)^O$397</f>
        <v>0.194589165009939</v>
      </c>
      <c r="P398" s="43" t="n">
        <f aca="false">1/(1+$E$16)^P$397</f>
        <v>0.183142743538766</v>
      </c>
      <c r="Q398" s="43" t="n">
        <f aca="false">1/(1+$E$16)^Q$397</f>
        <v>0.172369640977662</v>
      </c>
      <c r="R398" s="43" t="n">
        <f aca="false">1/(1+$E$16)^R$397</f>
        <v>0.162230250331918</v>
      </c>
      <c r="S398" s="43" t="n">
        <f aca="false">1/(1+$E$16)^S$397</f>
        <v>0.15268729443004</v>
      </c>
      <c r="T398" s="43" t="n">
        <f aca="false">1/(1+$E$16)^T$397</f>
        <v>0.143705688875332</v>
      </c>
      <c r="U398" s="43" t="n">
        <f aca="false">1/(1+$E$16)^U$397</f>
        <v>0.135252413059136</v>
      </c>
      <c r="V398" s="43" t="n">
        <f aca="false">1/(1+$E$16)^V$397</f>
        <v>0.12729638876154</v>
      </c>
      <c r="W398" s="43" t="n">
        <f aca="false">1/(1+$E$16)^W$397</f>
        <v>0.119808365893214</v>
      </c>
      <c r="X398" s="43" t="n">
        <f aca="false">1/(1+$E$16)^X$397</f>
        <v>0.112760814958319</v>
      </c>
      <c r="Y398" s="3"/>
      <c r="Z398" s="3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5"/>
    </row>
    <row r="399" customFormat="false" ht="12.75" hidden="false" customHeight="false" outlineLevel="0" collapsed="false">
      <c r="A399" s="3"/>
      <c r="B399" s="3"/>
      <c r="C399" s="3"/>
      <c r="D399" s="3"/>
      <c r="E399" s="3"/>
      <c r="F399" s="4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24"/>
      <c r="AB399" s="24"/>
      <c r="AC399" s="24"/>
      <c r="AD399" s="24"/>
      <c r="AE399" s="24"/>
      <c r="AF399" s="24"/>
      <c r="AG399" s="24"/>
      <c r="AH399" s="24"/>
      <c r="AI399" s="24"/>
      <c r="AJ399" s="24"/>
      <c r="AK399" s="24"/>
      <c r="AL399" s="24"/>
      <c r="AM399" s="24"/>
      <c r="AN399" s="24"/>
      <c r="AO399" s="24"/>
      <c r="AP399" s="24"/>
      <c r="AQ399" s="24"/>
      <c r="AR399" s="25"/>
    </row>
    <row r="400" customFormat="false" ht="12.75" hidden="false" customHeight="false" outlineLevel="0" collapsed="false">
      <c r="A400" s="3"/>
      <c r="B400" s="3"/>
      <c r="C400" s="3"/>
      <c r="D400" s="3"/>
      <c r="E400" s="3"/>
      <c r="F400" s="4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24"/>
      <c r="AL400" s="24"/>
      <c r="AM400" s="24"/>
      <c r="AN400" s="24"/>
      <c r="AO400" s="24"/>
      <c r="AP400" s="24"/>
      <c r="AQ400" s="24"/>
      <c r="AR400" s="25"/>
    </row>
    <row r="401" customFormat="false" ht="12.75" hidden="false" customHeight="false" outlineLevel="0" collapsed="false">
      <c r="A401" s="2"/>
      <c r="B401" s="3"/>
      <c r="C401" s="3"/>
      <c r="D401" s="3"/>
      <c r="E401" s="45"/>
      <c r="F401" s="4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24"/>
      <c r="AB401" s="24"/>
      <c r="AC401" s="24"/>
      <c r="AD401" s="24"/>
      <c r="AE401" s="24"/>
      <c r="AF401" s="24"/>
      <c r="AG401" s="24"/>
      <c r="AH401" s="24"/>
      <c r="AI401" s="24"/>
      <c r="AJ401" s="24"/>
      <c r="AK401" s="24"/>
      <c r="AL401" s="24"/>
      <c r="AM401" s="24"/>
      <c r="AN401" s="24"/>
      <c r="AO401" s="24"/>
      <c r="AP401" s="24"/>
      <c r="AQ401" s="24"/>
      <c r="AR401" s="25"/>
    </row>
    <row r="402" customFormat="false" ht="12.75" hidden="false" customHeight="false" outlineLevel="0" collapsed="false">
      <c r="A402" s="3"/>
      <c r="B402" s="48" t="s">
        <v>19</v>
      </c>
      <c r="C402" s="3"/>
      <c r="D402" s="3"/>
      <c r="E402" s="3"/>
      <c r="F402" s="3"/>
      <c r="G402" s="3"/>
      <c r="H402" s="49" t="n">
        <v>8784</v>
      </c>
      <c r="I402" s="49" t="n">
        <v>8760</v>
      </c>
      <c r="J402" s="49" t="n">
        <v>8760</v>
      </c>
      <c r="K402" s="49" t="n">
        <v>8760</v>
      </c>
      <c r="L402" s="49" t="n">
        <v>8784</v>
      </c>
      <c r="M402" s="49" t="n">
        <v>8760</v>
      </c>
      <c r="N402" s="49" t="n">
        <v>8760</v>
      </c>
      <c r="O402" s="49" t="n">
        <v>8760</v>
      </c>
      <c r="P402" s="49" t="n">
        <v>8784</v>
      </c>
      <c r="Q402" s="49" t="n">
        <v>8760</v>
      </c>
      <c r="R402" s="49" t="n">
        <v>8760</v>
      </c>
      <c r="S402" s="49" t="n">
        <v>8760</v>
      </c>
      <c r="T402" s="49" t="n">
        <v>8784</v>
      </c>
      <c r="U402" s="49" t="n">
        <v>8760</v>
      </c>
      <c r="V402" s="49" t="n">
        <v>8760</v>
      </c>
      <c r="W402" s="49" t="n">
        <v>8760</v>
      </c>
      <c r="X402" s="49" t="n">
        <v>8784</v>
      </c>
      <c r="Y402" s="3"/>
      <c r="Z402" s="3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24"/>
      <c r="AM402" s="24"/>
      <c r="AN402" s="24"/>
      <c r="AO402" s="24"/>
      <c r="AP402" s="24"/>
      <c r="AQ402" s="24"/>
      <c r="AR402" s="25"/>
    </row>
    <row r="403" customFormat="false" ht="12.75" hidden="false" customHeight="false" outlineLevel="0" collapsed="false">
      <c r="A403" s="3"/>
      <c r="B403" s="2"/>
      <c r="C403" s="3"/>
      <c r="D403" s="3"/>
      <c r="E403" s="45"/>
      <c r="F403" s="4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24"/>
      <c r="AB403" s="24"/>
      <c r="AC403" s="24"/>
      <c r="AD403" s="24"/>
      <c r="AE403" s="24"/>
      <c r="AF403" s="24"/>
      <c r="AG403" s="24"/>
      <c r="AH403" s="24"/>
      <c r="AI403" s="24"/>
      <c r="AJ403" s="24"/>
      <c r="AK403" s="24"/>
      <c r="AL403" s="24"/>
      <c r="AM403" s="24"/>
      <c r="AN403" s="24"/>
      <c r="AO403" s="24"/>
      <c r="AP403" s="24"/>
      <c r="AQ403" s="24"/>
      <c r="AR403" s="25"/>
    </row>
    <row r="404" customFormat="false" ht="12.75" hidden="false" customHeight="false" outlineLevel="0" collapsed="false">
      <c r="A404" s="3"/>
      <c r="B404" s="48" t="s">
        <v>20</v>
      </c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24"/>
      <c r="AB404" s="24"/>
      <c r="AC404" s="24"/>
      <c r="AD404" s="24"/>
      <c r="AE404" s="24"/>
      <c r="AF404" s="24"/>
      <c r="AG404" s="24"/>
      <c r="AH404" s="24"/>
      <c r="AI404" s="24"/>
      <c r="AJ404" s="24"/>
      <c r="AK404" s="24"/>
      <c r="AL404" s="24"/>
      <c r="AM404" s="24"/>
      <c r="AN404" s="24"/>
      <c r="AO404" s="24"/>
      <c r="AP404" s="24"/>
      <c r="AQ404" s="24"/>
      <c r="AR404" s="25"/>
    </row>
    <row r="405" customFormat="false" ht="12.75" hidden="false" customHeight="false" outlineLevel="0" collapsed="false">
      <c r="A405" s="3"/>
      <c r="B405" s="2" t="s">
        <v>21</v>
      </c>
      <c r="C405" s="3"/>
      <c r="D405" s="3"/>
      <c r="E405" s="3"/>
      <c r="F405" s="3"/>
      <c r="G405" s="3"/>
      <c r="H405" s="49" t="n">
        <v>258000</v>
      </c>
      <c r="I405" s="49" t="n">
        <v>258000</v>
      </c>
      <c r="J405" s="49" t="n">
        <v>258000</v>
      </c>
      <c r="K405" s="49" t="n">
        <v>258000</v>
      </c>
      <c r="L405" s="49" t="n">
        <v>258000</v>
      </c>
      <c r="M405" s="49" t="n">
        <v>258000</v>
      </c>
      <c r="N405" s="49" t="n">
        <v>258000</v>
      </c>
      <c r="O405" s="49" t="n">
        <v>258000</v>
      </c>
      <c r="P405" s="49" t="n">
        <v>258000</v>
      </c>
      <c r="Q405" s="49" t="n">
        <v>258000</v>
      </c>
      <c r="R405" s="49" t="n">
        <v>258000</v>
      </c>
      <c r="S405" s="49" t="n">
        <v>258000</v>
      </c>
      <c r="T405" s="49" t="n">
        <v>258000</v>
      </c>
      <c r="U405" s="49" t="n">
        <v>258000</v>
      </c>
      <c r="V405" s="49" t="n">
        <v>258000</v>
      </c>
      <c r="W405" s="49" t="n">
        <v>258000</v>
      </c>
      <c r="X405" s="49" t="n">
        <v>258000</v>
      </c>
      <c r="Y405" s="3"/>
      <c r="Z405" s="3"/>
      <c r="AA405" s="24"/>
      <c r="AB405" s="24"/>
      <c r="AC405" s="24"/>
      <c r="AD405" s="24"/>
      <c r="AE405" s="24"/>
      <c r="AF405" s="24"/>
      <c r="AG405" s="24"/>
      <c r="AH405" s="24"/>
      <c r="AI405" s="24"/>
      <c r="AJ405" s="24"/>
      <c r="AK405" s="24"/>
      <c r="AL405" s="24"/>
      <c r="AM405" s="24"/>
      <c r="AN405" s="24"/>
      <c r="AO405" s="24"/>
      <c r="AP405" s="24"/>
      <c r="AQ405" s="24"/>
      <c r="AR405" s="25"/>
    </row>
    <row r="406" customFormat="false" ht="12.75" hidden="false" customHeight="false" outlineLevel="0" collapsed="false">
      <c r="A406" s="3"/>
      <c r="B406" s="2" t="s">
        <v>23</v>
      </c>
      <c r="C406" s="3"/>
      <c r="D406" s="3"/>
      <c r="E406" s="3"/>
      <c r="F406" s="3"/>
      <c r="G406" s="3"/>
      <c r="H406" s="230" t="n">
        <f aca="false">+Z24</f>
        <v>0.86</v>
      </c>
      <c r="I406" s="230" t="n">
        <f aca="false">+H406</f>
        <v>0.86</v>
      </c>
      <c r="J406" s="230" t="n">
        <f aca="false">+I406</f>
        <v>0.86</v>
      </c>
      <c r="K406" s="230" t="n">
        <f aca="false">+J406</f>
        <v>0.86</v>
      </c>
      <c r="L406" s="230" t="n">
        <f aca="false">+K406</f>
        <v>0.86</v>
      </c>
      <c r="M406" s="230" t="n">
        <f aca="false">+L406</f>
        <v>0.86</v>
      </c>
      <c r="N406" s="230" t="n">
        <f aca="false">+M406</f>
        <v>0.86</v>
      </c>
      <c r="O406" s="230" t="n">
        <f aca="false">+N406</f>
        <v>0.86</v>
      </c>
      <c r="P406" s="230" t="n">
        <f aca="false">+O406</f>
        <v>0.86</v>
      </c>
      <c r="Q406" s="230" t="n">
        <f aca="false">+P406</f>
        <v>0.86</v>
      </c>
      <c r="R406" s="230" t="n">
        <f aca="false">+Q406</f>
        <v>0.86</v>
      </c>
      <c r="S406" s="230" t="n">
        <f aca="false">+R406</f>
        <v>0.86</v>
      </c>
      <c r="T406" s="230" t="n">
        <f aca="false">+S406</f>
        <v>0.86</v>
      </c>
      <c r="U406" s="230" t="n">
        <f aca="false">+T406</f>
        <v>0.86</v>
      </c>
      <c r="V406" s="230" t="n">
        <f aca="false">+U406</f>
        <v>0.86</v>
      </c>
      <c r="W406" s="230" t="n">
        <f aca="false">+V406</f>
        <v>0.86</v>
      </c>
      <c r="X406" s="230" t="n">
        <f aca="false">+W406</f>
        <v>0.86</v>
      </c>
      <c r="Y406" s="3"/>
      <c r="Z406" s="3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5"/>
    </row>
    <row r="407" customFormat="false" ht="12.75" hidden="false" customHeight="false" outlineLevel="0" collapsed="false">
      <c r="A407" s="3"/>
      <c r="B407" s="2" t="s">
        <v>24</v>
      </c>
      <c r="C407" s="3"/>
      <c r="D407" s="3"/>
      <c r="E407" s="3"/>
      <c r="F407" s="3"/>
      <c r="G407" s="3" t="s">
        <v>25</v>
      </c>
      <c r="H407" s="51" t="n">
        <f aca="false">+H402*H405*H406/1000</f>
        <v>1948993.92</v>
      </c>
      <c r="I407" s="51" t="n">
        <f aca="false">+I402*I405*I406/1000</f>
        <v>1943668.8</v>
      </c>
      <c r="J407" s="51" t="n">
        <f aca="false">+J402*J405*J406/1000</f>
        <v>1943668.8</v>
      </c>
      <c r="K407" s="51" t="n">
        <f aca="false">+K402*K405*K406/1000</f>
        <v>1943668.8</v>
      </c>
      <c r="L407" s="51" t="n">
        <f aca="false">+L402*L405*L406/1000</f>
        <v>1948993.92</v>
      </c>
      <c r="M407" s="51" t="n">
        <f aca="false">+M402*M405*M406/1000</f>
        <v>1943668.8</v>
      </c>
      <c r="N407" s="51" t="n">
        <f aca="false">+N402*N405*N406/1000</f>
        <v>1943668.8</v>
      </c>
      <c r="O407" s="51" t="n">
        <f aca="false">+O402*O405*O406/1000</f>
        <v>1943668.8</v>
      </c>
      <c r="P407" s="51" t="n">
        <f aca="false">+P402*P405*P406/1000</f>
        <v>1948993.92</v>
      </c>
      <c r="Q407" s="51" t="n">
        <f aca="false">+Q402*Q405*Q406/1000</f>
        <v>1943668.8</v>
      </c>
      <c r="R407" s="51" t="n">
        <f aca="false">+R402*R405*R406/1000</f>
        <v>1943668.8</v>
      </c>
      <c r="S407" s="51" t="n">
        <f aca="false">+S402*S405*S406/1000</f>
        <v>1943668.8</v>
      </c>
      <c r="T407" s="51" t="n">
        <f aca="false">+T402*T405*T406/1000</f>
        <v>1948993.92</v>
      </c>
      <c r="U407" s="51" t="n">
        <f aca="false">+U402*U405*U406/1000</f>
        <v>1943668.8</v>
      </c>
      <c r="V407" s="51" t="n">
        <f aca="false">+V402*V405*V406/1000</f>
        <v>1943668.8</v>
      </c>
      <c r="W407" s="51" t="n">
        <f aca="false">+W402*W405*W406/1000</f>
        <v>1943668.8</v>
      </c>
      <c r="X407" s="51" t="n">
        <f aca="false">+X402*X405*X406/1000</f>
        <v>1948993.92</v>
      </c>
      <c r="Y407" s="3"/>
      <c r="Z407" s="3"/>
      <c r="AA407" s="24"/>
      <c r="AB407" s="24"/>
      <c r="AC407" s="24"/>
      <c r="AD407" s="24"/>
      <c r="AE407" s="24"/>
      <c r="AF407" s="24"/>
      <c r="AG407" s="24"/>
      <c r="AH407" s="24"/>
      <c r="AI407" s="24"/>
      <c r="AJ407" s="24"/>
      <c r="AK407" s="24"/>
      <c r="AL407" s="24"/>
      <c r="AM407" s="24"/>
      <c r="AN407" s="24"/>
      <c r="AO407" s="24"/>
      <c r="AP407" s="24"/>
      <c r="AQ407" s="24"/>
      <c r="AR407" s="25"/>
    </row>
    <row r="408" customFormat="false" ht="12.75" hidden="false" customHeight="false" outlineLevel="0" collapsed="false">
      <c r="A408" s="2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24"/>
      <c r="AB408" s="24"/>
      <c r="AC408" s="24"/>
      <c r="AD408" s="24"/>
      <c r="AE408" s="24"/>
      <c r="AF408" s="24"/>
      <c r="AG408" s="24"/>
      <c r="AH408" s="24"/>
      <c r="AI408" s="24"/>
      <c r="AJ408" s="24"/>
      <c r="AK408" s="24"/>
      <c r="AL408" s="24"/>
      <c r="AM408" s="24"/>
      <c r="AN408" s="24"/>
      <c r="AO408" s="24"/>
      <c r="AP408" s="24"/>
      <c r="AQ408" s="24"/>
      <c r="AR408" s="25"/>
    </row>
    <row r="409" customFormat="false" ht="12.75" hidden="false" customHeight="false" outlineLevel="0" collapsed="false">
      <c r="A409" s="48"/>
      <c r="B409" s="48" t="s">
        <v>218</v>
      </c>
      <c r="C409" s="2"/>
      <c r="D409" s="2"/>
      <c r="E409" s="2"/>
      <c r="F409" s="3"/>
      <c r="G409" s="3"/>
      <c r="H409" s="3"/>
      <c r="I409" s="3"/>
      <c r="J409" s="3"/>
      <c r="K409" s="3"/>
      <c r="L409" s="3"/>
      <c r="M409" s="3"/>
      <c r="N409" s="231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24"/>
      <c r="AB409" s="24"/>
      <c r="AC409" s="24"/>
      <c r="AD409" s="24"/>
      <c r="AE409" s="24"/>
      <c r="AF409" s="24"/>
      <c r="AG409" s="24"/>
      <c r="AH409" s="24"/>
      <c r="AI409" s="24"/>
      <c r="AJ409" s="24"/>
      <c r="AK409" s="24"/>
      <c r="AL409" s="24"/>
      <c r="AM409" s="24"/>
      <c r="AN409" s="24"/>
      <c r="AO409" s="24"/>
      <c r="AP409" s="24"/>
      <c r="AQ409" s="24"/>
      <c r="AR409" s="25"/>
    </row>
    <row r="410" customFormat="false" ht="12.75" hidden="false" customHeight="false" outlineLevel="0" collapsed="false">
      <c r="A410" s="48"/>
      <c r="B410" s="2" t="s">
        <v>21</v>
      </c>
      <c r="C410" s="2"/>
      <c r="D410" s="2"/>
      <c r="E410" s="2"/>
      <c r="F410" s="3"/>
      <c r="G410" s="3" t="s">
        <v>22</v>
      </c>
      <c r="H410" s="76" t="n">
        <f aca="false">+H405</f>
        <v>258000</v>
      </c>
      <c r="I410" s="76" t="n">
        <f aca="false">+I405</f>
        <v>258000</v>
      </c>
      <c r="J410" s="76" t="n">
        <f aca="false">+J405</f>
        <v>258000</v>
      </c>
      <c r="K410" s="76" t="n">
        <f aca="false">+K405</f>
        <v>258000</v>
      </c>
      <c r="L410" s="76" t="n">
        <f aca="false">+L405</f>
        <v>258000</v>
      </c>
      <c r="M410" s="76" t="n">
        <f aca="false">+M405</f>
        <v>258000</v>
      </c>
      <c r="N410" s="76" t="n">
        <f aca="false">+N405</f>
        <v>258000</v>
      </c>
      <c r="O410" s="76" t="n">
        <f aca="false">+O405</f>
        <v>258000</v>
      </c>
      <c r="P410" s="76" t="n">
        <f aca="false">+P405</f>
        <v>258000</v>
      </c>
      <c r="Q410" s="76" t="n">
        <f aca="false">+Q405</f>
        <v>258000</v>
      </c>
      <c r="R410" s="76" t="n">
        <f aca="false">+R405</f>
        <v>258000</v>
      </c>
      <c r="S410" s="76" t="n">
        <f aca="false">+S405</f>
        <v>258000</v>
      </c>
      <c r="T410" s="76" t="n">
        <f aca="false">+T405</f>
        <v>258000</v>
      </c>
      <c r="U410" s="76" t="n">
        <f aca="false">+U405</f>
        <v>258000</v>
      </c>
      <c r="V410" s="76" t="n">
        <f aca="false">+V405</f>
        <v>258000</v>
      </c>
      <c r="W410" s="76" t="n">
        <f aca="false">+W405</f>
        <v>258000</v>
      </c>
      <c r="X410" s="76" t="n">
        <f aca="false">+X405</f>
        <v>258000</v>
      </c>
      <c r="Y410" s="3"/>
      <c r="Z410" s="3"/>
      <c r="AA410" s="24"/>
      <c r="AB410" s="24"/>
      <c r="AC410" s="24"/>
      <c r="AD410" s="24"/>
      <c r="AE410" s="24"/>
      <c r="AF410" s="24"/>
      <c r="AG410" s="24"/>
      <c r="AH410" s="24"/>
      <c r="AI410" s="24"/>
      <c r="AJ410" s="24"/>
      <c r="AK410" s="24"/>
      <c r="AL410" s="24"/>
      <c r="AM410" s="24"/>
      <c r="AN410" s="24"/>
      <c r="AO410" s="24"/>
      <c r="AP410" s="24"/>
      <c r="AQ410" s="24"/>
      <c r="AR410" s="25"/>
    </row>
    <row r="411" customFormat="false" ht="13.5" hidden="false" customHeight="false" outlineLevel="0" collapsed="false">
      <c r="A411" s="48"/>
      <c r="B411" s="2" t="s">
        <v>43</v>
      </c>
      <c r="C411" s="2"/>
      <c r="D411" s="2"/>
      <c r="E411" s="2"/>
      <c r="F411" s="3"/>
      <c r="G411" s="3" t="s">
        <v>200</v>
      </c>
      <c r="H411" s="78" t="n">
        <v>0.5</v>
      </c>
      <c r="I411" s="78" t="n">
        <v>0.5</v>
      </c>
      <c r="J411" s="78" t="n">
        <v>0.5</v>
      </c>
      <c r="K411" s="78" t="n">
        <v>0.5</v>
      </c>
      <c r="L411" s="78" t="n">
        <v>0.5</v>
      </c>
      <c r="M411" s="78" t="n">
        <v>0.5</v>
      </c>
      <c r="N411" s="78" t="n">
        <v>0.5</v>
      </c>
      <c r="O411" s="78" t="n">
        <v>0.5</v>
      </c>
      <c r="P411" s="78" t="n">
        <v>0.5</v>
      </c>
      <c r="Q411" s="78" t="n">
        <v>0.5</v>
      </c>
      <c r="R411" s="78" t="n">
        <v>0.5</v>
      </c>
      <c r="S411" s="78" t="n">
        <v>0.5</v>
      </c>
      <c r="T411" s="78" t="n">
        <v>0.5</v>
      </c>
      <c r="U411" s="78" t="n">
        <v>0.5</v>
      </c>
      <c r="V411" s="78" t="n">
        <v>0.5</v>
      </c>
      <c r="W411" s="78" t="n">
        <v>0.5</v>
      </c>
      <c r="X411" s="78" t="n">
        <v>0.5</v>
      </c>
      <c r="Y411" s="3"/>
      <c r="Z411" s="3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5"/>
    </row>
    <row r="412" customFormat="false" ht="13.5" hidden="false" customHeight="false" outlineLevel="0" collapsed="false">
      <c r="A412" s="2"/>
      <c r="B412" s="2" t="s">
        <v>42</v>
      </c>
      <c r="C412" s="2"/>
      <c r="D412" s="2"/>
      <c r="E412" s="2"/>
      <c r="F412" s="3"/>
      <c r="G412" s="3"/>
      <c r="H412" s="232" t="n">
        <f aca="false">+H410*H411*0.012</f>
        <v>1548</v>
      </c>
      <c r="I412" s="233" t="n">
        <f aca="false">+I410*I411*0.012</f>
        <v>1548</v>
      </c>
      <c r="J412" s="233" t="n">
        <f aca="false">+J410*J411*0.012</f>
        <v>1548</v>
      </c>
      <c r="K412" s="233" t="n">
        <f aca="false">+K410*K411*0.012</f>
        <v>1548</v>
      </c>
      <c r="L412" s="233" t="n">
        <f aca="false">+L410*L411*0.012</f>
        <v>1548</v>
      </c>
      <c r="M412" s="233" t="n">
        <f aca="false">+M410*M411*0.012</f>
        <v>1548</v>
      </c>
      <c r="N412" s="233" t="n">
        <f aca="false">+N410*N411*0.012</f>
        <v>1548</v>
      </c>
      <c r="O412" s="233" t="n">
        <f aca="false">+O410*O411*0.012</f>
        <v>1548</v>
      </c>
      <c r="P412" s="233" t="n">
        <f aca="false">+P410*P411*0.012</f>
        <v>1548</v>
      </c>
      <c r="Q412" s="233" t="n">
        <f aca="false">+Q410*Q411*0.012</f>
        <v>1548</v>
      </c>
      <c r="R412" s="233" t="n">
        <f aca="false">+R410*R411*0.012</f>
        <v>1548</v>
      </c>
      <c r="S412" s="233" t="n">
        <f aca="false">+S410*S411*0.012</f>
        <v>1548</v>
      </c>
      <c r="T412" s="233" t="n">
        <f aca="false">+T410*T411*0.012</f>
        <v>1548</v>
      </c>
      <c r="U412" s="233" t="n">
        <f aca="false">+U410*U411*0.012</f>
        <v>1548</v>
      </c>
      <c r="V412" s="233" t="n">
        <f aca="false">+V410*V411*0.012</f>
        <v>1548</v>
      </c>
      <c r="W412" s="233" t="n">
        <f aca="false">+W410*W411*0.012</f>
        <v>1548</v>
      </c>
      <c r="X412" s="234" t="n">
        <f aca="false">+X410*X411*0.012</f>
        <v>1548</v>
      </c>
      <c r="Y412" s="3"/>
      <c r="Z412" s="3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  <c r="AM412" s="24"/>
      <c r="AN412" s="24"/>
      <c r="AO412" s="24"/>
      <c r="AP412" s="24"/>
      <c r="AQ412" s="24"/>
      <c r="AR412" s="25"/>
    </row>
    <row r="413" customFormat="false" ht="13.5" hidden="false" customHeight="false" outlineLevel="0" collapsed="false">
      <c r="A413" s="2"/>
      <c r="B413" s="95" t="str">
        <f aca="false">CONCATENATE("NPV ",+$E$16*100," of Cf to Term (2036)")</f>
        <v>NPV 6.25 of Cf to Term (2036)</v>
      </c>
      <c r="C413" s="2"/>
      <c r="D413" s="150"/>
      <c r="E413" s="2"/>
      <c r="F413" s="3"/>
      <c r="G413" s="217" t="n">
        <f aca="false">SUMPRODUCT(H$398:X$398,H412:X412)</f>
        <v>5034.96505102206</v>
      </c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24"/>
      <c r="AB413" s="24"/>
      <c r="AC413" s="24"/>
      <c r="AD413" s="24"/>
      <c r="AE413" s="24"/>
      <c r="AF413" s="24"/>
      <c r="AG413" s="24"/>
      <c r="AH413" s="24"/>
      <c r="AI413" s="24"/>
      <c r="AJ413" s="24"/>
      <c r="AK413" s="24"/>
      <c r="AL413" s="24"/>
      <c r="AM413" s="24"/>
      <c r="AN413" s="24"/>
      <c r="AO413" s="24"/>
      <c r="AP413" s="24"/>
      <c r="AQ413" s="24"/>
      <c r="AR413" s="25"/>
    </row>
    <row r="414" customFormat="false" ht="12.75" hidden="false" customHeight="false" outlineLevel="0" collapsed="false">
      <c r="A414" s="3"/>
      <c r="B414" s="3"/>
      <c r="C414" s="3"/>
      <c r="D414" s="3"/>
      <c r="E414" s="3"/>
      <c r="F414" s="3"/>
      <c r="G414" s="3"/>
      <c r="H414" s="114"/>
      <c r="I414" s="114"/>
      <c r="J414" s="114"/>
      <c r="K414" s="114"/>
      <c r="L414" s="114"/>
      <c r="M414" s="114"/>
      <c r="N414" s="114"/>
      <c r="O414" s="114"/>
      <c r="P414" s="114"/>
      <c r="Q414" s="114"/>
      <c r="R414" s="114"/>
      <c r="S414" s="114"/>
      <c r="T414" s="114"/>
      <c r="U414" s="114"/>
      <c r="V414" s="114"/>
      <c r="W414" s="114"/>
      <c r="X414" s="114"/>
      <c r="Y414" s="114"/>
      <c r="Z414" s="114"/>
      <c r="AA414" s="115"/>
      <c r="AB414" s="115"/>
      <c r="AC414" s="115"/>
      <c r="AD414" s="115"/>
      <c r="AE414" s="115"/>
      <c r="AF414" s="115"/>
      <c r="AG414" s="115"/>
      <c r="AH414" s="115"/>
      <c r="AI414" s="115"/>
      <c r="AJ414" s="115"/>
      <c r="AK414" s="115"/>
      <c r="AL414" s="24"/>
      <c r="AM414" s="24"/>
      <c r="AN414" s="24"/>
      <c r="AO414" s="24"/>
      <c r="AP414" s="24"/>
      <c r="AQ414" s="24"/>
      <c r="AR414" s="25"/>
    </row>
    <row r="415" customFormat="false" ht="12.75" hidden="false" customHeight="false" outlineLevel="0" collapsed="false">
      <c r="A415" s="3"/>
      <c r="B415" s="3"/>
      <c r="C415" s="3"/>
      <c r="D415" s="3"/>
      <c r="E415" s="3"/>
      <c r="F415" s="3"/>
      <c r="G415" s="3"/>
      <c r="H415" s="114"/>
      <c r="I415" s="114"/>
      <c r="J415" s="114"/>
      <c r="K415" s="114"/>
      <c r="L415" s="114"/>
      <c r="M415" s="114"/>
      <c r="N415" s="114"/>
      <c r="O415" s="114"/>
      <c r="P415" s="114"/>
      <c r="Q415" s="114"/>
      <c r="R415" s="114"/>
      <c r="S415" s="114"/>
      <c r="T415" s="114"/>
      <c r="U415" s="114"/>
      <c r="V415" s="114"/>
      <c r="W415" s="114"/>
      <c r="X415" s="114"/>
      <c r="Y415" s="114"/>
      <c r="Z415" s="114"/>
      <c r="AA415" s="115"/>
      <c r="AB415" s="115"/>
      <c r="AC415" s="115"/>
      <c r="AD415" s="115"/>
      <c r="AE415" s="115"/>
      <c r="AF415" s="115"/>
      <c r="AG415" s="115"/>
      <c r="AH415" s="115"/>
      <c r="AI415" s="115"/>
      <c r="AJ415" s="115"/>
      <c r="AK415" s="115"/>
      <c r="AL415" s="24"/>
      <c r="AM415" s="24"/>
      <c r="AN415" s="24"/>
      <c r="AO415" s="24"/>
      <c r="AP415" s="24"/>
      <c r="AQ415" s="24"/>
      <c r="AR415" s="25"/>
    </row>
    <row r="416" customFormat="false" ht="12.75" hidden="false" customHeight="false" outlineLevel="0" collapsed="false">
      <c r="A416" s="3"/>
      <c r="B416" s="48" t="s">
        <v>219</v>
      </c>
      <c r="C416" s="3"/>
      <c r="D416" s="3"/>
      <c r="E416" s="3"/>
      <c r="F416" s="3"/>
      <c r="G416" s="3"/>
      <c r="H416" s="114"/>
      <c r="I416" s="114"/>
      <c r="J416" s="114"/>
      <c r="K416" s="114"/>
      <c r="L416" s="114"/>
      <c r="M416" s="114"/>
      <c r="N416" s="114"/>
      <c r="O416" s="114"/>
      <c r="P416" s="114"/>
      <c r="Q416" s="114"/>
      <c r="R416" s="114"/>
      <c r="S416" s="114"/>
      <c r="T416" s="114"/>
      <c r="U416" s="114"/>
      <c r="V416" s="114"/>
      <c r="W416" s="114"/>
      <c r="X416" s="114"/>
      <c r="Y416" s="114"/>
      <c r="Z416" s="114"/>
      <c r="AA416" s="115"/>
      <c r="AB416" s="115"/>
      <c r="AC416" s="115"/>
      <c r="AD416" s="115"/>
      <c r="AE416" s="115"/>
      <c r="AF416" s="115"/>
      <c r="AG416" s="115"/>
      <c r="AH416" s="115"/>
      <c r="AI416" s="115"/>
      <c r="AJ416" s="115"/>
      <c r="AK416" s="115"/>
      <c r="AL416" s="24"/>
      <c r="AM416" s="24"/>
      <c r="AN416" s="24"/>
      <c r="AO416" s="24"/>
      <c r="AP416" s="24"/>
      <c r="AQ416" s="24"/>
      <c r="AR416" s="25"/>
    </row>
    <row r="417" customFormat="false" ht="12.75" hidden="false" customHeight="false" outlineLevel="0" collapsed="false">
      <c r="A417" s="3"/>
      <c r="B417" s="66" t="s">
        <v>220</v>
      </c>
      <c r="C417" s="3"/>
      <c r="D417" s="2"/>
      <c r="E417" s="2"/>
      <c r="F417" s="3"/>
      <c r="G417" s="14" t="s">
        <v>54</v>
      </c>
      <c r="H417" s="101" t="n">
        <f aca="false">+Z80*1.05</f>
        <v>0.123510018822172</v>
      </c>
      <c r="I417" s="101" t="n">
        <f aca="false">+H417*1.05</f>
        <v>0.129685519763281</v>
      </c>
      <c r="J417" s="101" t="n">
        <f aca="false">+I417*1.05</f>
        <v>0.136169795751445</v>
      </c>
      <c r="K417" s="101" t="n">
        <f aca="false">+J417*1.05</f>
        <v>0.142978285539017</v>
      </c>
      <c r="L417" s="101" t="n">
        <f aca="false">+K417*1.05</f>
        <v>0.150127199815968</v>
      </c>
      <c r="M417" s="101" t="n">
        <f aca="false">+L417*1.05</f>
        <v>0.157633559806766</v>
      </c>
      <c r="N417" s="101" t="n">
        <f aca="false">+M417*1.05</f>
        <v>0.165515237797104</v>
      </c>
      <c r="O417" s="101" t="n">
        <f aca="false">+N417*1.05</f>
        <v>0.17379099968696</v>
      </c>
      <c r="P417" s="101" t="n">
        <f aca="false">+O417*1.05</f>
        <v>0.182480549671308</v>
      </c>
      <c r="Q417" s="101" t="n">
        <f aca="false">+P417*1.05</f>
        <v>0.191604577154873</v>
      </c>
      <c r="R417" s="101" t="n">
        <f aca="false">+Q417*1.05</f>
        <v>0.201184806012617</v>
      </c>
      <c r="S417" s="101" t="n">
        <f aca="false">+R417*1.05</f>
        <v>0.211244046313248</v>
      </c>
      <c r="T417" s="101" t="n">
        <f aca="false">+S417*1.05</f>
        <v>0.22180624862891</v>
      </c>
      <c r="U417" s="101" t="n">
        <f aca="false">+T417*1.05</f>
        <v>0.232896561060355</v>
      </c>
      <c r="V417" s="101" t="n">
        <f aca="false">+U417*1.05</f>
        <v>0.244541389113373</v>
      </c>
      <c r="W417" s="101" t="n">
        <f aca="false">+V417*1.05</f>
        <v>0.256768458569042</v>
      </c>
      <c r="X417" s="101" t="n">
        <f aca="false">+W417*1.05</f>
        <v>0.269606881497494</v>
      </c>
      <c r="Y417" s="114"/>
      <c r="Z417" s="114"/>
      <c r="AA417" s="115"/>
      <c r="AB417" s="115"/>
      <c r="AC417" s="115"/>
      <c r="AD417" s="115"/>
      <c r="AE417" s="115"/>
      <c r="AF417" s="115"/>
      <c r="AG417" s="115"/>
      <c r="AH417" s="115"/>
      <c r="AI417" s="115"/>
      <c r="AJ417" s="115"/>
      <c r="AK417" s="115"/>
      <c r="AL417" s="24"/>
      <c r="AM417" s="24"/>
      <c r="AN417" s="24"/>
      <c r="AO417" s="24"/>
      <c r="AP417" s="24"/>
      <c r="AQ417" s="24"/>
      <c r="AR417" s="25"/>
    </row>
    <row r="418" customFormat="false" ht="13.5" hidden="false" customHeight="false" outlineLevel="0" collapsed="false">
      <c r="A418" s="3"/>
      <c r="B418" s="66" t="s">
        <v>83</v>
      </c>
      <c r="C418" s="3"/>
      <c r="D418" s="2"/>
      <c r="E418" s="2"/>
      <c r="F418" s="3"/>
      <c r="G418" s="14" t="s">
        <v>54</v>
      </c>
      <c r="H418" s="132" t="n">
        <f aca="false">+AA115</f>
        <v>0.0666762055031955</v>
      </c>
      <c r="I418" s="132" t="n">
        <f aca="false">+AB115</f>
        <v>0.0684936636452068</v>
      </c>
      <c r="J418" s="132" t="n">
        <f aca="false">+AC115</f>
        <v>0.0703606620103463</v>
      </c>
      <c r="K418" s="132" t="n">
        <f aca="false">+AD115</f>
        <v>0.0722785509646282</v>
      </c>
      <c r="L418" s="132" t="n">
        <f aca="false">+AE115</f>
        <v>0.0742487176823061</v>
      </c>
      <c r="M418" s="132" t="n">
        <f aca="false">+AF115</f>
        <v>0.0762725871491902</v>
      </c>
      <c r="N418" s="132" t="n">
        <f aca="false">+AG115</f>
        <v>0.0783516231933143</v>
      </c>
      <c r="O418" s="132" t="n">
        <f aca="false">+AH115</f>
        <v>0.0804873295436955</v>
      </c>
      <c r="P418" s="132" t="n">
        <f aca="false">+AI115</f>
        <v>0.0826812509179544</v>
      </c>
      <c r="Q418" s="132" t="n">
        <f aca="false">+AJ115</f>
        <v>0.0849349741395813</v>
      </c>
      <c r="R418" s="132" t="n">
        <f aca="false">+AK115</f>
        <v>0.0872501292856567</v>
      </c>
      <c r="S418" s="132" t="n">
        <f aca="false">+AL115</f>
        <v>0.0896283908658566</v>
      </c>
      <c r="T418" s="132" t="n">
        <f aca="false">+AM115</f>
        <v>0.0920714790335946</v>
      </c>
      <c r="U418" s="132" t="n">
        <f aca="false">+AN115</f>
        <v>0.0945811608301782</v>
      </c>
      <c r="V418" s="132" t="n">
        <f aca="false">+AO115</f>
        <v>0.097159251462877</v>
      </c>
      <c r="W418" s="132" t="n">
        <f aca="false">+AP115</f>
        <v>0.0998076156178299</v>
      </c>
      <c r="X418" s="132" t="n">
        <f aca="false">+AQ115</f>
        <v>0.102528168808738</v>
      </c>
      <c r="Y418" s="114"/>
      <c r="Z418" s="114"/>
      <c r="AA418" s="115"/>
      <c r="AB418" s="115"/>
      <c r="AC418" s="115"/>
      <c r="AD418" s="115"/>
      <c r="AE418" s="115"/>
      <c r="AF418" s="115"/>
      <c r="AG418" s="115"/>
      <c r="AH418" s="115"/>
      <c r="AI418" s="115"/>
      <c r="AJ418" s="115"/>
      <c r="AK418" s="115"/>
      <c r="AL418" s="24"/>
      <c r="AM418" s="24"/>
      <c r="AN418" s="24"/>
      <c r="AO418" s="24"/>
      <c r="AP418" s="24"/>
      <c r="AQ418" s="24"/>
      <c r="AR418" s="25"/>
    </row>
    <row r="419" customFormat="false" ht="12.75" hidden="false" customHeight="false" outlineLevel="0" collapsed="false">
      <c r="A419" s="3"/>
      <c r="B419" s="66" t="s">
        <v>221</v>
      </c>
      <c r="C419" s="3"/>
      <c r="D419" s="2"/>
      <c r="E419" s="2"/>
      <c r="F419" s="3"/>
      <c r="G419" s="14" t="s">
        <v>54</v>
      </c>
      <c r="H419" s="105" t="n">
        <f aca="false">SUM(H415:H418)</f>
        <v>0.190186224325367</v>
      </c>
      <c r="I419" s="105" t="n">
        <f aca="false">SUM(I415:I418)</f>
        <v>0.198179183408487</v>
      </c>
      <c r="J419" s="105" t="n">
        <f aca="false">SUM(J415:J418)</f>
        <v>0.206530457761791</v>
      </c>
      <c r="K419" s="105" t="n">
        <f aca="false">SUM(K415:K418)</f>
        <v>0.215256836503645</v>
      </c>
      <c r="L419" s="105" t="n">
        <f aca="false">SUM(L415:L418)</f>
        <v>0.224375917498274</v>
      </c>
      <c r="M419" s="105" t="n">
        <f aca="false">SUM(M415:M418)</f>
        <v>0.233906146955956</v>
      </c>
      <c r="N419" s="105" t="n">
        <f aca="false">SUM(N415:N418)</f>
        <v>0.243866860990419</v>
      </c>
      <c r="O419" s="105" t="n">
        <f aca="false">SUM(O415:O418)</f>
        <v>0.254278329230655</v>
      </c>
      <c r="P419" s="105" t="n">
        <f aca="false">SUM(P415:P418)</f>
        <v>0.265161800589262</v>
      </c>
      <c r="Q419" s="105" t="n">
        <f aca="false">SUM(Q415:Q418)</f>
        <v>0.276539551294454</v>
      </c>
      <c r="R419" s="105" t="n">
        <f aca="false">SUM(R415:R418)</f>
        <v>0.288434935298273</v>
      </c>
      <c r="S419" s="105" t="n">
        <f aca="false">SUM(S415:S418)</f>
        <v>0.300872437179104</v>
      </c>
      <c r="T419" s="105" t="n">
        <f aca="false">SUM(T415:T418)</f>
        <v>0.313877727662505</v>
      </c>
      <c r="U419" s="105" t="n">
        <f aca="false">SUM(U415:U418)</f>
        <v>0.327477721890534</v>
      </c>
      <c r="V419" s="105" t="n">
        <f aca="false">SUM(V415:V418)</f>
        <v>0.34170064057625</v>
      </c>
      <c r="W419" s="105" t="n">
        <f aca="false">SUM(W415:W418)</f>
        <v>0.356576074186872</v>
      </c>
      <c r="X419" s="105" t="n">
        <f aca="false">SUM(X415:X418)</f>
        <v>0.372135050306232</v>
      </c>
      <c r="Y419" s="114"/>
      <c r="Z419" s="114"/>
      <c r="AA419" s="115"/>
      <c r="AB419" s="115"/>
      <c r="AC419" s="115"/>
      <c r="AD419" s="115"/>
      <c r="AE419" s="115"/>
      <c r="AF419" s="115"/>
      <c r="AG419" s="115"/>
      <c r="AH419" s="115"/>
      <c r="AI419" s="115"/>
      <c r="AJ419" s="115"/>
      <c r="AK419" s="115"/>
      <c r="AL419" s="24"/>
      <c r="AM419" s="24"/>
      <c r="AN419" s="24"/>
      <c r="AO419" s="24"/>
      <c r="AP419" s="24"/>
      <c r="AQ419" s="24"/>
      <c r="AR419" s="25"/>
    </row>
    <row r="420" customFormat="false" ht="12.75" hidden="false" customHeight="false" outlineLevel="0" collapsed="false">
      <c r="A420" s="3"/>
      <c r="B420" s="66"/>
      <c r="C420" s="3"/>
      <c r="D420" s="2"/>
      <c r="E420" s="2"/>
      <c r="F420" s="3"/>
      <c r="G420" s="14"/>
      <c r="H420" s="105"/>
      <c r="I420" s="105"/>
      <c r="J420" s="105"/>
      <c r="K420" s="105"/>
      <c r="L420" s="105"/>
      <c r="M420" s="105"/>
      <c r="N420" s="105"/>
      <c r="O420" s="105"/>
      <c r="P420" s="105"/>
      <c r="Q420" s="105"/>
      <c r="R420" s="105"/>
      <c r="S420" s="105"/>
      <c r="T420" s="105"/>
      <c r="U420" s="105"/>
      <c r="V420" s="105"/>
      <c r="W420" s="105"/>
      <c r="X420" s="105"/>
      <c r="Y420" s="114"/>
      <c r="Z420" s="114"/>
      <c r="AA420" s="115"/>
      <c r="AB420" s="115"/>
      <c r="AC420" s="115"/>
      <c r="AD420" s="115"/>
      <c r="AE420" s="115"/>
      <c r="AF420" s="115"/>
      <c r="AG420" s="115"/>
      <c r="AH420" s="115"/>
      <c r="AI420" s="115"/>
      <c r="AJ420" s="115"/>
      <c r="AK420" s="115"/>
      <c r="AL420" s="24"/>
      <c r="AM420" s="24"/>
      <c r="AN420" s="24"/>
      <c r="AO420" s="24"/>
      <c r="AP420" s="24"/>
      <c r="AQ420" s="24"/>
      <c r="AR420" s="25"/>
    </row>
    <row r="421" customFormat="false" ht="12.75" hidden="false" customHeight="false" outlineLevel="0" collapsed="false">
      <c r="A421" s="3"/>
      <c r="B421" s="66" t="s">
        <v>84</v>
      </c>
      <c r="C421" s="3"/>
      <c r="D421" s="2"/>
      <c r="E421" s="2"/>
      <c r="F421" s="3"/>
      <c r="G421" s="80" t="s">
        <v>60</v>
      </c>
      <c r="H421" s="51" t="n">
        <f aca="false">+Z118</f>
        <v>7624.7807921561</v>
      </c>
      <c r="I421" s="51" t="n">
        <f aca="false">+H421</f>
        <v>7624.7807921561</v>
      </c>
      <c r="J421" s="51" t="n">
        <f aca="false">+I421</f>
        <v>7624.7807921561</v>
      </c>
      <c r="K421" s="51" t="n">
        <f aca="false">+J421</f>
        <v>7624.7807921561</v>
      </c>
      <c r="L421" s="51" t="n">
        <f aca="false">+K421</f>
        <v>7624.7807921561</v>
      </c>
      <c r="M421" s="51" t="n">
        <f aca="false">+L421</f>
        <v>7624.7807921561</v>
      </c>
      <c r="N421" s="51" t="n">
        <f aca="false">+M421</f>
        <v>7624.7807921561</v>
      </c>
      <c r="O421" s="51" t="n">
        <f aca="false">+N421</f>
        <v>7624.7807921561</v>
      </c>
      <c r="P421" s="51" t="n">
        <f aca="false">+O421</f>
        <v>7624.7807921561</v>
      </c>
      <c r="Q421" s="51" t="n">
        <f aca="false">+P421</f>
        <v>7624.7807921561</v>
      </c>
      <c r="R421" s="51" t="n">
        <f aca="false">+Q421</f>
        <v>7624.7807921561</v>
      </c>
      <c r="S421" s="51" t="n">
        <f aca="false">+R421</f>
        <v>7624.7807921561</v>
      </c>
      <c r="T421" s="51" t="n">
        <f aca="false">+S421</f>
        <v>7624.7807921561</v>
      </c>
      <c r="U421" s="51" t="n">
        <f aca="false">+T421</f>
        <v>7624.7807921561</v>
      </c>
      <c r="V421" s="51" t="n">
        <f aca="false">+U421</f>
        <v>7624.7807921561</v>
      </c>
      <c r="W421" s="51" t="n">
        <f aca="false">+V421</f>
        <v>7624.7807921561</v>
      </c>
      <c r="X421" s="51" t="n">
        <f aca="false">+W421</f>
        <v>7624.7807921561</v>
      </c>
      <c r="Y421" s="114"/>
      <c r="Z421" s="114"/>
      <c r="AA421" s="115"/>
      <c r="AB421" s="115"/>
      <c r="AC421" s="115"/>
      <c r="AD421" s="115"/>
      <c r="AE421" s="115"/>
      <c r="AF421" s="115"/>
      <c r="AG421" s="115"/>
      <c r="AH421" s="115"/>
      <c r="AI421" s="115"/>
      <c r="AJ421" s="115"/>
      <c r="AK421" s="115"/>
      <c r="AL421" s="24"/>
      <c r="AM421" s="24"/>
      <c r="AN421" s="24"/>
      <c r="AO421" s="24"/>
      <c r="AP421" s="24"/>
      <c r="AQ421" s="24"/>
      <c r="AR421" s="25"/>
    </row>
    <row r="422" customFormat="false" ht="12.75" hidden="false" customHeight="false" outlineLevel="0" collapsed="false">
      <c r="A422" s="3"/>
      <c r="B422" s="66" t="s">
        <v>85</v>
      </c>
      <c r="C422" s="3"/>
      <c r="D422" s="2"/>
      <c r="E422" s="2"/>
      <c r="F422" s="3"/>
      <c r="G422" s="80" t="s">
        <v>25</v>
      </c>
      <c r="H422" s="114" t="n">
        <f aca="false">+H407</f>
        <v>1948993.92</v>
      </c>
      <c r="I422" s="114" t="n">
        <f aca="false">+I407</f>
        <v>1943668.8</v>
      </c>
      <c r="J422" s="114" t="n">
        <f aca="false">+J407</f>
        <v>1943668.8</v>
      </c>
      <c r="K422" s="114" t="n">
        <f aca="false">+K407</f>
        <v>1943668.8</v>
      </c>
      <c r="L422" s="114" t="n">
        <f aca="false">+L407</f>
        <v>1948993.92</v>
      </c>
      <c r="M422" s="114" t="n">
        <f aca="false">+M407</f>
        <v>1943668.8</v>
      </c>
      <c r="N422" s="114" t="n">
        <f aca="false">+N407</f>
        <v>1943668.8</v>
      </c>
      <c r="O422" s="114" t="n">
        <f aca="false">+O407</f>
        <v>1943668.8</v>
      </c>
      <c r="P422" s="114" t="n">
        <f aca="false">+P407</f>
        <v>1948993.92</v>
      </c>
      <c r="Q422" s="114" t="n">
        <f aca="false">+Q407</f>
        <v>1943668.8</v>
      </c>
      <c r="R422" s="114" t="n">
        <f aca="false">+R407</f>
        <v>1943668.8</v>
      </c>
      <c r="S422" s="114" t="n">
        <f aca="false">+S407</f>
        <v>1943668.8</v>
      </c>
      <c r="T422" s="114" t="n">
        <f aca="false">+T407</f>
        <v>1948993.92</v>
      </c>
      <c r="U422" s="114" t="n">
        <f aca="false">+U407</f>
        <v>1943668.8</v>
      </c>
      <c r="V422" s="114" t="n">
        <f aca="false">+V407</f>
        <v>1943668.8</v>
      </c>
      <c r="W422" s="114" t="n">
        <f aca="false">+W407</f>
        <v>1943668.8</v>
      </c>
      <c r="X422" s="114" t="n">
        <f aca="false">+X407</f>
        <v>1948993.92</v>
      </c>
      <c r="Y422" s="114"/>
      <c r="Z422" s="114"/>
      <c r="AA422" s="115"/>
      <c r="AB422" s="115"/>
      <c r="AC422" s="115"/>
      <c r="AD422" s="115"/>
      <c r="AE422" s="115"/>
      <c r="AF422" s="115"/>
      <c r="AG422" s="115"/>
      <c r="AH422" s="115"/>
      <c r="AI422" s="115"/>
      <c r="AJ422" s="115"/>
      <c r="AK422" s="115"/>
      <c r="AL422" s="24"/>
      <c r="AM422" s="24"/>
      <c r="AN422" s="24"/>
      <c r="AO422" s="24"/>
      <c r="AP422" s="24"/>
      <c r="AQ422" s="24"/>
      <c r="AR422" s="25"/>
    </row>
    <row r="423" customFormat="false" ht="13.5" hidden="false" customHeight="false" outlineLevel="0" collapsed="false">
      <c r="A423" s="3"/>
      <c r="B423" s="66" t="s">
        <v>86</v>
      </c>
      <c r="C423" s="3"/>
      <c r="D423" s="2"/>
      <c r="E423" s="2"/>
      <c r="F423" s="3"/>
      <c r="G423" s="80" t="s">
        <v>87</v>
      </c>
      <c r="H423" s="114" t="n">
        <f aca="false">H421*H422*1000/1000000</f>
        <v>14860651.405245</v>
      </c>
      <c r="I423" s="114" t="n">
        <f aca="false">I421*I422*1000/1000000</f>
        <v>14820048.5325531</v>
      </c>
      <c r="J423" s="114" t="n">
        <f aca="false">J421*J422*1000/1000000</f>
        <v>14820048.5325531</v>
      </c>
      <c r="K423" s="114" t="n">
        <f aca="false">K421*K422*1000/1000000</f>
        <v>14820048.5325531</v>
      </c>
      <c r="L423" s="114" t="n">
        <f aca="false">L421*L422*1000/1000000</f>
        <v>14860651.405245</v>
      </c>
      <c r="M423" s="114" t="n">
        <f aca="false">M421*M422*1000/1000000</f>
        <v>14820048.5325531</v>
      </c>
      <c r="N423" s="114" t="n">
        <f aca="false">N421*N422*1000/1000000</f>
        <v>14820048.5325531</v>
      </c>
      <c r="O423" s="114" t="n">
        <f aca="false">O421*O422*1000/1000000</f>
        <v>14820048.5325531</v>
      </c>
      <c r="P423" s="114" t="n">
        <f aca="false">P421*P422*1000/1000000</f>
        <v>14860651.405245</v>
      </c>
      <c r="Q423" s="114" t="n">
        <f aca="false">Q421*Q422*1000/1000000</f>
        <v>14820048.5325531</v>
      </c>
      <c r="R423" s="114" t="n">
        <f aca="false">R421*R422*1000/1000000</f>
        <v>14820048.5325531</v>
      </c>
      <c r="S423" s="114" t="n">
        <f aca="false">S421*S422*1000/1000000</f>
        <v>14820048.5325531</v>
      </c>
      <c r="T423" s="114" t="n">
        <f aca="false">T421*T422*1000/1000000</f>
        <v>14860651.405245</v>
      </c>
      <c r="U423" s="114" t="n">
        <f aca="false">U421*U422*1000/1000000</f>
        <v>14820048.5325531</v>
      </c>
      <c r="V423" s="114" t="n">
        <f aca="false">V421*V422*1000/1000000</f>
        <v>14820048.5325531</v>
      </c>
      <c r="W423" s="114" t="n">
        <f aca="false">W421*W422*1000/1000000</f>
        <v>14820048.5325531</v>
      </c>
      <c r="X423" s="114" t="n">
        <f aca="false">X421*X422*1000/1000000</f>
        <v>14860651.405245</v>
      </c>
      <c r="Y423" s="97"/>
      <c r="Z423" s="97"/>
      <c r="AA423" s="118"/>
      <c r="AB423" s="118"/>
      <c r="AC423" s="118"/>
      <c r="AD423" s="118"/>
      <c r="AE423" s="118"/>
      <c r="AF423" s="118"/>
      <c r="AG423" s="118"/>
      <c r="AH423" s="118"/>
      <c r="AI423" s="118"/>
      <c r="AJ423" s="118"/>
      <c r="AK423" s="118"/>
      <c r="AL423" s="24"/>
      <c r="AM423" s="24"/>
      <c r="AN423" s="24"/>
      <c r="AO423" s="24"/>
      <c r="AP423" s="24"/>
      <c r="AQ423" s="24"/>
      <c r="AR423" s="25"/>
    </row>
    <row r="424" customFormat="false" ht="13.5" hidden="false" customHeight="false" outlineLevel="0" collapsed="false">
      <c r="A424" s="3"/>
      <c r="B424" s="66" t="s">
        <v>221</v>
      </c>
      <c r="C424" s="66"/>
      <c r="D424" s="66"/>
      <c r="E424" s="66"/>
      <c r="F424" s="14"/>
      <c r="G424" s="135"/>
      <c r="H424" s="213" t="n">
        <f aca="false">+H419*H423/1000</f>
        <v>2826.29118177902</v>
      </c>
      <c r="I424" s="214" t="n">
        <f aca="false">+I419*I423/1000</f>
        <v>2937.02511625552</v>
      </c>
      <c r="J424" s="214" t="n">
        <f aca="false">+J419*J423/1000</f>
        <v>3060.79140748015</v>
      </c>
      <c r="K424" s="214" t="n">
        <f aca="false">+K419*K423/1000</f>
        <v>3190.11676394787</v>
      </c>
      <c r="L424" s="214" t="n">
        <f aca="false">+L419*L423/1000</f>
        <v>3334.37229367386</v>
      </c>
      <c r="M424" s="214" t="n">
        <f aca="false">+M419*M423/1000</f>
        <v>3466.50044994977</v>
      </c>
      <c r="N424" s="214" t="n">
        <f aca="false">+N419*N423/1000</f>
        <v>3614.11871535939</v>
      </c>
      <c r="O424" s="214" t="n">
        <f aca="false">+O419*O423/1000</f>
        <v>3768.41717997482</v>
      </c>
      <c r="P424" s="214" t="n">
        <f aca="false">+P419*P423/1000</f>
        <v>3940.47708454412</v>
      </c>
      <c r="Q424" s="214" t="n">
        <f aca="false">+Q419*Q423/1000</f>
        <v>4098.32957135427</v>
      </c>
      <c r="R424" s="214" t="n">
        <f aca="false">+R419*R423/1000</f>
        <v>4274.61973960422</v>
      </c>
      <c r="S424" s="214" t="n">
        <f aca="false">+S419*S423/1000</f>
        <v>4458.94412110186</v>
      </c>
      <c r="T424" s="214" t="n">
        <f aca="false">+T419*T423/1000</f>
        <v>4664.42749466291</v>
      </c>
      <c r="U424" s="214" t="n">
        <f aca="false">+U419*U423/1000</f>
        <v>4853.23573174763</v>
      </c>
      <c r="V424" s="214" t="n">
        <f aca="false">+V419*V423/1000</f>
        <v>5064.02007694451</v>
      </c>
      <c r="W424" s="214" t="n">
        <f aca="false">+W419*W423/1000</f>
        <v>5284.47472499669</v>
      </c>
      <c r="X424" s="235" t="n">
        <f aca="false">+X419*X423/1000</f>
        <v>5530.16925827423</v>
      </c>
      <c r="Y424" s="97"/>
      <c r="Z424" s="97"/>
      <c r="AA424" s="118"/>
      <c r="AB424" s="118"/>
      <c r="AC424" s="118"/>
      <c r="AD424" s="118"/>
      <c r="AE424" s="118"/>
      <c r="AF424" s="118"/>
      <c r="AG424" s="118"/>
      <c r="AH424" s="118"/>
      <c r="AI424" s="118"/>
      <c r="AJ424" s="118"/>
      <c r="AK424" s="118"/>
      <c r="AL424" s="24"/>
      <c r="AM424" s="24"/>
      <c r="AN424" s="24"/>
      <c r="AO424" s="24"/>
      <c r="AP424" s="24"/>
      <c r="AQ424" s="24"/>
      <c r="AR424" s="25"/>
    </row>
    <row r="425" customFormat="false" ht="13.5" hidden="false" customHeight="false" outlineLevel="0" collapsed="false">
      <c r="A425" s="3"/>
      <c r="B425" s="95" t="str">
        <f aca="false">CONCATENATE("NPV ",+$E$16*100," of Cf to Term (2036)")</f>
        <v>NPV 6.25 of Cf to Term (2036)</v>
      </c>
      <c r="C425" s="2"/>
      <c r="D425" s="150"/>
      <c r="E425" s="3"/>
      <c r="F425" s="3"/>
      <c r="G425" s="217" t="n">
        <f aca="false">SUMPRODUCT(H$398:X$398,H424:X424)</f>
        <v>12311.2565647097</v>
      </c>
      <c r="H425" s="97"/>
      <c r="I425" s="97"/>
      <c r="J425" s="97"/>
      <c r="K425" s="97"/>
      <c r="L425" s="97"/>
      <c r="M425" s="97"/>
      <c r="N425" s="97"/>
      <c r="O425" s="97"/>
      <c r="P425" s="97"/>
      <c r="Q425" s="97"/>
      <c r="R425" s="97"/>
      <c r="S425" s="97"/>
      <c r="T425" s="97"/>
      <c r="U425" s="97"/>
      <c r="V425" s="97"/>
      <c r="W425" s="97"/>
      <c r="X425" s="97"/>
      <c r="Y425" s="97"/>
      <c r="Z425" s="97"/>
      <c r="AA425" s="118"/>
      <c r="AB425" s="118"/>
      <c r="AC425" s="118"/>
      <c r="AD425" s="118"/>
      <c r="AE425" s="118"/>
      <c r="AF425" s="118"/>
      <c r="AG425" s="118"/>
      <c r="AH425" s="118"/>
      <c r="AI425" s="118"/>
      <c r="AJ425" s="118"/>
      <c r="AK425" s="118"/>
      <c r="AL425" s="24"/>
      <c r="AM425" s="24"/>
      <c r="AN425" s="24"/>
      <c r="AO425" s="24"/>
      <c r="AP425" s="24"/>
      <c r="AQ425" s="24"/>
      <c r="AR425" s="25"/>
    </row>
    <row r="426" customFormat="false" ht="12.75" hidden="false" customHeight="false" outlineLevel="0" collapsed="false">
      <c r="A426" s="3"/>
      <c r="B426" s="3"/>
      <c r="C426" s="3"/>
      <c r="D426" s="3"/>
      <c r="E426" s="3"/>
      <c r="F426" s="3"/>
      <c r="G426" s="3"/>
      <c r="H426" s="97"/>
      <c r="I426" s="97"/>
      <c r="J426" s="97"/>
      <c r="K426" s="97"/>
      <c r="L426" s="97"/>
      <c r="M426" s="97"/>
      <c r="N426" s="97"/>
      <c r="O426" s="97"/>
      <c r="P426" s="97"/>
      <c r="Q426" s="97"/>
      <c r="R426" s="97"/>
      <c r="S426" s="97"/>
      <c r="T426" s="97"/>
      <c r="U426" s="97"/>
      <c r="V426" s="97"/>
      <c r="W426" s="97"/>
      <c r="X426" s="97"/>
      <c r="Y426" s="97"/>
      <c r="Z426" s="97"/>
      <c r="AA426" s="118"/>
      <c r="AB426" s="118"/>
      <c r="AC426" s="118"/>
      <c r="AD426" s="118"/>
      <c r="AE426" s="118"/>
      <c r="AF426" s="118"/>
      <c r="AG426" s="118"/>
      <c r="AH426" s="118"/>
      <c r="AI426" s="118"/>
      <c r="AJ426" s="118"/>
      <c r="AK426" s="118"/>
      <c r="AL426" s="24"/>
      <c r="AM426" s="24"/>
      <c r="AN426" s="24"/>
      <c r="AO426" s="24"/>
      <c r="AP426" s="24"/>
      <c r="AQ426" s="24"/>
      <c r="AR426" s="25"/>
    </row>
    <row r="427" customFormat="false" ht="13.5" hidden="false" customHeight="false" outlineLevel="0" collapsed="false">
      <c r="A427" s="3"/>
      <c r="B427" s="3"/>
      <c r="C427" s="3"/>
      <c r="D427" s="3"/>
      <c r="E427" s="3"/>
      <c r="F427" s="3"/>
      <c r="G427" s="3"/>
      <c r="H427" s="97"/>
      <c r="I427" s="97"/>
      <c r="J427" s="97"/>
      <c r="K427" s="97"/>
      <c r="L427" s="97"/>
      <c r="M427" s="97"/>
      <c r="N427" s="97"/>
      <c r="O427" s="97"/>
      <c r="P427" s="97"/>
      <c r="Q427" s="97"/>
      <c r="R427" s="97"/>
      <c r="S427" s="97"/>
      <c r="T427" s="97"/>
      <c r="U427" s="97"/>
      <c r="V427" s="97"/>
      <c r="W427" s="97"/>
      <c r="X427" s="97"/>
      <c r="Y427" s="97"/>
      <c r="Z427" s="97"/>
      <c r="AA427" s="118"/>
      <c r="AB427" s="118"/>
      <c r="AC427" s="118"/>
      <c r="AD427" s="118"/>
      <c r="AE427" s="118"/>
      <c r="AF427" s="118"/>
      <c r="AG427" s="118"/>
      <c r="AH427" s="118"/>
      <c r="AI427" s="118"/>
      <c r="AJ427" s="118"/>
      <c r="AK427" s="118"/>
      <c r="AL427" s="24"/>
      <c r="AM427" s="24"/>
      <c r="AN427" s="24"/>
      <c r="AO427" s="24"/>
      <c r="AP427" s="24"/>
      <c r="AQ427" s="24"/>
      <c r="AR427" s="25"/>
    </row>
    <row r="428" customFormat="false" ht="13.5" hidden="false" customHeight="false" outlineLevel="0" collapsed="false">
      <c r="A428" s="3"/>
      <c r="B428" s="46" t="s">
        <v>222</v>
      </c>
      <c r="C428" s="3"/>
      <c r="D428" s="3"/>
      <c r="E428" s="3"/>
      <c r="F428" s="3"/>
      <c r="G428" s="218" t="n">
        <f aca="false">+G413+G425</f>
        <v>17346.2216157318</v>
      </c>
      <c r="H428" s="97"/>
      <c r="I428" s="97"/>
      <c r="J428" s="97"/>
      <c r="K428" s="97"/>
      <c r="L428" s="97"/>
      <c r="M428" s="97"/>
      <c r="N428" s="97"/>
      <c r="O428" s="97"/>
      <c r="P428" s="97"/>
      <c r="Q428" s="97"/>
      <c r="R428" s="97"/>
      <c r="S428" s="97"/>
      <c r="T428" s="97"/>
      <c r="U428" s="97"/>
      <c r="V428" s="97"/>
      <c r="W428" s="97"/>
      <c r="X428" s="97"/>
      <c r="Y428" s="97"/>
      <c r="Z428" s="97"/>
      <c r="AA428" s="118"/>
      <c r="AB428" s="118"/>
      <c r="AC428" s="118"/>
      <c r="AD428" s="118"/>
      <c r="AE428" s="118"/>
      <c r="AF428" s="118"/>
      <c r="AG428" s="118"/>
      <c r="AH428" s="118"/>
      <c r="AI428" s="118"/>
      <c r="AJ428" s="118"/>
      <c r="AK428" s="118"/>
      <c r="AL428" s="24"/>
      <c r="AM428" s="24"/>
      <c r="AN428" s="24"/>
      <c r="AO428" s="24"/>
      <c r="AP428" s="24"/>
      <c r="AQ428" s="24"/>
      <c r="AR428" s="25"/>
    </row>
    <row r="429" customFormat="false" ht="12.75" hidden="false" customHeight="false" outlineLevel="0" collapsed="false">
      <c r="A429" s="3"/>
      <c r="B429" s="3"/>
      <c r="C429" s="3"/>
      <c r="D429" s="3"/>
      <c r="E429" s="3"/>
      <c r="F429" s="3"/>
      <c r="G429" s="3"/>
      <c r="H429" s="97"/>
      <c r="I429" s="97"/>
      <c r="J429" s="97"/>
      <c r="K429" s="97"/>
      <c r="L429" s="97"/>
      <c r="M429" s="97"/>
      <c r="N429" s="97"/>
      <c r="O429" s="97"/>
      <c r="P429" s="97"/>
      <c r="Q429" s="97"/>
      <c r="R429" s="97"/>
      <c r="S429" s="97"/>
      <c r="T429" s="97"/>
      <c r="U429" s="97"/>
      <c r="V429" s="97"/>
      <c r="W429" s="97"/>
      <c r="X429" s="97"/>
      <c r="Y429" s="97"/>
      <c r="Z429" s="97"/>
      <c r="AA429" s="118"/>
      <c r="AB429" s="118"/>
      <c r="AC429" s="118"/>
      <c r="AD429" s="118"/>
      <c r="AE429" s="118"/>
      <c r="AF429" s="118"/>
      <c r="AG429" s="118"/>
      <c r="AH429" s="118"/>
      <c r="AI429" s="118"/>
      <c r="AJ429" s="118"/>
      <c r="AK429" s="118"/>
      <c r="AL429" s="24"/>
      <c r="AM429" s="24"/>
      <c r="AN429" s="24"/>
      <c r="AO429" s="24"/>
      <c r="AP429" s="24"/>
      <c r="AQ429" s="24"/>
      <c r="AR429" s="25"/>
    </row>
    <row r="430" customFormat="false" ht="13.5" hidden="false" customHeight="fals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118"/>
      <c r="AB430" s="118"/>
      <c r="AC430" s="118"/>
      <c r="AD430" s="118"/>
      <c r="AE430" s="118"/>
      <c r="AF430" s="118"/>
      <c r="AG430" s="118"/>
      <c r="AH430" s="118"/>
      <c r="AI430" s="118"/>
      <c r="AJ430" s="118"/>
      <c r="AK430" s="118"/>
      <c r="AL430" s="118"/>
      <c r="AM430" s="118"/>
      <c r="AN430" s="118"/>
      <c r="AO430" s="118"/>
      <c r="AP430" s="118"/>
      <c r="AQ430" s="118"/>
      <c r="AR430" s="25"/>
    </row>
    <row r="431" customFormat="false" ht="16.5" hidden="false" customHeight="false" outlineLevel="0" collapsed="false">
      <c r="A431" s="23" t="s">
        <v>223</v>
      </c>
      <c r="B431" s="3"/>
      <c r="C431" s="3"/>
      <c r="D431" s="3"/>
      <c r="E431" s="236"/>
      <c r="F431" s="237"/>
      <c r="G431" s="238" t="s">
        <v>23</v>
      </c>
      <c r="H431" s="238"/>
      <c r="I431" s="238"/>
      <c r="J431" s="238"/>
      <c r="K431" s="238"/>
      <c r="L431" s="238"/>
      <c r="M431" s="238"/>
      <c r="N431" s="238"/>
      <c r="O431" s="238"/>
      <c r="P431" s="238"/>
      <c r="Q431" s="238"/>
      <c r="R431" s="238"/>
      <c r="S431" s="238"/>
      <c r="T431" s="238"/>
      <c r="U431" s="238"/>
      <c r="V431" s="238"/>
      <c r="W431" s="238"/>
      <c r="X431" s="238"/>
      <c r="Y431" s="238"/>
      <c r="Z431" s="238"/>
      <c r="AA431" s="118"/>
      <c r="AB431" s="118"/>
      <c r="AC431" s="118"/>
      <c r="AD431" s="118"/>
      <c r="AE431" s="118"/>
      <c r="AF431" s="118"/>
      <c r="AG431" s="118"/>
      <c r="AH431" s="118"/>
      <c r="AI431" s="118"/>
      <c r="AJ431" s="118"/>
      <c r="AK431" s="118"/>
      <c r="AL431" s="118"/>
      <c r="AM431" s="118"/>
      <c r="AN431" s="118"/>
      <c r="AO431" s="118"/>
      <c r="AP431" s="118"/>
      <c r="AQ431" s="118"/>
      <c r="AR431" s="25"/>
    </row>
    <row r="432" customFormat="false" ht="13.5" hidden="false" customHeight="false" outlineLevel="0" collapsed="false">
      <c r="A432" s="3"/>
      <c r="B432" s="3"/>
      <c r="C432" s="3"/>
      <c r="D432" s="3"/>
      <c r="E432" s="239" t="s">
        <v>224</v>
      </c>
      <c r="F432" s="240" t="n">
        <f aca="false">+G182</f>
        <v>128160.940747345</v>
      </c>
      <c r="G432" s="241" t="n">
        <v>1</v>
      </c>
      <c r="H432" s="242" t="n">
        <v>0.99</v>
      </c>
      <c r="I432" s="242" t="n">
        <v>0.98</v>
      </c>
      <c r="J432" s="242" t="n">
        <v>0.97</v>
      </c>
      <c r="K432" s="242" t="n">
        <v>0.96</v>
      </c>
      <c r="L432" s="242" t="n">
        <v>0.95</v>
      </c>
      <c r="M432" s="242" t="n">
        <v>0.94</v>
      </c>
      <c r="N432" s="242" t="n">
        <v>0.93</v>
      </c>
      <c r="O432" s="242" t="n">
        <v>0.92</v>
      </c>
      <c r="P432" s="242" t="n">
        <v>0.91</v>
      </c>
      <c r="Q432" s="242" t="n">
        <v>0.9</v>
      </c>
      <c r="R432" s="242" t="n">
        <v>0.89</v>
      </c>
      <c r="S432" s="242" t="n">
        <v>0.88</v>
      </c>
      <c r="T432" s="242" t="n">
        <v>0.87</v>
      </c>
      <c r="U432" s="242" t="n">
        <v>0.86</v>
      </c>
      <c r="V432" s="242" t="n">
        <v>0.85</v>
      </c>
      <c r="W432" s="242" t="n">
        <v>0.84</v>
      </c>
      <c r="X432" s="242" t="n">
        <v>0.83</v>
      </c>
      <c r="Y432" s="242" t="n">
        <v>0.82</v>
      </c>
      <c r="Z432" s="243" t="n">
        <v>0.81</v>
      </c>
      <c r="AA432" s="118"/>
      <c r="AB432" s="118"/>
      <c r="AC432" s="118"/>
      <c r="AD432" s="118"/>
      <c r="AE432" s="118"/>
      <c r="AF432" s="118"/>
      <c r="AG432" s="118"/>
      <c r="AH432" s="118"/>
      <c r="AI432" s="118"/>
      <c r="AJ432" s="118"/>
      <c r="AK432" s="118"/>
      <c r="AL432" s="118"/>
      <c r="AM432" s="118"/>
      <c r="AN432" s="118"/>
      <c r="AO432" s="118"/>
      <c r="AP432" s="118"/>
      <c r="AQ432" s="118"/>
      <c r="AR432" s="25"/>
    </row>
    <row r="433" customFormat="false" ht="12.75" hidden="false" customHeight="false" outlineLevel="0" collapsed="false">
      <c r="A433" s="3"/>
      <c r="B433" s="3"/>
      <c r="C433" s="3"/>
      <c r="D433" s="3"/>
      <c r="E433" s="244" t="s">
        <v>225</v>
      </c>
      <c r="F433" s="245" t="n">
        <v>0</v>
      </c>
      <c r="G433" s="246" t="n">
        <f aca="true">TABLE($F$432,$G$171,$F433,$H$24,G$432)</f>
        <v>112956.186734117</v>
      </c>
      <c r="H433" s="247" t="n">
        <f aca="true">TABLE($F$432,$G$171,$F433,$H$24,H$432)</f>
        <v>112971.992098959</v>
      </c>
      <c r="I433" s="247" t="n">
        <f aca="true">TABLE($F$432,$G$171,$F433,$H$24,I$432)</f>
        <v>112987.797463803</v>
      </c>
      <c r="J433" s="247" t="n">
        <f aca="true">TABLE($F$432,$G$171,$F433,$H$24,J$432)</f>
        <v>113003.602828645</v>
      </c>
      <c r="K433" s="247" t="n">
        <f aca="true">TABLE($F$432,$G$171,$F433,$H$24,K$432)</f>
        <v>113019.408193489</v>
      </c>
      <c r="L433" s="247" t="n">
        <f aca="true">TABLE($F$432,$G$171,$F433,$H$24,L$432)</f>
        <v>113035.213558331</v>
      </c>
      <c r="M433" s="247" t="n">
        <f aca="true">TABLE($F$432,$G$171,$F433,$H$24,M$432)</f>
        <v>113051.018923174</v>
      </c>
      <c r="N433" s="247" t="n">
        <f aca="true">TABLE($F$432,$G$171,$F433,$H$24,N$432)</f>
        <v>113066.824288017</v>
      </c>
      <c r="O433" s="247" t="n">
        <f aca="true">TABLE($F$432,$G$171,$F433,$H$24,O$432)</f>
        <v>113082.62965286</v>
      </c>
      <c r="P433" s="247" t="n">
        <f aca="true">TABLE($F$432,$G$171,$F433,$H$24,P$432)</f>
        <v>113098.435017703</v>
      </c>
      <c r="Q433" s="247" t="n">
        <f aca="true">TABLE($F$432,$G$171,$F433,$H$24,Q$432)</f>
        <v>113114.240382546</v>
      </c>
      <c r="R433" s="247" t="n">
        <f aca="true">TABLE($F$432,$G$171,$F433,$H$24,R$432)</f>
        <v>113130.045747389</v>
      </c>
      <c r="S433" s="247" t="n">
        <f aca="true">TABLE($F$432,$G$171,$F433,$H$24,S$432)</f>
        <v>113145.851112232</v>
      </c>
      <c r="T433" s="247" t="n">
        <f aca="true">TABLE($F$432,$G$171,$F433,$H$24,T$432)</f>
        <v>113161.656477075</v>
      </c>
      <c r="U433" s="247" t="n">
        <f aca="true">TABLE($F$432,$G$171,$F433,$H$24,U$432)</f>
        <v>113177.461841918</v>
      </c>
      <c r="V433" s="247" t="n">
        <f aca="true">TABLE($F$432,$G$171,$F433,$H$24,V$432)</f>
        <v>113193.267206761</v>
      </c>
      <c r="W433" s="247" t="n">
        <f aca="true">TABLE($F$432,$G$171,$F433,$H$24,W$432)</f>
        <v>113209.072571604</v>
      </c>
      <c r="X433" s="247" t="n">
        <f aca="true">TABLE($F$432,$G$171,$F433,$H$24,X$432)</f>
        <v>113224.877936447</v>
      </c>
      <c r="Y433" s="247" t="n">
        <f aca="true">TABLE($F$432,$G$171,$F433,$H$24,Y$432)</f>
        <v>113240.68330129</v>
      </c>
      <c r="Z433" s="248" t="n">
        <f aca="true">TABLE($F$432,$G$171,$F433,$H$24,Z$432)</f>
        <v>113256.488666133</v>
      </c>
      <c r="AA433" s="118"/>
      <c r="AB433" s="118"/>
      <c r="AC433" s="118"/>
      <c r="AD433" s="118"/>
      <c r="AE433" s="118"/>
      <c r="AF433" s="118"/>
      <c r="AG433" s="118"/>
      <c r="AH433" s="118"/>
      <c r="AI433" s="118"/>
      <c r="AJ433" s="118"/>
      <c r="AK433" s="118"/>
      <c r="AL433" s="118"/>
      <c r="AM433" s="118"/>
      <c r="AN433" s="118"/>
      <c r="AO433" s="118"/>
      <c r="AP433" s="118"/>
      <c r="AQ433" s="118"/>
      <c r="AR433" s="25"/>
    </row>
    <row r="434" customFormat="false" ht="12.75" hidden="false" customHeight="false" outlineLevel="0" collapsed="false">
      <c r="A434" s="3"/>
      <c r="B434" s="3"/>
      <c r="C434" s="3"/>
      <c r="D434" s="3"/>
      <c r="E434" s="244"/>
      <c r="F434" s="249" t="n">
        <v>0.005</v>
      </c>
      <c r="G434" s="250" t="n">
        <f aca="true">TABLE($F$432,$G$171,$F434,$H$24,G$432)</f>
        <v>115859.961715789</v>
      </c>
      <c r="H434" s="80" t="n">
        <f aca="true">TABLE($F$432,$G$171,$F434,$H$24,H$432)</f>
        <v>115846.729330814</v>
      </c>
      <c r="I434" s="80" t="n">
        <f aca="true">TABLE($F$432,$G$171,$F434,$H$24,I$432)</f>
        <v>115833.496945841</v>
      </c>
      <c r="J434" s="80" t="n">
        <f aca="true">TABLE($F$432,$G$171,$F434,$H$24,J$432)</f>
        <v>115820.264560867</v>
      </c>
      <c r="K434" s="80" t="n">
        <f aca="true">TABLE($F$432,$G$171,$F434,$H$24,K$432)</f>
        <v>115807.032175893</v>
      </c>
      <c r="L434" s="80" t="n">
        <f aca="true">TABLE($F$432,$G$171,$F434,$H$24,L$432)</f>
        <v>115793.79979092</v>
      </c>
      <c r="M434" s="80" t="n">
        <f aca="true">TABLE($F$432,$G$171,$F434,$H$24,M$432)</f>
        <v>115780.567405946</v>
      </c>
      <c r="N434" s="80" t="n">
        <f aca="true">TABLE($F$432,$G$171,$F434,$H$24,N$432)</f>
        <v>115767.335020972</v>
      </c>
      <c r="O434" s="80" t="n">
        <f aca="true">TABLE($F$432,$G$171,$F434,$H$24,O$432)</f>
        <v>115754.102635999</v>
      </c>
      <c r="P434" s="80" t="n">
        <f aca="true">TABLE($F$432,$G$171,$F434,$H$24,P$432)</f>
        <v>115740.870251025</v>
      </c>
      <c r="Q434" s="80" t="n">
        <f aca="true">TABLE($F$432,$G$171,$F434,$H$24,Q$432)</f>
        <v>115727.637866051</v>
      </c>
      <c r="R434" s="80" t="n">
        <f aca="true">TABLE($F$432,$G$171,$F434,$H$24,R$432)</f>
        <v>115714.405481077</v>
      </c>
      <c r="S434" s="80" t="n">
        <f aca="true">TABLE($F$432,$G$171,$F434,$H$24,S$432)</f>
        <v>115701.173096104</v>
      </c>
      <c r="T434" s="80" t="n">
        <f aca="true">TABLE($F$432,$G$171,$F434,$H$24,T$432)</f>
        <v>115687.94071113</v>
      </c>
      <c r="U434" s="80" t="n">
        <f aca="true">TABLE($F$432,$G$171,$F434,$H$24,U$432)</f>
        <v>115674.708326156</v>
      </c>
      <c r="V434" s="80" t="n">
        <f aca="true">TABLE($F$432,$G$171,$F434,$H$24,V$432)</f>
        <v>115661.475941182</v>
      </c>
      <c r="W434" s="80" t="n">
        <f aca="true">TABLE($F$432,$G$171,$F434,$H$24,W$432)</f>
        <v>115648.243556208</v>
      </c>
      <c r="X434" s="80" t="n">
        <f aca="true">TABLE($F$432,$G$171,$F434,$H$24,X$432)</f>
        <v>115635.011171235</v>
      </c>
      <c r="Y434" s="80" t="n">
        <f aca="true">TABLE($F$432,$G$171,$F434,$H$24,Y$432)</f>
        <v>115621.778786261</v>
      </c>
      <c r="Z434" s="251" t="n">
        <f aca="true">TABLE($F$432,$G$171,$F434,$H$24,Z$432)</f>
        <v>115608.546401287</v>
      </c>
      <c r="AA434" s="118"/>
      <c r="AB434" s="118"/>
      <c r="AC434" s="118"/>
      <c r="AD434" s="118"/>
      <c r="AE434" s="118"/>
      <c r="AF434" s="118"/>
      <c r="AG434" s="118"/>
      <c r="AH434" s="118"/>
      <c r="AI434" s="118"/>
      <c r="AJ434" s="118"/>
      <c r="AK434" s="118"/>
      <c r="AL434" s="118"/>
      <c r="AM434" s="118"/>
      <c r="AN434" s="118"/>
      <c r="AO434" s="118"/>
      <c r="AP434" s="118"/>
      <c r="AQ434" s="118"/>
      <c r="AR434" s="25"/>
    </row>
    <row r="435" customFormat="false" ht="12.75" hidden="false" customHeight="false" outlineLevel="0" collapsed="false">
      <c r="A435" s="3"/>
      <c r="B435" s="3"/>
      <c r="C435" s="3"/>
      <c r="D435" s="3"/>
      <c r="E435" s="244"/>
      <c r="F435" s="249" t="n">
        <v>0.01</v>
      </c>
      <c r="G435" s="250" t="n">
        <f aca="true">TABLE($F$432,$G$171,$F435,$H$24,G$432)</f>
        <v>118763.73669746</v>
      </c>
      <c r="H435" s="80" t="n">
        <f aca="true">TABLE($F$432,$G$171,$F435,$H$24,H$432)</f>
        <v>118721.46656267</v>
      </c>
      <c r="I435" s="80" t="n">
        <f aca="true">TABLE($F$432,$G$171,$F435,$H$24,I$432)</f>
        <v>118679.196427879</v>
      </c>
      <c r="J435" s="80" t="n">
        <f aca="true">TABLE($F$432,$G$171,$F435,$H$24,J$432)</f>
        <v>118636.926293089</v>
      </c>
      <c r="K435" s="80" t="n">
        <f aca="true">TABLE($F$432,$G$171,$F435,$H$24,K$432)</f>
        <v>118594.656158298</v>
      </c>
      <c r="L435" s="80" t="n">
        <f aca="true">TABLE($F$432,$G$171,$F435,$H$24,L$432)</f>
        <v>118552.386023508</v>
      </c>
      <c r="M435" s="80" t="n">
        <f aca="true">TABLE($F$432,$G$171,$F435,$H$24,M$432)</f>
        <v>118510.115888718</v>
      </c>
      <c r="N435" s="80" t="n">
        <f aca="true">TABLE($F$432,$G$171,$F435,$H$24,N$432)</f>
        <v>118467.845753927</v>
      </c>
      <c r="O435" s="80" t="n">
        <f aca="true">TABLE($F$432,$G$171,$F435,$H$24,O$432)</f>
        <v>118425.575619136</v>
      </c>
      <c r="P435" s="80" t="n">
        <f aca="true">TABLE($F$432,$G$171,$F435,$H$24,P$432)</f>
        <v>118383.305484346</v>
      </c>
      <c r="Q435" s="80" t="n">
        <f aca="true">TABLE($F$432,$G$171,$F435,$H$24,Q$432)</f>
        <v>118341.035349556</v>
      </c>
      <c r="R435" s="80" t="n">
        <f aca="true">TABLE($F$432,$G$171,$F435,$H$24,R$432)</f>
        <v>118298.765214765</v>
      </c>
      <c r="S435" s="80" t="n">
        <f aca="true">TABLE($F$432,$G$171,$F435,$H$24,S$432)</f>
        <v>118256.495079975</v>
      </c>
      <c r="T435" s="80" t="n">
        <f aca="true">TABLE($F$432,$G$171,$F435,$H$24,T$432)</f>
        <v>118214.224945184</v>
      </c>
      <c r="U435" s="80" t="n">
        <f aca="true">TABLE($F$432,$G$171,$F435,$H$24,U$432)</f>
        <v>118171.954810394</v>
      </c>
      <c r="V435" s="80" t="n">
        <f aca="true">TABLE($F$432,$G$171,$F435,$H$24,V$432)</f>
        <v>118129.684675603</v>
      </c>
      <c r="W435" s="80" t="n">
        <f aca="true">TABLE($F$432,$G$171,$F435,$H$24,W$432)</f>
        <v>118087.414540813</v>
      </c>
      <c r="X435" s="80" t="n">
        <f aca="true">TABLE($F$432,$G$171,$F435,$H$24,X$432)</f>
        <v>118045.144406023</v>
      </c>
      <c r="Y435" s="80" t="n">
        <f aca="true">TABLE($F$432,$G$171,$F435,$H$24,Y$432)</f>
        <v>118002.874271232</v>
      </c>
      <c r="Z435" s="251" t="n">
        <f aca="true">TABLE($F$432,$G$171,$F435,$H$24,Z$432)</f>
        <v>117960.604136441</v>
      </c>
      <c r="AA435" s="118"/>
      <c r="AB435" s="118"/>
      <c r="AC435" s="118"/>
      <c r="AD435" s="118"/>
      <c r="AE435" s="118"/>
      <c r="AF435" s="118"/>
      <c r="AG435" s="118"/>
      <c r="AH435" s="118"/>
      <c r="AI435" s="118"/>
      <c r="AJ435" s="118"/>
      <c r="AK435" s="118"/>
      <c r="AL435" s="118"/>
      <c r="AM435" s="118"/>
      <c r="AN435" s="118"/>
      <c r="AO435" s="118"/>
      <c r="AP435" s="118"/>
      <c r="AQ435" s="118"/>
      <c r="AR435" s="25"/>
    </row>
    <row r="436" customFormat="false" ht="12.75" hidden="false" customHeight="false" outlineLevel="0" collapsed="false">
      <c r="A436" s="3"/>
      <c r="B436" s="3"/>
      <c r="C436" s="3"/>
      <c r="D436" s="3"/>
      <c r="E436" s="244"/>
      <c r="F436" s="249" t="n">
        <v>0.015</v>
      </c>
      <c r="G436" s="250" t="n">
        <f aca="true">TABLE($F$432,$G$171,$F436,$H$24,G$432)</f>
        <v>121667.511679132</v>
      </c>
      <c r="H436" s="80" t="n">
        <f aca="true">TABLE($F$432,$G$171,$F436,$H$24,H$432)</f>
        <v>121596.203794525</v>
      </c>
      <c r="I436" s="80" t="n">
        <f aca="true">TABLE($F$432,$G$171,$F436,$H$24,I$432)</f>
        <v>121524.895909918</v>
      </c>
      <c r="J436" s="80" t="n">
        <f aca="true">TABLE($F$432,$G$171,$F436,$H$24,J$432)</f>
        <v>121453.588025311</v>
      </c>
      <c r="K436" s="80" t="n">
        <f aca="true">TABLE($F$432,$G$171,$F436,$H$24,K$432)</f>
        <v>121382.280140704</v>
      </c>
      <c r="L436" s="80" t="n">
        <f aca="true">TABLE($F$432,$G$171,$F436,$H$24,L$432)</f>
        <v>121310.972256096</v>
      </c>
      <c r="M436" s="80" t="n">
        <f aca="true">TABLE($F$432,$G$171,$F436,$H$24,M$432)</f>
        <v>121239.664371489</v>
      </c>
      <c r="N436" s="80" t="n">
        <f aca="true">TABLE($F$432,$G$171,$F436,$H$24,N$432)</f>
        <v>121168.356486882</v>
      </c>
      <c r="O436" s="80" t="n">
        <f aca="true">TABLE($F$432,$G$171,$F436,$H$24,O$432)</f>
        <v>121097.048602275</v>
      </c>
      <c r="P436" s="80" t="n">
        <f aca="true">TABLE($F$432,$G$171,$F436,$H$24,P$432)</f>
        <v>121025.740717668</v>
      </c>
      <c r="Q436" s="80" t="n">
        <f aca="true">TABLE($F$432,$G$171,$F436,$H$24,Q$432)</f>
        <v>120954.43283306</v>
      </c>
      <c r="R436" s="80" t="n">
        <f aca="true">TABLE($F$432,$G$171,$F436,$H$24,R$432)</f>
        <v>120883.124948453</v>
      </c>
      <c r="S436" s="80" t="n">
        <f aca="true">TABLE($F$432,$G$171,$F436,$H$24,S$432)</f>
        <v>120811.817063846</v>
      </c>
      <c r="T436" s="80" t="n">
        <f aca="true">TABLE($F$432,$G$171,$F436,$H$24,T$432)</f>
        <v>120740.509179239</v>
      </c>
      <c r="U436" s="80" t="n">
        <f aca="true">TABLE($F$432,$G$171,$F436,$H$24,U$432)</f>
        <v>120669.201294632</v>
      </c>
      <c r="V436" s="80" t="n">
        <f aca="true">TABLE($F$432,$G$171,$F436,$H$24,V$432)</f>
        <v>120597.893410025</v>
      </c>
      <c r="W436" s="80" t="n">
        <f aca="true">TABLE($F$432,$G$171,$F436,$H$24,W$432)</f>
        <v>120526.585525417</v>
      </c>
      <c r="X436" s="80" t="n">
        <f aca="true">TABLE($F$432,$G$171,$F436,$H$24,X$432)</f>
        <v>120455.27764081</v>
      </c>
      <c r="Y436" s="80" t="n">
        <f aca="true">TABLE($F$432,$G$171,$F436,$H$24,Y$432)</f>
        <v>120383.969756203</v>
      </c>
      <c r="Z436" s="251" t="n">
        <f aca="true">TABLE($F$432,$G$171,$F436,$H$24,Z$432)</f>
        <v>120312.661871596</v>
      </c>
      <c r="AA436" s="118"/>
      <c r="AB436" s="118"/>
      <c r="AC436" s="118"/>
      <c r="AD436" s="118"/>
      <c r="AE436" s="118"/>
      <c r="AF436" s="118"/>
      <c r="AG436" s="118"/>
      <c r="AH436" s="118"/>
      <c r="AI436" s="118"/>
      <c r="AJ436" s="118"/>
      <c r="AK436" s="118"/>
      <c r="AL436" s="118"/>
      <c r="AM436" s="118"/>
      <c r="AN436" s="118"/>
      <c r="AO436" s="118"/>
      <c r="AP436" s="118"/>
      <c r="AQ436" s="118"/>
      <c r="AR436" s="25"/>
    </row>
    <row r="437" customFormat="false" ht="12.75" hidden="false" customHeight="false" outlineLevel="0" collapsed="false">
      <c r="A437" s="3"/>
      <c r="B437" s="3"/>
      <c r="C437" s="3"/>
      <c r="D437" s="3"/>
      <c r="E437" s="244"/>
      <c r="F437" s="249" t="n">
        <v>0.02</v>
      </c>
      <c r="G437" s="250" t="n">
        <f aca="true">TABLE($F$432,$G$171,$F437,$H$24,G$432)</f>
        <v>124571.286660804</v>
      </c>
      <c r="H437" s="80" t="n">
        <f aca="true">TABLE($F$432,$G$171,$F437,$H$24,H$432)</f>
        <v>124470.94102638</v>
      </c>
      <c r="I437" s="80" t="n">
        <f aca="true">TABLE($F$432,$G$171,$F437,$H$24,I$432)</f>
        <v>124370.595391956</v>
      </c>
      <c r="J437" s="80" t="n">
        <f aca="true">TABLE($F$432,$G$171,$F437,$H$24,J$432)</f>
        <v>124270.249757533</v>
      </c>
      <c r="K437" s="80" t="n">
        <f aca="true">TABLE($F$432,$G$171,$F437,$H$24,K$432)</f>
        <v>124169.904123109</v>
      </c>
      <c r="L437" s="80" t="n">
        <f aca="true">TABLE($F$432,$G$171,$F437,$H$24,L$432)</f>
        <v>124069.558488685</v>
      </c>
      <c r="M437" s="80" t="n">
        <f aca="true">TABLE($F$432,$G$171,$F437,$H$24,M$432)</f>
        <v>123969.212854261</v>
      </c>
      <c r="N437" s="80" t="n">
        <f aca="true">TABLE($F$432,$G$171,$F437,$H$24,N$432)</f>
        <v>123868.867219837</v>
      </c>
      <c r="O437" s="80" t="n">
        <f aca="true">TABLE($F$432,$G$171,$F437,$H$24,O$432)</f>
        <v>123768.521585413</v>
      </c>
      <c r="P437" s="80" t="n">
        <f aca="true">TABLE($F$432,$G$171,$F437,$H$24,P$432)</f>
        <v>123668.175950989</v>
      </c>
      <c r="Q437" s="80" t="n">
        <f aca="true">TABLE($F$432,$G$171,$F437,$H$24,Q$432)</f>
        <v>123567.830316565</v>
      </c>
      <c r="R437" s="80" t="n">
        <f aca="true">TABLE($F$432,$G$171,$F437,$H$24,R$432)</f>
        <v>123467.484682141</v>
      </c>
      <c r="S437" s="80" t="n">
        <f aca="true">TABLE($F$432,$G$171,$F437,$H$24,S$432)</f>
        <v>123367.139047717</v>
      </c>
      <c r="T437" s="80" t="n">
        <f aca="true">TABLE($F$432,$G$171,$F437,$H$24,T$432)</f>
        <v>123266.793413293</v>
      </c>
      <c r="U437" s="80" t="n">
        <f aca="true">TABLE($F$432,$G$171,$F437,$H$24,U$432)</f>
        <v>123166.447778869</v>
      </c>
      <c r="V437" s="80" t="n">
        <f aca="true">TABLE($F$432,$G$171,$F437,$H$24,V$432)</f>
        <v>123066.102144446</v>
      </c>
      <c r="W437" s="80" t="n">
        <f aca="true">TABLE($F$432,$G$171,$F437,$H$24,W$432)</f>
        <v>122965.756510022</v>
      </c>
      <c r="X437" s="80" t="n">
        <f aca="true">TABLE($F$432,$G$171,$F437,$H$24,X$432)</f>
        <v>122865.410875598</v>
      </c>
      <c r="Y437" s="80" t="n">
        <f aca="true">TABLE($F$432,$G$171,$F437,$H$24,Y$432)</f>
        <v>122765.065241174</v>
      </c>
      <c r="Z437" s="251" t="n">
        <f aca="true">TABLE($F$432,$G$171,$F437,$H$24,Z$432)</f>
        <v>122664.71960675</v>
      </c>
      <c r="AA437" s="118"/>
      <c r="AB437" s="118"/>
      <c r="AC437" s="118"/>
      <c r="AD437" s="118"/>
      <c r="AE437" s="118"/>
      <c r="AF437" s="118"/>
      <c r="AG437" s="118"/>
      <c r="AH437" s="118"/>
      <c r="AI437" s="118"/>
      <c r="AJ437" s="118"/>
      <c r="AK437" s="118"/>
      <c r="AL437" s="118"/>
      <c r="AM437" s="118"/>
      <c r="AN437" s="118"/>
      <c r="AO437" s="118"/>
      <c r="AP437" s="118"/>
      <c r="AQ437" s="118"/>
      <c r="AR437" s="25"/>
    </row>
    <row r="438" customFormat="false" ht="12.75" hidden="false" customHeight="false" outlineLevel="0" collapsed="false">
      <c r="A438" s="3"/>
      <c r="B438" s="3"/>
      <c r="C438" s="3"/>
      <c r="D438" s="3"/>
      <c r="E438" s="244"/>
      <c r="F438" s="249" t="n">
        <v>0.025</v>
      </c>
      <c r="G438" s="250" t="n">
        <f aca="true">TABLE($F$432,$G$171,$F438,$H$24,G$432)</f>
        <v>127475.061642476</v>
      </c>
      <c r="H438" s="252" t="n">
        <f aca="true">TABLE($F$432,$G$171,$F438,$H$24,H$432)</f>
        <v>127345.678258235</v>
      </c>
      <c r="I438" s="252" t="n">
        <f aca="true">TABLE($F$432,$G$171,$F438,$H$24,I$432)</f>
        <v>127216.294873995</v>
      </c>
      <c r="J438" s="252" t="n">
        <f aca="true">TABLE($F$432,$G$171,$F438,$H$24,J$432)</f>
        <v>127086.911489754</v>
      </c>
      <c r="K438" s="80" t="n">
        <f aca="true">TABLE($F$432,$G$171,$F438,$H$24,K$432)</f>
        <v>126957.528105514</v>
      </c>
      <c r="L438" s="80" t="n">
        <f aca="true">TABLE($F$432,$G$171,$F438,$H$24,L$432)</f>
        <v>126828.144721273</v>
      </c>
      <c r="M438" s="80" t="n">
        <f aca="true">TABLE($F$432,$G$171,$F438,$H$24,M$432)</f>
        <v>126698.761337032</v>
      </c>
      <c r="N438" s="80" t="n">
        <f aca="true">TABLE($F$432,$G$171,$F438,$H$24,N$432)</f>
        <v>126569.377952792</v>
      </c>
      <c r="O438" s="80" t="n">
        <f aca="true">TABLE($F$432,$G$171,$F438,$H$24,O$432)</f>
        <v>126439.994568551</v>
      </c>
      <c r="P438" s="80" t="n">
        <f aca="true">TABLE($F$432,$G$171,$F438,$H$24,P$432)</f>
        <v>126310.611184311</v>
      </c>
      <c r="Q438" s="80" t="n">
        <f aca="true">TABLE($F$432,$G$171,$F438,$H$24,Q$432)</f>
        <v>126181.22780007</v>
      </c>
      <c r="R438" s="80" t="n">
        <f aca="true">TABLE($F$432,$G$171,$F438,$H$24,R$432)</f>
        <v>126051.844415829</v>
      </c>
      <c r="S438" s="80" t="n">
        <f aca="true">TABLE($F$432,$G$171,$F438,$H$24,S$432)</f>
        <v>125922.461031589</v>
      </c>
      <c r="T438" s="80" t="n">
        <f aca="true">TABLE($F$432,$G$171,$F438,$H$24,T$432)</f>
        <v>125793.077647348</v>
      </c>
      <c r="U438" s="80" t="n">
        <f aca="true">TABLE($F$432,$G$171,$F438,$H$24,U$432)</f>
        <v>125663.694263107</v>
      </c>
      <c r="V438" s="80" t="n">
        <f aca="true">TABLE($F$432,$G$171,$F438,$H$24,V$432)</f>
        <v>125534.310878867</v>
      </c>
      <c r="W438" s="80" t="n">
        <f aca="true">TABLE($F$432,$G$171,$F438,$H$24,W$432)</f>
        <v>125404.927494626</v>
      </c>
      <c r="X438" s="80" t="n">
        <f aca="true">TABLE($F$432,$G$171,$F438,$H$24,X$432)</f>
        <v>125275.544110385</v>
      </c>
      <c r="Y438" s="80" t="n">
        <f aca="true">TABLE($F$432,$G$171,$F438,$H$24,Y$432)</f>
        <v>125146.160726145</v>
      </c>
      <c r="Z438" s="251" t="n">
        <f aca="true">TABLE($F$432,$G$171,$F438,$H$24,Z$432)</f>
        <v>125016.777341904</v>
      </c>
      <c r="AA438" s="118"/>
      <c r="AB438" s="118"/>
      <c r="AC438" s="118"/>
      <c r="AD438" s="118"/>
      <c r="AE438" s="118"/>
      <c r="AF438" s="118"/>
      <c r="AG438" s="118"/>
      <c r="AH438" s="118"/>
      <c r="AI438" s="118"/>
      <c r="AJ438" s="118"/>
      <c r="AK438" s="118"/>
      <c r="AL438" s="118"/>
      <c r="AM438" s="118"/>
      <c r="AN438" s="118"/>
      <c r="AO438" s="118"/>
      <c r="AP438" s="118"/>
      <c r="AQ438" s="118"/>
      <c r="AR438" s="25"/>
    </row>
    <row r="439" customFormat="false" ht="12.75" hidden="false" customHeight="false" outlineLevel="0" collapsed="false">
      <c r="A439" s="3"/>
      <c r="B439" s="3"/>
      <c r="C439" s="3"/>
      <c r="D439" s="3"/>
      <c r="E439" s="244"/>
      <c r="F439" s="249" t="n">
        <v>0.03</v>
      </c>
      <c r="G439" s="250" t="n">
        <f aca="true">TABLE($F$432,$G$171,$F439,$H$24,G$432)</f>
        <v>130378.836624148</v>
      </c>
      <c r="H439" s="80" t="n">
        <f aca="true">TABLE($F$432,$G$171,$F439,$H$24,H$432)</f>
        <v>130220.41549009</v>
      </c>
      <c r="I439" s="80" t="n">
        <f aca="true">TABLE($F$432,$G$171,$F439,$H$24,I$432)</f>
        <v>130061.994356033</v>
      </c>
      <c r="J439" s="80" t="n">
        <f aca="true">TABLE($F$432,$G$171,$F439,$H$24,J$432)</f>
        <v>129903.573221976</v>
      </c>
      <c r="K439" s="80" t="n">
        <f aca="true">TABLE($F$432,$G$171,$F439,$H$24,K$432)</f>
        <v>129745.152087918</v>
      </c>
      <c r="L439" s="80" t="n">
        <f aca="true">TABLE($F$432,$G$171,$F439,$H$24,L$432)</f>
        <v>129586.730953861</v>
      </c>
      <c r="M439" s="80" t="n">
        <f aca="true">TABLE($F$432,$G$171,$F439,$H$24,M$432)</f>
        <v>129428.309819804</v>
      </c>
      <c r="N439" s="80" t="n">
        <f aca="true">TABLE($F$432,$G$171,$F439,$H$24,N$432)</f>
        <v>129269.888685747</v>
      </c>
      <c r="O439" s="80" t="n">
        <f aca="true">TABLE($F$432,$G$171,$F439,$H$24,O$432)</f>
        <v>129111.467551689</v>
      </c>
      <c r="P439" s="80" t="n">
        <f aca="true">TABLE($F$432,$G$171,$F439,$H$24,P$432)</f>
        <v>128953.046417632</v>
      </c>
      <c r="Q439" s="80" t="n">
        <f aca="true">TABLE($F$432,$G$171,$F439,$H$24,Q$432)</f>
        <v>128794.625283574</v>
      </c>
      <c r="R439" s="80" t="n">
        <f aca="true">TABLE($F$432,$G$171,$F439,$H$24,R$432)</f>
        <v>128636.204149517</v>
      </c>
      <c r="S439" s="80" t="n">
        <f aca="true">TABLE($F$432,$G$171,$F439,$H$24,S$432)</f>
        <v>128477.78301546</v>
      </c>
      <c r="T439" s="80" t="n">
        <f aca="true">TABLE($F$432,$G$171,$F439,$H$24,T$432)</f>
        <v>128319.361881402</v>
      </c>
      <c r="U439" s="80" t="n">
        <f aca="true">TABLE($F$432,$G$171,$F439,$H$24,U$432)</f>
        <v>128160.940747345</v>
      </c>
      <c r="V439" s="80" t="n">
        <f aca="true">TABLE($F$432,$G$171,$F439,$H$24,V$432)</f>
        <v>128002.519613288</v>
      </c>
      <c r="W439" s="80" t="n">
        <f aca="true">TABLE($F$432,$G$171,$F439,$H$24,W$432)</f>
        <v>127844.09847923</v>
      </c>
      <c r="X439" s="80" t="n">
        <f aca="true">TABLE($F$432,$G$171,$F439,$H$24,X$432)</f>
        <v>127685.677345173</v>
      </c>
      <c r="Y439" s="80" t="n">
        <f aca="true">TABLE($F$432,$G$171,$F439,$H$24,Y$432)</f>
        <v>127527.256211116</v>
      </c>
      <c r="Z439" s="251" t="n">
        <f aca="true">TABLE($F$432,$G$171,$F439,$H$24,Z$432)</f>
        <v>127368.835077059</v>
      </c>
      <c r="AA439" s="118"/>
      <c r="AB439" s="118"/>
      <c r="AC439" s="118"/>
      <c r="AD439" s="118"/>
      <c r="AE439" s="118"/>
      <c r="AF439" s="118"/>
      <c r="AG439" s="118"/>
      <c r="AH439" s="118"/>
      <c r="AI439" s="118"/>
      <c r="AJ439" s="118"/>
      <c r="AK439" s="118"/>
      <c r="AL439" s="118"/>
      <c r="AM439" s="118"/>
      <c r="AN439" s="118"/>
      <c r="AO439" s="118"/>
      <c r="AP439" s="118"/>
      <c r="AQ439" s="118"/>
      <c r="AR439" s="25"/>
    </row>
    <row r="440" customFormat="false" ht="12.75" hidden="false" customHeight="false" outlineLevel="0" collapsed="false">
      <c r="A440" s="3"/>
      <c r="B440" s="3"/>
      <c r="C440" s="3"/>
      <c r="D440" s="3"/>
      <c r="E440" s="244"/>
      <c r="F440" s="249" t="n">
        <v>0.035</v>
      </c>
      <c r="G440" s="250" t="n">
        <f aca="true">TABLE($F$432,$G$171,$F440,$H$24,G$432)</f>
        <v>133282.61160582</v>
      </c>
      <c r="H440" s="80" t="n">
        <f aca="true">TABLE($F$432,$G$171,$F440,$H$24,H$432)</f>
        <v>133095.152721946</v>
      </c>
      <c r="I440" s="80" t="n">
        <f aca="true">TABLE($F$432,$G$171,$F440,$H$24,I$432)</f>
        <v>132907.693838072</v>
      </c>
      <c r="J440" s="80" t="n">
        <f aca="true">TABLE($F$432,$G$171,$F440,$H$24,J$432)</f>
        <v>132720.234954198</v>
      </c>
      <c r="K440" s="80" t="n">
        <f aca="true">TABLE($F$432,$G$171,$F440,$H$24,K$432)</f>
        <v>132532.776070324</v>
      </c>
      <c r="L440" s="80" t="n">
        <f aca="true">TABLE($F$432,$G$171,$F440,$H$24,L$432)</f>
        <v>132345.31718645</v>
      </c>
      <c r="M440" s="80" t="n">
        <f aca="true">TABLE($F$432,$G$171,$F440,$H$24,M$432)</f>
        <v>132157.858302576</v>
      </c>
      <c r="N440" s="80" t="n">
        <f aca="true">TABLE($F$432,$G$171,$F440,$H$24,N$432)</f>
        <v>131970.399418701</v>
      </c>
      <c r="O440" s="80" t="n">
        <f aca="true">TABLE($F$432,$G$171,$F440,$H$24,O$432)</f>
        <v>131782.940534827</v>
      </c>
      <c r="P440" s="80" t="n">
        <f aca="true">TABLE($F$432,$G$171,$F440,$H$24,P$432)</f>
        <v>131595.481650953</v>
      </c>
      <c r="Q440" s="80" t="n">
        <f aca="true">TABLE($F$432,$G$171,$F440,$H$24,Q$432)</f>
        <v>131408.022767079</v>
      </c>
      <c r="R440" s="80" t="n">
        <f aca="true">TABLE($F$432,$G$171,$F440,$H$24,R$432)</f>
        <v>131220.563883205</v>
      </c>
      <c r="S440" s="80" t="n">
        <f aca="true">TABLE($F$432,$G$171,$F440,$H$24,S$432)</f>
        <v>131033.104999331</v>
      </c>
      <c r="T440" s="80" t="n">
        <f aca="true">TABLE($F$432,$G$171,$F440,$H$24,T$432)</f>
        <v>130845.646115457</v>
      </c>
      <c r="U440" s="80" t="n">
        <f aca="true">TABLE($F$432,$G$171,$F440,$H$24,U$432)</f>
        <v>130658.187231583</v>
      </c>
      <c r="V440" s="80" t="n">
        <f aca="true">TABLE($F$432,$G$171,$F440,$H$24,V$432)</f>
        <v>130470.728347709</v>
      </c>
      <c r="W440" s="80" t="n">
        <f aca="true">TABLE($F$432,$G$171,$F440,$H$24,W$432)</f>
        <v>130283.269463835</v>
      </c>
      <c r="X440" s="80" t="n">
        <f aca="true">TABLE($F$432,$G$171,$F440,$H$24,X$432)</f>
        <v>130095.810579961</v>
      </c>
      <c r="Y440" s="80" t="n">
        <f aca="true">TABLE($F$432,$G$171,$F440,$H$24,Y$432)</f>
        <v>129908.351696087</v>
      </c>
      <c r="Z440" s="251" t="n">
        <f aca="true">TABLE($F$432,$G$171,$F440,$H$24,Z$432)</f>
        <v>129720.892812213</v>
      </c>
      <c r="AA440" s="118"/>
      <c r="AB440" s="118"/>
      <c r="AC440" s="118"/>
      <c r="AD440" s="118"/>
      <c r="AE440" s="118"/>
      <c r="AF440" s="118"/>
      <c r="AG440" s="118"/>
      <c r="AH440" s="118"/>
      <c r="AI440" s="118"/>
      <c r="AJ440" s="118"/>
      <c r="AK440" s="118"/>
      <c r="AL440" s="118"/>
      <c r="AM440" s="118"/>
      <c r="AN440" s="118"/>
      <c r="AO440" s="118"/>
      <c r="AP440" s="118"/>
      <c r="AQ440" s="118"/>
      <c r="AR440" s="25"/>
    </row>
    <row r="441" customFormat="false" ht="12.75" hidden="false" customHeight="false" outlineLevel="0" collapsed="false">
      <c r="A441" s="3"/>
      <c r="B441" s="3"/>
      <c r="C441" s="3"/>
      <c r="D441" s="3"/>
      <c r="E441" s="244"/>
      <c r="F441" s="249" t="n">
        <v>0.04</v>
      </c>
      <c r="G441" s="250" t="n">
        <f aca="true">TABLE($F$432,$G$171,$F441,$H$24,G$432)</f>
        <v>136186.386587492</v>
      </c>
      <c r="H441" s="80" t="n">
        <f aca="true">TABLE($F$432,$G$171,$F441,$H$24,H$432)</f>
        <v>135969.889953801</v>
      </c>
      <c r="I441" s="80" t="n">
        <f aca="true">TABLE($F$432,$G$171,$F441,$H$24,I$432)</f>
        <v>135753.39332011</v>
      </c>
      <c r="J441" s="80" t="n">
        <f aca="true">TABLE($F$432,$G$171,$F441,$H$24,J$432)</f>
        <v>135536.896686419</v>
      </c>
      <c r="K441" s="80" t="n">
        <f aca="true">TABLE($F$432,$G$171,$F441,$H$24,K$432)</f>
        <v>135320.400052729</v>
      </c>
      <c r="L441" s="80" t="n">
        <f aca="true">TABLE($F$432,$G$171,$F441,$H$24,L$432)</f>
        <v>135103.903419038</v>
      </c>
      <c r="M441" s="80" t="n">
        <f aca="true">TABLE($F$432,$G$171,$F441,$H$24,M$432)</f>
        <v>134887.406785347</v>
      </c>
      <c r="N441" s="80" t="n">
        <f aca="true">TABLE($F$432,$G$171,$F441,$H$24,N$432)</f>
        <v>134670.910151656</v>
      </c>
      <c r="O441" s="80" t="n">
        <f aca="true">TABLE($F$432,$G$171,$F441,$H$24,O$432)</f>
        <v>134454.413517965</v>
      </c>
      <c r="P441" s="80" t="n">
        <f aca="true">TABLE($F$432,$G$171,$F441,$H$24,P$432)</f>
        <v>134237.916884275</v>
      </c>
      <c r="Q441" s="80" t="n">
        <f aca="true">TABLE($F$432,$G$171,$F441,$H$24,Q$432)</f>
        <v>134021.420250584</v>
      </c>
      <c r="R441" s="80" t="n">
        <f aca="true">TABLE($F$432,$G$171,$F441,$H$24,R$432)</f>
        <v>133804.923616893</v>
      </c>
      <c r="S441" s="80" t="n">
        <f aca="true">TABLE($F$432,$G$171,$F441,$H$24,S$432)</f>
        <v>133588.426983202</v>
      </c>
      <c r="T441" s="80" t="n">
        <f aca="true">TABLE($F$432,$G$171,$F441,$H$24,T$432)</f>
        <v>133371.930349512</v>
      </c>
      <c r="U441" s="80" t="n">
        <f aca="true">TABLE($F$432,$G$171,$F441,$H$24,U$432)</f>
        <v>133155.433715821</v>
      </c>
      <c r="V441" s="80" t="n">
        <f aca="true">TABLE($F$432,$G$171,$F441,$H$24,V$432)</f>
        <v>132938.93708213</v>
      </c>
      <c r="W441" s="80" t="n">
        <f aca="true">TABLE($F$432,$G$171,$F441,$H$24,W$432)</f>
        <v>132722.440448439</v>
      </c>
      <c r="X441" s="80" t="n">
        <f aca="true">TABLE($F$432,$G$171,$F441,$H$24,X$432)</f>
        <v>132505.943814749</v>
      </c>
      <c r="Y441" s="80" t="n">
        <f aca="true">TABLE($F$432,$G$171,$F441,$H$24,Y$432)</f>
        <v>132289.447181058</v>
      </c>
      <c r="Z441" s="251" t="n">
        <f aca="true">TABLE($F$432,$G$171,$F441,$H$24,Z$432)</f>
        <v>132072.950547367</v>
      </c>
      <c r="AA441" s="118"/>
      <c r="AB441" s="118"/>
      <c r="AC441" s="118"/>
      <c r="AD441" s="118"/>
      <c r="AE441" s="118"/>
      <c r="AF441" s="118"/>
      <c r="AG441" s="118"/>
      <c r="AH441" s="118"/>
      <c r="AI441" s="118"/>
      <c r="AJ441" s="118"/>
      <c r="AK441" s="118"/>
      <c r="AL441" s="118"/>
      <c r="AM441" s="118"/>
      <c r="AN441" s="118"/>
      <c r="AO441" s="118"/>
      <c r="AP441" s="118"/>
      <c r="AQ441" s="118"/>
      <c r="AR441" s="25"/>
    </row>
    <row r="442" customFormat="false" ht="12.75" hidden="false" customHeight="false" outlineLevel="0" collapsed="false">
      <c r="A442" s="3"/>
      <c r="B442" s="3"/>
      <c r="C442" s="3"/>
      <c r="D442" s="3"/>
      <c r="E442" s="244"/>
      <c r="F442" s="249" t="n">
        <v>0.045</v>
      </c>
      <c r="G442" s="250" t="n">
        <f aca="true">TABLE($F$432,$G$171,$F442,$H$24,G$432)</f>
        <v>139090.161569163</v>
      </c>
      <c r="H442" s="80" t="n">
        <f aca="true">TABLE($F$432,$G$171,$F442,$H$24,H$432)</f>
        <v>138844.627185656</v>
      </c>
      <c r="I442" s="80" t="n">
        <f aca="true">TABLE($F$432,$G$171,$F442,$H$24,I$432)</f>
        <v>138599.092802149</v>
      </c>
      <c r="J442" s="80" t="n">
        <f aca="true">TABLE($F$432,$G$171,$F442,$H$24,J$432)</f>
        <v>138353.558418641</v>
      </c>
      <c r="K442" s="80" t="n">
        <f aca="true">TABLE($F$432,$G$171,$F442,$H$24,K$432)</f>
        <v>138108.024035134</v>
      </c>
      <c r="L442" s="80" t="n">
        <f aca="true">TABLE($F$432,$G$171,$F442,$H$24,L$432)</f>
        <v>137862.489651626</v>
      </c>
      <c r="M442" s="80" t="n">
        <f aca="true">TABLE($F$432,$G$171,$F442,$H$24,M$432)</f>
        <v>137616.955268119</v>
      </c>
      <c r="N442" s="80" t="n">
        <f aca="true">TABLE($F$432,$G$171,$F442,$H$24,N$432)</f>
        <v>137371.420884611</v>
      </c>
      <c r="O442" s="80" t="n">
        <f aca="true">TABLE($F$432,$G$171,$F442,$H$24,O$432)</f>
        <v>137125.886501104</v>
      </c>
      <c r="P442" s="80" t="n">
        <f aca="true">TABLE($F$432,$G$171,$F442,$H$24,P$432)</f>
        <v>136880.352117596</v>
      </c>
      <c r="Q442" s="80" t="n">
        <f aca="true">TABLE($F$432,$G$171,$F442,$H$24,Q$432)</f>
        <v>136634.817734089</v>
      </c>
      <c r="R442" s="80" t="n">
        <f aca="true">TABLE($F$432,$G$171,$F442,$H$24,R$432)</f>
        <v>136389.283350581</v>
      </c>
      <c r="S442" s="80" t="n">
        <f aca="true">TABLE($F$432,$G$171,$F442,$H$24,S$432)</f>
        <v>136143.748967074</v>
      </c>
      <c r="T442" s="80" t="n">
        <f aca="true">TABLE($F$432,$G$171,$F442,$H$24,T$432)</f>
        <v>135898.214583566</v>
      </c>
      <c r="U442" s="80" t="n">
        <f aca="true">TABLE($F$432,$G$171,$F442,$H$24,U$432)</f>
        <v>135652.680200059</v>
      </c>
      <c r="V442" s="80" t="n">
        <f aca="true">TABLE($F$432,$G$171,$F442,$H$24,V$432)</f>
        <v>135407.145816551</v>
      </c>
      <c r="W442" s="80" t="n">
        <f aca="true">TABLE($F$432,$G$171,$F442,$H$24,W$432)</f>
        <v>135161.611433044</v>
      </c>
      <c r="X442" s="80" t="n">
        <f aca="true">TABLE($F$432,$G$171,$F442,$H$24,X$432)</f>
        <v>134916.077049536</v>
      </c>
      <c r="Y442" s="80" t="n">
        <f aca="true">TABLE($F$432,$G$171,$F442,$H$24,Y$432)</f>
        <v>134670.542666029</v>
      </c>
      <c r="Z442" s="251" t="n">
        <f aca="true">TABLE($F$432,$G$171,$F442,$H$24,Z$432)</f>
        <v>134425.008282521</v>
      </c>
      <c r="AA442" s="118"/>
      <c r="AB442" s="118"/>
      <c r="AC442" s="118"/>
      <c r="AD442" s="118"/>
      <c r="AE442" s="118"/>
      <c r="AF442" s="118"/>
      <c r="AG442" s="118"/>
      <c r="AH442" s="118"/>
      <c r="AI442" s="118"/>
      <c r="AJ442" s="118"/>
      <c r="AK442" s="118"/>
      <c r="AL442" s="118"/>
      <c r="AM442" s="118"/>
      <c r="AN442" s="118"/>
      <c r="AO442" s="118"/>
      <c r="AP442" s="118"/>
      <c r="AQ442" s="118"/>
      <c r="AR442" s="25"/>
    </row>
    <row r="443" customFormat="false" ht="12.75" hidden="false" customHeight="false" outlineLevel="0" collapsed="false">
      <c r="A443" s="3"/>
      <c r="B443" s="3"/>
      <c r="C443" s="3"/>
      <c r="D443" s="3"/>
      <c r="E443" s="244"/>
      <c r="F443" s="249" t="n">
        <v>0.05</v>
      </c>
      <c r="G443" s="250" t="n">
        <f aca="true">TABLE($F$432,$G$171,$F443,$H$24,G$432)</f>
        <v>141993.936550835</v>
      </c>
      <c r="H443" s="80" t="n">
        <f aca="true">TABLE($F$432,$G$171,$F443,$H$24,H$432)</f>
        <v>141719.364417511</v>
      </c>
      <c r="I443" s="80" t="n">
        <f aca="true">TABLE($F$432,$G$171,$F443,$H$24,I$432)</f>
        <v>141444.792284187</v>
      </c>
      <c r="J443" s="80" t="n">
        <f aca="true">TABLE($F$432,$G$171,$F443,$H$24,J$432)</f>
        <v>141170.220150863</v>
      </c>
      <c r="K443" s="80" t="n">
        <f aca="true">TABLE($F$432,$G$171,$F443,$H$24,K$432)</f>
        <v>140895.648017539</v>
      </c>
      <c r="L443" s="80" t="n">
        <f aca="true">TABLE($F$432,$G$171,$F443,$H$24,L$432)</f>
        <v>140621.075884214</v>
      </c>
      <c r="M443" s="80" t="n">
        <f aca="true">TABLE($F$432,$G$171,$F443,$H$24,M$432)</f>
        <v>140346.50375089</v>
      </c>
      <c r="N443" s="80" t="n">
        <f aca="true">TABLE($F$432,$G$171,$F443,$H$24,N$432)</f>
        <v>140071.931617566</v>
      </c>
      <c r="O443" s="80" t="n">
        <f aca="true">TABLE($F$432,$G$171,$F443,$H$24,O$432)</f>
        <v>139797.359484242</v>
      </c>
      <c r="P443" s="80" t="n">
        <f aca="true">TABLE($F$432,$G$171,$F443,$H$24,P$432)</f>
        <v>139522.787350917</v>
      </c>
      <c r="Q443" s="80" t="n">
        <f aca="true">TABLE($F$432,$G$171,$F443,$H$24,Q$432)</f>
        <v>139248.215217593</v>
      </c>
      <c r="R443" s="80" t="n">
        <f aca="true">TABLE($F$432,$G$171,$F443,$H$24,R$432)</f>
        <v>138973.643084269</v>
      </c>
      <c r="S443" s="80" t="n">
        <f aca="true">TABLE($F$432,$G$171,$F443,$H$24,S$432)</f>
        <v>138699.070950945</v>
      </c>
      <c r="T443" s="80" t="n">
        <f aca="true">TABLE($F$432,$G$171,$F443,$H$24,T$432)</f>
        <v>138424.498817621</v>
      </c>
      <c r="U443" s="80" t="n">
        <f aca="true">TABLE($F$432,$G$171,$F443,$H$24,U$432)</f>
        <v>138149.926684297</v>
      </c>
      <c r="V443" s="80" t="n">
        <f aca="true">TABLE($F$432,$G$171,$F443,$H$24,V$432)</f>
        <v>137875.354550972</v>
      </c>
      <c r="W443" s="80" t="n">
        <f aca="true">TABLE($F$432,$G$171,$F443,$H$24,W$432)</f>
        <v>137600.782417648</v>
      </c>
      <c r="X443" s="80" t="n">
        <f aca="true">TABLE($F$432,$G$171,$F443,$H$24,X$432)</f>
        <v>137326.210284324</v>
      </c>
      <c r="Y443" s="80" t="n">
        <f aca="true">TABLE($F$432,$G$171,$F443,$H$24,Y$432)</f>
        <v>137051.638151</v>
      </c>
      <c r="Z443" s="251" t="n">
        <f aca="true">TABLE($F$432,$G$171,$F443,$H$24,Z$432)</f>
        <v>136777.066017675</v>
      </c>
      <c r="AA443" s="118"/>
      <c r="AB443" s="118"/>
      <c r="AC443" s="118"/>
      <c r="AD443" s="118"/>
      <c r="AE443" s="118"/>
      <c r="AF443" s="118"/>
      <c r="AG443" s="118"/>
      <c r="AH443" s="118"/>
      <c r="AI443" s="118"/>
      <c r="AJ443" s="118"/>
      <c r="AK443" s="118"/>
      <c r="AL443" s="118"/>
      <c r="AM443" s="118"/>
      <c r="AN443" s="118"/>
      <c r="AO443" s="118"/>
      <c r="AP443" s="118"/>
      <c r="AQ443" s="118"/>
      <c r="AR443" s="25"/>
    </row>
    <row r="444" customFormat="false" ht="12.75" hidden="false" customHeight="false" outlineLevel="0" collapsed="false">
      <c r="A444" s="3"/>
      <c r="B444" s="3"/>
      <c r="C444" s="3"/>
      <c r="D444" s="3"/>
      <c r="E444" s="244"/>
      <c r="F444" s="249" t="n">
        <v>0.055</v>
      </c>
      <c r="G444" s="250" t="n">
        <f aca="true">TABLE($F$432,$G$171,$F444,$H$24,G$432)</f>
        <v>144897.711532508</v>
      </c>
      <c r="H444" s="80" t="n">
        <f aca="true">TABLE($F$432,$G$171,$F444,$H$24,H$432)</f>
        <v>144594.101649367</v>
      </c>
      <c r="I444" s="80" t="n">
        <f aca="true">TABLE($F$432,$G$171,$F444,$H$24,I$432)</f>
        <v>144290.491766225</v>
      </c>
      <c r="J444" s="80" t="n">
        <f aca="true">TABLE($F$432,$G$171,$F444,$H$24,J$432)</f>
        <v>143986.881883085</v>
      </c>
      <c r="K444" s="80" t="n">
        <f aca="true">TABLE($F$432,$G$171,$F444,$H$24,K$432)</f>
        <v>143683.271999944</v>
      </c>
      <c r="L444" s="80" t="n">
        <f aca="true">TABLE($F$432,$G$171,$F444,$H$24,L$432)</f>
        <v>143379.662116803</v>
      </c>
      <c r="M444" s="80" t="n">
        <f aca="true">TABLE($F$432,$G$171,$F444,$H$24,M$432)</f>
        <v>143076.052233662</v>
      </c>
      <c r="N444" s="80" t="n">
        <f aca="true">TABLE($F$432,$G$171,$F444,$H$24,N$432)</f>
        <v>142772.442350521</v>
      </c>
      <c r="O444" s="80" t="n">
        <f aca="true">TABLE($F$432,$G$171,$F444,$H$24,O$432)</f>
        <v>142468.83246738</v>
      </c>
      <c r="P444" s="80" t="n">
        <f aca="true">TABLE($F$432,$G$171,$F444,$H$24,P$432)</f>
        <v>142165.222584239</v>
      </c>
      <c r="Q444" s="80" t="n">
        <f aca="true">TABLE($F$432,$G$171,$F444,$H$24,Q$432)</f>
        <v>141861.612701098</v>
      </c>
      <c r="R444" s="80" t="n">
        <f aca="true">TABLE($F$432,$G$171,$F444,$H$24,R$432)</f>
        <v>141558.002817957</v>
      </c>
      <c r="S444" s="80" t="n">
        <f aca="true">TABLE($F$432,$G$171,$F444,$H$24,S$432)</f>
        <v>141254.392934816</v>
      </c>
      <c r="T444" s="80" t="n">
        <f aca="true">TABLE($F$432,$G$171,$F444,$H$24,T$432)</f>
        <v>140950.783051675</v>
      </c>
      <c r="U444" s="80" t="n">
        <f aca="true">TABLE($F$432,$G$171,$F444,$H$24,U$432)</f>
        <v>140647.173168534</v>
      </c>
      <c r="V444" s="80" t="n">
        <f aca="true">TABLE($F$432,$G$171,$F444,$H$24,V$432)</f>
        <v>140343.563285393</v>
      </c>
      <c r="W444" s="80" t="n">
        <f aca="true">TABLE($F$432,$G$171,$F444,$H$24,W$432)</f>
        <v>140039.953402252</v>
      </c>
      <c r="X444" s="80" t="n">
        <f aca="true">TABLE($F$432,$G$171,$F444,$H$24,X$432)</f>
        <v>139736.343519111</v>
      </c>
      <c r="Y444" s="80" t="n">
        <f aca="true">TABLE($F$432,$G$171,$F444,$H$24,Y$432)</f>
        <v>139432.733635971</v>
      </c>
      <c r="Z444" s="251" t="n">
        <f aca="true">TABLE($F$432,$G$171,$F444,$H$24,Z$432)</f>
        <v>139129.12375283</v>
      </c>
      <c r="AA444" s="118"/>
      <c r="AB444" s="118"/>
      <c r="AC444" s="118"/>
      <c r="AD444" s="118"/>
      <c r="AE444" s="118"/>
      <c r="AF444" s="118"/>
      <c r="AG444" s="118"/>
      <c r="AH444" s="118"/>
      <c r="AI444" s="118"/>
      <c r="AJ444" s="118"/>
      <c r="AK444" s="118"/>
      <c r="AL444" s="118"/>
      <c r="AM444" s="118"/>
      <c r="AN444" s="118"/>
      <c r="AO444" s="118"/>
      <c r="AP444" s="118"/>
      <c r="AQ444" s="118"/>
      <c r="AR444" s="25"/>
    </row>
    <row r="445" customFormat="false" ht="12.75" hidden="false" customHeight="false" outlineLevel="0" collapsed="false">
      <c r="A445" s="3"/>
      <c r="B445" s="3"/>
      <c r="C445" s="3"/>
      <c r="D445" s="3"/>
      <c r="E445" s="244"/>
      <c r="F445" s="249" t="n">
        <v>0.06</v>
      </c>
      <c r="G445" s="250" t="n">
        <f aca="true">TABLE($F$432,$G$171,$F445,$H$24,G$432)</f>
        <v>147801.486514179</v>
      </c>
      <c r="H445" s="80" t="n">
        <f aca="true">TABLE($F$432,$G$171,$F445,$H$24,H$432)</f>
        <v>147468.838881222</v>
      </c>
      <c r="I445" s="80" t="n">
        <f aca="true">TABLE($F$432,$G$171,$F445,$H$24,I$432)</f>
        <v>147136.191248264</v>
      </c>
      <c r="J445" s="80" t="n">
        <f aca="true">TABLE($F$432,$G$171,$F445,$H$24,J$432)</f>
        <v>146803.543615306</v>
      </c>
      <c r="K445" s="80" t="n">
        <f aca="true">TABLE($F$432,$G$171,$F445,$H$24,K$432)</f>
        <v>146470.895982349</v>
      </c>
      <c r="L445" s="80" t="n">
        <f aca="true">TABLE($F$432,$G$171,$F445,$H$24,L$432)</f>
        <v>146138.248349391</v>
      </c>
      <c r="M445" s="80" t="n">
        <f aca="true">TABLE($F$432,$G$171,$F445,$H$24,M$432)</f>
        <v>145805.600716434</v>
      </c>
      <c r="N445" s="80" t="n">
        <f aca="true">TABLE($F$432,$G$171,$F445,$H$24,N$432)</f>
        <v>145472.953083476</v>
      </c>
      <c r="O445" s="80" t="n">
        <f aca="true">TABLE($F$432,$G$171,$F445,$H$24,O$432)</f>
        <v>145140.305450518</v>
      </c>
      <c r="P445" s="80" t="n">
        <f aca="true">TABLE($F$432,$G$171,$F445,$H$24,P$432)</f>
        <v>144807.65781756</v>
      </c>
      <c r="Q445" s="80" t="n">
        <f aca="true">TABLE($F$432,$G$171,$F445,$H$24,Q$432)</f>
        <v>144475.010184603</v>
      </c>
      <c r="R445" s="80" t="n">
        <f aca="true">TABLE($F$432,$G$171,$F445,$H$24,R$432)</f>
        <v>144142.362551645</v>
      </c>
      <c r="S445" s="80" t="n">
        <f aca="true">TABLE($F$432,$G$171,$F445,$H$24,S$432)</f>
        <v>143809.714918688</v>
      </c>
      <c r="T445" s="80" t="n">
        <f aca="true">TABLE($F$432,$G$171,$F445,$H$24,T$432)</f>
        <v>143477.06728573</v>
      </c>
      <c r="U445" s="80" t="n">
        <f aca="true">TABLE($F$432,$G$171,$F445,$H$24,U$432)</f>
        <v>143144.419652772</v>
      </c>
      <c r="V445" s="80" t="n">
        <f aca="true">TABLE($F$432,$G$171,$F445,$H$24,V$432)</f>
        <v>142811.772019814</v>
      </c>
      <c r="W445" s="80" t="n">
        <f aca="true">TABLE($F$432,$G$171,$F445,$H$24,W$432)</f>
        <v>142479.124386857</v>
      </c>
      <c r="X445" s="80" t="n">
        <f aca="true">TABLE($F$432,$G$171,$F445,$H$24,X$432)</f>
        <v>142146.476753899</v>
      </c>
      <c r="Y445" s="80" t="n">
        <f aca="true">TABLE($F$432,$G$171,$F445,$H$24,Y$432)</f>
        <v>141813.829120941</v>
      </c>
      <c r="Z445" s="251" t="n">
        <f aca="true">TABLE($F$432,$G$171,$F445,$H$24,Z$432)</f>
        <v>141481.181487984</v>
      </c>
      <c r="AA445" s="118"/>
      <c r="AB445" s="118"/>
      <c r="AC445" s="118"/>
      <c r="AD445" s="118"/>
      <c r="AE445" s="118"/>
      <c r="AF445" s="118"/>
      <c r="AG445" s="118"/>
      <c r="AH445" s="118"/>
      <c r="AI445" s="118"/>
      <c r="AJ445" s="118"/>
      <c r="AK445" s="118"/>
      <c r="AL445" s="118"/>
      <c r="AM445" s="118"/>
      <c r="AN445" s="118"/>
      <c r="AO445" s="118"/>
      <c r="AP445" s="118"/>
      <c r="AQ445" s="118"/>
      <c r="AR445" s="25"/>
    </row>
    <row r="446" customFormat="false" ht="12.75" hidden="false" customHeight="false" outlineLevel="0" collapsed="false">
      <c r="A446" s="3"/>
      <c r="B446" s="3"/>
      <c r="C446" s="3"/>
      <c r="D446" s="3"/>
      <c r="E446" s="244"/>
      <c r="F446" s="249" t="n">
        <v>0.065</v>
      </c>
      <c r="G446" s="250" t="n">
        <f aca="true">TABLE($F$432,$G$171,$F446,$H$24,G$432)</f>
        <v>150705.261495851</v>
      </c>
      <c r="H446" s="80" t="n">
        <f aca="true">TABLE($F$432,$G$171,$F446,$H$24,H$432)</f>
        <v>150343.576113077</v>
      </c>
      <c r="I446" s="80" t="n">
        <f aca="true">TABLE($F$432,$G$171,$F446,$H$24,I$432)</f>
        <v>149981.890730302</v>
      </c>
      <c r="J446" s="80" t="n">
        <f aca="true">TABLE($F$432,$G$171,$F446,$H$24,J$432)</f>
        <v>149620.205347528</v>
      </c>
      <c r="K446" s="80" t="n">
        <f aca="true">TABLE($F$432,$G$171,$F446,$H$24,K$432)</f>
        <v>149258.519964754</v>
      </c>
      <c r="L446" s="80" t="n">
        <f aca="true">TABLE($F$432,$G$171,$F446,$H$24,L$432)</f>
        <v>148896.834581979</v>
      </c>
      <c r="M446" s="80" t="n">
        <f aca="true">TABLE($F$432,$G$171,$F446,$H$24,M$432)</f>
        <v>148535.149199205</v>
      </c>
      <c r="N446" s="80" t="n">
        <f aca="true">TABLE($F$432,$G$171,$F446,$H$24,N$432)</f>
        <v>148173.46381643</v>
      </c>
      <c r="O446" s="80" t="n">
        <f aca="true">TABLE($F$432,$G$171,$F446,$H$24,O$432)</f>
        <v>147811.778433656</v>
      </c>
      <c r="P446" s="80" t="n">
        <f aca="true">TABLE($F$432,$G$171,$F446,$H$24,P$432)</f>
        <v>147450.093050882</v>
      </c>
      <c r="Q446" s="80" t="n">
        <f aca="true">TABLE($F$432,$G$171,$F446,$H$24,Q$432)</f>
        <v>147088.407668107</v>
      </c>
      <c r="R446" s="80" t="n">
        <f aca="true">TABLE($F$432,$G$171,$F446,$H$24,R$432)</f>
        <v>146726.722285333</v>
      </c>
      <c r="S446" s="80" t="n">
        <f aca="true">TABLE($F$432,$G$171,$F446,$H$24,S$432)</f>
        <v>146365.036902559</v>
      </c>
      <c r="T446" s="80" t="n">
        <f aca="true">TABLE($F$432,$G$171,$F446,$H$24,T$432)</f>
        <v>146003.351519784</v>
      </c>
      <c r="U446" s="80" t="n">
        <f aca="true">TABLE($F$432,$G$171,$F446,$H$24,U$432)</f>
        <v>145641.66613701</v>
      </c>
      <c r="V446" s="80" t="n">
        <f aca="true">TABLE($F$432,$G$171,$F446,$H$24,V$432)</f>
        <v>145279.980754236</v>
      </c>
      <c r="W446" s="80" t="n">
        <f aca="true">TABLE($F$432,$G$171,$F446,$H$24,W$432)</f>
        <v>144918.295371461</v>
      </c>
      <c r="X446" s="80" t="n">
        <f aca="true">TABLE($F$432,$G$171,$F446,$H$24,X$432)</f>
        <v>144556.609988687</v>
      </c>
      <c r="Y446" s="80" t="n">
        <f aca="true">TABLE($F$432,$G$171,$F446,$H$24,Y$432)</f>
        <v>144194.924605913</v>
      </c>
      <c r="Z446" s="251" t="n">
        <f aca="true">TABLE($F$432,$G$171,$F446,$H$24,Z$432)</f>
        <v>143833.239223138</v>
      </c>
      <c r="AA446" s="118"/>
      <c r="AB446" s="118"/>
      <c r="AC446" s="118"/>
      <c r="AD446" s="118"/>
      <c r="AE446" s="118"/>
      <c r="AF446" s="118"/>
      <c r="AG446" s="118"/>
      <c r="AH446" s="118"/>
      <c r="AI446" s="118"/>
      <c r="AJ446" s="118"/>
      <c r="AK446" s="118"/>
      <c r="AL446" s="118"/>
      <c r="AM446" s="118"/>
      <c r="AN446" s="118"/>
      <c r="AO446" s="118"/>
      <c r="AP446" s="118"/>
      <c r="AQ446" s="118"/>
      <c r="AR446" s="25"/>
    </row>
    <row r="447" customFormat="false" ht="13.5" hidden="false" customHeight="false" outlineLevel="0" collapsed="false">
      <c r="A447" s="3"/>
      <c r="B447" s="3"/>
      <c r="C447" s="3"/>
      <c r="D447" s="3"/>
      <c r="E447" s="244"/>
      <c r="F447" s="253" t="n">
        <v>0.07</v>
      </c>
      <c r="G447" s="254" t="n">
        <f aca="true">TABLE($F$432,$G$171,$F447,$H$24,G$432)</f>
        <v>153609.036477523</v>
      </c>
      <c r="H447" s="138" t="n">
        <f aca="true">TABLE($F$432,$G$171,$F447,$H$24,H$432)</f>
        <v>153218.313344932</v>
      </c>
      <c r="I447" s="138" t="n">
        <f aca="true">TABLE($F$432,$G$171,$F447,$H$24,I$432)</f>
        <v>152827.590212341</v>
      </c>
      <c r="J447" s="138" t="n">
        <f aca="true">TABLE($F$432,$G$171,$F447,$H$24,J$432)</f>
        <v>152436.86707975</v>
      </c>
      <c r="K447" s="138" t="n">
        <f aca="true">TABLE($F$432,$G$171,$F447,$H$24,K$432)</f>
        <v>152046.143947159</v>
      </c>
      <c r="L447" s="138" t="n">
        <f aca="true">TABLE($F$432,$G$171,$F447,$H$24,L$432)</f>
        <v>151655.420814568</v>
      </c>
      <c r="M447" s="138" t="n">
        <f aca="true">TABLE($F$432,$G$171,$F447,$H$24,M$432)</f>
        <v>151264.697681976</v>
      </c>
      <c r="N447" s="138" t="n">
        <f aca="true">TABLE($F$432,$G$171,$F447,$H$24,N$432)</f>
        <v>150873.974549386</v>
      </c>
      <c r="O447" s="138" t="n">
        <f aca="true">TABLE($F$432,$G$171,$F447,$H$24,O$432)</f>
        <v>150483.251416795</v>
      </c>
      <c r="P447" s="138" t="n">
        <f aca="true">TABLE($F$432,$G$171,$F447,$H$24,P$432)</f>
        <v>150092.528284203</v>
      </c>
      <c r="Q447" s="138" t="n">
        <f aca="true">TABLE($F$432,$G$171,$F447,$H$24,Q$432)</f>
        <v>149701.805151612</v>
      </c>
      <c r="R447" s="138" t="n">
        <f aca="true">TABLE($F$432,$G$171,$F447,$H$24,R$432)</f>
        <v>149311.082019021</v>
      </c>
      <c r="S447" s="138" t="n">
        <f aca="true">TABLE($F$432,$G$171,$F447,$H$24,S$432)</f>
        <v>148920.35888643</v>
      </c>
      <c r="T447" s="138" t="n">
        <f aca="true">TABLE($F$432,$G$171,$F447,$H$24,T$432)</f>
        <v>148529.635753839</v>
      </c>
      <c r="U447" s="138" t="n">
        <f aca="true">TABLE($F$432,$G$171,$F447,$H$24,U$432)</f>
        <v>148138.912621248</v>
      </c>
      <c r="V447" s="138" t="n">
        <f aca="true">TABLE($F$432,$G$171,$F447,$H$24,V$432)</f>
        <v>147748.189488657</v>
      </c>
      <c r="W447" s="138" t="n">
        <f aca="true">TABLE($F$432,$G$171,$F447,$H$24,W$432)</f>
        <v>147357.466356066</v>
      </c>
      <c r="X447" s="138" t="n">
        <f aca="true">TABLE($F$432,$G$171,$F447,$H$24,X$432)</f>
        <v>146966.743223475</v>
      </c>
      <c r="Y447" s="138" t="n">
        <f aca="true">TABLE($F$432,$G$171,$F447,$H$24,Y$432)</f>
        <v>146576.020090884</v>
      </c>
      <c r="Z447" s="255" t="n">
        <f aca="true">TABLE($F$432,$G$171,$F447,$H$24,Z$432)</f>
        <v>146185.296958293</v>
      </c>
      <c r="AA447" s="118"/>
      <c r="AB447" s="118"/>
      <c r="AC447" s="118"/>
      <c r="AD447" s="118"/>
      <c r="AE447" s="118"/>
      <c r="AF447" s="118"/>
      <c r="AG447" s="118"/>
      <c r="AH447" s="118"/>
      <c r="AI447" s="118"/>
      <c r="AJ447" s="118"/>
      <c r="AK447" s="118"/>
      <c r="AL447" s="118"/>
      <c r="AM447" s="118"/>
      <c r="AN447" s="118"/>
      <c r="AO447" s="118"/>
      <c r="AP447" s="118"/>
      <c r="AQ447" s="118"/>
      <c r="AR447" s="25"/>
    </row>
    <row r="448" customFormat="false" ht="13.5" hidden="false" customHeight="fals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118"/>
      <c r="AB448" s="118"/>
      <c r="AC448" s="118"/>
      <c r="AD448" s="118"/>
      <c r="AE448" s="118"/>
      <c r="AF448" s="118"/>
      <c r="AG448" s="118"/>
      <c r="AH448" s="118"/>
      <c r="AI448" s="118"/>
      <c r="AJ448" s="118"/>
      <c r="AK448" s="118"/>
      <c r="AL448" s="118"/>
      <c r="AM448" s="118"/>
      <c r="AN448" s="118"/>
      <c r="AO448" s="118"/>
      <c r="AP448" s="118"/>
      <c r="AQ448" s="118"/>
      <c r="AR448" s="25"/>
    </row>
    <row r="449" customFormat="false" ht="13.5" hidden="false" customHeight="false" outlineLevel="0" collapsed="false">
      <c r="A449" s="3"/>
      <c r="B449" s="3"/>
      <c r="C449" s="3"/>
      <c r="D449" s="3"/>
      <c r="E449" s="236"/>
      <c r="F449" s="237"/>
      <c r="G449" s="238" t="s">
        <v>23</v>
      </c>
      <c r="H449" s="238"/>
      <c r="I449" s="238"/>
      <c r="J449" s="238"/>
      <c r="K449" s="238"/>
      <c r="L449" s="238"/>
      <c r="M449" s="238"/>
      <c r="N449" s="238"/>
      <c r="O449" s="238"/>
      <c r="P449" s="238"/>
      <c r="Q449" s="238"/>
      <c r="R449" s="238"/>
      <c r="S449" s="238"/>
      <c r="T449" s="238"/>
      <c r="U449" s="238"/>
      <c r="V449" s="238"/>
      <c r="W449" s="238"/>
      <c r="X449" s="238"/>
      <c r="Y449" s="238"/>
      <c r="Z449" s="238"/>
      <c r="AA449" s="118"/>
      <c r="AB449" s="118"/>
      <c r="AC449" s="118"/>
      <c r="AD449" s="118"/>
      <c r="AE449" s="118"/>
      <c r="AF449" s="118"/>
      <c r="AG449" s="118"/>
      <c r="AH449" s="118"/>
      <c r="AI449" s="118"/>
      <c r="AJ449" s="118"/>
      <c r="AK449" s="118"/>
      <c r="AL449" s="118"/>
      <c r="AM449" s="118"/>
      <c r="AN449" s="118"/>
      <c r="AO449" s="118"/>
      <c r="AP449" s="118"/>
      <c r="AQ449" s="118"/>
      <c r="AR449" s="25"/>
    </row>
    <row r="450" customFormat="false" ht="13.5" hidden="false" customHeight="false" outlineLevel="0" collapsed="false">
      <c r="A450" s="3"/>
      <c r="B450" s="3"/>
      <c r="C450" s="3"/>
      <c r="D450" s="3"/>
      <c r="E450" s="256" t="s">
        <v>224</v>
      </c>
      <c r="F450" s="257" t="n">
        <f aca="false">+G182</f>
        <v>128160.940747345</v>
      </c>
      <c r="G450" s="241" t="n">
        <v>1</v>
      </c>
      <c r="H450" s="242" t="n">
        <v>0.99</v>
      </c>
      <c r="I450" s="242" t="n">
        <v>0.98</v>
      </c>
      <c r="J450" s="242" t="n">
        <v>0.97</v>
      </c>
      <c r="K450" s="242" t="n">
        <v>0.96</v>
      </c>
      <c r="L450" s="242" t="n">
        <v>0.95</v>
      </c>
      <c r="M450" s="242" t="n">
        <v>0.94</v>
      </c>
      <c r="N450" s="242" t="n">
        <v>0.93</v>
      </c>
      <c r="O450" s="242" t="n">
        <v>0.92</v>
      </c>
      <c r="P450" s="242" t="n">
        <v>0.91</v>
      </c>
      <c r="Q450" s="242" t="n">
        <v>0.9</v>
      </c>
      <c r="R450" s="242" t="n">
        <v>0.89</v>
      </c>
      <c r="S450" s="242" t="n">
        <v>0.88</v>
      </c>
      <c r="T450" s="242" t="n">
        <v>0.87</v>
      </c>
      <c r="U450" s="242" t="n">
        <v>0.86</v>
      </c>
      <c r="V450" s="242" t="n">
        <v>0.85</v>
      </c>
      <c r="W450" s="242" t="n">
        <v>0.84</v>
      </c>
      <c r="X450" s="242" t="n">
        <v>0.83</v>
      </c>
      <c r="Y450" s="242" t="n">
        <v>0.82</v>
      </c>
      <c r="Z450" s="243" t="n">
        <v>0.81</v>
      </c>
      <c r="AA450" s="118"/>
      <c r="AB450" s="118"/>
      <c r="AC450" s="118"/>
      <c r="AD450" s="118"/>
      <c r="AE450" s="118"/>
      <c r="AF450" s="118"/>
      <c r="AG450" s="118"/>
      <c r="AH450" s="118"/>
      <c r="AI450" s="118"/>
      <c r="AJ450" s="118"/>
      <c r="AK450" s="118"/>
      <c r="AL450" s="118"/>
      <c r="AM450" s="118"/>
      <c r="AN450" s="118"/>
      <c r="AO450" s="118"/>
      <c r="AP450" s="118"/>
      <c r="AQ450" s="118"/>
      <c r="AR450" s="25"/>
    </row>
    <row r="451" customFormat="false" ht="12.75" hidden="false" customHeight="false" outlineLevel="0" collapsed="false">
      <c r="A451" s="3"/>
      <c r="B451" s="3"/>
      <c r="C451" s="3"/>
      <c r="D451" s="3"/>
      <c r="E451" s="244" t="s">
        <v>226</v>
      </c>
      <c r="F451" s="258" t="n">
        <v>0.0525</v>
      </c>
      <c r="G451" s="246" t="e">
        <f aca="true">TABLE($F$450,$E$12,$F451,$H$24,G$450)</f>
        <v>#VALUE!</v>
      </c>
      <c r="H451" s="247" t="e">
        <f aca="true">TABLE($F$450,$E$12,$F451,$H$24,H$450)</f>
        <v>#VALUE!</v>
      </c>
      <c r="I451" s="247" t="e">
        <f aca="true">TABLE($F$450,$E$12,$F451,$H$24,I$450)</f>
        <v>#VALUE!</v>
      </c>
      <c r="J451" s="247" t="e">
        <f aca="true">TABLE($F$450,$E$12,$F451,$H$24,J$450)</f>
        <v>#VALUE!</v>
      </c>
      <c r="K451" s="247" t="e">
        <f aca="true">TABLE($F$450,$E$12,$F451,$H$24,K$450)</f>
        <v>#VALUE!</v>
      </c>
      <c r="L451" s="247" t="e">
        <f aca="true">TABLE($F$450,$E$12,$F451,$H$24,L$450)</f>
        <v>#VALUE!</v>
      </c>
      <c r="M451" s="247" t="e">
        <f aca="true">TABLE($F$450,$E$12,$F451,$H$24,M$450)</f>
        <v>#VALUE!</v>
      </c>
      <c r="N451" s="247" t="e">
        <f aca="true">TABLE($F$450,$E$12,$F451,$H$24,N$450)</f>
        <v>#VALUE!</v>
      </c>
      <c r="O451" s="247" t="e">
        <f aca="true">TABLE($F$450,$E$12,$F451,$H$24,O$450)</f>
        <v>#VALUE!</v>
      </c>
      <c r="P451" s="247" t="e">
        <f aca="true">TABLE($F$450,$E$12,$F451,$H$24,P$450)</f>
        <v>#VALUE!</v>
      </c>
      <c r="Q451" s="247" t="e">
        <f aca="true">TABLE($F$450,$E$12,$F451,$H$24,Q$450)</f>
        <v>#VALUE!</v>
      </c>
      <c r="R451" s="247" t="e">
        <f aca="true">TABLE($F$450,$E$12,$F451,$H$24,R$450)</f>
        <v>#VALUE!</v>
      </c>
      <c r="S451" s="247" t="e">
        <f aca="true">TABLE($F$450,$E$12,$F451,$H$24,S$450)</f>
        <v>#VALUE!</v>
      </c>
      <c r="T451" s="247" t="e">
        <f aca="true">TABLE($F$450,$E$12,$F451,$H$24,T$450)</f>
        <v>#VALUE!</v>
      </c>
      <c r="U451" s="247" t="e">
        <f aca="true">TABLE($F$450,$E$12,$F451,$H$24,U$450)</f>
        <v>#VALUE!</v>
      </c>
      <c r="V451" s="247" t="e">
        <f aca="true">TABLE($F$450,$E$12,$F451,$H$24,V$450)</f>
        <v>#VALUE!</v>
      </c>
      <c r="W451" s="247" t="e">
        <f aca="true">TABLE($F$450,$E$12,$F451,$H$24,W$450)</f>
        <v>#VALUE!</v>
      </c>
      <c r="X451" s="247" t="e">
        <f aca="true">TABLE($F$450,$E$12,$F451,$H$24,X$450)</f>
        <v>#VALUE!</v>
      </c>
      <c r="Y451" s="247" t="e">
        <f aca="true">TABLE($F$450,$E$12,$F451,$H$24,Y$450)</f>
        <v>#VALUE!</v>
      </c>
      <c r="Z451" s="248" t="e">
        <f aca="true">TABLE($F$450,$E$12,$F451,$H$24,Z$450)</f>
        <v>#VALUE!</v>
      </c>
      <c r="AA451" s="118"/>
      <c r="AB451" s="118"/>
      <c r="AC451" s="118"/>
      <c r="AD451" s="118"/>
      <c r="AE451" s="118"/>
      <c r="AF451" s="118"/>
      <c r="AG451" s="118"/>
      <c r="AH451" s="118"/>
      <c r="AI451" s="118"/>
      <c r="AJ451" s="118"/>
      <c r="AK451" s="118"/>
      <c r="AL451" s="118"/>
      <c r="AM451" s="118"/>
      <c r="AN451" s="118"/>
      <c r="AO451" s="118"/>
      <c r="AP451" s="118"/>
      <c r="AQ451" s="118"/>
      <c r="AR451" s="25"/>
    </row>
    <row r="452" customFormat="false" ht="12.75" hidden="false" customHeight="false" outlineLevel="0" collapsed="false">
      <c r="A452" s="3"/>
      <c r="B452" s="3"/>
      <c r="C452" s="46"/>
      <c r="D452" s="3"/>
      <c r="E452" s="244"/>
      <c r="F452" s="259" t="n">
        <v>0.05375</v>
      </c>
      <c r="G452" s="250" t="e">
        <f aca="true">TABLE($F$450,$E$12,$F452,$H$24,G$450)</f>
        <v>#VALUE!</v>
      </c>
      <c r="H452" s="80" t="e">
        <f aca="true">TABLE($F$450,$E$12,$F452,$H$24,H$450)</f>
        <v>#VALUE!</v>
      </c>
      <c r="I452" s="80" t="e">
        <f aca="true">TABLE($F$450,$E$12,$F452,$H$24,I$450)</f>
        <v>#VALUE!</v>
      </c>
      <c r="J452" s="80" t="e">
        <f aca="true">TABLE($F$450,$E$12,$F452,$H$24,J$450)</f>
        <v>#VALUE!</v>
      </c>
      <c r="K452" s="80" t="e">
        <f aca="true">TABLE($F$450,$E$12,$F452,$H$24,K$450)</f>
        <v>#VALUE!</v>
      </c>
      <c r="L452" s="80" t="e">
        <f aca="true">TABLE($F$450,$E$12,$F452,$H$24,L$450)</f>
        <v>#VALUE!</v>
      </c>
      <c r="M452" s="80" t="e">
        <f aca="true">TABLE($F$450,$E$12,$F452,$H$24,M$450)</f>
        <v>#VALUE!</v>
      </c>
      <c r="N452" s="80" t="e">
        <f aca="true">TABLE($F$450,$E$12,$F452,$H$24,N$450)</f>
        <v>#VALUE!</v>
      </c>
      <c r="O452" s="80" t="e">
        <f aca="true">TABLE($F$450,$E$12,$F452,$H$24,O$450)</f>
        <v>#VALUE!</v>
      </c>
      <c r="P452" s="80" t="e">
        <f aca="true">TABLE($F$450,$E$12,$F452,$H$24,P$450)</f>
        <v>#VALUE!</v>
      </c>
      <c r="Q452" s="80" t="e">
        <f aca="true">TABLE($F$450,$E$12,$F452,$H$24,Q$450)</f>
        <v>#VALUE!</v>
      </c>
      <c r="R452" s="80" t="e">
        <f aca="true">TABLE($F$450,$E$12,$F452,$H$24,R$450)</f>
        <v>#VALUE!</v>
      </c>
      <c r="S452" s="80" t="e">
        <f aca="true">TABLE($F$450,$E$12,$F452,$H$24,S$450)</f>
        <v>#VALUE!</v>
      </c>
      <c r="T452" s="80" t="e">
        <f aca="true">TABLE($F$450,$E$12,$F452,$H$24,T$450)</f>
        <v>#VALUE!</v>
      </c>
      <c r="U452" s="80" t="e">
        <f aca="true">TABLE($F$450,$E$12,$F452,$H$24,U$450)</f>
        <v>#VALUE!</v>
      </c>
      <c r="V452" s="80" t="e">
        <f aca="true">TABLE($F$450,$E$12,$F452,$H$24,V$450)</f>
        <v>#VALUE!</v>
      </c>
      <c r="W452" s="80" t="e">
        <f aca="true">TABLE($F$450,$E$12,$F452,$H$24,W$450)</f>
        <v>#VALUE!</v>
      </c>
      <c r="X452" s="80" t="e">
        <f aca="true">TABLE($F$450,$E$12,$F452,$H$24,X$450)</f>
        <v>#VALUE!</v>
      </c>
      <c r="Y452" s="80" t="e">
        <f aca="true">TABLE($F$450,$E$12,$F452,$H$24,Y$450)</f>
        <v>#VALUE!</v>
      </c>
      <c r="Z452" s="251" t="e">
        <f aca="true">TABLE($F$450,$E$12,$F452,$H$24,Z$450)</f>
        <v>#VALUE!</v>
      </c>
      <c r="AA452" s="118"/>
      <c r="AB452" s="118"/>
      <c r="AC452" s="118"/>
      <c r="AD452" s="118"/>
      <c r="AE452" s="118"/>
      <c r="AF452" s="118"/>
      <c r="AG452" s="118"/>
      <c r="AH452" s="118"/>
      <c r="AI452" s="118"/>
      <c r="AJ452" s="118"/>
      <c r="AK452" s="118"/>
      <c r="AL452" s="118"/>
      <c r="AM452" s="118"/>
      <c r="AN452" s="118"/>
      <c r="AO452" s="118"/>
      <c r="AP452" s="118"/>
      <c r="AQ452" s="118"/>
      <c r="AR452" s="25"/>
    </row>
    <row r="453" customFormat="false" ht="12.75" hidden="false" customHeight="false" outlineLevel="0" collapsed="false">
      <c r="A453" s="3"/>
      <c r="B453" s="3"/>
      <c r="C453" s="3"/>
      <c r="D453" s="3"/>
      <c r="E453" s="244"/>
      <c r="F453" s="259" t="n">
        <v>0.055</v>
      </c>
      <c r="G453" s="250" t="e">
        <f aca="true">TABLE($F$450,$E$12,$F453,$H$24,G$450)</f>
        <v>#VALUE!</v>
      </c>
      <c r="H453" s="80" t="e">
        <f aca="true">TABLE($F$450,$E$12,$F453,$H$24,H$450)</f>
        <v>#VALUE!</v>
      </c>
      <c r="I453" s="80" t="e">
        <f aca="true">TABLE($F$450,$E$12,$F453,$H$24,I$450)</f>
        <v>#VALUE!</v>
      </c>
      <c r="J453" s="80" t="e">
        <f aca="true">TABLE($F$450,$E$12,$F453,$H$24,J$450)</f>
        <v>#VALUE!</v>
      </c>
      <c r="K453" s="80" t="e">
        <f aca="true">TABLE($F$450,$E$12,$F453,$H$24,K$450)</f>
        <v>#VALUE!</v>
      </c>
      <c r="L453" s="80" t="e">
        <f aca="true">TABLE($F$450,$E$12,$F453,$H$24,L$450)</f>
        <v>#VALUE!</v>
      </c>
      <c r="M453" s="80" t="e">
        <f aca="true">TABLE($F$450,$E$12,$F453,$H$24,M$450)</f>
        <v>#VALUE!</v>
      </c>
      <c r="N453" s="80" t="e">
        <f aca="true">TABLE($F$450,$E$12,$F453,$H$24,N$450)</f>
        <v>#VALUE!</v>
      </c>
      <c r="O453" s="80" t="e">
        <f aca="true">TABLE($F$450,$E$12,$F453,$H$24,O$450)</f>
        <v>#VALUE!</v>
      </c>
      <c r="P453" s="80" t="e">
        <f aca="true">TABLE($F$450,$E$12,$F453,$H$24,P$450)</f>
        <v>#VALUE!</v>
      </c>
      <c r="Q453" s="80" t="e">
        <f aca="true">TABLE($F$450,$E$12,$F453,$H$24,Q$450)</f>
        <v>#VALUE!</v>
      </c>
      <c r="R453" s="80" t="e">
        <f aca="true">TABLE($F$450,$E$12,$F453,$H$24,R$450)</f>
        <v>#VALUE!</v>
      </c>
      <c r="S453" s="80" t="e">
        <f aca="true">TABLE($F$450,$E$12,$F453,$H$24,S$450)</f>
        <v>#VALUE!</v>
      </c>
      <c r="T453" s="80" t="e">
        <f aca="true">TABLE($F$450,$E$12,$F453,$H$24,T$450)</f>
        <v>#VALUE!</v>
      </c>
      <c r="U453" s="80" t="e">
        <f aca="true">TABLE($F$450,$E$12,$F453,$H$24,U$450)</f>
        <v>#VALUE!</v>
      </c>
      <c r="V453" s="80" t="e">
        <f aca="true">TABLE($F$450,$E$12,$F453,$H$24,V$450)</f>
        <v>#VALUE!</v>
      </c>
      <c r="W453" s="80" t="e">
        <f aca="true">TABLE($F$450,$E$12,$F453,$H$24,W$450)</f>
        <v>#VALUE!</v>
      </c>
      <c r="X453" s="80" t="e">
        <f aca="true">TABLE($F$450,$E$12,$F453,$H$24,X$450)</f>
        <v>#VALUE!</v>
      </c>
      <c r="Y453" s="80" t="e">
        <f aca="true">TABLE($F$450,$E$12,$F453,$H$24,Y$450)</f>
        <v>#VALUE!</v>
      </c>
      <c r="Z453" s="251" t="e">
        <f aca="true">TABLE($F$450,$E$12,$F453,$H$24,Z$450)</f>
        <v>#VALUE!</v>
      </c>
      <c r="AA453" s="118"/>
      <c r="AB453" s="118"/>
      <c r="AC453" s="118"/>
      <c r="AD453" s="118"/>
      <c r="AE453" s="118"/>
      <c r="AF453" s="118"/>
      <c r="AG453" s="118"/>
      <c r="AH453" s="118"/>
      <c r="AI453" s="118"/>
      <c r="AJ453" s="118"/>
      <c r="AK453" s="118"/>
      <c r="AL453" s="118"/>
      <c r="AM453" s="118"/>
      <c r="AN453" s="118"/>
      <c r="AO453" s="118"/>
      <c r="AP453" s="118"/>
      <c r="AQ453" s="118"/>
      <c r="AR453" s="25"/>
    </row>
    <row r="454" customFormat="false" ht="12.75" hidden="false" customHeight="false" outlineLevel="0" collapsed="false">
      <c r="A454" s="3"/>
      <c r="B454" s="3"/>
      <c r="C454" s="3"/>
      <c r="D454" s="3"/>
      <c r="E454" s="244"/>
      <c r="F454" s="259" t="n">
        <v>0.05625</v>
      </c>
      <c r="G454" s="250" t="e">
        <f aca="true">TABLE($F$450,$E$12,$F454,$H$24,G$450)</f>
        <v>#VALUE!</v>
      </c>
      <c r="H454" s="80" t="e">
        <f aca="true">TABLE($F$450,$E$12,$F454,$H$24,H$450)</f>
        <v>#VALUE!</v>
      </c>
      <c r="I454" s="80" t="e">
        <f aca="true">TABLE($F$450,$E$12,$F454,$H$24,I$450)</f>
        <v>#VALUE!</v>
      </c>
      <c r="J454" s="80" t="e">
        <f aca="true">TABLE($F$450,$E$12,$F454,$H$24,J$450)</f>
        <v>#VALUE!</v>
      </c>
      <c r="K454" s="80" t="e">
        <f aca="true">TABLE($F$450,$E$12,$F454,$H$24,K$450)</f>
        <v>#VALUE!</v>
      </c>
      <c r="L454" s="80" t="e">
        <f aca="true">TABLE($F$450,$E$12,$F454,$H$24,L$450)</f>
        <v>#VALUE!</v>
      </c>
      <c r="M454" s="80" t="e">
        <f aca="true">TABLE($F$450,$E$12,$F454,$H$24,M$450)</f>
        <v>#VALUE!</v>
      </c>
      <c r="N454" s="80" t="e">
        <f aca="true">TABLE($F$450,$E$12,$F454,$H$24,N$450)</f>
        <v>#VALUE!</v>
      </c>
      <c r="O454" s="80" t="e">
        <f aca="true">TABLE($F$450,$E$12,$F454,$H$24,O$450)</f>
        <v>#VALUE!</v>
      </c>
      <c r="P454" s="80" t="e">
        <f aca="true">TABLE($F$450,$E$12,$F454,$H$24,P$450)</f>
        <v>#VALUE!</v>
      </c>
      <c r="Q454" s="80" t="e">
        <f aca="true">TABLE($F$450,$E$12,$F454,$H$24,Q$450)</f>
        <v>#VALUE!</v>
      </c>
      <c r="R454" s="80" t="e">
        <f aca="true">TABLE($F$450,$E$12,$F454,$H$24,R$450)</f>
        <v>#VALUE!</v>
      </c>
      <c r="S454" s="80" t="e">
        <f aca="true">TABLE($F$450,$E$12,$F454,$H$24,S$450)</f>
        <v>#VALUE!</v>
      </c>
      <c r="T454" s="80" t="e">
        <f aca="true">TABLE($F$450,$E$12,$F454,$H$24,T$450)</f>
        <v>#VALUE!</v>
      </c>
      <c r="U454" s="80" t="e">
        <f aca="true">TABLE($F$450,$E$12,$F454,$H$24,U$450)</f>
        <v>#VALUE!</v>
      </c>
      <c r="V454" s="80" t="e">
        <f aca="true">TABLE($F$450,$E$12,$F454,$H$24,V$450)</f>
        <v>#VALUE!</v>
      </c>
      <c r="W454" s="80" t="e">
        <f aca="true">TABLE($F$450,$E$12,$F454,$H$24,W$450)</f>
        <v>#VALUE!</v>
      </c>
      <c r="X454" s="80" t="e">
        <f aca="true">TABLE($F$450,$E$12,$F454,$H$24,X$450)</f>
        <v>#VALUE!</v>
      </c>
      <c r="Y454" s="80" t="e">
        <f aca="true">TABLE($F$450,$E$12,$F454,$H$24,Y$450)</f>
        <v>#VALUE!</v>
      </c>
      <c r="Z454" s="251" t="e">
        <f aca="true">TABLE($F$450,$E$12,$F454,$H$24,Z$450)</f>
        <v>#VALUE!</v>
      </c>
      <c r="AA454" s="118"/>
      <c r="AB454" s="118"/>
      <c r="AC454" s="118"/>
      <c r="AD454" s="118"/>
      <c r="AE454" s="118"/>
      <c r="AF454" s="118"/>
      <c r="AG454" s="118"/>
      <c r="AH454" s="118"/>
      <c r="AI454" s="118"/>
      <c r="AJ454" s="118"/>
      <c r="AK454" s="118"/>
      <c r="AL454" s="118"/>
      <c r="AM454" s="118"/>
      <c r="AN454" s="118"/>
      <c r="AO454" s="118"/>
      <c r="AP454" s="118"/>
      <c r="AQ454" s="118"/>
      <c r="AR454" s="25"/>
    </row>
    <row r="455" customFormat="false" ht="12.75" hidden="false" customHeight="false" outlineLevel="0" collapsed="false">
      <c r="A455" s="3"/>
      <c r="B455" s="3"/>
      <c r="C455" s="3"/>
      <c r="D455" s="3"/>
      <c r="E455" s="244"/>
      <c r="F455" s="259" t="n">
        <v>0.0575</v>
      </c>
      <c r="G455" s="250" t="e">
        <f aca="true">TABLE($F$450,$E$12,$F455,$H$24,G$450)</f>
        <v>#VALUE!</v>
      </c>
      <c r="H455" s="80" t="e">
        <f aca="true">TABLE($F$450,$E$12,$F455,$H$24,H$450)</f>
        <v>#VALUE!</v>
      </c>
      <c r="I455" s="80" t="e">
        <f aca="true">TABLE($F$450,$E$12,$F455,$H$24,I$450)</f>
        <v>#VALUE!</v>
      </c>
      <c r="J455" s="80" t="e">
        <f aca="true">TABLE($F$450,$E$12,$F455,$H$24,J$450)</f>
        <v>#VALUE!</v>
      </c>
      <c r="K455" s="80" t="e">
        <f aca="true">TABLE($F$450,$E$12,$F455,$H$24,K$450)</f>
        <v>#VALUE!</v>
      </c>
      <c r="L455" s="80" t="e">
        <f aca="true">TABLE($F$450,$E$12,$F455,$H$24,L$450)</f>
        <v>#VALUE!</v>
      </c>
      <c r="M455" s="80" t="e">
        <f aca="true">TABLE($F$450,$E$12,$F455,$H$24,M$450)</f>
        <v>#VALUE!</v>
      </c>
      <c r="N455" s="80" t="e">
        <f aca="true">TABLE($F$450,$E$12,$F455,$H$24,N$450)</f>
        <v>#VALUE!</v>
      </c>
      <c r="O455" s="80" t="e">
        <f aca="true">TABLE($F$450,$E$12,$F455,$H$24,O$450)</f>
        <v>#VALUE!</v>
      </c>
      <c r="P455" s="80" t="e">
        <f aca="true">TABLE($F$450,$E$12,$F455,$H$24,P$450)</f>
        <v>#VALUE!</v>
      </c>
      <c r="Q455" s="80" t="e">
        <f aca="true">TABLE($F$450,$E$12,$F455,$H$24,Q$450)</f>
        <v>#VALUE!</v>
      </c>
      <c r="R455" s="80" t="e">
        <f aca="true">TABLE($F$450,$E$12,$F455,$H$24,R$450)</f>
        <v>#VALUE!</v>
      </c>
      <c r="S455" s="80" t="e">
        <f aca="true">TABLE($F$450,$E$12,$F455,$H$24,S$450)</f>
        <v>#VALUE!</v>
      </c>
      <c r="T455" s="80" t="e">
        <f aca="true">TABLE($F$450,$E$12,$F455,$H$24,T$450)</f>
        <v>#VALUE!</v>
      </c>
      <c r="U455" s="80" t="e">
        <f aca="true">TABLE($F$450,$E$12,$F455,$H$24,U$450)</f>
        <v>#VALUE!</v>
      </c>
      <c r="V455" s="80" t="e">
        <f aca="true">TABLE($F$450,$E$12,$F455,$H$24,V$450)</f>
        <v>#VALUE!</v>
      </c>
      <c r="W455" s="80" t="e">
        <f aca="true">TABLE($F$450,$E$12,$F455,$H$24,W$450)</f>
        <v>#VALUE!</v>
      </c>
      <c r="X455" s="80" t="e">
        <f aca="true">TABLE($F$450,$E$12,$F455,$H$24,X$450)</f>
        <v>#VALUE!</v>
      </c>
      <c r="Y455" s="80" t="e">
        <f aca="true">TABLE($F$450,$E$12,$F455,$H$24,Y$450)</f>
        <v>#VALUE!</v>
      </c>
      <c r="Z455" s="251" t="e">
        <f aca="true">TABLE($F$450,$E$12,$F455,$H$24,Z$450)</f>
        <v>#VALUE!</v>
      </c>
      <c r="AA455" s="118"/>
      <c r="AB455" s="118"/>
      <c r="AC455" s="118"/>
      <c r="AD455" s="118"/>
      <c r="AE455" s="118"/>
      <c r="AF455" s="118"/>
      <c r="AG455" s="118"/>
      <c r="AH455" s="118"/>
      <c r="AI455" s="118"/>
      <c r="AJ455" s="118"/>
      <c r="AK455" s="118"/>
      <c r="AL455" s="118"/>
      <c r="AM455" s="118"/>
      <c r="AN455" s="118"/>
      <c r="AO455" s="118"/>
      <c r="AP455" s="118"/>
      <c r="AQ455" s="118"/>
      <c r="AR455" s="25"/>
    </row>
    <row r="456" customFormat="false" ht="12.75" hidden="false" customHeight="false" outlineLevel="0" collapsed="false">
      <c r="A456" s="3"/>
      <c r="B456" s="3"/>
      <c r="C456" s="3"/>
      <c r="D456" s="3"/>
      <c r="E456" s="244"/>
      <c r="F456" s="259" t="n">
        <v>0.05875</v>
      </c>
      <c r="G456" s="250" t="e">
        <f aca="true">TABLE($F$450,$E$12,$F456,$H$24,G$450)</f>
        <v>#VALUE!</v>
      </c>
      <c r="H456" s="252" t="e">
        <f aca="true">TABLE($F$450,$E$12,$F456,$H$24,H$450)</f>
        <v>#VALUE!</v>
      </c>
      <c r="I456" s="252" t="e">
        <f aca="true">TABLE($F$450,$E$12,$F456,$H$24,I$450)</f>
        <v>#VALUE!</v>
      </c>
      <c r="J456" s="252" t="e">
        <f aca="true">TABLE($F$450,$E$12,$F456,$H$24,J$450)</f>
        <v>#VALUE!</v>
      </c>
      <c r="K456" s="80" t="e">
        <f aca="true">TABLE($F$450,$E$12,$F456,$H$24,K$450)</f>
        <v>#VALUE!</v>
      </c>
      <c r="L456" s="80" t="e">
        <f aca="true">TABLE($F$450,$E$12,$F456,$H$24,L$450)</f>
        <v>#VALUE!</v>
      </c>
      <c r="M456" s="80" t="e">
        <f aca="true">TABLE($F$450,$E$12,$F456,$H$24,M$450)</f>
        <v>#VALUE!</v>
      </c>
      <c r="N456" s="80" t="e">
        <f aca="true">TABLE($F$450,$E$12,$F456,$H$24,N$450)</f>
        <v>#VALUE!</v>
      </c>
      <c r="O456" s="80" t="e">
        <f aca="true">TABLE($F$450,$E$12,$F456,$H$24,O$450)</f>
        <v>#VALUE!</v>
      </c>
      <c r="P456" s="80" t="e">
        <f aca="true">TABLE($F$450,$E$12,$F456,$H$24,P$450)</f>
        <v>#VALUE!</v>
      </c>
      <c r="Q456" s="80" t="e">
        <f aca="true">TABLE($F$450,$E$12,$F456,$H$24,Q$450)</f>
        <v>#VALUE!</v>
      </c>
      <c r="R456" s="80" t="e">
        <f aca="true">TABLE($F$450,$E$12,$F456,$H$24,R$450)</f>
        <v>#VALUE!</v>
      </c>
      <c r="S456" s="80" t="e">
        <f aca="true">TABLE($F$450,$E$12,$F456,$H$24,S$450)</f>
        <v>#VALUE!</v>
      </c>
      <c r="T456" s="80" t="e">
        <f aca="true">TABLE($F$450,$E$12,$F456,$H$24,T$450)</f>
        <v>#VALUE!</v>
      </c>
      <c r="U456" s="80" t="e">
        <f aca="true">TABLE($F$450,$E$12,$F456,$H$24,U$450)</f>
        <v>#VALUE!</v>
      </c>
      <c r="V456" s="80" t="e">
        <f aca="true">TABLE($F$450,$E$12,$F456,$H$24,V$450)</f>
        <v>#VALUE!</v>
      </c>
      <c r="W456" s="80" t="e">
        <f aca="true">TABLE($F$450,$E$12,$F456,$H$24,W$450)</f>
        <v>#VALUE!</v>
      </c>
      <c r="X456" s="80" t="e">
        <f aca="true">TABLE($F$450,$E$12,$F456,$H$24,X$450)</f>
        <v>#VALUE!</v>
      </c>
      <c r="Y456" s="80" t="e">
        <f aca="true">TABLE($F$450,$E$12,$F456,$H$24,Y$450)</f>
        <v>#VALUE!</v>
      </c>
      <c r="Z456" s="251" t="e">
        <f aca="true">TABLE($F$450,$E$12,$F456,$H$24,Z$450)</f>
        <v>#VALUE!</v>
      </c>
      <c r="AA456" s="118"/>
      <c r="AB456" s="118"/>
      <c r="AC456" s="118"/>
      <c r="AD456" s="118"/>
      <c r="AE456" s="118"/>
      <c r="AF456" s="118"/>
      <c r="AG456" s="118"/>
      <c r="AH456" s="118"/>
      <c r="AI456" s="118"/>
      <c r="AJ456" s="118"/>
      <c r="AK456" s="118"/>
      <c r="AL456" s="118"/>
      <c r="AM456" s="118"/>
      <c r="AN456" s="118"/>
      <c r="AO456" s="118"/>
      <c r="AP456" s="118"/>
      <c r="AQ456" s="118"/>
      <c r="AR456" s="25"/>
    </row>
    <row r="457" customFormat="false" ht="12.75" hidden="false" customHeight="false" outlineLevel="0" collapsed="false">
      <c r="A457" s="3"/>
      <c r="B457" s="3"/>
      <c r="C457" s="3"/>
      <c r="D457" s="3"/>
      <c r="E457" s="244"/>
      <c r="F457" s="259" t="n">
        <v>0.06</v>
      </c>
      <c r="G457" s="250" t="e">
        <f aca="true">TABLE($F$450,$E$12,$F457,$H$24,G$450)</f>
        <v>#VALUE!</v>
      </c>
      <c r="H457" s="80" t="e">
        <f aca="true">TABLE($F$450,$E$12,$F457,$H$24,H$450)</f>
        <v>#VALUE!</v>
      </c>
      <c r="I457" s="80" t="e">
        <f aca="true">TABLE($F$450,$E$12,$F457,$H$24,I$450)</f>
        <v>#VALUE!</v>
      </c>
      <c r="J457" s="80" t="e">
        <f aca="true">TABLE($F$450,$E$12,$F457,$H$24,J$450)</f>
        <v>#VALUE!</v>
      </c>
      <c r="K457" s="80" t="e">
        <f aca="true">TABLE($F$450,$E$12,$F457,$H$24,K$450)</f>
        <v>#VALUE!</v>
      </c>
      <c r="L457" s="80" t="e">
        <f aca="true">TABLE($F$450,$E$12,$F457,$H$24,L$450)</f>
        <v>#VALUE!</v>
      </c>
      <c r="M457" s="80" t="e">
        <f aca="true">TABLE($F$450,$E$12,$F457,$H$24,M$450)</f>
        <v>#VALUE!</v>
      </c>
      <c r="N457" s="80" t="e">
        <f aca="true">TABLE($F$450,$E$12,$F457,$H$24,N$450)</f>
        <v>#VALUE!</v>
      </c>
      <c r="O457" s="80" t="e">
        <f aca="true">TABLE($F$450,$E$12,$F457,$H$24,O$450)</f>
        <v>#VALUE!</v>
      </c>
      <c r="P457" s="80" t="e">
        <f aca="true">TABLE($F$450,$E$12,$F457,$H$24,P$450)</f>
        <v>#VALUE!</v>
      </c>
      <c r="Q457" s="80" t="e">
        <f aca="true">TABLE($F$450,$E$12,$F457,$H$24,Q$450)</f>
        <v>#VALUE!</v>
      </c>
      <c r="R457" s="80" t="e">
        <f aca="true">TABLE($F$450,$E$12,$F457,$H$24,R$450)</f>
        <v>#VALUE!</v>
      </c>
      <c r="S457" s="80" t="e">
        <f aca="true">TABLE($F$450,$E$12,$F457,$H$24,S$450)</f>
        <v>#VALUE!</v>
      </c>
      <c r="T457" s="80" t="e">
        <f aca="true">TABLE($F$450,$E$12,$F457,$H$24,T$450)</f>
        <v>#VALUE!</v>
      </c>
      <c r="U457" s="80" t="e">
        <f aca="true">TABLE($F$450,$E$12,$F457,$H$24,U$450)</f>
        <v>#VALUE!</v>
      </c>
      <c r="V457" s="80" t="e">
        <f aca="true">TABLE($F$450,$E$12,$F457,$H$24,V$450)</f>
        <v>#VALUE!</v>
      </c>
      <c r="W457" s="80" t="e">
        <f aca="true">TABLE($F$450,$E$12,$F457,$H$24,W$450)</f>
        <v>#VALUE!</v>
      </c>
      <c r="X457" s="80" t="e">
        <f aca="true">TABLE($F$450,$E$12,$F457,$H$24,X$450)</f>
        <v>#VALUE!</v>
      </c>
      <c r="Y457" s="80" t="e">
        <f aca="true">TABLE($F$450,$E$12,$F457,$H$24,Y$450)</f>
        <v>#VALUE!</v>
      </c>
      <c r="Z457" s="251" t="e">
        <f aca="true">TABLE($F$450,$E$12,$F457,$H$24,Z$450)</f>
        <v>#VALUE!</v>
      </c>
      <c r="AA457" s="118"/>
      <c r="AB457" s="118"/>
      <c r="AC457" s="118"/>
      <c r="AD457" s="118"/>
      <c r="AE457" s="118"/>
      <c r="AF457" s="118"/>
      <c r="AG457" s="118"/>
      <c r="AH457" s="118"/>
      <c r="AI457" s="118"/>
      <c r="AJ457" s="118"/>
      <c r="AK457" s="118"/>
      <c r="AL457" s="118"/>
      <c r="AM457" s="118"/>
      <c r="AN457" s="118"/>
      <c r="AO457" s="118"/>
      <c r="AP457" s="118"/>
      <c r="AQ457" s="118"/>
      <c r="AR457" s="25"/>
    </row>
    <row r="458" customFormat="false" ht="12.75" hidden="false" customHeight="false" outlineLevel="0" collapsed="false">
      <c r="A458" s="3"/>
      <c r="B458" s="3"/>
      <c r="C458" s="3"/>
      <c r="D458" s="3"/>
      <c r="E458" s="244"/>
      <c r="F458" s="259" t="n">
        <v>0.06125</v>
      </c>
      <c r="G458" s="250" t="e">
        <f aca="true">TABLE($F$450,$E$12,$F458,$H$24,G$450)</f>
        <v>#VALUE!</v>
      </c>
      <c r="H458" s="80" t="e">
        <f aca="true">TABLE($F$450,$E$12,$F458,$H$24,H$450)</f>
        <v>#VALUE!</v>
      </c>
      <c r="I458" s="80" t="e">
        <f aca="true">TABLE($F$450,$E$12,$F458,$H$24,I$450)</f>
        <v>#VALUE!</v>
      </c>
      <c r="J458" s="80" t="e">
        <f aca="true">TABLE($F$450,$E$12,$F458,$H$24,J$450)</f>
        <v>#VALUE!</v>
      </c>
      <c r="K458" s="80" t="e">
        <f aca="true">TABLE($F$450,$E$12,$F458,$H$24,K$450)</f>
        <v>#VALUE!</v>
      </c>
      <c r="L458" s="80" t="e">
        <f aca="true">TABLE($F$450,$E$12,$F458,$H$24,L$450)</f>
        <v>#VALUE!</v>
      </c>
      <c r="M458" s="80" t="e">
        <f aca="true">TABLE($F$450,$E$12,$F458,$H$24,M$450)</f>
        <v>#VALUE!</v>
      </c>
      <c r="N458" s="80" t="e">
        <f aca="true">TABLE($F$450,$E$12,$F458,$H$24,N$450)</f>
        <v>#VALUE!</v>
      </c>
      <c r="O458" s="80" t="e">
        <f aca="true">TABLE($F$450,$E$12,$F458,$H$24,O$450)</f>
        <v>#VALUE!</v>
      </c>
      <c r="P458" s="80" t="e">
        <f aca="true">TABLE($F$450,$E$12,$F458,$H$24,P$450)</f>
        <v>#VALUE!</v>
      </c>
      <c r="Q458" s="80" t="e">
        <f aca="true">TABLE($F$450,$E$12,$F458,$H$24,Q$450)</f>
        <v>#VALUE!</v>
      </c>
      <c r="R458" s="80" t="e">
        <f aca="true">TABLE($F$450,$E$12,$F458,$H$24,R$450)</f>
        <v>#VALUE!</v>
      </c>
      <c r="S458" s="80" t="e">
        <f aca="true">TABLE($F$450,$E$12,$F458,$H$24,S$450)</f>
        <v>#VALUE!</v>
      </c>
      <c r="T458" s="80" t="e">
        <f aca="true">TABLE($F$450,$E$12,$F458,$H$24,T$450)</f>
        <v>#VALUE!</v>
      </c>
      <c r="U458" s="80" t="e">
        <f aca="true">TABLE($F$450,$E$12,$F458,$H$24,U$450)</f>
        <v>#VALUE!</v>
      </c>
      <c r="V458" s="80" t="e">
        <f aca="true">TABLE($F$450,$E$12,$F458,$H$24,V$450)</f>
        <v>#VALUE!</v>
      </c>
      <c r="W458" s="80" t="e">
        <f aca="true">TABLE($F$450,$E$12,$F458,$H$24,W$450)</f>
        <v>#VALUE!</v>
      </c>
      <c r="X458" s="80" t="e">
        <f aca="true">TABLE($F$450,$E$12,$F458,$H$24,X$450)</f>
        <v>#VALUE!</v>
      </c>
      <c r="Y458" s="80" t="e">
        <f aca="true">TABLE($F$450,$E$12,$F458,$H$24,Y$450)</f>
        <v>#VALUE!</v>
      </c>
      <c r="Z458" s="251" t="e">
        <f aca="true">TABLE($F$450,$E$12,$F458,$H$24,Z$450)</f>
        <v>#VALUE!</v>
      </c>
      <c r="AA458" s="118"/>
      <c r="AB458" s="118"/>
      <c r="AC458" s="118"/>
      <c r="AD458" s="118"/>
      <c r="AE458" s="118"/>
      <c r="AF458" s="118"/>
      <c r="AG458" s="118"/>
      <c r="AH458" s="118"/>
      <c r="AI458" s="118"/>
      <c r="AJ458" s="118"/>
      <c r="AK458" s="118"/>
      <c r="AL458" s="118"/>
      <c r="AM458" s="118"/>
      <c r="AN458" s="118"/>
      <c r="AO458" s="118"/>
      <c r="AP458" s="118"/>
      <c r="AQ458" s="118"/>
      <c r="AR458" s="25"/>
    </row>
    <row r="459" customFormat="false" ht="12.75" hidden="false" customHeight="false" outlineLevel="0" collapsed="false">
      <c r="A459" s="3"/>
      <c r="B459" s="3"/>
      <c r="C459" s="3"/>
      <c r="D459" s="3"/>
      <c r="E459" s="244"/>
      <c r="F459" s="259" t="n">
        <v>0.0625</v>
      </c>
      <c r="G459" s="250" t="e">
        <f aca="true">TABLE($F$450,$E$12,$F459,$H$24,G$450)</f>
        <v>#VALUE!</v>
      </c>
      <c r="H459" s="80" t="e">
        <f aca="true">TABLE($F$450,$E$12,$F459,$H$24,H$450)</f>
        <v>#VALUE!</v>
      </c>
      <c r="I459" s="80" t="e">
        <f aca="true">TABLE($F$450,$E$12,$F459,$H$24,I$450)</f>
        <v>#VALUE!</v>
      </c>
      <c r="J459" s="80" t="e">
        <f aca="true">TABLE($F$450,$E$12,$F459,$H$24,J$450)</f>
        <v>#VALUE!</v>
      </c>
      <c r="K459" s="80" t="e">
        <f aca="true">TABLE($F$450,$E$12,$F459,$H$24,K$450)</f>
        <v>#VALUE!</v>
      </c>
      <c r="L459" s="80" t="e">
        <f aca="true">TABLE($F$450,$E$12,$F459,$H$24,L$450)</f>
        <v>#VALUE!</v>
      </c>
      <c r="M459" s="80" t="e">
        <f aca="true">TABLE($F$450,$E$12,$F459,$H$24,M$450)</f>
        <v>#VALUE!</v>
      </c>
      <c r="N459" s="80" t="e">
        <f aca="true">TABLE($F$450,$E$12,$F459,$H$24,N$450)</f>
        <v>#VALUE!</v>
      </c>
      <c r="O459" s="80" t="e">
        <f aca="true">TABLE($F$450,$E$12,$F459,$H$24,O$450)</f>
        <v>#VALUE!</v>
      </c>
      <c r="P459" s="80" t="e">
        <f aca="true">TABLE($F$450,$E$12,$F459,$H$24,P$450)</f>
        <v>#VALUE!</v>
      </c>
      <c r="Q459" s="80" t="e">
        <f aca="true">TABLE($F$450,$E$12,$F459,$H$24,Q$450)</f>
        <v>#VALUE!</v>
      </c>
      <c r="R459" s="80" t="e">
        <f aca="true">TABLE($F$450,$E$12,$F459,$H$24,R$450)</f>
        <v>#VALUE!</v>
      </c>
      <c r="S459" s="80" t="e">
        <f aca="true">TABLE($F$450,$E$12,$F459,$H$24,S$450)</f>
        <v>#VALUE!</v>
      </c>
      <c r="T459" s="80" t="e">
        <f aca="true">TABLE($F$450,$E$12,$F459,$H$24,T$450)</f>
        <v>#VALUE!</v>
      </c>
      <c r="U459" s="80" t="e">
        <f aca="true">TABLE($F$450,$E$12,$F459,$H$24,U$450)</f>
        <v>#VALUE!</v>
      </c>
      <c r="V459" s="80" t="e">
        <f aca="true">TABLE($F$450,$E$12,$F459,$H$24,V$450)</f>
        <v>#VALUE!</v>
      </c>
      <c r="W459" s="80" t="e">
        <f aca="true">TABLE($F$450,$E$12,$F459,$H$24,W$450)</f>
        <v>#VALUE!</v>
      </c>
      <c r="X459" s="80" t="e">
        <f aca="true">TABLE($F$450,$E$12,$F459,$H$24,X$450)</f>
        <v>#VALUE!</v>
      </c>
      <c r="Y459" s="80" t="e">
        <f aca="true">TABLE($F$450,$E$12,$F459,$H$24,Y$450)</f>
        <v>#VALUE!</v>
      </c>
      <c r="Z459" s="251" t="e">
        <f aca="true">TABLE($F$450,$E$12,$F459,$H$24,Z$450)</f>
        <v>#VALUE!</v>
      </c>
      <c r="AA459" s="118"/>
      <c r="AB459" s="118"/>
      <c r="AC459" s="118"/>
      <c r="AD459" s="118"/>
      <c r="AE459" s="118"/>
      <c r="AF459" s="118"/>
      <c r="AG459" s="118"/>
      <c r="AH459" s="118"/>
      <c r="AI459" s="118"/>
      <c r="AJ459" s="118"/>
      <c r="AK459" s="118"/>
      <c r="AL459" s="118"/>
      <c r="AM459" s="118"/>
      <c r="AN459" s="118"/>
      <c r="AO459" s="118"/>
      <c r="AP459" s="118"/>
      <c r="AQ459" s="118"/>
      <c r="AR459" s="25"/>
    </row>
    <row r="460" customFormat="false" ht="12.75" hidden="false" customHeight="false" outlineLevel="0" collapsed="false">
      <c r="A460" s="3"/>
      <c r="B460" s="3"/>
      <c r="C460" s="3"/>
      <c r="D460" s="3"/>
      <c r="E460" s="244"/>
      <c r="F460" s="259" t="n">
        <v>0.06375</v>
      </c>
      <c r="G460" s="250" t="e">
        <f aca="true">TABLE($F$450,$E$12,$F460,$H$24,G$450)</f>
        <v>#VALUE!</v>
      </c>
      <c r="H460" s="80" t="e">
        <f aca="true">TABLE($F$450,$E$12,$F460,$H$24,H$450)</f>
        <v>#VALUE!</v>
      </c>
      <c r="I460" s="80" t="e">
        <f aca="true">TABLE($F$450,$E$12,$F460,$H$24,I$450)</f>
        <v>#VALUE!</v>
      </c>
      <c r="J460" s="80" t="e">
        <f aca="true">TABLE($F$450,$E$12,$F460,$H$24,J$450)</f>
        <v>#VALUE!</v>
      </c>
      <c r="K460" s="80" t="e">
        <f aca="true">TABLE($F$450,$E$12,$F460,$H$24,K$450)</f>
        <v>#VALUE!</v>
      </c>
      <c r="L460" s="80" t="e">
        <f aca="true">TABLE($F$450,$E$12,$F460,$H$24,L$450)</f>
        <v>#VALUE!</v>
      </c>
      <c r="M460" s="80" t="e">
        <f aca="true">TABLE($F$450,$E$12,$F460,$H$24,M$450)</f>
        <v>#VALUE!</v>
      </c>
      <c r="N460" s="80" t="e">
        <f aca="true">TABLE($F$450,$E$12,$F460,$H$24,N$450)</f>
        <v>#VALUE!</v>
      </c>
      <c r="O460" s="80" t="e">
        <f aca="true">TABLE($F$450,$E$12,$F460,$H$24,O$450)</f>
        <v>#VALUE!</v>
      </c>
      <c r="P460" s="80" t="e">
        <f aca="true">TABLE($F$450,$E$12,$F460,$H$24,P$450)</f>
        <v>#VALUE!</v>
      </c>
      <c r="Q460" s="80" t="e">
        <f aca="true">TABLE($F$450,$E$12,$F460,$H$24,Q$450)</f>
        <v>#VALUE!</v>
      </c>
      <c r="R460" s="80" t="e">
        <f aca="true">TABLE($F$450,$E$12,$F460,$H$24,R$450)</f>
        <v>#VALUE!</v>
      </c>
      <c r="S460" s="80" t="e">
        <f aca="true">TABLE($F$450,$E$12,$F460,$H$24,S$450)</f>
        <v>#VALUE!</v>
      </c>
      <c r="T460" s="80" t="e">
        <f aca="true">TABLE($F$450,$E$12,$F460,$H$24,T$450)</f>
        <v>#VALUE!</v>
      </c>
      <c r="U460" s="80" t="e">
        <f aca="true">TABLE($F$450,$E$12,$F460,$H$24,U$450)</f>
        <v>#VALUE!</v>
      </c>
      <c r="V460" s="80" t="e">
        <f aca="true">TABLE($F$450,$E$12,$F460,$H$24,V$450)</f>
        <v>#VALUE!</v>
      </c>
      <c r="W460" s="80" t="e">
        <f aca="true">TABLE($F$450,$E$12,$F460,$H$24,W$450)</f>
        <v>#VALUE!</v>
      </c>
      <c r="X460" s="80" t="e">
        <f aca="true">TABLE($F$450,$E$12,$F460,$H$24,X$450)</f>
        <v>#VALUE!</v>
      </c>
      <c r="Y460" s="80" t="e">
        <f aca="true">TABLE($F$450,$E$12,$F460,$H$24,Y$450)</f>
        <v>#VALUE!</v>
      </c>
      <c r="Z460" s="251" t="e">
        <f aca="true">TABLE($F$450,$E$12,$F460,$H$24,Z$450)</f>
        <v>#VALUE!</v>
      </c>
      <c r="AA460" s="118"/>
      <c r="AB460" s="118"/>
      <c r="AC460" s="118"/>
      <c r="AD460" s="118"/>
      <c r="AE460" s="118"/>
      <c r="AF460" s="118"/>
      <c r="AG460" s="118"/>
      <c r="AH460" s="118"/>
      <c r="AI460" s="118"/>
      <c r="AJ460" s="118"/>
      <c r="AK460" s="118"/>
      <c r="AL460" s="118"/>
      <c r="AM460" s="118"/>
      <c r="AN460" s="118"/>
      <c r="AO460" s="118"/>
      <c r="AP460" s="118"/>
      <c r="AQ460" s="118"/>
      <c r="AR460" s="25"/>
    </row>
    <row r="461" customFormat="false" ht="12.75" hidden="false" customHeight="false" outlineLevel="0" collapsed="false">
      <c r="A461" s="3"/>
      <c r="B461" s="3"/>
      <c r="C461" s="3"/>
      <c r="D461" s="3"/>
      <c r="E461" s="244"/>
      <c r="F461" s="259" t="n">
        <v>0.065</v>
      </c>
      <c r="G461" s="250" t="e">
        <f aca="true">TABLE($F$450,$E$12,$F461,$H$24,G$450)</f>
        <v>#VALUE!</v>
      </c>
      <c r="H461" s="80" t="e">
        <f aca="true">TABLE($F$450,$E$12,$F461,$H$24,H$450)</f>
        <v>#VALUE!</v>
      </c>
      <c r="I461" s="80" t="e">
        <f aca="true">TABLE($F$450,$E$12,$F461,$H$24,I$450)</f>
        <v>#VALUE!</v>
      </c>
      <c r="J461" s="80" t="e">
        <f aca="true">TABLE($F$450,$E$12,$F461,$H$24,J$450)</f>
        <v>#VALUE!</v>
      </c>
      <c r="K461" s="80" t="e">
        <f aca="true">TABLE($F$450,$E$12,$F461,$H$24,K$450)</f>
        <v>#VALUE!</v>
      </c>
      <c r="L461" s="80" t="e">
        <f aca="true">TABLE($F$450,$E$12,$F461,$H$24,L$450)</f>
        <v>#VALUE!</v>
      </c>
      <c r="M461" s="80" t="e">
        <f aca="true">TABLE($F$450,$E$12,$F461,$H$24,M$450)</f>
        <v>#VALUE!</v>
      </c>
      <c r="N461" s="80" t="e">
        <f aca="true">TABLE($F$450,$E$12,$F461,$H$24,N$450)</f>
        <v>#VALUE!</v>
      </c>
      <c r="O461" s="80" t="e">
        <f aca="true">TABLE($F$450,$E$12,$F461,$H$24,O$450)</f>
        <v>#VALUE!</v>
      </c>
      <c r="P461" s="80" t="e">
        <f aca="true">TABLE($F$450,$E$12,$F461,$H$24,P$450)</f>
        <v>#VALUE!</v>
      </c>
      <c r="Q461" s="80" t="e">
        <f aca="true">TABLE($F$450,$E$12,$F461,$H$24,Q$450)</f>
        <v>#VALUE!</v>
      </c>
      <c r="R461" s="80" t="e">
        <f aca="true">TABLE($F$450,$E$12,$F461,$H$24,R$450)</f>
        <v>#VALUE!</v>
      </c>
      <c r="S461" s="80" t="e">
        <f aca="true">TABLE($F$450,$E$12,$F461,$H$24,S$450)</f>
        <v>#VALUE!</v>
      </c>
      <c r="T461" s="80" t="e">
        <f aca="true">TABLE($F$450,$E$12,$F461,$H$24,T$450)</f>
        <v>#VALUE!</v>
      </c>
      <c r="U461" s="80" t="e">
        <f aca="true">TABLE($F$450,$E$12,$F461,$H$24,U$450)</f>
        <v>#VALUE!</v>
      </c>
      <c r="V461" s="80" t="e">
        <f aca="true">TABLE($F$450,$E$12,$F461,$H$24,V$450)</f>
        <v>#VALUE!</v>
      </c>
      <c r="W461" s="80" t="e">
        <f aca="true">TABLE($F$450,$E$12,$F461,$H$24,W$450)</f>
        <v>#VALUE!</v>
      </c>
      <c r="X461" s="80" t="e">
        <f aca="true">TABLE($F$450,$E$12,$F461,$H$24,X$450)</f>
        <v>#VALUE!</v>
      </c>
      <c r="Y461" s="80" t="e">
        <f aca="true">TABLE($F$450,$E$12,$F461,$H$24,Y$450)</f>
        <v>#VALUE!</v>
      </c>
      <c r="Z461" s="251" t="e">
        <f aca="true">TABLE($F$450,$E$12,$F461,$H$24,Z$450)</f>
        <v>#VALUE!</v>
      </c>
      <c r="AA461" s="118"/>
      <c r="AB461" s="118"/>
      <c r="AC461" s="118"/>
      <c r="AD461" s="118"/>
      <c r="AE461" s="118"/>
      <c r="AF461" s="118"/>
      <c r="AG461" s="118"/>
      <c r="AH461" s="118"/>
      <c r="AI461" s="118"/>
      <c r="AJ461" s="118"/>
      <c r="AK461" s="118"/>
      <c r="AL461" s="118"/>
      <c r="AM461" s="118"/>
      <c r="AN461" s="118"/>
      <c r="AO461" s="118"/>
      <c r="AP461" s="118"/>
      <c r="AQ461" s="118"/>
      <c r="AR461" s="25"/>
    </row>
    <row r="462" customFormat="false" ht="12.75" hidden="false" customHeight="false" outlineLevel="0" collapsed="false">
      <c r="A462" s="3"/>
      <c r="B462" s="3"/>
      <c r="C462" s="3"/>
      <c r="D462" s="3"/>
      <c r="E462" s="244"/>
      <c r="F462" s="259" t="n">
        <v>0.06625</v>
      </c>
      <c r="G462" s="250" t="e">
        <f aca="true">TABLE($F$450,$E$12,$F462,$H$24,G$450)</f>
        <v>#VALUE!</v>
      </c>
      <c r="H462" s="80" t="e">
        <f aca="true">TABLE($F$450,$E$12,$F462,$H$24,H$450)</f>
        <v>#VALUE!</v>
      </c>
      <c r="I462" s="80" t="e">
        <f aca="true">TABLE($F$450,$E$12,$F462,$H$24,I$450)</f>
        <v>#VALUE!</v>
      </c>
      <c r="J462" s="80" t="e">
        <f aca="true">TABLE($F$450,$E$12,$F462,$H$24,J$450)</f>
        <v>#VALUE!</v>
      </c>
      <c r="K462" s="80" t="e">
        <f aca="true">TABLE($F$450,$E$12,$F462,$H$24,K$450)</f>
        <v>#VALUE!</v>
      </c>
      <c r="L462" s="80" t="e">
        <f aca="true">TABLE($F$450,$E$12,$F462,$H$24,L$450)</f>
        <v>#VALUE!</v>
      </c>
      <c r="M462" s="80" t="e">
        <f aca="true">TABLE($F$450,$E$12,$F462,$H$24,M$450)</f>
        <v>#VALUE!</v>
      </c>
      <c r="N462" s="80" t="e">
        <f aca="true">TABLE($F$450,$E$12,$F462,$H$24,N$450)</f>
        <v>#VALUE!</v>
      </c>
      <c r="O462" s="80" t="e">
        <f aca="true">TABLE($F$450,$E$12,$F462,$H$24,O$450)</f>
        <v>#VALUE!</v>
      </c>
      <c r="P462" s="80" t="e">
        <f aca="true">TABLE($F$450,$E$12,$F462,$H$24,P$450)</f>
        <v>#VALUE!</v>
      </c>
      <c r="Q462" s="80" t="e">
        <f aca="true">TABLE($F$450,$E$12,$F462,$H$24,Q$450)</f>
        <v>#VALUE!</v>
      </c>
      <c r="R462" s="80" t="e">
        <f aca="true">TABLE($F$450,$E$12,$F462,$H$24,R$450)</f>
        <v>#VALUE!</v>
      </c>
      <c r="S462" s="80" t="e">
        <f aca="true">TABLE($F$450,$E$12,$F462,$H$24,S$450)</f>
        <v>#VALUE!</v>
      </c>
      <c r="T462" s="80" t="e">
        <f aca="true">TABLE($F$450,$E$12,$F462,$H$24,T$450)</f>
        <v>#VALUE!</v>
      </c>
      <c r="U462" s="80" t="e">
        <f aca="true">TABLE($F$450,$E$12,$F462,$H$24,U$450)</f>
        <v>#VALUE!</v>
      </c>
      <c r="V462" s="80" t="e">
        <f aca="true">TABLE($F$450,$E$12,$F462,$H$24,V$450)</f>
        <v>#VALUE!</v>
      </c>
      <c r="W462" s="80" t="e">
        <f aca="true">TABLE($F$450,$E$12,$F462,$H$24,W$450)</f>
        <v>#VALUE!</v>
      </c>
      <c r="X462" s="80" t="e">
        <f aca="true">TABLE($F$450,$E$12,$F462,$H$24,X$450)</f>
        <v>#VALUE!</v>
      </c>
      <c r="Y462" s="80" t="e">
        <f aca="true">TABLE($F$450,$E$12,$F462,$H$24,Y$450)</f>
        <v>#VALUE!</v>
      </c>
      <c r="Z462" s="251" t="e">
        <f aca="true">TABLE($F$450,$E$12,$F462,$H$24,Z$450)</f>
        <v>#VALUE!</v>
      </c>
      <c r="AA462" s="118"/>
      <c r="AB462" s="118"/>
      <c r="AC462" s="118"/>
      <c r="AD462" s="118"/>
      <c r="AE462" s="118"/>
      <c r="AF462" s="118"/>
      <c r="AG462" s="118"/>
      <c r="AH462" s="118"/>
      <c r="AI462" s="118"/>
      <c r="AJ462" s="118"/>
      <c r="AK462" s="118"/>
      <c r="AL462" s="118"/>
      <c r="AM462" s="118"/>
      <c r="AN462" s="118"/>
      <c r="AO462" s="118"/>
      <c r="AP462" s="118"/>
      <c r="AQ462" s="118"/>
      <c r="AR462" s="25"/>
    </row>
    <row r="463" customFormat="false" ht="12.75" hidden="false" customHeight="false" outlineLevel="0" collapsed="false">
      <c r="A463" s="3"/>
      <c r="B463" s="3"/>
      <c r="C463" s="3"/>
      <c r="D463" s="3"/>
      <c r="E463" s="244"/>
      <c r="F463" s="259" t="n">
        <v>0.0675</v>
      </c>
      <c r="G463" s="250" t="e">
        <f aca="true">TABLE($F$450,$E$12,$F463,$H$24,G$450)</f>
        <v>#VALUE!</v>
      </c>
      <c r="H463" s="80" t="e">
        <f aca="true">TABLE($F$450,$E$12,$F463,$H$24,H$450)</f>
        <v>#VALUE!</v>
      </c>
      <c r="I463" s="80" t="e">
        <f aca="true">TABLE($F$450,$E$12,$F463,$H$24,I$450)</f>
        <v>#VALUE!</v>
      </c>
      <c r="J463" s="80" t="e">
        <f aca="true">TABLE($F$450,$E$12,$F463,$H$24,J$450)</f>
        <v>#VALUE!</v>
      </c>
      <c r="K463" s="80" t="e">
        <f aca="true">TABLE($F$450,$E$12,$F463,$H$24,K$450)</f>
        <v>#VALUE!</v>
      </c>
      <c r="L463" s="80" t="e">
        <f aca="true">TABLE($F$450,$E$12,$F463,$H$24,L$450)</f>
        <v>#VALUE!</v>
      </c>
      <c r="M463" s="80" t="e">
        <f aca="true">TABLE($F$450,$E$12,$F463,$H$24,M$450)</f>
        <v>#VALUE!</v>
      </c>
      <c r="N463" s="80" t="e">
        <f aca="true">TABLE($F$450,$E$12,$F463,$H$24,N$450)</f>
        <v>#VALUE!</v>
      </c>
      <c r="O463" s="80" t="e">
        <f aca="true">TABLE($F$450,$E$12,$F463,$H$24,O$450)</f>
        <v>#VALUE!</v>
      </c>
      <c r="P463" s="80" t="e">
        <f aca="true">TABLE($F$450,$E$12,$F463,$H$24,P$450)</f>
        <v>#VALUE!</v>
      </c>
      <c r="Q463" s="80" t="e">
        <f aca="true">TABLE($F$450,$E$12,$F463,$H$24,Q$450)</f>
        <v>#VALUE!</v>
      </c>
      <c r="R463" s="80" t="e">
        <f aca="true">TABLE($F$450,$E$12,$F463,$H$24,R$450)</f>
        <v>#VALUE!</v>
      </c>
      <c r="S463" s="80" t="e">
        <f aca="true">TABLE($F$450,$E$12,$F463,$H$24,S$450)</f>
        <v>#VALUE!</v>
      </c>
      <c r="T463" s="80" t="e">
        <f aca="true">TABLE($F$450,$E$12,$F463,$H$24,T$450)</f>
        <v>#VALUE!</v>
      </c>
      <c r="U463" s="80" t="e">
        <f aca="true">TABLE($F$450,$E$12,$F463,$H$24,U$450)</f>
        <v>#VALUE!</v>
      </c>
      <c r="V463" s="80" t="e">
        <f aca="true">TABLE($F$450,$E$12,$F463,$H$24,V$450)</f>
        <v>#VALUE!</v>
      </c>
      <c r="W463" s="80" t="e">
        <f aca="true">TABLE($F$450,$E$12,$F463,$H$24,W$450)</f>
        <v>#VALUE!</v>
      </c>
      <c r="X463" s="80" t="e">
        <f aca="true">TABLE($F$450,$E$12,$F463,$H$24,X$450)</f>
        <v>#VALUE!</v>
      </c>
      <c r="Y463" s="80" t="e">
        <f aca="true">TABLE($F$450,$E$12,$F463,$H$24,Y$450)</f>
        <v>#VALUE!</v>
      </c>
      <c r="Z463" s="251" t="e">
        <f aca="true">TABLE($F$450,$E$12,$F463,$H$24,Z$450)</f>
        <v>#VALUE!</v>
      </c>
      <c r="AA463" s="118"/>
      <c r="AB463" s="118"/>
      <c r="AC463" s="118"/>
      <c r="AD463" s="118"/>
      <c r="AE463" s="118"/>
      <c r="AF463" s="118"/>
      <c r="AG463" s="118"/>
      <c r="AH463" s="118"/>
      <c r="AI463" s="118"/>
      <c r="AJ463" s="118"/>
      <c r="AK463" s="118"/>
      <c r="AL463" s="118"/>
      <c r="AM463" s="118"/>
      <c r="AN463" s="118"/>
      <c r="AO463" s="118"/>
      <c r="AP463" s="118"/>
      <c r="AQ463" s="118"/>
      <c r="AR463" s="25"/>
    </row>
    <row r="464" customFormat="false" ht="12.75" hidden="false" customHeight="false" outlineLevel="0" collapsed="false">
      <c r="A464" s="3"/>
      <c r="B464" s="3"/>
      <c r="C464" s="3"/>
      <c r="D464" s="3"/>
      <c r="E464" s="244"/>
      <c r="F464" s="259" t="n">
        <v>0.06875</v>
      </c>
      <c r="G464" s="250" t="e">
        <f aca="true">TABLE($F$450,$E$12,$F464,$H$24,G$450)</f>
        <v>#VALUE!</v>
      </c>
      <c r="H464" s="80" t="e">
        <f aca="true">TABLE($F$450,$E$12,$F464,$H$24,H$450)</f>
        <v>#VALUE!</v>
      </c>
      <c r="I464" s="80" t="e">
        <f aca="true">TABLE($F$450,$E$12,$F464,$H$24,I$450)</f>
        <v>#VALUE!</v>
      </c>
      <c r="J464" s="80" t="e">
        <f aca="true">TABLE($F$450,$E$12,$F464,$H$24,J$450)</f>
        <v>#VALUE!</v>
      </c>
      <c r="K464" s="80" t="e">
        <f aca="true">TABLE($F$450,$E$12,$F464,$H$24,K$450)</f>
        <v>#VALUE!</v>
      </c>
      <c r="L464" s="80" t="e">
        <f aca="true">TABLE($F$450,$E$12,$F464,$H$24,L$450)</f>
        <v>#VALUE!</v>
      </c>
      <c r="M464" s="80" t="e">
        <f aca="true">TABLE($F$450,$E$12,$F464,$H$24,M$450)</f>
        <v>#VALUE!</v>
      </c>
      <c r="N464" s="80" t="e">
        <f aca="true">TABLE($F$450,$E$12,$F464,$H$24,N$450)</f>
        <v>#VALUE!</v>
      </c>
      <c r="O464" s="80" t="e">
        <f aca="true">TABLE($F$450,$E$12,$F464,$H$24,O$450)</f>
        <v>#VALUE!</v>
      </c>
      <c r="P464" s="80" t="e">
        <f aca="true">TABLE($F$450,$E$12,$F464,$H$24,P$450)</f>
        <v>#VALUE!</v>
      </c>
      <c r="Q464" s="80" t="e">
        <f aca="true">TABLE($F$450,$E$12,$F464,$H$24,Q$450)</f>
        <v>#VALUE!</v>
      </c>
      <c r="R464" s="80" t="e">
        <f aca="true">TABLE($F$450,$E$12,$F464,$H$24,R$450)</f>
        <v>#VALUE!</v>
      </c>
      <c r="S464" s="80" t="e">
        <f aca="true">TABLE($F$450,$E$12,$F464,$H$24,S$450)</f>
        <v>#VALUE!</v>
      </c>
      <c r="T464" s="80" t="e">
        <f aca="true">TABLE($F$450,$E$12,$F464,$H$24,T$450)</f>
        <v>#VALUE!</v>
      </c>
      <c r="U464" s="80" t="e">
        <f aca="true">TABLE($F$450,$E$12,$F464,$H$24,U$450)</f>
        <v>#VALUE!</v>
      </c>
      <c r="V464" s="80" t="e">
        <f aca="true">TABLE($F$450,$E$12,$F464,$H$24,V$450)</f>
        <v>#VALUE!</v>
      </c>
      <c r="W464" s="80" t="e">
        <f aca="true">TABLE($F$450,$E$12,$F464,$H$24,W$450)</f>
        <v>#VALUE!</v>
      </c>
      <c r="X464" s="80" t="e">
        <f aca="true">TABLE($F$450,$E$12,$F464,$H$24,X$450)</f>
        <v>#VALUE!</v>
      </c>
      <c r="Y464" s="80" t="e">
        <f aca="true">TABLE($F$450,$E$12,$F464,$H$24,Y$450)</f>
        <v>#VALUE!</v>
      </c>
      <c r="Z464" s="251" t="e">
        <f aca="true">TABLE($F$450,$E$12,$F464,$H$24,Z$450)</f>
        <v>#VALUE!</v>
      </c>
      <c r="AA464" s="118"/>
      <c r="AB464" s="118"/>
      <c r="AC464" s="118"/>
      <c r="AD464" s="118"/>
      <c r="AE464" s="118"/>
      <c r="AF464" s="118"/>
      <c r="AG464" s="118"/>
      <c r="AH464" s="118"/>
      <c r="AI464" s="118"/>
      <c r="AJ464" s="118"/>
      <c r="AK464" s="118"/>
      <c r="AL464" s="118"/>
      <c r="AM464" s="118"/>
      <c r="AN464" s="118"/>
      <c r="AO464" s="118"/>
      <c r="AP464" s="118"/>
      <c r="AQ464" s="118"/>
      <c r="AR464" s="25"/>
    </row>
    <row r="465" customFormat="false" ht="13.5" hidden="false" customHeight="false" outlineLevel="0" collapsed="false">
      <c r="A465" s="3"/>
      <c r="B465" s="3"/>
      <c r="C465" s="3"/>
      <c r="D465" s="3"/>
      <c r="E465" s="244"/>
      <c r="F465" s="260" t="n">
        <v>0.07</v>
      </c>
      <c r="G465" s="254" t="e">
        <f aca="true">TABLE($F$450,$E$12,$F465,$H$24,G$450)</f>
        <v>#VALUE!</v>
      </c>
      <c r="H465" s="138" t="e">
        <f aca="true">TABLE($F$450,$E$12,$F465,$H$24,H$450)</f>
        <v>#VALUE!</v>
      </c>
      <c r="I465" s="138" t="e">
        <f aca="true">TABLE($F$450,$E$12,$F465,$H$24,I$450)</f>
        <v>#VALUE!</v>
      </c>
      <c r="J465" s="138" t="e">
        <f aca="true">TABLE($F$450,$E$12,$F465,$H$24,J$450)</f>
        <v>#VALUE!</v>
      </c>
      <c r="K465" s="138" t="e">
        <f aca="true">TABLE($F$450,$E$12,$F465,$H$24,K$450)</f>
        <v>#VALUE!</v>
      </c>
      <c r="L465" s="138" t="e">
        <f aca="true">TABLE($F$450,$E$12,$F465,$H$24,L$450)</f>
        <v>#VALUE!</v>
      </c>
      <c r="M465" s="138" t="e">
        <f aca="true">TABLE($F$450,$E$12,$F465,$H$24,M$450)</f>
        <v>#VALUE!</v>
      </c>
      <c r="N465" s="138" t="e">
        <f aca="true">TABLE($F$450,$E$12,$F465,$H$24,N$450)</f>
        <v>#VALUE!</v>
      </c>
      <c r="O465" s="138" t="e">
        <f aca="true">TABLE($F$450,$E$12,$F465,$H$24,O$450)</f>
        <v>#VALUE!</v>
      </c>
      <c r="P465" s="138" t="e">
        <f aca="true">TABLE($F$450,$E$12,$F465,$H$24,P$450)</f>
        <v>#VALUE!</v>
      </c>
      <c r="Q465" s="138" t="e">
        <f aca="true">TABLE($F$450,$E$12,$F465,$H$24,Q$450)</f>
        <v>#VALUE!</v>
      </c>
      <c r="R465" s="138" t="e">
        <f aca="true">TABLE($F$450,$E$12,$F465,$H$24,R$450)</f>
        <v>#VALUE!</v>
      </c>
      <c r="S465" s="138" t="e">
        <f aca="true">TABLE($F$450,$E$12,$F465,$H$24,S$450)</f>
        <v>#VALUE!</v>
      </c>
      <c r="T465" s="138" t="e">
        <f aca="true">TABLE($F$450,$E$12,$F465,$H$24,T$450)</f>
        <v>#VALUE!</v>
      </c>
      <c r="U465" s="138" t="e">
        <f aca="true">TABLE($F$450,$E$12,$F465,$H$24,U$450)</f>
        <v>#VALUE!</v>
      </c>
      <c r="V465" s="138" t="e">
        <f aca="true">TABLE($F$450,$E$12,$F465,$H$24,V$450)</f>
        <v>#VALUE!</v>
      </c>
      <c r="W465" s="138" t="e">
        <f aca="true">TABLE($F$450,$E$12,$F465,$H$24,W$450)</f>
        <v>#VALUE!</v>
      </c>
      <c r="X465" s="138" t="e">
        <f aca="true">TABLE($F$450,$E$12,$F465,$H$24,X$450)</f>
        <v>#VALUE!</v>
      </c>
      <c r="Y465" s="138" t="e">
        <f aca="true">TABLE($F$450,$E$12,$F465,$H$24,Y$450)</f>
        <v>#VALUE!</v>
      </c>
      <c r="Z465" s="255" t="e">
        <f aca="true">TABLE($F$450,$E$12,$F465,$H$24,Z$450)</f>
        <v>#VALUE!</v>
      </c>
      <c r="AA465" s="118"/>
      <c r="AB465" s="118"/>
      <c r="AC465" s="118"/>
      <c r="AD465" s="118"/>
      <c r="AE465" s="118"/>
      <c r="AF465" s="118"/>
      <c r="AG465" s="118"/>
      <c r="AH465" s="118"/>
      <c r="AI465" s="118"/>
      <c r="AJ465" s="118"/>
      <c r="AK465" s="118"/>
      <c r="AL465" s="118"/>
      <c r="AM465" s="118"/>
      <c r="AN465" s="118"/>
      <c r="AO465" s="118"/>
      <c r="AP465" s="118"/>
      <c r="AQ465" s="118"/>
      <c r="AR465" s="25"/>
    </row>
    <row r="466" customFormat="false" ht="13.5" hidden="false" customHeight="fals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118"/>
      <c r="AB466" s="118"/>
      <c r="AC466" s="118"/>
      <c r="AD466" s="118"/>
      <c r="AE466" s="118"/>
      <c r="AF466" s="118"/>
      <c r="AG466" s="118"/>
      <c r="AH466" s="118"/>
      <c r="AI466" s="118"/>
      <c r="AJ466" s="118"/>
      <c r="AK466" s="118"/>
      <c r="AL466" s="118"/>
      <c r="AM466" s="118"/>
      <c r="AN466" s="118"/>
      <c r="AO466" s="118"/>
      <c r="AP466" s="118"/>
      <c r="AQ466" s="118"/>
      <c r="AR466" s="25"/>
    </row>
    <row r="467" customFormat="false" ht="13.5" hidden="false" customHeight="false" outlineLevel="0" collapsed="false">
      <c r="A467" s="3"/>
      <c r="B467" s="3"/>
      <c r="C467" s="3"/>
      <c r="D467" s="3"/>
      <c r="E467" s="236"/>
      <c r="F467" s="237"/>
      <c r="G467" s="238" t="s">
        <v>23</v>
      </c>
      <c r="H467" s="238"/>
      <c r="I467" s="238"/>
      <c r="J467" s="238"/>
      <c r="K467" s="238"/>
      <c r="L467" s="238"/>
      <c r="M467" s="238"/>
      <c r="N467" s="238"/>
      <c r="O467" s="238"/>
      <c r="P467" s="238"/>
      <c r="Q467" s="238"/>
      <c r="R467" s="238"/>
      <c r="S467" s="238"/>
      <c r="T467" s="238"/>
      <c r="U467" s="238"/>
      <c r="V467" s="238"/>
      <c r="W467" s="238"/>
      <c r="X467" s="238"/>
      <c r="Y467" s="238"/>
      <c r="Z467" s="238"/>
      <c r="AA467" s="118"/>
      <c r="AB467" s="118"/>
      <c r="AC467" s="118"/>
      <c r="AD467" s="118"/>
      <c r="AE467" s="118"/>
      <c r="AF467" s="118"/>
      <c r="AG467" s="118"/>
      <c r="AH467" s="118"/>
      <c r="AI467" s="118"/>
      <c r="AJ467" s="118"/>
      <c r="AK467" s="118"/>
      <c r="AL467" s="118"/>
      <c r="AM467" s="118"/>
      <c r="AN467" s="118"/>
      <c r="AO467" s="118"/>
      <c r="AP467" s="118"/>
      <c r="AQ467" s="118"/>
      <c r="AR467" s="25"/>
    </row>
    <row r="468" customFormat="false" ht="13.5" hidden="false" customHeight="false" outlineLevel="0" collapsed="false">
      <c r="A468" s="3"/>
      <c r="B468" s="3"/>
      <c r="C468" s="3"/>
      <c r="D468" s="3"/>
      <c r="E468" s="256" t="s">
        <v>224</v>
      </c>
      <c r="F468" s="257" t="n">
        <f aca="false">+G182</f>
        <v>128160.940747345</v>
      </c>
      <c r="G468" s="241" t="n">
        <v>1</v>
      </c>
      <c r="H468" s="242" t="n">
        <v>0.99</v>
      </c>
      <c r="I468" s="242" t="n">
        <v>0.98</v>
      </c>
      <c r="J468" s="242" t="n">
        <v>0.97</v>
      </c>
      <c r="K468" s="242" t="n">
        <v>0.96</v>
      </c>
      <c r="L468" s="242" t="n">
        <v>0.95</v>
      </c>
      <c r="M468" s="242" t="n">
        <v>0.94</v>
      </c>
      <c r="N468" s="242" t="n">
        <v>0.93</v>
      </c>
      <c r="O468" s="242" t="n">
        <v>0.92</v>
      </c>
      <c r="P468" s="242" t="n">
        <v>0.91</v>
      </c>
      <c r="Q468" s="242" t="n">
        <v>0.9</v>
      </c>
      <c r="R468" s="242" t="n">
        <v>0.89</v>
      </c>
      <c r="S468" s="242" t="n">
        <v>0.88</v>
      </c>
      <c r="T468" s="242" t="n">
        <v>0.87</v>
      </c>
      <c r="U468" s="242" t="n">
        <v>0.86</v>
      </c>
      <c r="V468" s="242" t="n">
        <v>0.85</v>
      </c>
      <c r="W468" s="242" t="n">
        <v>0.84</v>
      </c>
      <c r="X468" s="242" t="n">
        <v>0.83</v>
      </c>
      <c r="Y468" s="242" t="n">
        <v>0.82</v>
      </c>
      <c r="Z468" s="243" t="n">
        <v>0.81</v>
      </c>
      <c r="AA468" s="118"/>
      <c r="AB468" s="118"/>
      <c r="AC468" s="118"/>
      <c r="AD468" s="118"/>
      <c r="AE468" s="118"/>
      <c r="AF468" s="118"/>
      <c r="AG468" s="118"/>
      <c r="AH468" s="118"/>
      <c r="AI468" s="118"/>
      <c r="AJ468" s="118"/>
      <c r="AK468" s="118"/>
      <c r="AL468" s="118"/>
      <c r="AM468" s="118"/>
      <c r="AN468" s="118"/>
      <c r="AO468" s="118"/>
      <c r="AP468" s="118"/>
      <c r="AQ468" s="118"/>
      <c r="AR468" s="25"/>
    </row>
    <row r="469" customFormat="false" ht="12.75" hidden="false" customHeight="true" outlineLevel="0" collapsed="false">
      <c r="A469" s="3"/>
      <c r="B469" s="3"/>
      <c r="C469" s="3"/>
      <c r="D469" s="3"/>
      <c r="E469" s="261" t="s">
        <v>227</v>
      </c>
      <c r="F469" s="258" t="n">
        <v>-0.07</v>
      </c>
      <c r="G469" s="246" t="n">
        <f aca="true">TABLE($F$468,$G$173,$F469,$H$24,G$468)</f>
        <v>121184.565059301</v>
      </c>
      <c r="H469" s="247" t="n">
        <f aca="true">TABLE($F$468,$G$173,$F469,$H$24,H$468)</f>
        <v>121026.143925244</v>
      </c>
      <c r="I469" s="247" t="n">
        <f aca="true">TABLE($F$468,$G$173,$F469,$H$24,I$468)</f>
        <v>120867.722791187</v>
      </c>
      <c r="J469" s="247" t="n">
        <f aca="true">TABLE($F$468,$G$173,$F469,$H$24,J$468)</f>
        <v>120709.30165713</v>
      </c>
      <c r="K469" s="247" t="n">
        <f aca="true">TABLE($F$468,$G$173,$F469,$H$24,K$468)</f>
        <v>120550.880523072</v>
      </c>
      <c r="L469" s="247" t="n">
        <f aca="true">TABLE($F$468,$G$173,$F469,$H$24,L$468)</f>
        <v>120392.459389015</v>
      </c>
      <c r="M469" s="247" t="n">
        <f aca="true">TABLE($F$468,$G$173,$F469,$H$24,M$468)</f>
        <v>120234.038254957</v>
      </c>
      <c r="N469" s="247" t="n">
        <f aca="true">TABLE($F$468,$G$173,$F469,$H$24,N$468)</f>
        <v>120075.6171209</v>
      </c>
      <c r="O469" s="247" t="n">
        <f aca="true">TABLE($F$468,$G$173,$F469,$H$24,O$468)</f>
        <v>119917.195986843</v>
      </c>
      <c r="P469" s="247" t="n">
        <f aca="true">TABLE($F$468,$G$173,$F469,$H$24,P$468)</f>
        <v>119758.774852785</v>
      </c>
      <c r="Q469" s="247" t="n">
        <f aca="true">TABLE($F$468,$G$173,$F469,$H$24,Q$468)</f>
        <v>119600.353718728</v>
      </c>
      <c r="R469" s="247" t="n">
        <f aca="true">TABLE($F$468,$G$173,$F469,$H$24,R$468)</f>
        <v>119441.932584671</v>
      </c>
      <c r="S469" s="247" t="n">
        <f aca="true">TABLE($F$468,$G$173,$F469,$H$24,S$468)</f>
        <v>119283.511450613</v>
      </c>
      <c r="T469" s="247" t="n">
        <f aca="true">TABLE($F$468,$G$173,$F469,$H$24,T$468)</f>
        <v>119125.090316556</v>
      </c>
      <c r="U469" s="247" t="n">
        <f aca="true">TABLE($F$468,$G$173,$F469,$H$24,U$468)</f>
        <v>118966.669182499</v>
      </c>
      <c r="V469" s="247" t="n">
        <f aca="true">TABLE($F$468,$G$173,$F469,$H$24,V$468)</f>
        <v>118808.248048441</v>
      </c>
      <c r="W469" s="247" t="n">
        <f aca="true">TABLE($F$468,$G$173,$F469,$H$24,W$468)</f>
        <v>118649.826914384</v>
      </c>
      <c r="X469" s="247" t="n">
        <f aca="true">TABLE($F$468,$G$173,$F469,$H$24,X$468)</f>
        <v>118491.405780327</v>
      </c>
      <c r="Y469" s="247" t="n">
        <f aca="true">TABLE($F$468,$G$173,$F469,$H$24,Y$468)</f>
        <v>118332.98464627</v>
      </c>
      <c r="Z469" s="248" t="n">
        <f aca="true">TABLE($F$468,$G$173,$F469,$H$24,Z$468)</f>
        <v>118174.563512212</v>
      </c>
      <c r="AA469" s="118"/>
      <c r="AB469" s="118"/>
      <c r="AC469" s="118"/>
      <c r="AD469" s="118"/>
      <c r="AE469" s="118"/>
      <c r="AF469" s="118"/>
      <c r="AG469" s="118"/>
      <c r="AH469" s="118"/>
      <c r="AI469" s="118"/>
      <c r="AJ469" s="118"/>
      <c r="AK469" s="118"/>
      <c r="AL469" s="118"/>
      <c r="AM469" s="118"/>
      <c r="AN469" s="118"/>
      <c r="AO469" s="118"/>
      <c r="AP469" s="118"/>
      <c r="AQ469" s="118"/>
      <c r="AR469" s="25"/>
    </row>
    <row r="470" customFormat="false" ht="12.75" hidden="false" customHeight="false" outlineLevel="0" collapsed="false">
      <c r="A470" s="3"/>
      <c r="B470" s="3"/>
      <c r="C470" s="3"/>
      <c r="D470" s="3"/>
      <c r="E470" s="261"/>
      <c r="F470" s="259" t="n">
        <v>-0.06</v>
      </c>
      <c r="G470" s="250" t="n">
        <f aca="true">TABLE($F$468,$G$173,$F470,$H$24,G$468)</f>
        <v>122498.032425708</v>
      </c>
      <c r="H470" s="80" t="n">
        <f aca="true">TABLE($F$468,$G$173,$F470,$H$24,H$468)</f>
        <v>122339.611291651</v>
      </c>
      <c r="I470" s="80" t="n">
        <f aca="true">TABLE($F$468,$G$173,$F470,$H$24,I$468)</f>
        <v>122181.190157593</v>
      </c>
      <c r="J470" s="80" t="n">
        <f aca="true">TABLE($F$468,$G$173,$F470,$H$24,J$468)</f>
        <v>122022.769023536</v>
      </c>
      <c r="K470" s="80" t="n">
        <f aca="true">TABLE($F$468,$G$173,$F470,$H$24,K$468)</f>
        <v>121864.347889479</v>
      </c>
      <c r="L470" s="80" t="n">
        <f aca="true">TABLE($F$468,$G$173,$F470,$H$24,L$468)</f>
        <v>121705.926755421</v>
      </c>
      <c r="M470" s="80" t="n">
        <f aca="true">TABLE($F$468,$G$173,$F470,$H$24,M$468)</f>
        <v>121547.505621364</v>
      </c>
      <c r="N470" s="80" t="n">
        <f aca="true">TABLE($F$468,$G$173,$F470,$H$24,N$468)</f>
        <v>121389.084487307</v>
      </c>
      <c r="O470" s="80" t="n">
        <f aca="true">TABLE($F$468,$G$173,$F470,$H$24,O$468)</f>
        <v>121230.663353249</v>
      </c>
      <c r="P470" s="80" t="n">
        <f aca="true">TABLE($F$468,$G$173,$F470,$H$24,P$468)</f>
        <v>121072.242219192</v>
      </c>
      <c r="Q470" s="80" t="n">
        <f aca="true">TABLE($F$468,$G$173,$F470,$H$24,Q$468)</f>
        <v>120913.821085135</v>
      </c>
      <c r="R470" s="80" t="n">
        <f aca="true">TABLE($F$468,$G$173,$F470,$H$24,R$468)</f>
        <v>120755.399951078</v>
      </c>
      <c r="S470" s="80" t="n">
        <f aca="true">TABLE($F$468,$G$173,$F470,$H$24,S$468)</f>
        <v>120596.97881702</v>
      </c>
      <c r="T470" s="80" t="n">
        <f aca="true">TABLE($F$468,$G$173,$F470,$H$24,T$468)</f>
        <v>120438.557682963</v>
      </c>
      <c r="U470" s="80" t="n">
        <f aca="true">TABLE($F$468,$G$173,$F470,$H$24,U$468)</f>
        <v>120280.136548905</v>
      </c>
      <c r="V470" s="80" t="n">
        <f aca="true">TABLE($F$468,$G$173,$F470,$H$24,V$468)</f>
        <v>120121.715414848</v>
      </c>
      <c r="W470" s="80" t="n">
        <f aca="true">TABLE($F$468,$G$173,$F470,$H$24,W$468)</f>
        <v>119963.294280791</v>
      </c>
      <c r="X470" s="80" t="n">
        <f aca="true">TABLE($F$468,$G$173,$F470,$H$24,X$468)</f>
        <v>119804.873146733</v>
      </c>
      <c r="Y470" s="80" t="n">
        <f aca="true">TABLE($F$468,$G$173,$F470,$H$24,Y$468)</f>
        <v>119646.452012676</v>
      </c>
      <c r="Z470" s="251" t="n">
        <f aca="true">TABLE($F$468,$G$173,$F470,$H$24,Z$468)</f>
        <v>119488.030878619</v>
      </c>
      <c r="AA470" s="118"/>
      <c r="AB470" s="118"/>
      <c r="AC470" s="118"/>
      <c r="AD470" s="118"/>
      <c r="AE470" s="118"/>
      <c r="AF470" s="118"/>
      <c r="AG470" s="118"/>
      <c r="AH470" s="118"/>
      <c r="AI470" s="118"/>
      <c r="AJ470" s="118"/>
      <c r="AK470" s="118"/>
      <c r="AL470" s="118"/>
      <c r="AM470" s="118"/>
      <c r="AN470" s="118"/>
      <c r="AO470" s="118"/>
      <c r="AP470" s="118"/>
      <c r="AQ470" s="118"/>
      <c r="AR470" s="25"/>
    </row>
    <row r="471" customFormat="false" ht="12.75" hidden="false" customHeight="false" outlineLevel="0" collapsed="false">
      <c r="A471" s="3"/>
      <c r="B471" s="3"/>
      <c r="C471" s="3"/>
      <c r="D471" s="3"/>
      <c r="E471" s="261"/>
      <c r="F471" s="259" t="n">
        <v>-0.05</v>
      </c>
      <c r="G471" s="250" t="n">
        <f aca="true">TABLE($F$468,$G$173,$F471,$H$24,G$468)</f>
        <v>123811.499792115</v>
      </c>
      <c r="H471" s="80" t="n">
        <f aca="true">TABLE($F$468,$G$173,$F471,$H$24,H$468)</f>
        <v>123653.078658057</v>
      </c>
      <c r="I471" s="80" t="n">
        <f aca="true">TABLE($F$468,$G$173,$F471,$H$24,I$468)</f>
        <v>123494.657524</v>
      </c>
      <c r="J471" s="80" t="n">
        <f aca="true">TABLE($F$468,$G$173,$F471,$H$24,J$468)</f>
        <v>123336.236389943</v>
      </c>
      <c r="K471" s="80" t="n">
        <f aca="true">TABLE($F$468,$G$173,$F471,$H$24,K$468)</f>
        <v>123177.815255885</v>
      </c>
      <c r="L471" s="80" t="n">
        <f aca="true">TABLE($F$468,$G$173,$F471,$H$24,L$468)</f>
        <v>123019.394121828</v>
      </c>
      <c r="M471" s="80" t="n">
        <f aca="true">TABLE($F$468,$G$173,$F471,$H$24,M$468)</f>
        <v>122860.972987771</v>
      </c>
      <c r="N471" s="80" t="n">
        <f aca="true">TABLE($F$468,$G$173,$F471,$H$24,N$468)</f>
        <v>122702.551853714</v>
      </c>
      <c r="O471" s="80" t="n">
        <f aca="true">TABLE($F$468,$G$173,$F471,$H$24,O$468)</f>
        <v>122544.130719656</v>
      </c>
      <c r="P471" s="80" t="n">
        <f aca="true">TABLE($F$468,$G$173,$F471,$H$24,P$468)</f>
        <v>122385.709585599</v>
      </c>
      <c r="Q471" s="80" t="n">
        <f aca="true">TABLE($F$468,$G$173,$F471,$H$24,Q$468)</f>
        <v>122227.288451541</v>
      </c>
      <c r="R471" s="80" t="n">
        <f aca="true">TABLE($F$468,$G$173,$F471,$H$24,R$468)</f>
        <v>122068.867317484</v>
      </c>
      <c r="S471" s="80" t="n">
        <f aca="true">TABLE($F$468,$G$173,$F471,$H$24,S$468)</f>
        <v>121910.446183427</v>
      </c>
      <c r="T471" s="80" t="n">
        <f aca="true">TABLE($F$468,$G$173,$F471,$H$24,T$468)</f>
        <v>121752.025049369</v>
      </c>
      <c r="U471" s="80" t="n">
        <f aca="true">TABLE($F$468,$G$173,$F471,$H$24,U$468)</f>
        <v>121593.603915312</v>
      </c>
      <c r="V471" s="80" t="n">
        <f aca="true">TABLE($F$468,$G$173,$F471,$H$24,V$468)</f>
        <v>121435.182781255</v>
      </c>
      <c r="W471" s="80" t="n">
        <f aca="true">TABLE($F$468,$G$173,$F471,$H$24,W$468)</f>
        <v>121276.761647197</v>
      </c>
      <c r="X471" s="80" t="n">
        <f aca="true">TABLE($F$468,$G$173,$F471,$H$24,X$468)</f>
        <v>121118.34051314</v>
      </c>
      <c r="Y471" s="80" t="n">
        <f aca="true">TABLE($F$468,$G$173,$F471,$H$24,Y$468)</f>
        <v>120959.919379083</v>
      </c>
      <c r="Z471" s="251" t="n">
        <f aca="true">TABLE($F$468,$G$173,$F471,$H$24,Z$468)</f>
        <v>120801.498245025</v>
      </c>
      <c r="AA471" s="118"/>
      <c r="AB471" s="118"/>
      <c r="AC471" s="118"/>
      <c r="AD471" s="118"/>
      <c r="AE471" s="118"/>
      <c r="AF471" s="118"/>
      <c r="AG471" s="118"/>
      <c r="AH471" s="118"/>
      <c r="AI471" s="118"/>
      <c r="AJ471" s="118"/>
      <c r="AK471" s="118"/>
      <c r="AL471" s="118"/>
      <c r="AM471" s="118"/>
      <c r="AN471" s="118"/>
      <c r="AO471" s="118"/>
      <c r="AP471" s="118"/>
      <c r="AQ471" s="118"/>
      <c r="AR471" s="25"/>
    </row>
    <row r="472" customFormat="false" ht="12.75" hidden="false" customHeight="false" outlineLevel="0" collapsed="false">
      <c r="A472" s="3"/>
      <c r="B472" s="3"/>
      <c r="C472" s="3"/>
      <c r="D472" s="3"/>
      <c r="E472" s="261"/>
      <c r="F472" s="259" t="n">
        <v>-0.04</v>
      </c>
      <c r="G472" s="250" t="n">
        <f aca="true">TABLE($F$468,$G$173,$F472,$H$24,G$468)</f>
        <v>125124.967158522</v>
      </c>
      <c r="H472" s="80" t="n">
        <f aca="true">TABLE($F$468,$G$173,$F472,$H$24,H$468)</f>
        <v>124966.546024464</v>
      </c>
      <c r="I472" s="80" t="n">
        <f aca="true">TABLE($F$468,$G$173,$F472,$H$24,I$468)</f>
        <v>124808.124890407</v>
      </c>
      <c r="J472" s="80" t="n">
        <f aca="true">TABLE($F$468,$G$173,$F472,$H$24,J$468)</f>
        <v>124649.703756349</v>
      </c>
      <c r="K472" s="80" t="n">
        <f aca="true">TABLE($F$468,$G$173,$F472,$H$24,K$468)</f>
        <v>124491.282622292</v>
      </c>
      <c r="L472" s="80" t="n">
        <f aca="true">TABLE($F$468,$G$173,$F472,$H$24,L$468)</f>
        <v>124332.861488235</v>
      </c>
      <c r="M472" s="80" t="n">
        <f aca="true">TABLE($F$468,$G$173,$F472,$H$24,M$468)</f>
        <v>124174.440354178</v>
      </c>
      <c r="N472" s="80" t="n">
        <f aca="true">TABLE($F$468,$G$173,$F472,$H$24,N$468)</f>
        <v>124016.01922012</v>
      </c>
      <c r="O472" s="80" t="n">
        <f aca="true">TABLE($F$468,$G$173,$F472,$H$24,O$468)</f>
        <v>123857.598086063</v>
      </c>
      <c r="P472" s="80" t="n">
        <f aca="true">TABLE($F$468,$G$173,$F472,$H$24,P$468)</f>
        <v>123699.176952005</v>
      </c>
      <c r="Q472" s="80" t="n">
        <f aca="true">TABLE($F$468,$G$173,$F472,$H$24,Q$468)</f>
        <v>123540.755817948</v>
      </c>
      <c r="R472" s="80" t="n">
        <f aca="true">TABLE($F$468,$G$173,$F472,$H$24,R$468)</f>
        <v>123382.334683891</v>
      </c>
      <c r="S472" s="80" t="n">
        <f aca="true">TABLE($F$468,$G$173,$F472,$H$24,S$468)</f>
        <v>123223.913549833</v>
      </c>
      <c r="T472" s="80" t="n">
        <f aca="true">TABLE($F$468,$G$173,$F472,$H$24,T$468)</f>
        <v>123065.492415776</v>
      </c>
      <c r="U472" s="80" t="n">
        <f aca="true">TABLE($F$468,$G$173,$F472,$H$24,U$468)</f>
        <v>122907.071281719</v>
      </c>
      <c r="V472" s="80" t="n">
        <f aca="true">TABLE($F$468,$G$173,$F472,$H$24,V$468)</f>
        <v>122748.650147661</v>
      </c>
      <c r="W472" s="80" t="n">
        <f aca="true">TABLE($F$468,$G$173,$F472,$H$24,W$468)</f>
        <v>122590.229013604</v>
      </c>
      <c r="X472" s="80" t="n">
        <f aca="true">TABLE($F$468,$G$173,$F472,$H$24,X$468)</f>
        <v>122431.807879547</v>
      </c>
      <c r="Y472" s="80" t="n">
        <f aca="true">TABLE($F$468,$G$173,$F472,$H$24,Y$468)</f>
        <v>122273.386745489</v>
      </c>
      <c r="Z472" s="251" t="n">
        <f aca="true">TABLE($F$468,$G$173,$F472,$H$24,Z$468)</f>
        <v>122114.965611432</v>
      </c>
      <c r="AA472" s="118"/>
      <c r="AB472" s="118"/>
      <c r="AC472" s="118"/>
      <c r="AD472" s="118"/>
      <c r="AE472" s="118"/>
      <c r="AF472" s="118"/>
      <c r="AG472" s="118"/>
      <c r="AH472" s="118"/>
      <c r="AI472" s="118"/>
      <c r="AJ472" s="118"/>
      <c r="AK472" s="118"/>
      <c r="AL472" s="118"/>
      <c r="AM472" s="118"/>
      <c r="AN472" s="118"/>
      <c r="AO472" s="118"/>
      <c r="AP472" s="118"/>
      <c r="AQ472" s="118"/>
      <c r="AR472" s="25"/>
    </row>
    <row r="473" customFormat="false" ht="12.75" hidden="false" customHeight="false" outlineLevel="0" collapsed="false">
      <c r="A473" s="3"/>
      <c r="B473" s="3"/>
      <c r="C473" s="3"/>
      <c r="D473" s="3"/>
      <c r="E473" s="261"/>
      <c r="F473" s="259" t="n">
        <v>-0.03</v>
      </c>
      <c r="G473" s="250" t="n">
        <f aca="true">TABLE($F$468,$G$173,$F473,$H$24,G$468)</f>
        <v>126438.434524928</v>
      </c>
      <c r="H473" s="80" t="n">
        <f aca="true">TABLE($F$468,$G$173,$F473,$H$24,H$468)</f>
        <v>126280.013390871</v>
      </c>
      <c r="I473" s="80" t="n">
        <f aca="true">TABLE($F$468,$G$173,$F473,$H$24,I$468)</f>
        <v>126121.592256813</v>
      </c>
      <c r="J473" s="80" t="n">
        <f aca="true">TABLE($F$468,$G$173,$F473,$H$24,J$468)</f>
        <v>125963.171122756</v>
      </c>
      <c r="K473" s="80" t="n">
        <f aca="true">TABLE($F$468,$G$173,$F473,$H$24,K$468)</f>
        <v>125804.749988699</v>
      </c>
      <c r="L473" s="80" t="n">
        <f aca="true">TABLE($F$468,$G$173,$F473,$H$24,L$468)</f>
        <v>125646.328854641</v>
      </c>
      <c r="M473" s="80" t="n">
        <f aca="true">TABLE($F$468,$G$173,$F473,$H$24,M$468)</f>
        <v>125487.907720584</v>
      </c>
      <c r="N473" s="80" t="n">
        <f aca="true">TABLE($F$468,$G$173,$F473,$H$24,N$468)</f>
        <v>125329.486586527</v>
      </c>
      <c r="O473" s="80" t="n">
        <f aca="true">TABLE($F$468,$G$173,$F473,$H$24,O$468)</f>
        <v>125171.065452469</v>
      </c>
      <c r="P473" s="80" t="n">
        <f aca="true">TABLE($F$468,$G$173,$F473,$H$24,P$468)</f>
        <v>125012.644318412</v>
      </c>
      <c r="Q473" s="80" t="n">
        <f aca="true">TABLE($F$468,$G$173,$F473,$H$24,Q$468)</f>
        <v>124854.223184355</v>
      </c>
      <c r="R473" s="80" t="n">
        <f aca="true">TABLE($F$468,$G$173,$F473,$H$24,R$468)</f>
        <v>124695.802050297</v>
      </c>
      <c r="S473" s="80" t="n">
        <f aca="true">TABLE($F$468,$G$173,$F473,$H$24,S$468)</f>
        <v>124537.38091624</v>
      </c>
      <c r="T473" s="80" t="n">
        <f aca="true">TABLE($F$468,$G$173,$F473,$H$24,T$468)</f>
        <v>124378.959782182</v>
      </c>
      <c r="U473" s="80" t="n">
        <f aca="true">TABLE($F$468,$G$173,$F473,$H$24,U$468)</f>
        <v>124220.538648125</v>
      </c>
      <c r="V473" s="80" t="n">
        <f aca="true">TABLE($F$468,$G$173,$F473,$H$24,V$468)</f>
        <v>124062.117514068</v>
      </c>
      <c r="W473" s="80" t="n">
        <f aca="true">TABLE($F$468,$G$173,$F473,$H$24,W$468)</f>
        <v>123903.696380011</v>
      </c>
      <c r="X473" s="80" t="n">
        <f aca="true">TABLE($F$468,$G$173,$F473,$H$24,X$468)</f>
        <v>123745.275245953</v>
      </c>
      <c r="Y473" s="80" t="n">
        <f aca="true">TABLE($F$468,$G$173,$F473,$H$24,Y$468)</f>
        <v>123586.854111896</v>
      </c>
      <c r="Z473" s="251" t="n">
        <f aca="true">TABLE($F$468,$G$173,$F473,$H$24,Z$468)</f>
        <v>123428.432977838</v>
      </c>
      <c r="AA473" s="118"/>
      <c r="AB473" s="118"/>
      <c r="AC473" s="118"/>
      <c r="AD473" s="118"/>
      <c r="AE473" s="118"/>
      <c r="AF473" s="118"/>
      <c r="AG473" s="118"/>
      <c r="AH473" s="118"/>
      <c r="AI473" s="118"/>
      <c r="AJ473" s="118"/>
      <c r="AK473" s="118"/>
      <c r="AL473" s="118"/>
      <c r="AM473" s="118"/>
      <c r="AN473" s="118"/>
      <c r="AO473" s="118"/>
      <c r="AP473" s="118"/>
      <c r="AQ473" s="118"/>
      <c r="AR473" s="25"/>
    </row>
    <row r="474" customFormat="false" ht="12.75" hidden="false" customHeight="false" outlineLevel="0" collapsed="false">
      <c r="A474" s="3"/>
      <c r="B474" s="3"/>
      <c r="C474" s="3"/>
      <c r="D474" s="3"/>
      <c r="E474" s="261"/>
      <c r="F474" s="259" t="n">
        <v>-0.02</v>
      </c>
      <c r="G474" s="250" t="n">
        <f aca="true">TABLE($F$468,$G$173,$F474,$H$24,G$468)</f>
        <v>127751.901891335</v>
      </c>
      <c r="H474" s="252" t="n">
        <f aca="true">TABLE($F$468,$G$173,$F474,$H$24,H$468)</f>
        <v>127593.480757277</v>
      </c>
      <c r="I474" s="252" t="n">
        <f aca="true">TABLE($F$468,$G$173,$F474,$H$24,I$468)</f>
        <v>127435.05962322</v>
      </c>
      <c r="J474" s="252" t="n">
        <f aca="true">TABLE($F$468,$G$173,$F474,$H$24,J$468)</f>
        <v>127276.638489163</v>
      </c>
      <c r="K474" s="80" t="n">
        <f aca="true">TABLE($F$468,$G$173,$F474,$H$24,K$468)</f>
        <v>127118.217355105</v>
      </c>
      <c r="L474" s="80" t="n">
        <f aca="true">TABLE($F$468,$G$173,$F474,$H$24,L$468)</f>
        <v>126959.796221048</v>
      </c>
      <c r="M474" s="80" t="n">
        <f aca="true">TABLE($F$468,$G$173,$F474,$H$24,M$468)</f>
        <v>126801.375086991</v>
      </c>
      <c r="N474" s="80" t="n">
        <f aca="true">TABLE($F$468,$G$173,$F474,$H$24,N$468)</f>
        <v>126642.953952933</v>
      </c>
      <c r="O474" s="80" t="n">
        <f aca="true">TABLE($F$468,$G$173,$F474,$H$24,O$468)</f>
        <v>126484.532818876</v>
      </c>
      <c r="P474" s="80" t="n">
        <f aca="true">TABLE($F$468,$G$173,$F474,$H$24,P$468)</f>
        <v>126326.111684819</v>
      </c>
      <c r="Q474" s="80" t="n">
        <f aca="true">TABLE($F$468,$G$173,$F474,$H$24,Q$468)</f>
        <v>126167.690550761</v>
      </c>
      <c r="R474" s="80" t="n">
        <f aca="true">TABLE($F$468,$G$173,$F474,$H$24,R$468)</f>
        <v>126009.269416704</v>
      </c>
      <c r="S474" s="80" t="n">
        <f aca="true">TABLE($F$468,$G$173,$F474,$H$24,S$468)</f>
        <v>125850.848282647</v>
      </c>
      <c r="T474" s="80" t="n">
        <f aca="true">TABLE($F$468,$G$173,$F474,$H$24,T$468)</f>
        <v>125692.427148589</v>
      </c>
      <c r="U474" s="80" t="n">
        <f aca="true">TABLE($F$468,$G$173,$F474,$H$24,U$468)</f>
        <v>125534.006014532</v>
      </c>
      <c r="V474" s="80" t="n">
        <f aca="true">TABLE($F$468,$G$173,$F474,$H$24,V$468)</f>
        <v>125375.584880474</v>
      </c>
      <c r="W474" s="80" t="n">
        <f aca="true">TABLE($F$468,$G$173,$F474,$H$24,W$468)</f>
        <v>125217.163746417</v>
      </c>
      <c r="X474" s="80" t="n">
        <f aca="true">TABLE($F$468,$G$173,$F474,$H$24,X$468)</f>
        <v>125058.74261236</v>
      </c>
      <c r="Y474" s="80" t="n">
        <f aca="true">TABLE($F$468,$G$173,$F474,$H$24,Y$468)</f>
        <v>124900.321478303</v>
      </c>
      <c r="Z474" s="251" t="n">
        <f aca="true">TABLE($F$468,$G$173,$F474,$H$24,Z$468)</f>
        <v>124741.900344245</v>
      </c>
      <c r="AA474" s="118"/>
      <c r="AB474" s="118"/>
      <c r="AC474" s="118"/>
      <c r="AD474" s="118"/>
      <c r="AE474" s="118"/>
      <c r="AF474" s="118"/>
      <c r="AG474" s="118"/>
      <c r="AH474" s="118"/>
      <c r="AI474" s="118"/>
      <c r="AJ474" s="118"/>
      <c r="AK474" s="118"/>
      <c r="AL474" s="118"/>
      <c r="AM474" s="118"/>
      <c r="AN474" s="118"/>
      <c r="AO474" s="118"/>
      <c r="AP474" s="118"/>
      <c r="AQ474" s="118"/>
      <c r="AR474" s="25"/>
    </row>
    <row r="475" customFormat="false" ht="12.75" hidden="false" customHeight="false" outlineLevel="0" collapsed="false">
      <c r="A475" s="3"/>
      <c r="B475" s="3"/>
      <c r="C475" s="3"/>
      <c r="D475" s="3"/>
      <c r="E475" s="261"/>
      <c r="F475" s="259" t="n">
        <v>-0.01</v>
      </c>
      <c r="G475" s="250" t="n">
        <f aca="true">TABLE($F$468,$G$173,$F475,$H$24,G$468)</f>
        <v>129065.369257741</v>
      </c>
      <c r="H475" s="80" t="n">
        <f aca="true">TABLE($F$468,$G$173,$F475,$H$24,H$468)</f>
        <v>128906.948123684</v>
      </c>
      <c r="I475" s="80" t="n">
        <f aca="true">TABLE($F$468,$G$173,$F475,$H$24,I$468)</f>
        <v>128748.526989626</v>
      </c>
      <c r="J475" s="80" t="n">
        <f aca="true">TABLE($F$468,$G$173,$F475,$H$24,J$468)</f>
        <v>128590.105855569</v>
      </c>
      <c r="K475" s="80" t="n">
        <f aca="true">TABLE($F$468,$G$173,$F475,$H$24,K$468)</f>
        <v>128431.684721512</v>
      </c>
      <c r="L475" s="80" t="n">
        <f aca="true">TABLE($F$468,$G$173,$F475,$H$24,L$468)</f>
        <v>128273.263587455</v>
      </c>
      <c r="M475" s="80" t="n">
        <f aca="true">TABLE($F$468,$G$173,$F475,$H$24,M$468)</f>
        <v>128114.842453397</v>
      </c>
      <c r="N475" s="80" t="n">
        <f aca="true">TABLE($F$468,$G$173,$F475,$H$24,N$468)</f>
        <v>127956.42131934</v>
      </c>
      <c r="O475" s="80" t="n">
        <f aca="true">TABLE($F$468,$G$173,$F475,$H$24,O$468)</f>
        <v>127798.000185282</v>
      </c>
      <c r="P475" s="80" t="n">
        <f aca="true">TABLE($F$468,$G$173,$F475,$H$24,P$468)</f>
        <v>127639.579051225</v>
      </c>
      <c r="Q475" s="80" t="n">
        <f aca="true">TABLE($F$468,$G$173,$F475,$H$24,Q$468)</f>
        <v>127481.157917168</v>
      </c>
      <c r="R475" s="80" t="n">
        <f aca="true">TABLE($F$468,$G$173,$F475,$H$24,R$468)</f>
        <v>127322.736783111</v>
      </c>
      <c r="S475" s="80" t="n">
        <f aca="true">TABLE($F$468,$G$173,$F475,$H$24,S$468)</f>
        <v>127164.315649053</v>
      </c>
      <c r="T475" s="80" t="n">
        <f aca="true">TABLE($F$468,$G$173,$F475,$H$24,T$468)</f>
        <v>127005.894514996</v>
      </c>
      <c r="U475" s="80" t="n">
        <f aca="true">TABLE($F$468,$G$173,$F475,$H$24,U$468)</f>
        <v>126847.473380938</v>
      </c>
      <c r="V475" s="80" t="n">
        <f aca="true">TABLE($F$468,$G$173,$F475,$H$24,V$468)</f>
        <v>126689.052246881</v>
      </c>
      <c r="W475" s="80" t="n">
        <f aca="true">TABLE($F$468,$G$173,$F475,$H$24,W$468)</f>
        <v>126530.631112824</v>
      </c>
      <c r="X475" s="80" t="n">
        <f aca="true">TABLE($F$468,$G$173,$F475,$H$24,X$468)</f>
        <v>126372.209978767</v>
      </c>
      <c r="Y475" s="80" t="n">
        <f aca="true">TABLE($F$468,$G$173,$F475,$H$24,Y$468)</f>
        <v>126213.788844709</v>
      </c>
      <c r="Z475" s="251" t="n">
        <f aca="true">TABLE($F$468,$G$173,$F475,$H$24,Z$468)</f>
        <v>126055.367710652</v>
      </c>
      <c r="AA475" s="118"/>
      <c r="AB475" s="118"/>
      <c r="AC475" s="118"/>
      <c r="AD475" s="118"/>
      <c r="AE475" s="118"/>
      <c r="AF475" s="118"/>
      <c r="AG475" s="118"/>
      <c r="AH475" s="118"/>
      <c r="AI475" s="118"/>
      <c r="AJ475" s="118"/>
      <c r="AK475" s="118"/>
      <c r="AL475" s="118"/>
      <c r="AM475" s="118"/>
      <c r="AN475" s="118"/>
      <c r="AO475" s="118"/>
      <c r="AP475" s="118"/>
      <c r="AQ475" s="118"/>
      <c r="AR475" s="25"/>
    </row>
    <row r="476" customFormat="false" ht="12.75" hidden="false" customHeight="false" outlineLevel="0" collapsed="false">
      <c r="A476" s="3"/>
      <c r="B476" s="3"/>
      <c r="C476" s="3"/>
      <c r="D476" s="3"/>
      <c r="E476" s="261"/>
      <c r="F476" s="259" t="n">
        <v>0</v>
      </c>
      <c r="G476" s="250" t="n">
        <f aca="true">TABLE($F$468,$G$173,$F476,$H$24,G$468)</f>
        <v>130378.836624148</v>
      </c>
      <c r="H476" s="80" t="n">
        <f aca="true">TABLE($F$468,$G$173,$F476,$H$24,H$468)</f>
        <v>130220.41549009</v>
      </c>
      <c r="I476" s="80" t="n">
        <f aca="true">TABLE($F$468,$G$173,$F476,$H$24,I$468)</f>
        <v>130061.994356033</v>
      </c>
      <c r="J476" s="80" t="n">
        <f aca="true">TABLE($F$468,$G$173,$F476,$H$24,J$468)</f>
        <v>129903.573221976</v>
      </c>
      <c r="K476" s="80" t="n">
        <f aca="true">TABLE($F$468,$G$173,$F476,$H$24,K$468)</f>
        <v>129745.152087918</v>
      </c>
      <c r="L476" s="80" t="n">
        <f aca="true">TABLE($F$468,$G$173,$F476,$H$24,L$468)</f>
        <v>129586.730953861</v>
      </c>
      <c r="M476" s="80" t="n">
        <f aca="true">TABLE($F$468,$G$173,$F476,$H$24,M$468)</f>
        <v>129428.309819804</v>
      </c>
      <c r="N476" s="80" t="n">
        <f aca="true">TABLE($F$468,$G$173,$F476,$H$24,N$468)</f>
        <v>129269.888685747</v>
      </c>
      <c r="O476" s="80" t="n">
        <f aca="true">TABLE($F$468,$G$173,$F476,$H$24,O$468)</f>
        <v>129111.467551689</v>
      </c>
      <c r="P476" s="80" t="n">
        <f aca="true">TABLE($F$468,$G$173,$F476,$H$24,P$468)</f>
        <v>128953.046417632</v>
      </c>
      <c r="Q476" s="80" t="n">
        <f aca="true">TABLE($F$468,$G$173,$F476,$H$24,Q$468)</f>
        <v>128794.625283574</v>
      </c>
      <c r="R476" s="80" t="n">
        <f aca="true">TABLE($F$468,$G$173,$F476,$H$24,R$468)</f>
        <v>128636.204149517</v>
      </c>
      <c r="S476" s="80" t="n">
        <f aca="true">TABLE($F$468,$G$173,$F476,$H$24,S$468)</f>
        <v>128477.78301546</v>
      </c>
      <c r="T476" s="80" t="n">
        <f aca="true">TABLE($F$468,$G$173,$F476,$H$24,T$468)</f>
        <v>128319.361881402</v>
      </c>
      <c r="U476" s="80" t="n">
        <f aca="true">TABLE($F$468,$G$173,$F476,$H$24,U$468)</f>
        <v>128160.940747345</v>
      </c>
      <c r="V476" s="80" t="n">
        <f aca="true">TABLE($F$468,$G$173,$F476,$H$24,V$468)</f>
        <v>128002.519613288</v>
      </c>
      <c r="W476" s="80" t="n">
        <f aca="true">TABLE($F$468,$G$173,$F476,$H$24,W$468)</f>
        <v>127844.09847923</v>
      </c>
      <c r="X476" s="80" t="n">
        <f aca="true">TABLE($F$468,$G$173,$F476,$H$24,X$468)</f>
        <v>127685.677345173</v>
      </c>
      <c r="Y476" s="80" t="n">
        <f aca="true">TABLE($F$468,$G$173,$F476,$H$24,Y$468)</f>
        <v>127527.256211116</v>
      </c>
      <c r="Z476" s="251" t="n">
        <f aca="true">TABLE($F$468,$G$173,$F476,$H$24,Z$468)</f>
        <v>127368.835077059</v>
      </c>
      <c r="AA476" s="118"/>
      <c r="AB476" s="118"/>
      <c r="AC476" s="118"/>
      <c r="AD476" s="118"/>
      <c r="AE476" s="118"/>
      <c r="AF476" s="118"/>
      <c r="AG476" s="118"/>
      <c r="AH476" s="118"/>
      <c r="AI476" s="118"/>
      <c r="AJ476" s="118"/>
      <c r="AK476" s="118"/>
      <c r="AL476" s="118"/>
      <c r="AM476" s="118"/>
      <c r="AN476" s="118"/>
      <c r="AO476" s="118"/>
      <c r="AP476" s="118"/>
      <c r="AQ476" s="118"/>
      <c r="AR476" s="25"/>
    </row>
    <row r="477" customFormat="false" ht="12.75" hidden="false" customHeight="false" outlineLevel="0" collapsed="false">
      <c r="A477" s="3"/>
      <c r="B477" s="3"/>
      <c r="C477" s="3"/>
      <c r="D477" s="3"/>
      <c r="E477" s="261"/>
      <c r="F477" s="259" t="n">
        <v>0.01</v>
      </c>
      <c r="G477" s="250" t="n">
        <f aca="true">TABLE($F$468,$G$173,$F477,$H$24,G$468)</f>
        <v>131692.303990555</v>
      </c>
      <c r="H477" s="80" t="n">
        <f aca="true">TABLE($F$468,$G$173,$F477,$H$24,H$468)</f>
        <v>131533.882856497</v>
      </c>
      <c r="I477" s="80" t="n">
        <f aca="true">TABLE($F$468,$G$173,$F477,$H$24,I$468)</f>
        <v>131375.46172244</v>
      </c>
      <c r="J477" s="80" t="n">
        <f aca="true">TABLE($F$468,$G$173,$F477,$H$24,J$468)</f>
        <v>131217.040588383</v>
      </c>
      <c r="K477" s="80" t="n">
        <f aca="true">TABLE($F$468,$G$173,$F477,$H$24,K$468)</f>
        <v>131058.619454325</v>
      </c>
      <c r="L477" s="80" t="n">
        <f aca="true">TABLE($F$468,$G$173,$F477,$H$24,L$468)</f>
        <v>130900.198320268</v>
      </c>
      <c r="M477" s="80" t="n">
        <f aca="true">TABLE($F$468,$G$173,$F477,$H$24,M$468)</f>
        <v>130741.777186211</v>
      </c>
      <c r="N477" s="80" t="n">
        <f aca="true">TABLE($F$468,$G$173,$F477,$H$24,N$468)</f>
        <v>130583.356052153</v>
      </c>
      <c r="O477" s="80" t="n">
        <f aca="true">TABLE($F$468,$G$173,$F477,$H$24,O$468)</f>
        <v>130424.934918096</v>
      </c>
      <c r="P477" s="80" t="n">
        <f aca="true">TABLE($F$468,$G$173,$F477,$H$24,P$468)</f>
        <v>130266.513784038</v>
      </c>
      <c r="Q477" s="80" t="n">
        <f aca="true">TABLE($F$468,$G$173,$F477,$H$24,Q$468)</f>
        <v>130108.092649981</v>
      </c>
      <c r="R477" s="80" t="n">
        <f aca="true">TABLE($F$468,$G$173,$F477,$H$24,R$468)</f>
        <v>129949.671515924</v>
      </c>
      <c r="S477" s="80" t="n">
        <f aca="true">TABLE($F$468,$G$173,$F477,$H$24,S$468)</f>
        <v>129791.250381866</v>
      </c>
      <c r="T477" s="80" t="n">
        <f aca="true">TABLE($F$468,$G$173,$F477,$H$24,T$468)</f>
        <v>129632.829247809</v>
      </c>
      <c r="U477" s="80" t="n">
        <f aca="true">TABLE($F$468,$G$173,$F477,$H$24,U$468)</f>
        <v>129474.408113752</v>
      </c>
      <c r="V477" s="80" t="n">
        <f aca="true">TABLE($F$468,$G$173,$F477,$H$24,V$468)</f>
        <v>129315.986979695</v>
      </c>
      <c r="W477" s="80" t="n">
        <f aca="true">TABLE($F$468,$G$173,$F477,$H$24,W$468)</f>
        <v>129157.565845637</v>
      </c>
      <c r="X477" s="80" t="n">
        <f aca="true">TABLE($F$468,$G$173,$F477,$H$24,X$468)</f>
        <v>128999.14471158</v>
      </c>
      <c r="Y477" s="80" t="n">
        <f aca="true">TABLE($F$468,$G$173,$F477,$H$24,Y$468)</f>
        <v>128840.723577522</v>
      </c>
      <c r="Z477" s="251" t="n">
        <f aca="true">TABLE($F$468,$G$173,$F477,$H$24,Z$468)</f>
        <v>128682.302443465</v>
      </c>
      <c r="AA477" s="118"/>
      <c r="AB477" s="118"/>
      <c r="AC477" s="118"/>
      <c r="AD477" s="118"/>
      <c r="AE477" s="118"/>
      <c r="AF477" s="118"/>
      <c r="AG477" s="118"/>
      <c r="AH477" s="118"/>
      <c r="AI477" s="118"/>
      <c r="AJ477" s="118"/>
      <c r="AK477" s="118"/>
      <c r="AL477" s="118"/>
      <c r="AM477" s="118"/>
      <c r="AN477" s="118"/>
      <c r="AO477" s="118"/>
      <c r="AP477" s="118"/>
      <c r="AQ477" s="118"/>
      <c r="AR477" s="25"/>
    </row>
    <row r="478" customFormat="false" ht="12.75" hidden="false" customHeight="false" outlineLevel="0" collapsed="false">
      <c r="A478" s="3"/>
      <c r="B478" s="3"/>
      <c r="C478" s="3"/>
      <c r="D478" s="3"/>
      <c r="E478" s="261"/>
      <c r="F478" s="259" t="n">
        <v>0.02</v>
      </c>
      <c r="G478" s="250" t="n">
        <f aca="true">TABLE($F$468,$G$173,$F478,$H$24,G$468)</f>
        <v>133005.771356961</v>
      </c>
      <c r="H478" s="80" t="n">
        <f aca="true">TABLE($F$468,$G$173,$F478,$H$24,H$468)</f>
        <v>132847.350222904</v>
      </c>
      <c r="I478" s="80" t="n">
        <f aca="true">TABLE($F$468,$G$173,$F478,$H$24,I$468)</f>
        <v>132688.929088846</v>
      </c>
      <c r="J478" s="80" t="n">
        <f aca="true">TABLE($F$468,$G$173,$F478,$H$24,J$468)</f>
        <v>132530.507954789</v>
      </c>
      <c r="K478" s="80" t="n">
        <f aca="true">TABLE($F$468,$G$173,$F478,$H$24,K$468)</f>
        <v>132372.086820732</v>
      </c>
      <c r="L478" s="80" t="n">
        <f aca="true">TABLE($F$468,$G$173,$F478,$H$24,L$468)</f>
        <v>132213.665686674</v>
      </c>
      <c r="M478" s="80" t="n">
        <f aca="true">TABLE($F$468,$G$173,$F478,$H$24,M$468)</f>
        <v>132055.244552617</v>
      </c>
      <c r="N478" s="80" t="n">
        <f aca="true">TABLE($F$468,$G$173,$F478,$H$24,N$468)</f>
        <v>131896.82341856</v>
      </c>
      <c r="O478" s="80" t="n">
        <f aca="true">TABLE($F$468,$G$173,$F478,$H$24,O$468)</f>
        <v>131738.402284503</v>
      </c>
      <c r="P478" s="80" t="n">
        <f aca="true">TABLE($F$468,$G$173,$F478,$H$24,P$468)</f>
        <v>131579.981150445</v>
      </c>
      <c r="Q478" s="80" t="n">
        <f aca="true">TABLE($F$468,$G$173,$F478,$H$24,Q$468)</f>
        <v>131421.560016388</v>
      </c>
      <c r="R478" s="80" t="n">
        <f aca="true">TABLE($F$468,$G$173,$F478,$H$24,R$468)</f>
        <v>131263.138882331</v>
      </c>
      <c r="S478" s="80" t="n">
        <f aca="true">TABLE($F$468,$G$173,$F478,$H$24,S$468)</f>
        <v>131104.717748273</v>
      </c>
      <c r="T478" s="80" t="n">
        <f aca="true">TABLE($F$468,$G$173,$F478,$H$24,T$468)</f>
        <v>130946.296614216</v>
      </c>
      <c r="U478" s="80" t="n">
        <f aca="true">TABLE($F$468,$G$173,$F478,$H$24,U$468)</f>
        <v>130787.875480158</v>
      </c>
      <c r="V478" s="80" t="n">
        <f aca="true">TABLE($F$468,$G$173,$F478,$H$24,V$468)</f>
        <v>130629.454346101</v>
      </c>
      <c r="W478" s="80" t="n">
        <f aca="true">TABLE($F$468,$G$173,$F478,$H$24,W$468)</f>
        <v>130471.033212044</v>
      </c>
      <c r="X478" s="80" t="n">
        <f aca="true">TABLE($F$468,$G$173,$F478,$H$24,X$468)</f>
        <v>130312.612077986</v>
      </c>
      <c r="Y478" s="80" t="n">
        <f aca="true">TABLE($F$468,$G$173,$F478,$H$24,Y$468)</f>
        <v>130154.190943929</v>
      </c>
      <c r="Z478" s="251" t="n">
        <f aca="true">TABLE($F$468,$G$173,$F478,$H$24,Z$468)</f>
        <v>129995.769809872</v>
      </c>
      <c r="AA478" s="118"/>
      <c r="AB478" s="118"/>
      <c r="AC478" s="118"/>
      <c r="AD478" s="118"/>
      <c r="AE478" s="118"/>
      <c r="AF478" s="118"/>
      <c r="AG478" s="118"/>
      <c r="AH478" s="118"/>
      <c r="AI478" s="118"/>
      <c r="AJ478" s="118"/>
      <c r="AK478" s="118"/>
      <c r="AL478" s="118"/>
      <c r="AM478" s="118"/>
      <c r="AN478" s="118"/>
      <c r="AO478" s="118"/>
      <c r="AP478" s="118"/>
      <c r="AQ478" s="118"/>
      <c r="AR478" s="25"/>
    </row>
    <row r="479" customFormat="false" ht="12.75" hidden="false" customHeight="false" outlineLevel="0" collapsed="false">
      <c r="A479" s="3"/>
      <c r="B479" s="3"/>
      <c r="C479" s="3"/>
      <c r="D479" s="3"/>
      <c r="E479" s="261"/>
      <c r="F479" s="259" t="n">
        <v>0.03</v>
      </c>
      <c r="G479" s="250" t="n">
        <f aca="true">TABLE($F$468,$G$173,$F479,$H$24,G$468)</f>
        <v>134319.238723368</v>
      </c>
      <c r="H479" s="80" t="n">
        <f aca="true">TABLE($F$468,$G$173,$F479,$H$24,H$468)</f>
        <v>134160.81758931</v>
      </c>
      <c r="I479" s="80" t="n">
        <f aca="true">TABLE($F$468,$G$173,$F479,$H$24,I$468)</f>
        <v>134002.396455253</v>
      </c>
      <c r="J479" s="80" t="n">
        <f aca="true">TABLE($F$468,$G$173,$F479,$H$24,J$468)</f>
        <v>133843.975321196</v>
      </c>
      <c r="K479" s="80" t="n">
        <f aca="true">TABLE($F$468,$G$173,$F479,$H$24,K$468)</f>
        <v>133685.554187139</v>
      </c>
      <c r="L479" s="80" t="n">
        <f aca="true">TABLE($F$468,$G$173,$F479,$H$24,L$468)</f>
        <v>133527.133053081</v>
      </c>
      <c r="M479" s="80" t="n">
        <f aca="true">TABLE($F$468,$G$173,$F479,$H$24,M$468)</f>
        <v>133368.711919024</v>
      </c>
      <c r="N479" s="80" t="n">
        <f aca="true">TABLE($F$468,$G$173,$F479,$H$24,N$468)</f>
        <v>133210.290784966</v>
      </c>
      <c r="O479" s="80" t="n">
        <f aca="true">TABLE($F$468,$G$173,$F479,$H$24,O$468)</f>
        <v>133051.869650909</v>
      </c>
      <c r="P479" s="80" t="n">
        <f aca="true">TABLE($F$468,$G$173,$F479,$H$24,P$468)</f>
        <v>132893.448516852</v>
      </c>
      <c r="Q479" s="80" t="n">
        <f aca="true">TABLE($F$468,$G$173,$F479,$H$24,Q$468)</f>
        <v>132735.027382794</v>
      </c>
      <c r="R479" s="80" t="n">
        <f aca="true">TABLE($F$468,$G$173,$F479,$H$24,R$468)</f>
        <v>132576.606248737</v>
      </c>
      <c r="S479" s="80" t="n">
        <f aca="true">TABLE($F$468,$G$173,$F479,$H$24,S$468)</f>
        <v>132418.18511468</v>
      </c>
      <c r="T479" s="80" t="n">
        <f aca="true">TABLE($F$468,$G$173,$F479,$H$24,T$468)</f>
        <v>132259.763980622</v>
      </c>
      <c r="U479" s="80" t="n">
        <f aca="true">TABLE($F$468,$G$173,$F479,$H$24,U$468)</f>
        <v>132101.342846565</v>
      </c>
      <c r="V479" s="80" t="n">
        <f aca="true">TABLE($F$468,$G$173,$F479,$H$24,V$468)</f>
        <v>131942.921712508</v>
      </c>
      <c r="W479" s="80" t="n">
        <f aca="true">TABLE($F$468,$G$173,$F479,$H$24,W$468)</f>
        <v>131784.50057845</v>
      </c>
      <c r="X479" s="80" t="n">
        <f aca="true">TABLE($F$468,$G$173,$F479,$H$24,X$468)</f>
        <v>131626.079444393</v>
      </c>
      <c r="Y479" s="80" t="n">
        <f aca="true">TABLE($F$468,$G$173,$F479,$H$24,Y$468)</f>
        <v>131467.658310336</v>
      </c>
      <c r="Z479" s="251" t="n">
        <f aca="true">TABLE($F$468,$G$173,$F479,$H$24,Z$468)</f>
        <v>131309.237176278</v>
      </c>
      <c r="AA479" s="118"/>
      <c r="AB479" s="118"/>
      <c r="AC479" s="118"/>
      <c r="AD479" s="118"/>
      <c r="AE479" s="118"/>
      <c r="AF479" s="118"/>
      <c r="AG479" s="118"/>
      <c r="AH479" s="118"/>
      <c r="AI479" s="118"/>
      <c r="AJ479" s="118"/>
      <c r="AK479" s="118"/>
      <c r="AL479" s="118"/>
      <c r="AM479" s="118"/>
      <c r="AN479" s="118"/>
      <c r="AO479" s="118"/>
      <c r="AP479" s="118"/>
      <c r="AQ479" s="118"/>
      <c r="AR479" s="25"/>
    </row>
    <row r="480" customFormat="false" ht="12.75" hidden="false" customHeight="false" outlineLevel="0" collapsed="false">
      <c r="A480" s="3"/>
      <c r="B480" s="3"/>
      <c r="C480" s="3"/>
      <c r="D480" s="3"/>
      <c r="E480" s="261"/>
      <c r="F480" s="259" t="n">
        <v>0.04</v>
      </c>
      <c r="G480" s="250" t="n">
        <f aca="true">TABLE($F$468,$G$173,$F480,$H$24,G$468)</f>
        <v>135632.706089774</v>
      </c>
      <c r="H480" s="80" t="n">
        <f aca="true">TABLE($F$468,$G$173,$F480,$H$24,H$468)</f>
        <v>135474.284955717</v>
      </c>
      <c r="I480" s="80" t="n">
        <f aca="true">TABLE($F$468,$G$173,$F480,$H$24,I$468)</f>
        <v>135315.86382166</v>
      </c>
      <c r="J480" s="80" t="n">
        <f aca="true">TABLE($F$468,$G$173,$F480,$H$24,J$468)</f>
        <v>135157.442687602</v>
      </c>
      <c r="K480" s="80" t="n">
        <f aca="true">TABLE($F$468,$G$173,$F480,$H$24,K$468)</f>
        <v>134999.021553545</v>
      </c>
      <c r="L480" s="80" t="n">
        <f aca="true">TABLE($F$468,$G$173,$F480,$H$24,L$468)</f>
        <v>134840.600419488</v>
      </c>
      <c r="M480" s="80" t="n">
        <f aca="true">TABLE($F$468,$G$173,$F480,$H$24,M$468)</f>
        <v>134682.17928543</v>
      </c>
      <c r="N480" s="80" t="n">
        <f aca="true">TABLE($F$468,$G$173,$F480,$H$24,N$468)</f>
        <v>134523.758151373</v>
      </c>
      <c r="O480" s="80" t="n">
        <f aca="true">TABLE($F$468,$G$173,$F480,$H$24,O$468)</f>
        <v>134365.337017316</v>
      </c>
      <c r="P480" s="80" t="n">
        <f aca="true">TABLE($F$468,$G$173,$F480,$H$24,P$468)</f>
        <v>134206.915883258</v>
      </c>
      <c r="Q480" s="80" t="n">
        <f aca="true">TABLE($F$468,$G$173,$F480,$H$24,Q$468)</f>
        <v>134048.494749201</v>
      </c>
      <c r="R480" s="80" t="n">
        <f aca="true">TABLE($F$468,$G$173,$F480,$H$24,R$468)</f>
        <v>133890.073615144</v>
      </c>
      <c r="S480" s="80" t="n">
        <f aca="true">TABLE($F$468,$G$173,$F480,$H$24,S$468)</f>
        <v>133731.652481086</v>
      </c>
      <c r="T480" s="80" t="n">
        <f aca="true">TABLE($F$468,$G$173,$F480,$H$24,T$468)</f>
        <v>133573.231347029</v>
      </c>
      <c r="U480" s="80" t="n">
        <f aca="true">TABLE($F$468,$G$173,$F480,$H$24,U$468)</f>
        <v>133414.810212972</v>
      </c>
      <c r="V480" s="80" t="n">
        <f aca="true">TABLE($F$468,$G$173,$F480,$H$24,V$468)</f>
        <v>133256.389078914</v>
      </c>
      <c r="W480" s="80" t="n">
        <f aca="true">TABLE($F$468,$G$173,$F480,$H$24,W$468)</f>
        <v>133097.967944857</v>
      </c>
      <c r="X480" s="80" t="n">
        <f aca="true">TABLE($F$468,$G$173,$F480,$H$24,X$468)</f>
        <v>132939.5468108</v>
      </c>
      <c r="Y480" s="80" t="n">
        <f aca="true">TABLE($F$468,$G$173,$F480,$H$24,Y$468)</f>
        <v>132781.125676742</v>
      </c>
      <c r="Z480" s="251" t="n">
        <f aca="true">TABLE($F$468,$G$173,$F480,$H$24,Z$468)</f>
        <v>132622.704542685</v>
      </c>
      <c r="AA480" s="118"/>
      <c r="AB480" s="118"/>
      <c r="AC480" s="118"/>
      <c r="AD480" s="118"/>
      <c r="AE480" s="118"/>
      <c r="AF480" s="118"/>
      <c r="AG480" s="118"/>
      <c r="AH480" s="118"/>
      <c r="AI480" s="118"/>
      <c r="AJ480" s="118"/>
      <c r="AK480" s="118"/>
      <c r="AL480" s="118"/>
      <c r="AM480" s="118"/>
      <c r="AN480" s="118"/>
      <c r="AO480" s="118"/>
      <c r="AP480" s="118"/>
      <c r="AQ480" s="118"/>
      <c r="AR480" s="25"/>
    </row>
    <row r="481" customFormat="false" ht="12.75" hidden="false" customHeight="false" outlineLevel="0" collapsed="false">
      <c r="A481" s="3"/>
      <c r="B481" s="3"/>
      <c r="C481" s="3"/>
      <c r="D481" s="3"/>
      <c r="E481" s="261"/>
      <c r="F481" s="259" t="n">
        <v>0.05</v>
      </c>
      <c r="G481" s="250" t="n">
        <f aca="true">TABLE($F$468,$G$173,$F481,$H$24,G$468)</f>
        <v>136946.173456181</v>
      </c>
      <c r="H481" s="80" t="n">
        <f aca="true">TABLE($F$468,$G$173,$F481,$H$24,H$468)</f>
        <v>136787.752322124</v>
      </c>
      <c r="I481" s="80" t="n">
        <f aca="true">TABLE($F$468,$G$173,$F481,$H$24,I$468)</f>
        <v>136629.331188066</v>
      </c>
      <c r="J481" s="80" t="n">
        <f aca="true">TABLE($F$468,$G$173,$F481,$H$24,J$468)</f>
        <v>136470.910054009</v>
      </c>
      <c r="K481" s="80" t="n">
        <f aca="true">TABLE($F$468,$G$173,$F481,$H$24,K$468)</f>
        <v>136312.488919952</v>
      </c>
      <c r="L481" s="80" t="n">
        <f aca="true">TABLE($F$468,$G$173,$F481,$H$24,L$468)</f>
        <v>136154.067785895</v>
      </c>
      <c r="M481" s="80" t="n">
        <f aca="true">TABLE($F$468,$G$173,$F481,$H$24,M$468)</f>
        <v>135995.646651837</v>
      </c>
      <c r="N481" s="80" t="n">
        <f aca="true">TABLE($F$468,$G$173,$F481,$H$24,N$468)</f>
        <v>135837.22551778</v>
      </c>
      <c r="O481" s="80" t="n">
        <f aca="true">TABLE($F$468,$G$173,$F481,$H$24,O$468)</f>
        <v>135678.804383722</v>
      </c>
      <c r="P481" s="80" t="n">
        <f aca="true">TABLE($F$468,$G$173,$F481,$H$24,P$468)</f>
        <v>135520.383249665</v>
      </c>
      <c r="Q481" s="80" t="n">
        <f aca="true">TABLE($F$468,$G$173,$F481,$H$24,Q$468)</f>
        <v>135361.962115608</v>
      </c>
      <c r="R481" s="80" t="n">
        <f aca="true">TABLE($F$468,$G$173,$F481,$H$24,R$468)</f>
        <v>135203.54098155</v>
      </c>
      <c r="S481" s="80" t="n">
        <f aca="true">TABLE($F$468,$G$173,$F481,$H$24,S$468)</f>
        <v>135045.119847493</v>
      </c>
      <c r="T481" s="80" t="n">
        <f aca="true">TABLE($F$468,$G$173,$F481,$H$24,T$468)</f>
        <v>134886.698713436</v>
      </c>
      <c r="U481" s="80" t="n">
        <f aca="true">TABLE($F$468,$G$173,$F481,$H$24,U$468)</f>
        <v>134728.277579378</v>
      </c>
      <c r="V481" s="80" t="n">
        <f aca="true">TABLE($F$468,$G$173,$F481,$H$24,V$468)</f>
        <v>134569.856445321</v>
      </c>
      <c r="W481" s="80" t="n">
        <f aca="true">TABLE($F$468,$G$173,$F481,$H$24,W$468)</f>
        <v>134411.435311264</v>
      </c>
      <c r="X481" s="80" t="n">
        <f aca="true">TABLE($F$468,$G$173,$F481,$H$24,X$468)</f>
        <v>134253.014177206</v>
      </c>
      <c r="Y481" s="80" t="n">
        <f aca="true">TABLE($F$468,$G$173,$F481,$H$24,Y$468)</f>
        <v>134094.593043149</v>
      </c>
      <c r="Z481" s="251" t="n">
        <f aca="true">TABLE($F$468,$G$173,$F481,$H$24,Z$468)</f>
        <v>133936.171909092</v>
      </c>
      <c r="AA481" s="118"/>
      <c r="AB481" s="118"/>
      <c r="AC481" s="118"/>
      <c r="AD481" s="118"/>
      <c r="AE481" s="118"/>
      <c r="AF481" s="118"/>
      <c r="AG481" s="118"/>
      <c r="AH481" s="118"/>
      <c r="AI481" s="118"/>
      <c r="AJ481" s="118"/>
      <c r="AK481" s="118"/>
      <c r="AL481" s="118"/>
      <c r="AM481" s="118"/>
      <c r="AN481" s="118"/>
      <c r="AO481" s="118"/>
      <c r="AP481" s="118"/>
      <c r="AQ481" s="118"/>
      <c r="AR481" s="25"/>
    </row>
    <row r="482" customFormat="false" ht="12.75" hidden="false" customHeight="false" outlineLevel="0" collapsed="false">
      <c r="A482" s="3"/>
      <c r="B482" s="3"/>
      <c r="C482" s="3"/>
      <c r="D482" s="3"/>
      <c r="E482" s="261"/>
      <c r="F482" s="259" t="n">
        <v>0.06</v>
      </c>
      <c r="G482" s="250" t="n">
        <f aca="true">TABLE($F$468,$G$173,$F482,$H$24,G$468)</f>
        <v>138259.640822588</v>
      </c>
      <c r="H482" s="80" t="n">
        <f aca="true">TABLE($F$468,$G$173,$F482,$H$24,H$468)</f>
        <v>138101.21968853</v>
      </c>
      <c r="I482" s="80" t="n">
        <f aca="true">TABLE($F$468,$G$173,$F482,$H$24,I$468)</f>
        <v>137942.798554473</v>
      </c>
      <c r="J482" s="80" t="n">
        <f aca="true">TABLE($F$468,$G$173,$F482,$H$24,J$468)</f>
        <v>137784.377420416</v>
      </c>
      <c r="K482" s="80" t="n">
        <f aca="true">TABLE($F$468,$G$173,$F482,$H$24,K$468)</f>
        <v>137625.956286358</v>
      </c>
      <c r="L482" s="80" t="n">
        <f aca="true">TABLE($F$468,$G$173,$F482,$H$24,L$468)</f>
        <v>137467.535152301</v>
      </c>
      <c r="M482" s="80" t="n">
        <f aca="true">TABLE($F$468,$G$173,$F482,$H$24,M$468)</f>
        <v>137309.114018244</v>
      </c>
      <c r="N482" s="80" t="n">
        <f aca="true">TABLE($F$468,$G$173,$F482,$H$24,N$468)</f>
        <v>137150.692884187</v>
      </c>
      <c r="O482" s="80" t="n">
        <f aca="true">TABLE($F$468,$G$173,$F482,$H$24,O$468)</f>
        <v>136992.271750129</v>
      </c>
      <c r="P482" s="80" t="n">
        <f aca="true">TABLE($F$468,$G$173,$F482,$H$24,P$468)</f>
        <v>136833.850616072</v>
      </c>
      <c r="Q482" s="80" t="n">
        <f aca="true">TABLE($F$468,$G$173,$F482,$H$24,Q$468)</f>
        <v>136675.429482014</v>
      </c>
      <c r="R482" s="80" t="n">
        <f aca="true">TABLE($F$468,$G$173,$F482,$H$24,R$468)</f>
        <v>136517.008347957</v>
      </c>
      <c r="S482" s="80" t="n">
        <f aca="true">TABLE($F$468,$G$173,$F482,$H$24,S$468)</f>
        <v>136358.5872139</v>
      </c>
      <c r="T482" s="80" t="n">
        <f aca="true">TABLE($F$468,$G$173,$F482,$H$24,T$468)</f>
        <v>136200.166079842</v>
      </c>
      <c r="U482" s="80" t="n">
        <f aca="true">TABLE($F$468,$G$173,$F482,$H$24,U$468)</f>
        <v>136041.744945785</v>
      </c>
      <c r="V482" s="80" t="n">
        <f aca="true">TABLE($F$468,$G$173,$F482,$H$24,V$468)</f>
        <v>135883.323811728</v>
      </c>
      <c r="W482" s="80" t="n">
        <f aca="true">TABLE($F$468,$G$173,$F482,$H$24,W$468)</f>
        <v>135724.90267767</v>
      </c>
      <c r="X482" s="80" t="n">
        <f aca="true">TABLE($F$468,$G$173,$F482,$H$24,X$468)</f>
        <v>135566.481543613</v>
      </c>
      <c r="Y482" s="80" t="n">
        <f aca="true">TABLE($F$468,$G$173,$F482,$H$24,Y$468)</f>
        <v>135408.060409556</v>
      </c>
      <c r="Z482" s="251" t="n">
        <f aca="true">TABLE($F$468,$G$173,$F482,$H$24,Z$468)</f>
        <v>135249.639275498</v>
      </c>
      <c r="AA482" s="118"/>
      <c r="AB482" s="118"/>
      <c r="AC482" s="118"/>
      <c r="AD482" s="118"/>
      <c r="AE482" s="118"/>
      <c r="AF482" s="118"/>
      <c r="AG482" s="118"/>
      <c r="AH482" s="118"/>
      <c r="AI482" s="118"/>
      <c r="AJ482" s="118"/>
      <c r="AK482" s="118"/>
      <c r="AL482" s="118"/>
      <c r="AM482" s="118"/>
      <c r="AN482" s="118"/>
      <c r="AO482" s="118"/>
      <c r="AP482" s="118"/>
      <c r="AQ482" s="118"/>
      <c r="AR482" s="25"/>
    </row>
    <row r="483" customFormat="false" ht="13.5" hidden="false" customHeight="false" outlineLevel="0" collapsed="false">
      <c r="A483" s="3"/>
      <c r="B483" s="3"/>
      <c r="C483" s="3"/>
      <c r="D483" s="3"/>
      <c r="E483" s="261"/>
      <c r="F483" s="260" t="n">
        <v>0.07</v>
      </c>
      <c r="G483" s="254" t="n">
        <f aca="true">TABLE($F$468,$G$173,$F483,$H$24,G$468)</f>
        <v>139573.108188994</v>
      </c>
      <c r="H483" s="138" t="n">
        <f aca="true">TABLE($F$468,$G$173,$F483,$H$24,H$468)</f>
        <v>139414.687054937</v>
      </c>
      <c r="I483" s="138" t="n">
        <f aca="true">TABLE($F$468,$G$173,$F483,$H$24,I$468)</f>
        <v>139256.26592088</v>
      </c>
      <c r="J483" s="138" t="n">
        <f aca="true">TABLE($F$468,$G$173,$F483,$H$24,J$468)</f>
        <v>139097.844786822</v>
      </c>
      <c r="K483" s="138" t="n">
        <f aca="true">TABLE($F$468,$G$173,$F483,$H$24,K$468)</f>
        <v>138939.423652765</v>
      </c>
      <c r="L483" s="138" t="n">
        <f aca="true">TABLE($F$468,$G$173,$F483,$H$24,L$468)</f>
        <v>138781.002518708</v>
      </c>
      <c r="M483" s="138" t="n">
        <f aca="true">TABLE($F$468,$G$173,$F483,$H$24,M$468)</f>
        <v>138622.58138465</v>
      </c>
      <c r="N483" s="138" t="n">
        <f aca="true">TABLE($F$468,$G$173,$F483,$H$24,N$468)</f>
        <v>138464.160250593</v>
      </c>
      <c r="O483" s="138" t="n">
        <f aca="true">TABLE($F$468,$G$173,$F483,$H$24,O$468)</f>
        <v>138305.739116536</v>
      </c>
      <c r="P483" s="138" t="n">
        <f aca="true">TABLE($F$468,$G$173,$F483,$H$24,P$468)</f>
        <v>138147.317982478</v>
      </c>
      <c r="Q483" s="138" t="n">
        <f aca="true">TABLE($F$468,$G$173,$F483,$H$24,Q$468)</f>
        <v>137988.896848421</v>
      </c>
      <c r="R483" s="138" t="n">
        <f aca="true">TABLE($F$468,$G$173,$F483,$H$24,R$468)</f>
        <v>137830.475714364</v>
      </c>
      <c r="S483" s="138" t="n">
        <f aca="true">TABLE($F$468,$G$173,$F483,$H$24,S$468)</f>
        <v>137672.054580306</v>
      </c>
      <c r="T483" s="138" t="n">
        <f aca="true">TABLE($F$468,$G$173,$F483,$H$24,T$468)</f>
        <v>137513.633446249</v>
      </c>
      <c r="U483" s="138" t="n">
        <f aca="true">TABLE($F$468,$G$173,$F483,$H$24,U$468)</f>
        <v>137355.212312192</v>
      </c>
      <c r="V483" s="138" t="n">
        <f aca="true">TABLE($F$468,$G$173,$F483,$H$24,V$468)</f>
        <v>137196.791178134</v>
      </c>
      <c r="W483" s="138" t="n">
        <f aca="true">TABLE($F$468,$G$173,$F483,$H$24,W$468)</f>
        <v>137038.370044077</v>
      </c>
      <c r="X483" s="138" t="n">
        <f aca="true">TABLE($F$468,$G$173,$F483,$H$24,X$468)</f>
        <v>136879.94891002</v>
      </c>
      <c r="Y483" s="138" t="n">
        <f aca="true">TABLE($F$468,$G$173,$F483,$H$24,Y$468)</f>
        <v>136721.527775962</v>
      </c>
      <c r="Z483" s="255" t="n">
        <f aca="true">TABLE($F$468,$G$173,$F483,$H$24,Z$468)</f>
        <v>136563.106641905</v>
      </c>
      <c r="AA483" s="118"/>
      <c r="AB483" s="118"/>
      <c r="AC483" s="118"/>
      <c r="AD483" s="118"/>
      <c r="AE483" s="118"/>
      <c r="AF483" s="118"/>
      <c r="AG483" s="118"/>
      <c r="AH483" s="118"/>
      <c r="AI483" s="118"/>
      <c r="AJ483" s="118"/>
      <c r="AK483" s="118"/>
      <c r="AL483" s="118"/>
      <c r="AM483" s="118"/>
      <c r="AN483" s="118"/>
      <c r="AO483" s="118"/>
      <c r="AP483" s="118"/>
      <c r="AQ483" s="118"/>
      <c r="AR483" s="25"/>
    </row>
    <row r="484" customFormat="false" ht="12.75" hidden="false" customHeight="fals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118"/>
      <c r="AB484" s="118"/>
      <c r="AC484" s="118"/>
      <c r="AD484" s="118"/>
      <c r="AE484" s="118"/>
      <c r="AF484" s="118"/>
      <c r="AG484" s="118"/>
      <c r="AH484" s="118"/>
      <c r="AI484" s="118"/>
      <c r="AJ484" s="118"/>
      <c r="AK484" s="118"/>
      <c r="AL484" s="118"/>
      <c r="AM484" s="118"/>
      <c r="AN484" s="118"/>
      <c r="AO484" s="118"/>
      <c r="AP484" s="118"/>
      <c r="AQ484" s="118"/>
      <c r="AR484" s="25"/>
    </row>
    <row r="485" customFormat="false" ht="12.75" hidden="false" customHeight="false" outlineLevel="0" collapsed="false">
      <c r="A485" s="3"/>
      <c r="B485" s="3"/>
      <c r="C485" s="3"/>
      <c r="D485" s="3"/>
      <c r="E485" s="262" t="s">
        <v>228</v>
      </c>
      <c r="F485" s="263" t="n">
        <f aca="false">+E13</f>
        <v>0.00125</v>
      </c>
      <c r="G485" s="46" t="s">
        <v>229</v>
      </c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118"/>
      <c r="AB485" s="118"/>
      <c r="AC485" s="118"/>
      <c r="AD485" s="118"/>
      <c r="AE485" s="118"/>
      <c r="AF485" s="118"/>
      <c r="AG485" s="118"/>
      <c r="AH485" s="118"/>
      <c r="AI485" s="118"/>
      <c r="AJ485" s="118"/>
      <c r="AK485" s="118"/>
      <c r="AL485" s="118"/>
      <c r="AM485" s="118"/>
      <c r="AN485" s="118"/>
      <c r="AO485" s="118"/>
      <c r="AP485" s="118"/>
      <c r="AQ485" s="118"/>
      <c r="AR485" s="25"/>
    </row>
    <row r="486" customFormat="false" ht="12.75" hidden="false" customHeight="fals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118"/>
      <c r="AB486" s="118"/>
      <c r="AC486" s="118"/>
      <c r="AD486" s="118"/>
      <c r="AE486" s="118"/>
      <c r="AF486" s="118"/>
      <c r="AG486" s="118"/>
      <c r="AH486" s="118"/>
      <c r="AI486" s="118"/>
      <c r="AJ486" s="118"/>
      <c r="AK486" s="118"/>
      <c r="AL486" s="118"/>
      <c r="AM486" s="118"/>
      <c r="AN486" s="118"/>
      <c r="AO486" s="118"/>
      <c r="AP486" s="118"/>
      <c r="AQ486" s="118"/>
      <c r="AR486" s="25"/>
    </row>
    <row r="487" customFormat="false" ht="12.75" hidden="false" customHeight="fals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24"/>
      <c r="AM487" s="24"/>
      <c r="AN487" s="24"/>
      <c r="AO487" s="24"/>
      <c r="AP487" s="24"/>
      <c r="AQ487" s="24"/>
      <c r="AR487" s="264"/>
    </row>
    <row r="488" customFormat="false" ht="13.5" hidden="false" customHeight="fals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24"/>
      <c r="AM488" s="24"/>
      <c r="AN488" s="24"/>
      <c r="AO488" s="24"/>
      <c r="AP488" s="24"/>
      <c r="AQ488" s="24"/>
      <c r="AR488" s="265" t="s">
        <v>230</v>
      </c>
    </row>
    <row r="489" customFormat="false" ht="12.75" hidden="false" customHeight="fals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</row>
    <row r="490" customFormat="false" ht="12.75" hidden="false" customHeight="fals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</row>
    <row r="491" customFormat="false" ht="12.75" hidden="false" customHeight="fals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</row>
    <row r="492" customFormat="false" ht="12.75" hidden="false" customHeight="fals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</row>
    <row r="493" customFormat="false" ht="12.75" hidden="false" customHeight="fals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</row>
    <row r="494" customFormat="false" ht="12.75" hidden="false" customHeight="fals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</row>
    <row r="495" customFormat="false" ht="12.75" hidden="false" customHeight="fals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</row>
    <row r="496" customFormat="false" ht="12.75" hidden="false" customHeight="fals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</row>
    <row r="497" customFormat="false" ht="12.75" hidden="false" customHeight="fals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</row>
    <row r="498" customFormat="false" ht="12.75" hidden="false" customHeight="fals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</row>
    <row r="499" customFormat="false" ht="12.75" hidden="false" customHeight="fals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</row>
    <row r="500" customFormat="false" ht="12.75" hidden="false" customHeight="fals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</row>
    <row r="501" customFormat="false" ht="12.75" hidden="false" customHeight="fals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</row>
    <row r="502" customFormat="false" ht="12.75" hidden="false" customHeight="fals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</row>
    <row r="503" customFormat="false" ht="12.75" hidden="false" customHeight="fals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</row>
    <row r="504" customFormat="false" ht="12.75" hidden="false" customHeight="fals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</row>
    <row r="505" customFormat="false" ht="12.75" hidden="false" customHeight="fals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</row>
    <row r="506" customFormat="false" ht="12.75" hidden="false" customHeight="false" outlineLevel="0" collapsed="false">
      <c r="A506" s="48" t="s">
        <v>231</v>
      </c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</row>
    <row r="507" customFormat="false" ht="12.75" hidden="false" customHeight="false" outlineLevel="0" collapsed="false">
      <c r="A507" s="2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</row>
    <row r="508" customFormat="false" ht="12.75" hidden="false" customHeight="false" outlineLevel="0" collapsed="false">
      <c r="A508" s="2" t="s">
        <v>232</v>
      </c>
      <c r="B508" s="3"/>
      <c r="C508" s="3"/>
      <c r="D508" s="3"/>
      <c r="E508" s="3"/>
      <c r="F508" s="159" t="n">
        <f aca="false">+G100</f>
        <v>130000</v>
      </c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</row>
    <row r="509" customFormat="false" ht="12.75" hidden="false" customHeight="false" outlineLevel="0" collapsed="false">
      <c r="A509" s="2" t="s">
        <v>233</v>
      </c>
      <c r="B509" s="3"/>
      <c r="C509" s="3"/>
      <c r="D509" s="3"/>
      <c r="E509" s="3"/>
      <c r="F509" s="53" t="n">
        <f aca="false">+E324</f>
        <v>0.09</v>
      </c>
      <c r="G509" s="3"/>
      <c r="H509" s="266" t="n">
        <f aca="false">+H324</f>
        <v>0.91743119266055</v>
      </c>
      <c r="I509" s="266" t="n">
        <f aca="false">+I324</f>
        <v>0.84167999326656</v>
      </c>
      <c r="J509" s="266" t="n">
        <f aca="false">+J324</f>
        <v>0.772183480061064</v>
      </c>
      <c r="K509" s="266" t="n">
        <f aca="false">+K324</f>
        <v>0.708425211065196</v>
      </c>
      <c r="L509" s="266" t="n">
        <f aca="false">+L324</f>
        <v>0.649931386298345</v>
      </c>
      <c r="M509" s="266" t="n">
        <f aca="false">+M324</f>
        <v>0.596267326879216</v>
      </c>
      <c r="N509" s="266" t="n">
        <f aca="false">+N324</f>
        <v>0.547034244843317</v>
      </c>
      <c r="O509" s="266" t="n">
        <f aca="false">+O324</f>
        <v>0.501866279672768</v>
      </c>
      <c r="P509" s="266" t="n">
        <f aca="false">+P324</f>
        <v>0.460427779516301</v>
      </c>
      <c r="Q509" s="266" t="n">
        <f aca="false">+Q324</f>
        <v>0.422410806895689</v>
      </c>
      <c r="R509" s="266" t="n">
        <f aca="false">+R324</f>
        <v>0.387532850363017</v>
      </c>
      <c r="S509" s="266" t="n">
        <f aca="false">+S324</f>
        <v>0.355534725103686</v>
      </c>
      <c r="T509" s="266" t="n">
        <f aca="false">+T324</f>
        <v>0.326178646884115</v>
      </c>
      <c r="U509" s="266" t="n">
        <f aca="false">+U324</f>
        <v>0.299246465031298</v>
      </c>
      <c r="V509" s="266" t="n">
        <f aca="false">+V324</f>
        <v>0.274538041313118</v>
      </c>
      <c r="W509" s="266" t="n">
        <f aca="false">+W324</f>
        <v>0.251869762672585</v>
      </c>
      <c r="X509" s="266" t="n">
        <f aca="false">+X324</f>
        <v>0.231073176763839</v>
      </c>
      <c r="Y509" s="266" t="n">
        <f aca="false">+Y324</f>
        <v>0.211993740150311</v>
      </c>
      <c r="Z509" s="266" t="n">
        <f aca="false">+Z324</f>
        <v>0.194489669862671</v>
      </c>
      <c r="AA509" s="266" t="n">
        <f aca="false">+AA324</f>
        <v>0.178430889782267</v>
      </c>
      <c r="AB509" s="266" t="n">
        <f aca="false">+AB324</f>
        <v>0.163698064020428</v>
      </c>
      <c r="AC509" s="266" t="n">
        <f aca="false">+AC324</f>
        <v>0.150181710110485</v>
      </c>
      <c r="AD509" s="266" t="n">
        <f aca="false">+AD324</f>
        <v>0.137781385422463</v>
      </c>
      <c r="AE509" s="266" t="n">
        <f aca="false">+AE324</f>
        <v>0.126404940754553</v>
      </c>
      <c r="AF509" s="266" t="n">
        <f aca="false">+AF324</f>
        <v>0.115967835554636</v>
      </c>
      <c r="AG509" s="266" t="n">
        <f aca="false">+AG324</f>
        <v>0.106392509683152</v>
      </c>
      <c r="AH509" s="266" t="n">
        <f aca="false">+AH324</f>
        <v>0.0976078070487636</v>
      </c>
      <c r="AI509" s="266" t="n">
        <f aca="false">+AI324</f>
        <v>0.089548446833728</v>
      </c>
      <c r="AJ509" s="266" t="n">
        <f aca="false">+AJ324</f>
        <v>0.082154538379567</v>
      </c>
      <c r="AK509" s="266" t="n">
        <f aca="false">+AK324</f>
        <v>0.0753711361280431</v>
      </c>
      <c r="AL509" s="266" t="n">
        <f aca="false">+AL324</f>
        <v>0.0691478313101313</v>
      </c>
      <c r="AM509" s="266" t="n">
        <f aca="false">+AM324</f>
        <v>0.0634383773487443</v>
      </c>
      <c r="AN509" s="266" t="n">
        <f aca="false">+AN324</f>
        <v>0.0582003461915085</v>
      </c>
      <c r="AO509" s="266" t="n">
        <f aca="false">+AO324</f>
        <v>0.0533948130197326</v>
      </c>
      <c r="AP509" s="266" t="n">
        <f aca="false">+AP324</f>
        <v>0.0489860669905804</v>
      </c>
      <c r="AQ509" s="266" t="n">
        <f aca="false">+AQ324</f>
        <v>0.0449413458629178</v>
      </c>
      <c r="AR509" s="3"/>
    </row>
    <row r="510" customFormat="false" ht="12.75" hidden="false" customHeight="false" outlineLevel="0" collapsed="false">
      <c r="A510" s="2" t="s">
        <v>234</v>
      </c>
      <c r="B510" s="3"/>
      <c r="C510" s="3"/>
      <c r="D510" s="3"/>
      <c r="E510" s="3"/>
      <c r="F510" s="49" t="n">
        <v>10</v>
      </c>
      <c r="G510" s="3" t="s">
        <v>235</v>
      </c>
      <c r="H510" s="267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</row>
    <row r="511" customFormat="false" ht="12.75" hidden="false" customHeight="false" outlineLevel="0" collapsed="false">
      <c r="A511" s="2" t="s">
        <v>236</v>
      </c>
      <c r="B511" s="3"/>
      <c r="C511" s="3"/>
      <c r="D511" s="3"/>
      <c r="E511" s="3"/>
      <c r="F511" s="52" t="n">
        <v>0</v>
      </c>
      <c r="G511" s="3" t="s">
        <v>237</v>
      </c>
      <c r="H511" s="267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</row>
    <row r="512" customFormat="false" ht="12.75" hidden="false" customHeight="false" outlineLevel="0" collapsed="false">
      <c r="A512" s="2" t="s">
        <v>238</v>
      </c>
      <c r="B512" s="3"/>
      <c r="C512" s="3"/>
      <c r="D512" s="3"/>
      <c r="E512" s="3"/>
      <c r="F512" s="49" t="n">
        <v>500</v>
      </c>
      <c r="G512" s="3" t="s">
        <v>239</v>
      </c>
      <c r="H512" s="267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</row>
    <row r="513" customFormat="false" ht="12.75" hidden="false" customHeight="false" outlineLevel="0" collapsed="false">
      <c r="A513" s="2" t="s">
        <v>240</v>
      </c>
      <c r="B513" s="3"/>
      <c r="C513" s="3"/>
      <c r="D513" s="3"/>
      <c r="E513" s="3"/>
      <c r="F513" s="268" t="n">
        <v>2003</v>
      </c>
      <c r="G513" s="3"/>
      <c r="H513" s="267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</row>
    <row r="514" customFormat="false" ht="12.75" hidden="false" customHeight="false" outlineLevel="0" collapsed="false">
      <c r="A514" s="2" t="s">
        <v>241</v>
      </c>
      <c r="B514" s="3"/>
      <c r="C514" s="3"/>
      <c r="D514" s="3"/>
      <c r="E514" s="3"/>
      <c r="F514" s="176" t="n">
        <f aca="false">+F513+F510-1</f>
        <v>2012</v>
      </c>
      <c r="G514" s="3"/>
      <c r="H514" s="267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</row>
    <row r="515" customFormat="false" ht="12.75" hidden="false" customHeight="false" outlineLevel="0" collapsed="false">
      <c r="A515" s="2" t="s">
        <v>242</v>
      </c>
      <c r="B515" s="3"/>
      <c r="C515" s="3"/>
      <c r="D515" s="3"/>
      <c r="E515" s="3"/>
      <c r="F515" s="52" t="n">
        <v>0.9</v>
      </c>
      <c r="G515" s="3"/>
      <c r="H515" s="267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</row>
    <row r="516" customFormat="false" ht="12.75" hidden="false" customHeight="false" outlineLevel="0" collapsed="false">
      <c r="A516" s="2" t="s">
        <v>243</v>
      </c>
      <c r="B516" s="3"/>
      <c r="C516" s="3"/>
      <c r="D516" s="3"/>
      <c r="E516" s="3"/>
      <c r="F516" s="269" t="n">
        <v>6.10040124784534</v>
      </c>
      <c r="G516" s="3"/>
      <c r="H516" s="267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</row>
    <row r="517" customFormat="false" ht="12.75" hidden="false" customHeight="false" outlineLevel="0" collapsed="false">
      <c r="A517" s="2"/>
      <c r="B517" s="3"/>
      <c r="C517" s="3"/>
      <c r="D517" s="3"/>
      <c r="E517" s="3"/>
      <c r="F517" s="3"/>
      <c r="G517" s="270"/>
      <c r="H517" s="271"/>
      <c r="I517" s="271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</row>
    <row r="518" customFormat="false" ht="12.75" hidden="false" customHeight="false" outlineLevel="0" collapsed="false">
      <c r="A518" s="2" t="s">
        <v>244</v>
      </c>
      <c r="B518" s="3"/>
      <c r="C518" s="3"/>
      <c r="D518" s="3"/>
      <c r="E518" s="3"/>
      <c r="F518" s="3"/>
      <c r="G518" s="270"/>
      <c r="H518" s="114" t="n">
        <f aca="false">IF(+H9&gt;=$F$513,1,0)</f>
        <v>0</v>
      </c>
      <c r="I518" s="114" t="n">
        <f aca="false">IF(+I9&gt;=$F$513,1,0)</f>
        <v>0</v>
      </c>
      <c r="J518" s="114" t="n">
        <f aca="false">IF(+J9&gt;=$F$513,1,0)</f>
        <v>1</v>
      </c>
      <c r="K518" s="114" t="n">
        <f aca="false">IF(+K9&gt;=$F$513,1,0)</f>
        <v>1</v>
      </c>
      <c r="L518" s="114" t="n">
        <f aca="false">IF(+L9&gt;=$F$513,1,0)</f>
        <v>1</v>
      </c>
      <c r="M518" s="114" t="n">
        <f aca="false">IF(+M9&gt;=$F$513,1,0)</f>
        <v>1</v>
      </c>
      <c r="N518" s="114" t="n">
        <f aca="false">IF(+N9&gt;=$F$513,1,0)</f>
        <v>1</v>
      </c>
      <c r="O518" s="114" t="n">
        <f aca="false">IF(+O9&gt;=$F$513,1,0)</f>
        <v>1</v>
      </c>
      <c r="P518" s="114" t="n">
        <f aca="false">IF(+P9&gt;=$F$513,1,0)</f>
        <v>1</v>
      </c>
      <c r="Q518" s="114" t="n">
        <f aca="false">IF(+Q9&gt;=$F$513,1,0)</f>
        <v>1</v>
      </c>
      <c r="R518" s="114" t="n">
        <f aca="false">IF(+R9&gt;=$F$513,1,0)</f>
        <v>1</v>
      </c>
      <c r="S518" s="114" t="n">
        <f aca="false">IF(+S9&gt;=$F$513,1,0)</f>
        <v>1</v>
      </c>
      <c r="T518" s="114" t="n">
        <f aca="false">IF(+T9&gt;=$F$513,1,0)</f>
        <v>1</v>
      </c>
      <c r="U518" s="114" t="n">
        <f aca="false">IF(+U9&gt;=$F$513,1,0)</f>
        <v>1</v>
      </c>
      <c r="V518" s="114" t="n">
        <f aca="false">IF(+V9&gt;=$F$513,1,0)</f>
        <v>1</v>
      </c>
      <c r="W518" s="114" t="n">
        <f aca="false">IF(+W9&gt;=$F$513,1,0)</f>
        <v>1</v>
      </c>
      <c r="X518" s="114" t="n">
        <f aca="false">IF(+X9&gt;=$F$513,1,0)</f>
        <v>1</v>
      </c>
      <c r="Y518" s="114" t="n">
        <f aca="false">IF(+Y9&gt;=$F$513,1,0)</f>
        <v>1</v>
      </c>
      <c r="Z518" s="114" t="n">
        <f aca="false">IF(+Z9&gt;=$F$513,1,0)</f>
        <v>1</v>
      </c>
      <c r="AA518" s="114" t="n">
        <f aca="false">IF(+AA9&gt;=$F$513,1,0)</f>
        <v>1</v>
      </c>
      <c r="AB518" s="114" t="n">
        <f aca="false">IF(+AB9&gt;=$F$513,1,0)</f>
        <v>1</v>
      </c>
      <c r="AC518" s="114" t="n">
        <f aca="false">IF(+AC9&gt;=$F$513,1,0)</f>
        <v>1</v>
      </c>
      <c r="AD518" s="114" t="n">
        <f aca="false">IF(+AD9&gt;=$F$513,1,0)</f>
        <v>1</v>
      </c>
      <c r="AE518" s="114" t="n">
        <f aca="false">IF(+AE9&gt;=$F$513,1,0)</f>
        <v>1</v>
      </c>
      <c r="AF518" s="114" t="n">
        <f aca="false">IF(+AF9&gt;=$F$513,1,0)</f>
        <v>1</v>
      </c>
      <c r="AG518" s="114" t="n">
        <f aca="false">IF(+AG9&gt;=$F$513,1,0)</f>
        <v>1</v>
      </c>
      <c r="AH518" s="114" t="n">
        <f aca="false">IF(+AH9&gt;=$F$513,1,0)</f>
        <v>1</v>
      </c>
      <c r="AI518" s="114" t="n">
        <f aca="false">IF(+AI9&gt;=$F$513,1,0)</f>
        <v>1</v>
      </c>
      <c r="AJ518" s="114" t="n">
        <f aca="false">IF(+AJ9&gt;=$F$513,1,0)</f>
        <v>1</v>
      </c>
      <c r="AK518" s="114" t="n">
        <f aca="false">IF(+AK9&gt;=$F$513,1,0)</f>
        <v>1</v>
      </c>
      <c r="AL518" s="114" t="n">
        <f aca="false">IF(+AL9&gt;=$F$513,1,0)</f>
        <v>1</v>
      </c>
      <c r="AM518" s="114" t="n">
        <f aca="false">IF(+AM9&gt;=$F$513,1,0)</f>
        <v>1</v>
      </c>
      <c r="AN518" s="114" t="n">
        <f aca="false">IF(+AN9&gt;=$F$513,1,0)</f>
        <v>1</v>
      </c>
      <c r="AO518" s="114" t="n">
        <f aca="false">IF(+AO9&gt;=$F$513,1,0)</f>
        <v>1</v>
      </c>
      <c r="AP518" s="114" t="n">
        <f aca="false">IF(+AP9&gt;=$F$513,1,0)</f>
        <v>1</v>
      </c>
      <c r="AQ518" s="114" t="n">
        <f aca="false">IF(+AQ9&gt;=$F$513,1,0)</f>
        <v>1</v>
      </c>
      <c r="AR518" s="3"/>
    </row>
    <row r="519" customFormat="false" ht="12.75" hidden="false" customHeight="false" outlineLevel="0" collapsed="false">
      <c r="A519" s="2" t="s">
        <v>245</v>
      </c>
      <c r="B519" s="3"/>
      <c r="C519" s="3"/>
      <c r="D519" s="3"/>
      <c r="E519" s="3"/>
      <c r="F519" s="3"/>
      <c r="G519" s="270"/>
      <c r="H519" s="114" t="n">
        <f aca="false">IF(+H9&lt;=$F$514,1,0)</f>
        <v>1</v>
      </c>
      <c r="I519" s="114" t="n">
        <f aca="false">IF(+I9&lt;=$F$514,1,0)</f>
        <v>1</v>
      </c>
      <c r="J519" s="114" t="n">
        <f aca="false">IF(+J9&lt;=$F$514,1,0)</f>
        <v>1</v>
      </c>
      <c r="K519" s="114" t="n">
        <f aca="false">IF(+K9&lt;=$F$514,1,0)</f>
        <v>1</v>
      </c>
      <c r="L519" s="114" t="n">
        <f aca="false">IF(+L9&lt;=$F$514,1,0)</f>
        <v>1</v>
      </c>
      <c r="M519" s="114" t="n">
        <f aca="false">IF(+M9&lt;=$F$514,1,0)</f>
        <v>1</v>
      </c>
      <c r="N519" s="114" t="n">
        <f aca="false">IF(+N9&lt;=$F$514,1,0)</f>
        <v>1</v>
      </c>
      <c r="O519" s="114" t="n">
        <f aca="false">IF(+O9&lt;=$F$514,1,0)</f>
        <v>1</v>
      </c>
      <c r="P519" s="114" t="n">
        <f aca="false">IF(+P9&lt;=$F$514,1,0)</f>
        <v>1</v>
      </c>
      <c r="Q519" s="114" t="n">
        <f aca="false">IF(+Q9&lt;=$F$514,1,0)</f>
        <v>1</v>
      </c>
      <c r="R519" s="114" t="n">
        <f aca="false">IF(+R9&lt;=$F$514,1,0)</f>
        <v>1</v>
      </c>
      <c r="S519" s="114" t="n">
        <f aca="false">IF(+S9&lt;=$F$514,1,0)</f>
        <v>1</v>
      </c>
      <c r="T519" s="114" t="n">
        <f aca="false">IF(+T9&lt;=$F$514,1,0)</f>
        <v>0</v>
      </c>
      <c r="U519" s="114" t="n">
        <f aca="false">IF(+U9&lt;=$F$514,1,0)</f>
        <v>0</v>
      </c>
      <c r="V519" s="114" t="n">
        <f aca="false">IF(+V9&lt;=$F$514,1,0)</f>
        <v>0</v>
      </c>
      <c r="W519" s="114" t="n">
        <f aca="false">IF(+W9&lt;=$F$514,1,0)</f>
        <v>0</v>
      </c>
      <c r="X519" s="114" t="n">
        <f aca="false">IF(+X9&lt;=$F$514,1,0)</f>
        <v>0</v>
      </c>
      <c r="Y519" s="114" t="n">
        <f aca="false">IF(+Y9&lt;=$F$514,1,0)</f>
        <v>0</v>
      </c>
      <c r="Z519" s="114" t="n">
        <f aca="false">IF(+Z9&lt;=$F$514,1,0)</f>
        <v>0</v>
      </c>
      <c r="AA519" s="114" t="n">
        <f aca="false">IF(+AA9&lt;=$F$514,1,0)</f>
        <v>0</v>
      </c>
      <c r="AB519" s="114" t="n">
        <f aca="false">IF(+AB9&lt;=$F$514,1,0)</f>
        <v>0</v>
      </c>
      <c r="AC519" s="114" t="n">
        <f aca="false">IF(+AC9&lt;=$F$514,1,0)</f>
        <v>0</v>
      </c>
      <c r="AD519" s="114" t="n">
        <f aca="false">IF(+AD9&lt;=$F$514,1,0)</f>
        <v>0</v>
      </c>
      <c r="AE519" s="114" t="n">
        <f aca="false">IF(+AE9&lt;=$F$514,1,0)</f>
        <v>0</v>
      </c>
      <c r="AF519" s="114" t="n">
        <f aca="false">IF(+AF9&lt;=$F$514,1,0)</f>
        <v>0</v>
      </c>
      <c r="AG519" s="114" t="n">
        <f aca="false">IF(+AG9&lt;=$F$514,1,0)</f>
        <v>0</v>
      </c>
      <c r="AH519" s="114" t="n">
        <f aca="false">IF(+AH9&lt;=$F$514,1,0)</f>
        <v>0</v>
      </c>
      <c r="AI519" s="114" t="n">
        <f aca="false">IF(+AI9&lt;=$F$514,1,0)</f>
        <v>0</v>
      </c>
      <c r="AJ519" s="114" t="n">
        <f aca="false">IF(+AJ9&lt;=$F$514,1,0)</f>
        <v>0</v>
      </c>
      <c r="AK519" s="114" t="n">
        <f aca="false">IF(+AK9&lt;=$F$514,1,0)</f>
        <v>0</v>
      </c>
      <c r="AL519" s="114" t="n">
        <f aca="false">IF(+AL9&lt;=$F$514,1,0)</f>
        <v>0</v>
      </c>
      <c r="AM519" s="114" t="n">
        <f aca="false">IF(+AM9&lt;=$F$514,1,0)</f>
        <v>0</v>
      </c>
      <c r="AN519" s="114" t="n">
        <f aca="false">IF(+AN9&lt;=$F$514,1,0)</f>
        <v>0</v>
      </c>
      <c r="AO519" s="114" t="n">
        <f aca="false">IF(+AO9&lt;=$F$514,1,0)</f>
        <v>0</v>
      </c>
      <c r="AP519" s="114" t="n">
        <f aca="false">IF(+AP9&lt;=$F$514,1,0)</f>
        <v>0</v>
      </c>
      <c r="AQ519" s="114" t="n">
        <f aca="false">IF(+AQ9&lt;=$F$514,1,0)</f>
        <v>0</v>
      </c>
      <c r="AR519" s="3"/>
    </row>
    <row r="520" customFormat="false" ht="12.75" hidden="false" customHeight="false" outlineLevel="0" collapsed="false">
      <c r="A520" s="2"/>
      <c r="B520" s="3"/>
      <c r="C520" s="3"/>
      <c r="D520" s="3"/>
      <c r="E520" s="3"/>
      <c r="F520" s="3"/>
      <c r="G520" s="270"/>
      <c r="H520" s="114"/>
      <c r="I520" s="114"/>
      <c r="J520" s="114"/>
      <c r="K520" s="114"/>
      <c r="L520" s="114"/>
      <c r="M520" s="114"/>
      <c r="N520" s="114"/>
      <c r="O520" s="114"/>
      <c r="P520" s="114"/>
      <c r="Q520" s="114"/>
      <c r="R520" s="114"/>
      <c r="S520" s="114"/>
      <c r="T520" s="114"/>
      <c r="U520" s="114"/>
      <c r="V520" s="114"/>
      <c r="W520" s="114"/>
      <c r="X520" s="114"/>
      <c r="Y520" s="114"/>
      <c r="Z520" s="114"/>
      <c r="AA520" s="114"/>
      <c r="AB520" s="114"/>
      <c r="AC520" s="114"/>
      <c r="AD520" s="114"/>
      <c r="AE520" s="114"/>
      <c r="AF520" s="114"/>
      <c r="AG520" s="114"/>
      <c r="AH520" s="114"/>
      <c r="AI520" s="114"/>
      <c r="AJ520" s="114"/>
      <c r="AK520" s="114"/>
      <c r="AL520" s="114"/>
      <c r="AM520" s="114"/>
      <c r="AN520" s="114"/>
      <c r="AO520" s="114"/>
      <c r="AP520" s="114"/>
      <c r="AQ520" s="114"/>
      <c r="AR520" s="3"/>
    </row>
    <row r="521" customFormat="false" ht="12.75" hidden="false" customHeight="false" outlineLevel="0" collapsed="false">
      <c r="A521" s="2" t="s">
        <v>242</v>
      </c>
      <c r="B521" s="3"/>
      <c r="C521" s="3"/>
      <c r="D521" s="3"/>
      <c r="E521" s="3"/>
      <c r="F521" s="3"/>
      <c r="G521" s="272" t="s">
        <v>25</v>
      </c>
      <c r="H521" s="114" t="n">
        <f aca="false">IF(SUM(H518:H519)=2,+$F$512*H20*$F$515,0)</f>
        <v>0</v>
      </c>
      <c r="I521" s="114" t="n">
        <f aca="false">IF(SUM(I518:I519)=2,+$F$512*I20*$F$515,0)</f>
        <v>0</v>
      </c>
      <c r="J521" s="114" t="n">
        <f aca="false">IF(SUM(J518:J519)=2,+$F$512*J20*$F$515,0)</f>
        <v>3942000</v>
      </c>
      <c r="K521" s="114" t="n">
        <f aca="false">IF(SUM(K518:K519)=2,+$F$512*K20*$F$515,0)</f>
        <v>3952800</v>
      </c>
      <c r="L521" s="114" t="n">
        <f aca="false">IF(SUM(L518:L519)=2,+$F$512*L20*$F$515,0)</f>
        <v>3942000</v>
      </c>
      <c r="M521" s="114" t="n">
        <f aca="false">IF(SUM(M518:M519)=2,+$F$512*M20*$F$515,0)</f>
        <v>3942000</v>
      </c>
      <c r="N521" s="114" t="n">
        <f aca="false">IF(SUM(N518:N519)=2,+$F$512*N20*$F$515,0)</f>
        <v>3942000</v>
      </c>
      <c r="O521" s="114" t="n">
        <f aca="false">IF(SUM(O518:O519)=2,+$F$512*O20*$F$515,0)</f>
        <v>3952800</v>
      </c>
      <c r="P521" s="114" t="n">
        <f aca="false">IF(SUM(P518:P519)=2,+$F$512*P20*$F$515,0)</f>
        <v>3942000</v>
      </c>
      <c r="Q521" s="114" t="n">
        <f aca="false">IF(SUM(Q518:Q519)=2,+$F$512*Q20*$F$515,0)</f>
        <v>3942000</v>
      </c>
      <c r="R521" s="114" t="n">
        <f aca="false">IF(SUM(R518:R519)=2,+$F$512*R20*$F$515,0)</f>
        <v>3942000</v>
      </c>
      <c r="S521" s="114" t="n">
        <f aca="false">IF(SUM(S518:S519)=2,+$F$512*S20*$F$515,0)</f>
        <v>3952800</v>
      </c>
      <c r="T521" s="114" t="n">
        <f aca="false">IF(SUM(T518:T519)=2,+$F$512*T20*$F$515,0)</f>
        <v>0</v>
      </c>
      <c r="U521" s="114" t="n">
        <f aca="false">IF(SUM(U518:U519)=2,+$F$512*U20*$F$515,0)</f>
        <v>0</v>
      </c>
      <c r="V521" s="114" t="n">
        <f aca="false">IF(SUM(V518:V519)=2,+$F$512*V20*$F$515,0)</f>
        <v>0</v>
      </c>
      <c r="W521" s="114" t="n">
        <f aca="false">IF(SUM(W518:W519)=2,+$F$512*W20*$F$515,0)</f>
        <v>0</v>
      </c>
      <c r="X521" s="114" t="n">
        <f aca="false">IF(SUM(X518:X519)=2,+$F$512*X20*$F$515,0)</f>
        <v>0</v>
      </c>
      <c r="Y521" s="114" t="n">
        <f aca="false">IF(SUM(Y518:Y519)=2,+$F$512*Y20*$F$515,0)</f>
        <v>0</v>
      </c>
      <c r="Z521" s="114" t="n">
        <f aca="false">IF(SUM(Z518:Z519)=2,+$F$512*Z20*$F$515,0)</f>
        <v>0</v>
      </c>
      <c r="AA521" s="114" t="n">
        <f aca="false">IF(SUM(AA518:AA519)=2,+$F$512*AA20*$F$515,0)</f>
        <v>0</v>
      </c>
      <c r="AB521" s="114" t="n">
        <f aca="false">IF(SUM(AB518:AB519)=2,+$F$512*AB20*$F$515,0)</f>
        <v>0</v>
      </c>
      <c r="AC521" s="114" t="n">
        <f aca="false">IF(SUM(AC518:AC519)=2,+$F$512*AC20*$F$515,0)</f>
        <v>0</v>
      </c>
      <c r="AD521" s="114" t="n">
        <f aca="false">IF(SUM(AD518:AD519)=2,+$F$512*AD20*$F$515,0)</f>
        <v>0</v>
      </c>
      <c r="AE521" s="114" t="n">
        <f aca="false">IF(SUM(AE518:AE519)=2,+$F$512*AE20*$F$515,0)</f>
        <v>0</v>
      </c>
      <c r="AF521" s="114" t="n">
        <f aca="false">IF(SUM(AF518:AF519)=2,+$F$512*AF20*$F$515,0)</f>
        <v>0</v>
      </c>
      <c r="AG521" s="114" t="n">
        <f aca="false">IF(SUM(AG518:AG519)=2,+$F$512*AG20*$F$515,0)</f>
        <v>0</v>
      </c>
      <c r="AH521" s="114" t="n">
        <f aca="false">IF(SUM(AH518:AH519)=2,+$F$512*AH20*$F$515,0)</f>
        <v>0</v>
      </c>
      <c r="AI521" s="114" t="n">
        <f aca="false">IF(SUM(AI518:AI519)=2,+$F$512*AI20*$F$515,0)</f>
        <v>0</v>
      </c>
      <c r="AJ521" s="114" t="n">
        <f aca="false">IF(SUM(AJ518:AJ519)=2,+$F$512*AJ20*$F$515,0)</f>
        <v>0</v>
      </c>
      <c r="AK521" s="114" t="n">
        <f aca="false">IF(SUM(AK518:AK519)=2,+$F$512*AK20*$F$515,0)</f>
        <v>0</v>
      </c>
      <c r="AL521" s="114" t="n">
        <f aca="false">IF(SUM(AL518:AL519)=2,+$F$512*AL20*$F$515,0)</f>
        <v>0</v>
      </c>
      <c r="AM521" s="114" t="n">
        <f aca="false">IF(SUM(AM518:AM519)=2,+$F$512*AM20*$F$515,0)</f>
        <v>0</v>
      </c>
      <c r="AN521" s="114" t="n">
        <f aca="false">IF(SUM(AN518:AN519)=2,+$F$512*AN20*$F$515,0)</f>
        <v>0</v>
      </c>
      <c r="AO521" s="114" t="n">
        <f aca="false">IF(SUM(AO518:AO519)=2,+$F$512*AO20*$F$515,0)</f>
        <v>0</v>
      </c>
      <c r="AP521" s="114" t="n">
        <f aca="false">IF(SUM(AP518:AP519)=2,+$F$512*AP20*$F$515,0)</f>
        <v>0</v>
      </c>
      <c r="AQ521" s="114" t="n">
        <f aca="false">IF(SUM(AQ518:AQ519)=2,+$F$512*AQ20*$F$515,0)</f>
        <v>0</v>
      </c>
      <c r="AR521" s="3"/>
    </row>
    <row r="522" customFormat="false" ht="12.75" hidden="false" customHeight="false" outlineLevel="0" collapsed="false">
      <c r="A522" s="2"/>
      <c r="B522" s="3"/>
      <c r="C522" s="3"/>
      <c r="D522" s="3"/>
      <c r="E522" s="3"/>
      <c r="F522" s="3"/>
      <c r="G522" s="272"/>
      <c r="H522" s="114"/>
      <c r="I522" s="114"/>
      <c r="J522" s="114"/>
      <c r="K522" s="114"/>
      <c r="L522" s="114"/>
      <c r="M522" s="114"/>
      <c r="N522" s="114"/>
      <c r="O522" s="114"/>
      <c r="P522" s="114"/>
      <c r="Q522" s="114"/>
      <c r="R522" s="114"/>
      <c r="S522" s="114"/>
      <c r="T522" s="114"/>
      <c r="U522" s="114"/>
      <c r="V522" s="114"/>
      <c r="W522" s="114"/>
      <c r="X522" s="114"/>
      <c r="Y522" s="114"/>
      <c r="Z522" s="114"/>
      <c r="AA522" s="114"/>
      <c r="AB522" s="114"/>
      <c r="AC522" s="114"/>
      <c r="AD522" s="114"/>
      <c r="AE522" s="114"/>
      <c r="AF522" s="114"/>
      <c r="AG522" s="114"/>
      <c r="AH522" s="114"/>
      <c r="AI522" s="114"/>
      <c r="AJ522" s="114"/>
      <c r="AK522" s="114"/>
      <c r="AL522" s="114"/>
      <c r="AM522" s="114"/>
      <c r="AN522" s="114"/>
      <c r="AO522" s="114"/>
      <c r="AP522" s="114"/>
      <c r="AQ522" s="114"/>
      <c r="AR522" s="3"/>
    </row>
    <row r="523" customFormat="false" ht="12.75" hidden="false" customHeight="false" outlineLevel="0" collapsed="false">
      <c r="A523" s="2" t="s">
        <v>246</v>
      </c>
      <c r="B523" s="3"/>
      <c r="C523" s="3"/>
      <c r="D523" s="3"/>
      <c r="E523" s="3"/>
      <c r="F523" s="99"/>
      <c r="G523" s="272" t="s">
        <v>28</v>
      </c>
      <c r="H523" s="271" t="n">
        <f aca="false">IF(SUM(H518:H519)=2,+$F$516,0)</f>
        <v>0</v>
      </c>
      <c r="I523" s="271" t="n">
        <f aca="false">IF(SUM(I518:I519)=2,+$F$516,0)</f>
        <v>0</v>
      </c>
      <c r="J523" s="271" t="n">
        <f aca="false">IF(SUM(J518:J519)=2,+$F$516,0)</f>
        <v>6.10040124784534</v>
      </c>
      <c r="K523" s="271" t="n">
        <f aca="false">IF(SUM(K518:K519)=2,+$F$516,0)</f>
        <v>6.10040124784534</v>
      </c>
      <c r="L523" s="271" t="n">
        <f aca="false">IF(SUM(L518:L519)=2,+$F$516,0)</f>
        <v>6.10040124784534</v>
      </c>
      <c r="M523" s="271" t="n">
        <f aca="false">IF(SUM(M518:M519)=2,+$F$516,0)</f>
        <v>6.10040124784534</v>
      </c>
      <c r="N523" s="271" t="n">
        <f aca="false">IF(SUM(N518:N519)=2,+$F$516,0)</f>
        <v>6.10040124784534</v>
      </c>
      <c r="O523" s="271" t="n">
        <f aca="false">IF(SUM(O518:O519)=2,+$F$516,0)</f>
        <v>6.10040124784534</v>
      </c>
      <c r="P523" s="271" t="n">
        <f aca="false">IF(SUM(P518:P519)=2,+$F$516,0)</f>
        <v>6.10040124784534</v>
      </c>
      <c r="Q523" s="271" t="n">
        <f aca="false">IF(SUM(Q518:Q519)=2,+$F$516,0)</f>
        <v>6.10040124784534</v>
      </c>
      <c r="R523" s="271" t="n">
        <f aca="false">IF(SUM(R518:R519)=2,+$F$516,0)</f>
        <v>6.10040124784534</v>
      </c>
      <c r="S523" s="271" t="n">
        <f aca="false">IF(SUM(S518:S519)=2,+$F$516,0)</f>
        <v>6.10040124784534</v>
      </c>
      <c r="T523" s="271" t="n">
        <f aca="false">IF(SUM(T518:T519)=2,+$F$516,0)</f>
        <v>0</v>
      </c>
      <c r="U523" s="271" t="n">
        <f aca="false">IF(SUM(U518:U519)=2,+$F$516,0)</f>
        <v>0</v>
      </c>
      <c r="V523" s="271" t="n">
        <f aca="false">IF(SUM(V518:V519)=2,+$F$516,0)</f>
        <v>0</v>
      </c>
      <c r="W523" s="271" t="n">
        <f aca="false">IF(SUM(W518:W519)=2,+$F$516,0)</f>
        <v>0</v>
      </c>
      <c r="X523" s="271" t="n">
        <f aca="false">IF(SUM(X518:X519)=2,+$F$516,0)</f>
        <v>0</v>
      </c>
      <c r="Y523" s="271" t="n">
        <f aca="false">IF(SUM(Y518:Y519)=2,+$F$516,0)</f>
        <v>0</v>
      </c>
      <c r="Z523" s="271" t="n">
        <f aca="false">IF(SUM(Z518:Z519)=2,+$F$516,0)</f>
        <v>0</v>
      </c>
      <c r="AA523" s="271" t="n">
        <f aca="false">IF(SUM(AA518:AA519)=2,+$F$516,0)</f>
        <v>0</v>
      </c>
      <c r="AB523" s="271" t="n">
        <f aca="false">IF(SUM(AB518:AB519)=2,+$F$516,0)</f>
        <v>0</v>
      </c>
      <c r="AC523" s="271" t="n">
        <f aca="false">IF(SUM(AC518:AC519)=2,+$F$516,0)</f>
        <v>0</v>
      </c>
      <c r="AD523" s="271" t="n">
        <f aca="false">IF(SUM(AD518:AD519)=2,+$F$516,0)</f>
        <v>0</v>
      </c>
      <c r="AE523" s="271" t="n">
        <f aca="false">IF(SUM(AE518:AE519)=2,+$F$516,0)</f>
        <v>0</v>
      </c>
      <c r="AF523" s="271" t="n">
        <f aca="false">IF(SUM(AF518:AF519)=2,+$F$516,0)</f>
        <v>0</v>
      </c>
      <c r="AG523" s="271" t="n">
        <f aca="false">IF(SUM(AG518:AG519)=2,+$F$516,0)</f>
        <v>0</v>
      </c>
      <c r="AH523" s="271" t="n">
        <f aca="false">IF(SUM(AH518:AH519)=2,+$F$516,0)</f>
        <v>0</v>
      </c>
      <c r="AI523" s="271" t="n">
        <f aca="false">IF(SUM(AI518:AI519)=2,+$F$516,0)</f>
        <v>0</v>
      </c>
      <c r="AJ523" s="271" t="n">
        <f aca="false">IF(SUM(AJ518:AJ519)=2,+$F$516,0)</f>
        <v>0</v>
      </c>
      <c r="AK523" s="271" t="n">
        <f aca="false">IF(SUM(AK518:AK519)=2,+$F$516,0)</f>
        <v>0</v>
      </c>
      <c r="AL523" s="271" t="n">
        <f aca="false">IF(SUM(AL518:AL519)=2,+$F$516,0)</f>
        <v>0</v>
      </c>
      <c r="AM523" s="271" t="n">
        <f aca="false">IF(SUM(AM518:AM519)=2,+$F$516,0)</f>
        <v>0</v>
      </c>
      <c r="AN523" s="271" t="n">
        <f aca="false">IF(SUM(AN518:AN519)=2,+$F$516,0)</f>
        <v>0</v>
      </c>
      <c r="AO523" s="271" t="n">
        <f aca="false">IF(SUM(AO518:AO519)=2,+$F$516,0)</f>
        <v>0</v>
      </c>
      <c r="AP523" s="271" t="n">
        <f aca="false">IF(SUM(AP518:AP519)=2,+$F$516,0)</f>
        <v>0</v>
      </c>
      <c r="AQ523" s="271" t="n">
        <f aca="false">IF(SUM(AQ518:AQ519)=2,+$F$516,0)</f>
        <v>0</v>
      </c>
      <c r="AR523" s="3"/>
    </row>
    <row r="524" customFormat="false" ht="13.5" hidden="false" customHeight="false" outlineLevel="0" collapsed="false">
      <c r="A524" s="2" t="s">
        <v>247</v>
      </c>
      <c r="B524" s="3"/>
      <c r="C524" s="3"/>
      <c r="D524" s="3"/>
      <c r="E524" s="3"/>
      <c r="F524" s="3"/>
      <c r="G524" s="272" t="s">
        <v>28</v>
      </c>
      <c r="H524" s="222" t="n">
        <f aca="false">IF(+H523=0,0,(SUM(G523:G524)*$F$511)+G524)</f>
        <v>0</v>
      </c>
      <c r="I524" s="222" t="n">
        <f aca="false">IF(+I523=0,0,(SUM(H523:H524)*$F$511)+H524)</f>
        <v>0</v>
      </c>
      <c r="J524" s="222" t="n">
        <f aca="false">IF(+J523=0,0,(SUM(I523:I524)*$F$511)+I524)</f>
        <v>0</v>
      </c>
      <c r="K524" s="222" t="n">
        <f aca="false">IF(+K523=0,0,(SUM(J523:J524)*$F$511)+J524)</f>
        <v>0</v>
      </c>
      <c r="L524" s="222" t="n">
        <f aca="false">IF(+L523=0,0,(SUM(K523:K524)*$F$511)+K524)</f>
        <v>0</v>
      </c>
      <c r="M524" s="222" t="n">
        <f aca="false">IF(+M523=0,0,(SUM(L523:L524)*$F$511)+L524)</f>
        <v>0</v>
      </c>
      <c r="N524" s="222" t="n">
        <f aca="false">IF(+N523=0,0,(SUM(M523:M524)*$F$511)+M524)</f>
        <v>0</v>
      </c>
      <c r="O524" s="222" t="n">
        <f aca="false">IF(+O523=0,0,(SUM(N523:N524)*$F$511)+N524)</f>
        <v>0</v>
      </c>
      <c r="P524" s="222" t="n">
        <f aca="false">IF(+P523=0,0,(SUM(O523:O524)*$F$511)+O524)</f>
        <v>0</v>
      </c>
      <c r="Q524" s="222" t="n">
        <f aca="false">IF(+Q523=0,0,(SUM(P523:P524)*$F$511)+P524)</f>
        <v>0</v>
      </c>
      <c r="R524" s="222" t="n">
        <f aca="false">IF(+R523=0,0,(SUM(Q523:Q524)*$F$511)+Q524)</f>
        <v>0</v>
      </c>
      <c r="S524" s="222" t="n">
        <f aca="false">IF(+S523=0,0,(SUM(R523:R524)*$F$511)+R524)</f>
        <v>0</v>
      </c>
      <c r="T524" s="222" t="n">
        <f aca="false">IF(+T523=0,0,(SUM(S523:S524)*$F$511)+S524)</f>
        <v>0</v>
      </c>
      <c r="U524" s="222" t="n">
        <f aca="false">IF(+U523=0,0,(SUM(T523:T524)*$F$511)+T524)</f>
        <v>0</v>
      </c>
      <c r="V524" s="222" t="n">
        <f aca="false">IF(+V523=0,0,(SUM(U523:U524)*$F$511)+U524)</f>
        <v>0</v>
      </c>
      <c r="W524" s="222" t="n">
        <f aca="false">IF(+W523=0,0,(SUM(V523:V524)*$F$511)+V524)</f>
        <v>0</v>
      </c>
      <c r="X524" s="222" t="n">
        <f aca="false">IF(+X523=0,0,(SUM(W523:W524)*$F$511)+W524)</f>
        <v>0</v>
      </c>
      <c r="Y524" s="222" t="n">
        <f aca="false">IF(+Y523=0,0,(SUM(X523:X524)*$F$511)+X524)</f>
        <v>0</v>
      </c>
      <c r="Z524" s="222" t="n">
        <f aca="false">IF(+Z523=0,0,(SUM(Y523:Y524)*$F$511)+Y524)</f>
        <v>0</v>
      </c>
      <c r="AA524" s="222" t="n">
        <f aca="false">IF(+AA523=0,0,(SUM(Z523:Z524)*$F$511)+Z524)</f>
        <v>0</v>
      </c>
      <c r="AB524" s="222" t="n">
        <f aca="false">IF(+AB523=0,0,(SUM(AA523:AA524)*$F$511)+AA524)</f>
        <v>0</v>
      </c>
      <c r="AC524" s="222" t="n">
        <f aca="false">IF(+AC523=0,0,(SUM(AB523:AB524)*$F$511)+AB524)</f>
        <v>0</v>
      </c>
      <c r="AD524" s="222" t="n">
        <f aca="false">IF(+AD523=0,0,(SUM(AC523:AC524)*$F$511)+AC524)</f>
        <v>0</v>
      </c>
      <c r="AE524" s="222" t="n">
        <f aca="false">IF(+AE523=0,0,(SUM(AD523:AD524)*$F$511)+AD524)</f>
        <v>0</v>
      </c>
      <c r="AF524" s="222" t="n">
        <f aca="false">IF(+AF523=0,0,(SUM(AE523:AE524)*$F$511)+AE524)</f>
        <v>0</v>
      </c>
      <c r="AG524" s="222" t="n">
        <f aca="false">IF(+AG523=0,0,(SUM(AF523:AF524)*$F$511)+AF524)</f>
        <v>0</v>
      </c>
      <c r="AH524" s="222" t="n">
        <f aca="false">IF(+AH523=0,0,(SUM(AG523:AG524)*$F$511)+AG524)</f>
        <v>0</v>
      </c>
      <c r="AI524" s="222" t="n">
        <f aca="false">IF(+AI523=0,0,(SUM(AH523:AH524)*$F$511)+AH524)</f>
        <v>0</v>
      </c>
      <c r="AJ524" s="222" t="n">
        <f aca="false">IF(+AJ523=0,0,(SUM(AI523:AI524)*$F$511)+AI524)</f>
        <v>0</v>
      </c>
      <c r="AK524" s="222" t="n">
        <f aca="false">IF(+AK523=0,0,(SUM(AJ523:AJ524)*$F$511)+AJ524)</f>
        <v>0</v>
      </c>
      <c r="AL524" s="222" t="n">
        <f aca="false">IF(+AL523=0,0,(SUM(AK523:AK524)*$F$511)+AK524)</f>
        <v>0</v>
      </c>
      <c r="AM524" s="222" t="n">
        <f aca="false">IF(+AM523=0,0,(SUM(AL523:AL524)*$F$511)+AL524)</f>
        <v>0</v>
      </c>
      <c r="AN524" s="222" t="n">
        <f aca="false">IF(+AN523=0,0,(SUM(AM523:AM524)*$F$511)+AM524)</f>
        <v>0</v>
      </c>
      <c r="AO524" s="222" t="n">
        <f aca="false">IF(+AO523=0,0,(SUM(AN523:AN524)*$F$511)+AN524)</f>
        <v>0</v>
      </c>
      <c r="AP524" s="222" t="n">
        <f aca="false">IF(+AP523=0,0,(SUM(AO523:AO524)*$F$511)+AO524)</f>
        <v>0</v>
      </c>
      <c r="AQ524" s="222" t="n">
        <f aca="false">IF(+AQ523=0,0,(SUM(AP523:AP524)*$F$511)+AP524)</f>
        <v>0</v>
      </c>
      <c r="AR524" s="273"/>
    </row>
    <row r="525" customFormat="false" ht="12.75" hidden="false" customHeight="false" outlineLevel="0" collapsed="false">
      <c r="A525" s="2"/>
      <c r="B525" s="3"/>
      <c r="C525" s="3"/>
      <c r="D525" s="3"/>
      <c r="E525" s="3"/>
      <c r="F525" s="3"/>
      <c r="G525" s="272" t="s">
        <v>28</v>
      </c>
      <c r="H525" s="271" t="n">
        <f aca="false">SUM(H523:H524)</f>
        <v>0</v>
      </c>
      <c r="I525" s="271" t="n">
        <f aca="false">SUM(I523:I524)</f>
        <v>0</v>
      </c>
      <c r="J525" s="271" t="n">
        <f aca="false">SUM(J523:J524)</f>
        <v>6.10040124784534</v>
      </c>
      <c r="K525" s="271" t="n">
        <f aca="false">SUM(K523:K524)</f>
        <v>6.10040124784534</v>
      </c>
      <c r="L525" s="271" t="n">
        <f aca="false">SUM(L523:L524)</f>
        <v>6.10040124784534</v>
      </c>
      <c r="M525" s="271" t="n">
        <f aca="false">SUM(M523:M524)</f>
        <v>6.10040124784534</v>
      </c>
      <c r="N525" s="271" t="n">
        <f aca="false">SUM(N523:N524)</f>
        <v>6.10040124784534</v>
      </c>
      <c r="O525" s="271" t="n">
        <f aca="false">SUM(O523:O524)</f>
        <v>6.10040124784534</v>
      </c>
      <c r="P525" s="271" t="n">
        <f aca="false">SUM(P523:P524)</f>
        <v>6.10040124784534</v>
      </c>
      <c r="Q525" s="271" t="n">
        <f aca="false">SUM(Q523:Q524)</f>
        <v>6.10040124784534</v>
      </c>
      <c r="R525" s="271" t="n">
        <f aca="false">SUM(R523:R524)</f>
        <v>6.10040124784534</v>
      </c>
      <c r="S525" s="271" t="n">
        <f aca="false">SUM(S523:S524)</f>
        <v>6.10040124784534</v>
      </c>
      <c r="T525" s="271" t="n">
        <f aca="false">SUM(T523:T524)</f>
        <v>0</v>
      </c>
      <c r="U525" s="271" t="n">
        <f aca="false">SUM(U523:U524)</f>
        <v>0</v>
      </c>
      <c r="V525" s="271" t="n">
        <f aca="false">SUM(V523:V524)</f>
        <v>0</v>
      </c>
      <c r="W525" s="271" t="n">
        <f aca="false">SUM(W523:W524)</f>
        <v>0</v>
      </c>
      <c r="X525" s="271" t="n">
        <f aca="false">SUM(X523:X524)</f>
        <v>0</v>
      </c>
      <c r="Y525" s="271" t="n">
        <f aca="false">SUM(Y523:Y524)</f>
        <v>0</v>
      </c>
      <c r="Z525" s="271" t="n">
        <f aca="false">SUM(Z523:Z524)</f>
        <v>0</v>
      </c>
      <c r="AA525" s="271" t="n">
        <f aca="false">SUM(AA523:AA524)</f>
        <v>0</v>
      </c>
      <c r="AB525" s="271" t="n">
        <f aca="false">SUM(AB523:AB524)</f>
        <v>0</v>
      </c>
      <c r="AC525" s="271" t="n">
        <f aca="false">SUM(AC523:AC524)</f>
        <v>0</v>
      </c>
      <c r="AD525" s="271" t="n">
        <f aca="false">SUM(AD523:AD524)</f>
        <v>0</v>
      </c>
      <c r="AE525" s="271" t="n">
        <f aca="false">SUM(AE523:AE524)</f>
        <v>0</v>
      </c>
      <c r="AF525" s="271" t="n">
        <f aca="false">SUM(AF523:AF524)</f>
        <v>0</v>
      </c>
      <c r="AG525" s="271" t="n">
        <f aca="false">SUM(AG523:AG524)</f>
        <v>0</v>
      </c>
      <c r="AH525" s="271" t="n">
        <f aca="false">SUM(AH523:AH524)</f>
        <v>0</v>
      </c>
      <c r="AI525" s="271" t="n">
        <f aca="false">SUM(AI523:AI524)</f>
        <v>0</v>
      </c>
      <c r="AJ525" s="271" t="n">
        <f aca="false">SUM(AJ523:AJ524)</f>
        <v>0</v>
      </c>
      <c r="AK525" s="271" t="n">
        <f aca="false">SUM(AK523:AK524)</f>
        <v>0</v>
      </c>
      <c r="AL525" s="271" t="n">
        <f aca="false">SUM(AL523:AL524)</f>
        <v>0</v>
      </c>
      <c r="AM525" s="271" t="n">
        <f aca="false">SUM(AM523:AM524)</f>
        <v>0</v>
      </c>
      <c r="AN525" s="271" t="n">
        <f aca="false">SUM(AN523:AN524)</f>
        <v>0</v>
      </c>
      <c r="AO525" s="271" t="n">
        <f aca="false">SUM(AO523:AO524)</f>
        <v>0</v>
      </c>
      <c r="AP525" s="271" t="n">
        <f aca="false">SUM(AP523:AP524)</f>
        <v>0</v>
      </c>
      <c r="AQ525" s="271" t="n">
        <f aca="false">SUM(AQ523:AQ524)</f>
        <v>0</v>
      </c>
      <c r="AR525" s="273"/>
    </row>
    <row r="526" customFormat="false" ht="13.5" hidden="false" customHeight="false" outlineLevel="0" collapsed="false">
      <c r="A526" s="2"/>
      <c r="B526" s="3"/>
      <c r="C526" s="3"/>
      <c r="D526" s="3"/>
      <c r="E526" s="3"/>
      <c r="F526" s="3"/>
      <c r="G526" s="27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  <c r="AL526" s="222"/>
      <c r="AM526" s="222"/>
      <c r="AN526" s="222"/>
      <c r="AO526" s="222"/>
      <c r="AP526" s="222"/>
      <c r="AQ526" s="222"/>
      <c r="AR526" s="3"/>
    </row>
    <row r="527" customFormat="false" ht="13.5" hidden="false" customHeight="false" outlineLevel="0" collapsed="false">
      <c r="A527" s="2" t="s">
        <v>248</v>
      </c>
      <c r="B527" s="3"/>
      <c r="C527" s="3"/>
      <c r="D527" s="3"/>
      <c r="E527" s="3"/>
      <c r="F527" s="3"/>
      <c r="G527" s="272"/>
      <c r="H527" s="213" t="n">
        <f aca="false">+H521*H525/1000</f>
        <v>0</v>
      </c>
      <c r="I527" s="214" t="n">
        <f aca="false">+I521*I525/1000</f>
        <v>0</v>
      </c>
      <c r="J527" s="214" t="n">
        <f aca="false">+J521*J525/1000</f>
        <v>24047.7817190063</v>
      </c>
      <c r="K527" s="214" t="n">
        <f aca="false">+K521*K525/1000</f>
        <v>24113.6660524831</v>
      </c>
      <c r="L527" s="214" t="n">
        <f aca="false">+L521*L525/1000</f>
        <v>24047.7817190063</v>
      </c>
      <c r="M527" s="214" t="n">
        <f aca="false">+M521*M525/1000</f>
        <v>24047.7817190063</v>
      </c>
      <c r="N527" s="214" t="n">
        <f aca="false">+N521*N525/1000</f>
        <v>24047.7817190063</v>
      </c>
      <c r="O527" s="214" t="n">
        <f aca="false">+O521*O525/1000</f>
        <v>24113.6660524831</v>
      </c>
      <c r="P527" s="214" t="n">
        <f aca="false">+P521*P525/1000</f>
        <v>24047.7817190063</v>
      </c>
      <c r="Q527" s="214" t="n">
        <f aca="false">+Q521*Q525/1000</f>
        <v>24047.7817190063</v>
      </c>
      <c r="R527" s="214" t="n">
        <f aca="false">+R521*R525/1000</f>
        <v>24047.7817190063</v>
      </c>
      <c r="S527" s="214" t="n">
        <f aca="false">+S521*S525/1000</f>
        <v>24113.6660524831</v>
      </c>
      <c r="T527" s="214" t="n">
        <f aca="false">+T521*T525/1000</f>
        <v>0</v>
      </c>
      <c r="U527" s="214" t="n">
        <f aca="false">+U521*U525/1000</f>
        <v>0</v>
      </c>
      <c r="V527" s="214" t="n">
        <f aca="false">+V521*V525/1000</f>
        <v>0</v>
      </c>
      <c r="W527" s="214" t="n">
        <f aca="false">+W521*W525/1000</f>
        <v>0</v>
      </c>
      <c r="X527" s="214" t="n">
        <f aca="false">+X521*X525/1000</f>
        <v>0</v>
      </c>
      <c r="Y527" s="214" t="n">
        <f aca="false">+Y521*Y525/1000</f>
        <v>0</v>
      </c>
      <c r="Z527" s="214" t="n">
        <f aca="false">+Z521*Z525/1000</f>
        <v>0</v>
      </c>
      <c r="AA527" s="214" t="n">
        <f aca="false">+AA521*AA525/1000</f>
        <v>0</v>
      </c>
      <c r="AB527" s="214" t="n">
        <f aca="false">+AB521*AB525/1000</f>
        <v>0</v>
      </c>
      <c r="AC527" s="214" t="n">
        <f aca="false">+AC521*AC525/1000</f>
        <v>0</v>
      </c>
      <c r="AD527" s="214" t="n">
        <f aca="false">+AD521*AD525/1000</f>
        <v>0</v>
      </c>
      <c r="AE527" s="214" t="n">
        <f aca="false">+AE521*AE525/1000</f>
        <v>0</v>
      </c>
      <c r="AF527" s="214" t="n">
        <f aca="false">+AF521*AF525/1000</f>
        <v>0</v>
      </c>
      <c r="AG527" s="214" t="n">
        <f aca="false">+AG521*AG525/1000</f>
        <v>0</v>
      </c>
      <c r="AH527" s="214" t="n">
        <f aca="false">+AH521*AH525/1000</f>
        <v>0</v>
      </c>
      <c r="AI527" s="214" t="n">
        <f aca="false">+AI521*AI525/1000</f>
        <v>0</v>
      </c>
      <c r="AJ527" s="214" t="n">
        <f aca="false">+AJ521*AJ525/1000</f>
        <v>0</v>
      </c>
      <c r="AK527" s="214" t="n">
        <f aca="false">+AK521*AK525/1000</f>
        <v>0</v>
      </c>
      <c r="AL527" s="214" t="n">
        <f aca="false">+AL521*AL525/1000</f>
        <v>0</v>
      </c>
      <c r="AM527" s="214" t="n">
        <f aca="false">+AM521*AM525/1000</f>
        <v>0</v>
      </c>
      <c r="AN527" s="214" t="n">
        <f aca="false">+AN521*AN525/1000</f>
        <v>0</v>
      </c>
      <c r="AO527" s="214" t="n">
        <f aca="false">+AO521*AO525/1000</f>
        <v>0</v>
      </c>
      <c r="AP527" s="214" t="n">
        <f aca="false">+AP521*AP525/1000</f>
        <v>0</v>
      </c>
      <c r="AQ527" s="235" t="n">
        <f aca="false">+AQ521*AQ525/1000</f>
        <v>0</v>
      </c>
      <c r="AR527" s="3"/>
    </row>
    <row r="528" customFormat="false" ht="13.5" hidden="false" customHeight="false" outlineLevel="0" collapsed="false">
      <c r="A528" s="95" t="str">
        <f aca="false">CONCATENATE("NPV ",$F$509*100," of Cf to Term (2036)")</f>
        <v>NPV 9 of Cf to Term (2036)</v>
      </c>
      <c r="B528" s="3"/>
      <c r="C528" s="3"/>
      <c r="D528" s="3"/>
      <c r="E528" s="3"/>
      <c r="F528" s="3"/>
      <c r="G528" s="274" t="n">
        <f aca="false">SUMPRODUCT(H$509:X$509,H527:X527)</f>
        <v>130000</v>
      </c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</row>
    <row r="529" customFormat="false" ht="12.75" hidden="false" customHeight="false" outlineLevel="0" collapsed="false">
      <c r="A529" s="3"/>
      <c r="B529" s="3"/>
      <c r="C529" s="3"/>
      <c r="D529" s="3"/>
      <c r="E529" s="3"/>
      <c r="F529" s="3"/>
      <c r="G529" s="272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</row>
    <row r="530" customFormat="false" ht="12.75" hidden="false" customHeight="false" outlineLevel="0" collapsed="false">
      <c r="A530" s="114" t="s">
        <v>249</v>
      </c>
      <c r="B530" s="3"/>
      <c r="C530" s="3"/>
      <c r="D530" s="3"/>
      <c r="E530" s="3"/>
      <c r="F530" s="3"/>
      <c r="G530" s="272" t="s">
        <v>44</v>
      </c>
      <c r="H530" s="99" t="n">
        <f aca="false">+H527/($F$512*12)</f>
        <v>0</v>
      </c>
      <c r="I530" s="99" t="n">
        <f aca="false">+I527/($F$512*12)</f>
        <v>0</v>
      </c>
      <c r="J530" s="99" t="n">
        <f aca="false">+J527/($F$512*12)</f>
        <v>4.00796361983439</v>
      </c>
      <c r="K530" s="99" t="n">
        <f aca="false">+K527/($F$512*12)</f>
        <v>4.01894434208051</v>
      </c>
      <c r="L530" s="99" t="n">
        <f aca="false">+L527/($F$512*12)</f>
        <v>4.00796361983439</v>
      </c>
      <c r="M530" s="99" t="n">
        <f aca="false">+M527/($F$512*12)</f>
        <v>4.00796361983439</v>
      </c>
      <c r="N530" s="99" t="n">
        <f aca="false">+N527/($F$512*12)</f>
        <v>4.00796361983439</v>
      </c>
      <c r="O530" s="99" t="n">
        <f aca="false">+O527/($F$512*12)</f>
        <v>4.01894434208051</v>
      </c>
      <c r="P530" s="99" t="n">
        <f aca="false">+P527/($F$512*12)</f>
        <v>4.00796361983439</v>
      </c>
      <c r="Q530" s="99" t="n">
        <f aca="false">+Q527/($F$512*12)</f>
        <v>4.00796361983439</v>
      </c>
      <c r="R530" s="99" t="n">
        <f aca="false">+R527/($F$512*12)</f>
        <v>4.00796361983439</v>
      </c>
      <c r="S530" s="99" t="n">
        <f aca="false">+S527/($F$512*12)</f>
        <v>4.01894434208051</v>
      </c>
      <c r="T530" s="99" t="n">
        <f aca="false">+T527/($F$512*12)</f>
        <v>0</v>
      </c>
      <c r="U530" s="99" t="n">
        <f aca="false">+U527/($F$512*12)</f>
        <v>0</v>
      </c>
      <c r="V530" s="99" t="n">
        <f aca="false">+V527/($F$512*12)</f>
        <v>0</v>
      </c>
      <c r="W530" s="99" t="n">
        <f aca="false">+W527/($F$512*12)</f>
        <v>0</v>
      </c>
      <c r="X530" s="99" t="n">
        <f aca="false">+X527/($F$512*12)</f>
        <v>0</v>
      </c>
      <c r="Y530" s="99" t="n">
        <f aca="false">+Y527/($F$512*12)</f>
        <v>0</v>
      </c>
      <c r="Z530" s="99" t="n">
        <f aca="false">+Z527/($F$512*12)</f>
        <v>0</v>
      </c>
      <c r="AA530" s="99" t="n">
        <f aca="false">+AA527/($F$512*12)</f>
        <v>0</v>
      </c>
      <c r="AB530" s="99" t="n">
        <f aca="false">+AB527/($F$512*12)</f>
        <v>0</v>
      </c>
      <c r="AC530" s="99" t="n">
        <f aca="false">+AC527/($F$512*12)</f>
        <v>0</v>
      </c>
      <c r="AD530" s="99" t="n">
        <f aca="false">+AD527/($F$512*12)</f>
        <v>0</v>
      </c>
      <c r="AE530" s="99" t="n">
        <f aca="false">+AE527/($F$512*12)</f>
        <v>0</v>
      </c>
      <c r="AF530" s="99" t="n">
        <f aca="false">+AF527/($F$512*12)</f>
        <v>0</v>
      </c>
      <c r="AG530" s="99" t="n">
        <f aca="false">+AG527/($F$512*12)</f>
        <v>0</v>
      </c>
      <c r="AH530" s="99" t="n">
        <f aca="false">+AH527/($F$512*12)</f>
        <v>0</v>
      </c>
      <c r="AI530" s="99" t="n">
        <f aca="false">+AI527/($F$512*12)</f>
        <v>0</v>
      </c>
      <c r="AJ530" s="99" t="n">
        <f aca="false">+AJ527/($F$512*12)</f>
        <v>0</v>
      </c>
      <c r="AK530" s="99" t="n">
        <f aca="false">+AK527/($F$512*12)</f>
        <v>0</v>
      </c>
      <c r="AL530" s="99" t="n">
        <f aca="false">+AL527/($F$512*12)</f>
        <v>0</v>
      </c>
      <c r="AM530" s="99" t="n">
        <f aca="false">+AM527/($F$512*12)</f>
        <v>0</v>
      </c>
      <c r="AN530" s="99" t="n">
        <f aca="false">+AN527/($F$512*12)</f>
        <v>0</v>
      </c>
      <c r="AO530" s="99" t="n">
        <f aca="false">+AO527/($F$512*12)</f>
        <v>0</v>
      </c>
      <c r="AP530" s="99" t="n">
        <f aca="false">+AP527/($F$512*12)</f>
        <v>0</v>
      </c>
      <c r="AQ530" s="99" t="n">
        <f aca="false">+AQ527/($F$512*12)</f>
        <v>0</v>
      </c>
      <c r="AR530" s="3"/>
    </row>
    <row r="531" customFormat="false" ht="12.75" hidden="false" customHeight="false" outlineLevel="0" collapsed="false">
      <c r="A531" s="3"/>
      <c r="B531" s="3"/>
      <c r="C531" s="3"/>
      <c r="D531" s="3"/>
      <c r="E531" s="3"/>
      <c r="F531" s="3"/>
      <c r="G531" s="272"/>
      <c r="H531" s="3"/>
      <c r="I531" s="220"/>
      <c r="J531" s="220"/>
      <c r="K531" s="220"/>
      <c r="L531" s="220"/>
      <c r="M531" s="220"/>
      <c r="N531" s="220"/>
      <c r="O531" s="220"/>
      <c r="P531" s="220"/>
      <c r="Q531" s="220"/>
      <c r="R531" s="220"/>
      <c r="S531" s="220"/>
      <c r="T531" s="220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</row>
    <row r="532" customFormat="false" ht="12.75" hidden="false" customHeight="false" outlineLevel="0" collapsed="false">
      <c r="A532" s="3"/>
      <c r="B532" s="3"/>
      <c r="C532" s="3"/>
      <c r="D532" s="3"/>
      <c r="E532" s="3"/>
      <c r="F532" s="3"/>
      <c r="G532" s="272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</row>
    <row r="533" customFormat="false" ht="12.75" hidden="false" customHeight="false" outlineLevel="0" collapsed="false">
      <c r="A533" s="3"/>
      <c r="B533" s="3"/>
      <c r="C533" s="3"/>
      <c r="D533" s="3"/>
      <c r="E533" s="3"/>
      <c r="F533" s="3"/>
      <c r="G533" s="272"/>
      <c r="H533" s="220"/>
      <c r="I533" s="220"/>
      <c r="J533" s="114"/>
      <c r="K533" s="220"/>
      <c r="L533" s="220"/>
      <c r="M533" s="220"/>
      <c r="N533" s="220"/>
      <c r="O533" s="220"/>
      <c r="P533" s="220"/>
      <c r="Q533" s="220"/>
      <c r="R533" s="220"/>
      <c r="S533" s="220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</row>
    <row r="534" customFormat="false" ht="12.75" hidden="false" customHeight="false" outlineLevel="0" collapsed="false">
      <c r="A534" s="3"/>
      <c r="B534" s="3"/>
      <c r="C534" s="3"/>
      <c r="D534" s="3"/>
      <c r="E534" s="3"/>
      <c r="F534" s="3"/>
      <c r="G534" s="272"/>
      <c r="H534" s="3"/>
      <c r="I534" s="3"/>
      <c r="J534" s="164" t="n">
        <f aca="false">+J9</f>
        <v>2003</v>
      </c>
      <c r="K534" s="164" t="n">
        <f aca="false">+K9</f>
        <v>2004</v>
      </c>
      <c r="L534" s="164" t="n">
        <f aca="false">+L9</f>
        <v>2005</v>
      </c>
      <c r="M534" s="164" t="n">
        <f aca="false">+M9</f>
        <v>2006</v>
      </c>
      <c r="N534" s="164" t="n">
        <f aca="false">+N9</f>
        <v>2007</v>
      </c>
      <c r="O534" s="164" t="n">
        <f aca="false">+O9</f>
        <v>2008</v>
      </c>
      <c r="P534" s="164" t="n">
        <f aca="false">+P9</f>
        <v>2009</v>
      </c>
      <c r="Q534" s="164" t="n">
        <f aca="false">+Q9</f>
        <v>2010</v>
      </c>
      <c r="R534" s="164" t="n">
        <f aca="false">+R9</f>
        <v>2011</v>
      </c>
      <c r="S534" s="164" t="n">
        <f aca="false">+S9</f>
        <v>2012</v>
      </c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</row>
    <row r="535" customFormat="false" ht="12.75" hidden="false" customHeight="false" outlineLevel="0" collapsed="false">
      <c r="A535" s="3"/>
      <c r="B535" s="3"/>
      <c r="C535" s="3"/>
      <c r="D535" s="3"/>
      <c r="E535" s="3"/>
      <c r="F535" s="3"/>
      <c r="G535" s="272"/>
      <c r="H535" s="220"/>
      <c r="I535" s="3"/>
      <c r="J535" s="220" t="n">
        <f aca="false">+J35</f>
        <v>29.9517717068529</v>
      </c>
      <c r="K535" s="220" t="n">
        <f aca="false">+K35</f>
        <v>31.5234122576721</v>
      </c>
      <c r="L535" s="220" t="n">
        <f aca="false">+L35</f>
        <v>33.9352290994459</v>
      </c>
      <c r="M535" s="220" t="n">
        <f aca="false">+M35</f>
        <v>35.0920720145232</v>
      </c>
      <c r="N535" s="220" t="n">
        <f aca="false">+N35</f>
        <v>36.9136048518082</v>
      </c>
      <c r="O535" s="220" t="n">
        <f aca="false">+O35</f>
        <v>39.7324111725473</v>
      </c>
      <c r="P535" s="220" t="n">
        <f aca="false">+P35</f>
        <v>40.6123890685507</v>
      </c>
      <c r="Q535" s="220" t="n">
        <f aca="false">+Q35</f>
        <v>41.6594005260721</v>
      </c>
      <c r="R535" s="220" t="n">
        <f aca="false">+R35</f>
        <v>42.8868506404742</v>
      </c>
      <c r="S535" s="220" t="n">
        <f aca="false">+S35</f>
        <v>43.641232880531</v>
      </c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</row>
    <row r="536" customFormat="false" ht="12.75" hidden="false" customHeight="fals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220" t="n">
        <f aca="false">+J45+J523</f>
        <v>40.0852915205103</v>
      </c>
      <c r="K536" s="220" t="n">
        <f aca="false">+K45+K523</f>
        <v>42.0751404130689</v>
      </c>
      <c r="L536" s="220" t="n">
        <f aca="false">+L45+L523</f>
        <v>43.5973112756425</v>
      </c>
      <c r="M536" s="220" t="n">
        <f aca="false">+M45+M523</f>
        <v>45.3747629593251</v>
      </c>
      <c r="N536" s="220" t="n">
        <f aca="false">+N45+N523</f>
        <v>46.6751413113501</v>
      </c>
      <c r="O536" s="220" t="n">
        <f aca="false">+O45+O523</f>
        <v>48.3732507725105</v>
      </c>
      <c r="P536" s="220" t="n">
        <f aca="false">+P45+P523</f>
        <v>50.3440604132406</v>
      </c>
      <c r="Q536" s="220" t="n">
        <f aca="false">+Q45+Q523</f>
        <v>51.354398434049</v>
      </c>
      <c r="R536" s="220" t="n">
        <f aca="false">+R45+R523</f>
        <v>52.5203772175981</v>
      </c>
      <c r="S536" s="220" t="n">
        <f aca="false">+S45+S523</f>
        <v>54.0139860440713</v>
      </c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</row>
    <row r="537" customFormat="false" ht="12.75" hidden="false" customHeight="fals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</row>
    <row r="538" customFormat="false" ht="12.75" hidden="false" customHeight="fals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</row>
    <row r="539" customFormat="false" ht="12.75" hidden="false" customHeight="fals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</row>
    <row r="540" customFormat="false" ht="12.75" hidden="false" customHeight="fals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</row>
    <row r="541" customFormat="false" ht="12.75" hidden="false" customHeight="fals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</row>
    <row r="542" customFormat="false" ht="12.75" hidden="false" customHeight="fals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</row>
    <row r="543" customFormat="false" ht="12.75" hidden="false" customHeight="fals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</row>
    <row r="544" customFormat="false" ht="12.75" hidden="false" customHeight="fals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</row>
    <row r="545" customFormat="false" ht="12.75" hidden="false" customHeight="fals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</row>
    <row r="546" customFormat="false" ht="12.75" hidden="false" customHeight="fals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</row>
    <row r="547" customFormat="false" ht="12.75" hidden="false" customHeight="fals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</row>
    <row r="548" customFormat="false" ht="12.75" hidden="false" customHeight="fals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</row>
    <row r="549" customFormat="false" ht="12.75" hidden="false" customHeight="fals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</row>
    <row r="550" customFormat="false" ht="12.75" hidden="false" customHeight="fals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</row>
    <row r="551" customFormat="false" ht="12.75" hidden="false" customHeight="fals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</row>
    <row r="552" customFormat="false" ht="12.75" hidden="false" customHeight="fals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</row>
    <row r="553" customFormat="false" ht="12.75" hidden="false" customHeight="fals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</row>
    <row r="554" customFormat="false" ht="12.75" hidden="false" customHeight="fals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</row>
    <row r="555" customFormat="false" ht="12.75" hidden="false" customHeight="fals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</row>
    <row r="556" customFormat="false" ht="12.75" hidden="false" customHeight="fals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</row>
    <row r="557" customFormat="false" ht="12.75" hidden="false" customHeight="fals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</row>
    <row r="558" customFormat="false" ht="12.75" hidden="false" customHeight="fals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</row>
    <row r="559" customFormat="false" ht="12.75" hidden="false" customHeight="fals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</row>
    <row r="560" customFormat="false" ht="12.75" hidden="false" customHeight="fals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</row>
    <row r="561" customFormat="false" ht="12.75" hidden="false" customHeight="fals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</row>
    <row r="562" customFormat="false" ht="12.75" hidden="false" customHeight="fals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</row>
    <row r="563" customFormat="false" ht="12.75" hidden="false" customHeight="fals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</row>
    <row r="564" customFormat="false" ht="12.75" hidden="false" customHeight="fals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</row>
    <row r="565" customFormat="false" ht="12.75" hidden="false" customHeight="fals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</row>
    <row r="566" customFormat="false" ht="12.75" hidden="false" customHeight="fals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</row>
    <row r="567" customFormat="false" ht="12.75" hidden="false" customHeight="fals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</row>
    <row r="568" customFormat="false" ht="12.75" hidden="false" customHeight="fals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</row>
    <row r="569" customFormat="false" ht="12.75" hidden="false" customHeight="fals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</row>
    <row r="570" customFormat="false" ht="12.75" hidden="false" customHeight="fals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</row>
    <row r="571" customFormat="false" ht="12.75" hidden="false" customHeight="fals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</row>
    <row r="572" customFormat="false" ht="12.75" hidden="false" customHeight="fals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</row>
    <row r="573" customFormat="false" ht="12.75" hidden="false" customHeight="fals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</row>
    <row r="574" customFormat="false" ht="12.75" hidden="false" customHeight="fals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</row>
    <row r="575" customFormat="false" ht="12.75" hidden="false" customHeight="fals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</row>
    <row r="576" customFormat="false" ht="12.75" hidden="false" customHeight="fals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</row>
    <row r="577" customFormat="false" ht="12.75" hidden="false" customHeight="fals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</row>
    <row r="578" customFormat="false" ht="12.75" hidden="false" customHeight="fals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</row>
    <row r="579" customFormat="false" ht="12.75" hidden="false" customHeight="fals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</row>
    <row r="580" customFormat="false" ht="12.75" hidden="false" customHeight="fals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</row>
    <row r="581" customFormat="false" ht="12.75" hidden="false" customHeight="fals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</row>
    <row r="582" customFormat="false" ht="12.75" hidden="false" customHeight="fals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</row>
    <row r="583" customFormat="false" ht="12.75" hidden="false" customHeight="fals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</row>
    <row r="584" customFormat="false" ht="12.75" hidden="false" customHeight="fals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</row>
    <row r="585" customFormat="false" ht="12.75" hidden="false" customHeight="fals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</row>
    <row r="586" customFormat="false" ht="12.75" hidden="false" customHeight="fals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</row>
    <row r="587" customFormat="false" ht="12.75" hidden="false" customHeight="fals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</row>
    <row r="588" customFormat="false" ht="12.75" hidden="false" customHeight="fals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</row>
    <row r="589" customFormat="false" ht="12.75" hidden="false" customHeight="fals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</row>
    <row r="590" customFormat="false" ht="12.75" hidden="false" customHeight="fals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</row>
    <row r="591" customFormat="false" ht="12.75" hidden="false" customHeight="fals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</row>
    <row r="592" customFormat="false" ht="12.75" hidden="false" customHeight="fals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</row>
    <row r="593" customFormat="false" ht="12.75" hidden="false" customHeight="fals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</row>
    <row r="594" customFormat="false" ht="12.75" hidden="false" customHeight="fals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</row>
    <row r="595" customFormat="false" ht="12.75" hidden="false" customHeight="fals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</row>
    <row r="596" customFormat="false" ht="12.75" hidden="false" customHeight="fals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</row>
    <row r="597" customFormat="false" ht="12.75" hidden="false" customHeight="fals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</row>
    <row r="598" customFormat="false" ht="12.75" hidden="false" customHeight="fals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</row>
    <row r="599" customFormat="false" ht="12.75" hidden="false" customHeight="fals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</row>
    <row r="600" customFormat="false" ht="12.75" hidden="false" customHeight="fals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</row>
    <row r="601" customFormat="false" ht="12.75" hidden="false" customHeight="fals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</row>
    <row r="602" customFormat="false" ht="12.75" hidden="false" customHeight="fals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</row>
    <row r="603" customFormat="false" ht="12.75" hidden="false" customHeight="fals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</row>
    <row r="604" customFormat="false" ht="12.75" hidden="false" customHeight="fals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</row>
    <row r="605" customFormat="false" ht="12.75" hidden="false" customHeight="fals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</row>
    <row r="606" customFormat="false" ht="12.75" hidden="false" customHeight="fals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</row>
    <row r="607" customFormat="false" ht="12.75" hidden="false" customHeight="fals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</row>
    <row r="608" customFormat="false" ht="12.75" hidden="false" customHeight="fals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</row>
    <row r="609" customFormat="false" ht="12.75" hidden="false" customHeight="fals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</row>
    <row r="610" customFormat="false" ht="12.75" hidden="false" customHeight="fals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</row>
    <row r="611" customFormat="false" ht="12.75" hidden="false" customHeight="fals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</row>
    <row r="612" customFormat="false" ht="12.75" hidden="false" customHeight="fals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</row>
    <row r="613" customFormat="false" ht="12.75" hidden="false" customHeight="fals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</row>
    <row r="614" customFormat="false" ht="12.75" hidden="false" customHeight="fals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</row>
    <row r="615" customFormat="false" ht="12.75" hidden="false" customHeight="fals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</row>
    <row r="616" customFormat="false" ht="12.75" hidden="false" customHeight="fals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</row>
    <row r="617" customFormat="false" ht="12.75" hidden="false" customHeight="fals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</row>
    <row r="618" customFormat="false" ht="12.75" hidden="false" customHeight="fals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</row>
    <row r="619" customFormat="false" ht="12.75" hidden="false" customHeight="fals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</row>
    <row r="620" customFormat="false" ht="12.75" hidden="false" customHeight="fals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</row>
    <row r="621" customFormat="false" ht="12.75" hidden="false" customHeight="fals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</row>
    <row r="622" customFormat="false" ht="12.75" hidden="false" customHeight="fals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</row>
    <row r="623" customFormat="false" ht="12.75" hidden="false" customHeight="fals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</row>
    <row r="624" customFormat="false" ht="12.75" hidden="false" customHeight="fals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</row>
    <row r="625" customFormat="false" ht="12.75" hidden="false" customHeight="fals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</row>
    <row r="626" customFormat="false" ht="12.75" hidden="false" customHeight="fals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</row>
    <row r="627" customFormat="false" ht="12.75" hidden="false" customHeight="fals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</row>
    <row r="628" customFormat="false" ht="12.75" hidden="false" customHeight="fals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</row>
    <row r="629" customFormat="false" ht="12.75" hidden="false" customHeight="fals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</row>
    <row r="630" customFormat="false" ht="12.75" hidden="false" customHeight="fals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</row>
    <row r="631" customFormat="false" ht="12.75" hidden="false" customHeight="fals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</row>
    <row r="632" customFormat="false" ht="12.75" hidden="false" customHeight="fals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</row>
    <row r="633" customFormat="false" ht="12.75" hidden="false" customHeight="fals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</row>
    <row r="634" customFormat="false" ht="12.75" hidden="false" customHeight="fals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</row>
    <row r="635" customFormat="false" ht="12.75" hidden="false" customHeight="fals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</row>
    <row r="636" customFormat="false" ht="12.75" hidden="false" customHeight="fals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</row>
    <row r="637" customFormat="false" ht="12.75" hidden="false" customHeight="fals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</row>
    <row r="638" customFormat="false" ht="12.75" hidden="false" customHeight="fals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</row>
    <row r="639" customFormat="false" ht="12.75" hidden="false" customHeight="fals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</row>
    <row r="640" customFormat="false" ht="12.75" hidden="false" customHeight="fals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</row>
    <row r="641" customFormat="false" ht="12.75" hidden="false" customHeight="fals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</row>
    <row r="642" customFormat="false" ht="12.75" hidden="false" customHeight="fals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</row>
    <row r="643" customFormat="false" ht="12.75" hidden="false" customHeight="fals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</row>
    <row r="644" customFormat="false" ht="12.75" hidden="false" customHeight="fals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</row>
    <row r="645" customFormat="false" ht="12.75" hidden="false" customHeight="fals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</row>
    <row r="646" customFormat="false" ht="12.75" hidden="false" customHeight="fals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</row>
    <row r="647" customFormat="false" ht="12.75" hidden="false" customHeight="fals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</row>
    <row r="648" customFormat="false" ht="12.75" hidden="false" customHeight="fals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</row>
    <row r="649" customFormat="false" ht="12.75" hidden="false" customHeight="fals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</row>
    <row r="650" customFormat="false" ht="12.75" hidden="false" customHeight="fals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</row>
    <row r="651" customFormat="false" ht="12.75" hidden="false" customHeight="fals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</row>
    <row r="652" customFormat="false" ht="12.75" hidden="false" customHeight="fals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</row>
    <row r="653" customFormat="false" ht="12.75" hidden="false" customHeight="fals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</row>
    <row r="654" customFormat="false" ht="12.75" hidden="false" customHeight="fals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</row>
    <row r="655" customFormat="false" ht="12.75" hidden="false" customHeight="fals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</row>
    <row r="656" customFormat="false" ht="12.75" hidden="false" customHeight="fals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</row>
    <row r="657" customFormat="false" ht="12.75" hidden="false" customHeight="fals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</row>
    <row r="658" customFormat="false" ht="12.75" hidden="false" customHeight="fals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</row>
    <row r="659" customFormat="false" ht="12.75" hidden="false" customHeight="fals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</row>
    <row r="660" customFormat="false" ht="12.75" hidden="false" customHeight="fals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</row>
    <row r="661" customFormat="false" ht="12.75" hidden="false" customHeight="fals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</row>
    <row r="662" customFormat="false" ht="12.75" hidden="false" customHeight="fals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</row>
    <row r="663" customFormat="false" ht="12.75" hidden="false" customHeight="fals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</row>
    <row r="664" customFormat="false" ht="12.75" hidden="false" customHeight="fals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</row>
    <row r="665" customFormat="false" ht="12.75" hidden="false" customHeight="fals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</row>
    <row r="666" customFormat="false" ht="12.75" hidden="false" customHeight="fals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</row>
    <row r="667" customFormat="false" ht="12.75" hidden="false" customHeight="fals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</row>
    <row r="668" customFormat="false" ht="12.75" hidden="false" customHeight="fals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</row>
    <row r="669" customFormat="false" ht="12.75" hidden="false" customHeight="fals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</row>
    <row r="670" customFormat="false" ht="12.75" hidden="false" customHeight="fals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</row>
    <row r="671" customFormat="false" ht="12.75" hidden="false" customHeight="fals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</row>
    <row r="672" customFormat="false" ht="12.75" hidden="false" customHeight="fals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</row>
    <row r="673" customFormat="false" ht="12.75" hidden="false" customHeight="fals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</row>
    <row r="674" customFormat="false" ht="12.75" hidden="false" customHeight="fals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</row>
    <row r="675" customFormat="false" ht="12.75" hidden="false" customHeight="fals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</row>
    <row r="676" customFormat="false" ht="12.75" hidden="false" customHeight="fals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</row>
    <row r="677" customFormat="false" ht="12.75" hidden="false" customHeight="fals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</row>
    <row r="678" customFormat="false" ht="12.75" hidden="false" customHeight="fals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</row>
    <row r="679" customFormat="false" ht="12.75" hidden="false" customHeight="fals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</row>
    <row r="680" customFormat="false" ht="12.75" hidden="false" customHeight="fals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</row>
    <row r="681" customFormat="false" ht="12.75" hidden="false" customHeight="fals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</row>
    <row r="682" customFormat="false" ht="12.75" hidden="false" customHeight="fals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</row>
    <row r="683" customFormat="false" ht="12.75" hidden="false" customHeight="fals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</row>
    <row r="684" customFormat="false" ht="12.75" hidden="false" customHeight="fals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</row>
    <row r="685" customFormat="false" ht="12.75" hidden="false" customHeight="fals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</row>
    <row r="686" customFormat="false" ht="12.75" hidden="false" customHeight="fals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</row>
    <row r="687" customFormat="false" ht="12.75" hidden="false" customHeight="fals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</row>
    <row r="688" customFormat="false" ht="12.75" hidden="false" customHeight="fals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</row>
    <row r="689" customFormat="false" ht="12.75" hidden="false" customHeight="fals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</row>
    <row r="690" customFormat="false" ht="12.75" hidden="false" customHeight="fals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</row>
    <row r="691" customFormat="false" ht="12.75" hidden="false" customHeight="fals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</row>
    <row r="692" customFormat="false" ht="12.75" hidden="false" customHeight="fals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</row>
    <row r="693" customFormat="false" ht="12.75" hidden="false" customHeight="fals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</row>
    <row r="694" customFormat="false" ht="12.75" hidden="false" customHeight="fals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</row>
    <row r="695" customFormat="false" ht="12.75" hidden="false" customHeight="fals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</row>
    <row r="696" customFormat="false" ht="12.75" hidden="false" customHeight="fals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</row>
    <row r="697" customFormat="false" ht="12.75" hidden="false" customHeight="fals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</row>
    <row r="698" customFormat="false" ht="12.75" hidden="false" customHeight="fals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</row>
    <row r="699" customFormat="false" ht="12.75" hidden="false" customHeight="fals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</row>
    <row r="700" customFormat="false" ht="12.75" hidden="false" customHeight="fals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</row>
    <row r="701" customFormat="false" ht="12.75" hidden="false" customHeight="fals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</row>
    <row r="702" customFormat="false" ht="12.75" hidden="false" customHeight="fals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</row>
    <row r="703" customFormat="false" ht="12.75" hidden="false" customHeight="fals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</row>
    <row r="704" customFormat="false" ht="12.75" hidden="false" customHeight="fals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</row>
    <row r="705" customFormat="false" ht="12.75" hidden="false" customHeight="fals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</row>
    <row r="706" customFormat="false" ht="12.75" hidden="false" customHeight="fals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</row>
    <row r="707" customFormat="false" ht="12.75" hidden="false" customHeight="fals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</row>
    <row r="708" customFormat="false" ht="12.75" hidden="false" customHeight="fals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</row>
    <row r="709" customFormat="false" ht="12.75" hidden="false" customHeight="fals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</row>
    <row r="710" customFormat="false" ht="12.75" hidden="false" customHeight="fals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</row>
    <row r="711" customFormat="false" ht="12.75" hidden="false" customHeight="fals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</row>
    <row r="712" customFormat="false" ht="12.75" hidden="false" customHeight="fals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</row>
    <row r="713" customFormat="false" ht="12.75" hidden="false" customHeight="fals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</row>
    <row r="714" customFormat="false" ht="12.75" hidden="false" customHeight="fals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</row>
    <row r="715" customFormat="false" ht="12.75" hidden="false" customHeight="fals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</row>
    <row r="716" customFormat="false" ht="12.75" hidden="false" customHeight="fals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</row>
    <row r="717" customFormat="false" ht="12.75" hidden="false" customHeight="fals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</row>
    <row r="718" customFormat="false" ht="12.75" hidden="false" customHeight="fals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</row>
    <row r="719" customFormat="false" ht="12.75" hidden="false" customHeight="fals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</row>
    <row r="720" customFormat="false" ht="12.75" hidden="false" customHeight="fals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</row>
    <row r="721" customFormat="false" ht="12.75" hidden="false" customHeight="fals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</row>
    <row r="722" customFormat="false" ht="12.75" hidden="false" customHeight="fals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</row>
    <row r="723" customFormat="false" ht="12.75" hidden="false" customHeight="fals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</row>
    <row r="724" customFormat="false" ht="12.75" hidden="false" customHeight="fals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</row>
    <row r="725" customFormat="false" ht="12.75" hidden="false" customHeight="fals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</row>
    <row r="726" customFormat="false" ht="12.75" hidden="false" customHeight="fals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</row>
    <row r="727" customFormat="false" ht="12.75" hidden="false" customHeight="fals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</row>
    <row r="728" customFormat="false" ht="12.75" hidden="false" customHeight="fals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</row>
    <row r="729" customFormat="false" ht="12.75" hidden="false" customHeight="fals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</row>
    <row r="730" customFormat="false" ht="12.75" hidden="false" customHeight="fals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</row>
    <row r="731" customFormat="false" ht="12.75" hidden="false" customHeight="fals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</row>
    <row r="732" customFormat="false" ht="12.75" hidden="false" customHeight="fals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</row>
    <row r="733" customFormat="false" ht="12.75" hidden="false" customHeight="fals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</row>
    <row r="734" customFormat="false" ht="12.75" hidden="false" customHeight="fals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</row>
    <row r="735" customFormat="false" ht="12.75" hidden="false" customHeight="fals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</row>
    <row r="736" customFormat="false" ht="12.75" hidden="false" customHeight="fals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</row>
    <row r="737" customFormat="false" ht="12.75" hidden="false" customHeight="fals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</row>
    <row r="738" customFormat="false" ht="12.75" hidden="false" customHeight="fals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</row>
    <row r="739" customFormat="false" ht="12.75" hidden="false" customHeight="fals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</row>
    <row r="740" customFormat="false" ht="12.75" hidden="false" customHeight="fals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</row>
    <row r="741" customFormat="false" ht="12.75" hidden="false" customHeight="fals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</row>
    <row r="742" customFormat="false" ht="12.75" hidden="false" customHeight="fals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</row>
    <row r="743" customFormat="false" ht="12.75" hidden="false" customHeight="fals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</row>
    <row r="744" customFormat="false" ht="12.75" hidden="false" customHeight="fals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</row>
    <row r="745" customFormat="false" ht="12.75" hidden="false" customHeight="fals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</row>
    <row r="746" customFormat="false" ht="12.75" hidden="false" customHeight="fals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</row>
    <row r="747" customFormat="false" ht="12.75" hidden="false" customHeight="fals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</row>
    <row r="748" customFormat="false" ht="12.75" hidden="false" customHeight="fals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</row>
    <row r="749" customFormat="false" ht="12.75" hidden="false" customHeight="fals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</row>
    <row r="750" customFormat="false" ht="12.75" hidden="false" customHeight="fals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</row>
    <row r="751" customFormat="false" ht="12.75" hidden="false" customHeight="fals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</row>
    <row r="752" customFormat="false" ht="12.75" hidden="false" customHeight="fals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</row>
    <row r="753" customFormat="false" ht="12.75" hidden="false" customHeight="fals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</row>
    <row r="754" customFormat="false" ht="12.75" hidden="false" customHeight="fals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</row>
    <row r="755" customFormat="false" ht="12.75" hidden="false" customHeight="fals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</row>
    <row r="756" customFormat="false" ht="12.75" hidden="false" customHeight="fals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</row>
    <row r="757" customFormat="false" ht="12.75" hidden="false" customHeight="fals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</row>
    <row r="758" customFormat="false" ht="12.75" hidden="false" customHeight="fals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</row>
    <row r="759" customFormat="false" ht="12.75" hidden="false" customHeight="fals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</row>
    <row r="760" customFormat="false" ht="12.75" hidden="false" customHeight="fals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</row>
    <row r="761" customFormat="false" ht="12.75" hidden="false" customHeight="fals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</row>
    <row r="762" customFormat="false" ht="12.75" hidden="false" customHeight="fals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</row>
    <row r="763" customFormat="false" ht="12.75" hidden="false" customHeight="fals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</row>
    <row r="764" customFormat="false" ht="12.75" hidden="false" customHeight="fals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</row>
    <row r="765" customFormat="false" ht="12.75" hidden="false" customHeight="fals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</row>
    <row r="766" customFormat="false" ht="12.75" hidden="false" customHeight="fals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</row>
    <row r="767" customFormat="false" ht="12.75" hidden="false" customHeight="fals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</row>
    <row r="768" customFormat="false" ht="12.75" hidden="false" customHeight="fals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</row>
    <row r="769" customFormat="false" ht="12.75" hidden="false" customHeight="fals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</row>
    <row r="770" customFormat="false" ht="12.75" hidden="false" customHeight="fals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</row>
    <row r="771" customFormat="false" ht="12.75" hidden="false" customHeight="fals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</row>
    <row r="772" customFormat="false" ht="12.75" hidden="false" customHeight="fals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</row>
    <row r="773" customFormat="false" ht="12.75" hidden="false" customHeight="fals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</row>
    <row r="774" customFormat="false" ht="12.75" hidden="false" customHeight="fals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</row>
    <row r="775" customFormat="false" ht="12.75" hidden="false" customHeight="fals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</row>
    <row r="776" customFormat="false" ht="12.75" hidden="false" customHeight="fals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</row>
    <row r="777" customFormat="false" ht="12.75" hidden="false" customHeight="fals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</row>
    <row r="778" customFormat="false" ht="12.75" hidden="false" customHeight="fals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</row>
    <row r="779" customFormat="false" ht="12.75" hidden="false" customHeight="fals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</row>
    <row r="780" customFormat="false" ht="12.75" hidden="false" customHeight="fals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</row>
    <row r="781" customFormat="false" ht="12.75" hidden="false" customHeight="fals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</row>
    <row r="782" customFormat="false" ht="12.75" hidden="false" customHeight="fals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</row>
    <row r="783" customFormat="false" ht="12.75" hidden="false" customHeight="fals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</row>
    <row r="784" customFormat="false" ht="12.75" hidden="false" customHeight="fals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</row>
    <row r="785" customFormat="false" ht="12.75" hidden="false" customHeight="fals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</row>
    <row r="786" customFormat="false" ht="12.75" hidden="false" customHeight="fals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</row>
    <row r="787" customFormat="false" ht="12.75" hidden="false" customHeight="fals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</row>
    <row r="788" customFormat="false" ht="12.75" hidden="false" customHeight="fals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</row>
    <row r="789" customFormat="false" ht="12.75" hidden="false" customHeight="fals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</row>
    <row r="790" customFormat="false" ht="12.75" hidden="false" customHeight="fals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</row>
    <row r="791" customFormat="false" ht="12.75" hidden="false" customHeight="fals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</row>
    <row r="792" customFormat="false" ht="12.75" hidden="false" customHeight="fals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</row>
    <row r="793" customFormat="false" ht="12.75" hidden="false" customHeight="fals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</row>
    <row r="794" customFormat="false" ht="12.75" hidden="false" customHeight="fals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</row>
    <row r="795" customFormat="false" ht="12.75" hidden="false" customHeight="fals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</row>
    <row r="796" customFormat="false" ht="12.75" hidden="false" customHeight="fals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</row>
    <row r="797" customFormat="false" ht="12.75" hidden="false" customHeight="fals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</row>
    <row r="798" customFormat="false" ht="12.75" hidden="false" customHeight="fals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</row>
    <row r="799" customFormat="false" ht="12.75" hidden="false" customHeight="fals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</row>
    <row r="800" customFormat="false" ht="12.75" hidden="false" customHeight="fals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</row>
    <row r="801" customFormat="false" ht="12.75" hidden="false" customHeight="fals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</row>
    <row r="802" customFormat="false" ht="12.75" hidden="false" customHeight="fals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</row>
    <row r="803" customFormat="false" ht="12.75" hidden="false" customHeight="fals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</row>
    <row r="804" customFormat="false" ht="12.75" hidden="false" customHeight="fals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</row>
    <row r="805" customFormat="false" ht="12.75" hidden="false" customHeight="fals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</row>
    <row r="806" customFormat="false" ht="12.75" hidden="false" customHeight="fals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</row>
    <row r="807" customFormat="false" ht="12.75" hidden="false" customHeight="fals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</row>
    <row r="808" customFormat="false" ht="12.75" hidden="false" customHeight="fals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</row>
    <row r="809" customFormat="false" ht="12.75" hidden="false" customHeight="fals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</row>
    <row r="810" customFormat="false" ht="12.75" hidden="false" customHeight="fals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</row>
    <row r="811" customFormat="false" ht="12.75" hidden="false" customHeight="fals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</row>
    <row r="812" customFormat="false" ht="12.75" hidden="false" customHeight="fals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</row>
    <row r="813" customFormat="false" ht="12.75" hidden="false" customHeight="fals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</row>
    <row r="814" customFormat="false" ht="12.75" hidden="false" customHeight="fals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</row>
    <row r="815" customFormat="false" ht="12.75" hidden="false" customHeight="fals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</row>
    <row r="816" customFormat="false" ht="12.75" hidden="false" customHeight="fals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</row>
    <row r="817" customFormat="false" ht="12.75" hidden="false" customHeight="fals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</row>
    <row r="818" customFormat="false" ht="12.75" hidden="false" customHeight="fals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</row>
    <row r="819" customFormat="false" ht="12.75" hidden="false" customHeight="fals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</row>
    <row r="820" customFormat="false" ht="12.75" hidden="false" customHeight="fals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</row>
    <row r="821" customFormat="false" ht="12.75" hidden="false" customHeight="fals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</row>
    <row r="822" customFormat="false" ht="12.75" hidden="false" customHeight="fals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</row>
    <row r="823" customFormat="false" ht="12.75" hidden="false" customHeight="fals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</row>
    <row r="824" customFormat="false" ht="12.75" hidden="false" customHeight="fals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</row>
    <row r="825" customFormat="false" ht="12.75" hidden="false" customHeight="fals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</row>
    <row r="826" customFormat="false" ht="12.75" hidden="false" customHeight="fals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</row>
    <row r="827" customFormat="false" ht="12.75" hidden="false" customHeight="fals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</row>
    <row r="828" customFormat="false" ht="12.75" hidden="false" customHeight="fals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</row>
    <row r="829" customFormat="false" ht="12.75" hidden="false" customHeight="fals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</row>
    <row r="830" customFormat="false" ht="12.75" hidden="false" customHeight="fals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</row>
    <row r="831" customFormat="false" ht="12.75" hidden="false" customHeight="fals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</row>
    <row r="832" customFormat="false" ht="12.75" hidden="false" customHeight="fals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</row>
    <row r="833" customFormat="false" ht="12.75" hidden="false" customHeight="fals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</row>
    <row r="834" customFormat="false" ht="12.75" hidden="false" customHeight="fals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</row>
    <row r="835" customFormat="false" ht="12.75" hidden="false" customHeight="fals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</row>
    <row r="836" customFormat="false" ht="12.75" hidden="false" customHeight="fals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</row>
    <row r="837" customFormat="false" ht="12.75" hidden="false" customHeight="fals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</row>
    <row r="838" customFormat="false" ht="12.75" hidden="false" customHeight="fals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</row>
    <row r="839" customFormat="false" ht="12.75" hidden="false" customHeight="fals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</row>
    <row r="840" customFormat="false" ht="12.75" hidden="false" customHeight="fals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</row>
    <row r="841" customFormat="false" ht="12.75" hidden="false" customHeight="fals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</row>
    <row r="842" customFormat="false" ht="12.75" hidden="false" customHeight="fals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</row>
    <row r="843" customFormat="false" ht="12.75" hidden="false" customHeight="fals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</row>
    <row r="844" customFormat="false" ht="12.75" hidden="false" customHeight="fals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</row>
    <row r="845" customFormat="false" ht="12.75" hidden="false" customHeight="fals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</row>
    <row r="846" customFormat="false" ht="12.75" hidden="false" customHeight="fals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</row>
    <row r="847" customFormat="false" ht="12.75" hidden="false" customHeight="fals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</row>
    <row r="848" customFormat="false" ht="12.75" hidden="false" customHeight="fals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</row>
    <row r="849" customFormat="false" ht="12.75" hidden="false" customHeight="fals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</row>
    <row r="850" customFormat="false" ht="12.75" hidden="false" customHeight="fals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</row>
    <row r="851" customFormat="false" ht="12.75" hidden="false" customHeight="fals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</row>
    <row r="852" customFormat="false" ht="12.75" hidden="false" customHeight="fals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</row>
    <row r="853" customFormat="false" ht="12.75" hidden="false" customHeight="fals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</row>
    <row r="854" customFormat="false" ht="12.75" hidden="false" customHeight="fals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</row>
    <row r="855" customFormat="false" ht="12.75" hidden="false" customHeight="fals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</row>
    <row r="856" customFormat="false" ht="12.75" hidden="false" customHeight="fals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</row>
    <row r="857" customFormat="false" ht="12.75" hidden="false" customHeight="fals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</row>
    <row r="858" customFormat="false" ht="12.75" hidden="false" customHeight="fals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</row>
    <row r="859" customFormat="false" ht="12.75" hidden="false" customHeight="fals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</row>
    <row r="860" customFormat="false" ht="12.75" hidden="false" customHeight="fals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</row>
    <row r="861" customFormat="false" ht="12.75" hidden="false" customHeight="fals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</row>
    <row r="862" customFormat="false" ht="12.75" hidden="false" customHeight="fals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</row>
    <row r="863" customFormat="false" ht="12.75" hidden="false" customHeight="fals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</row>
    <row r="864" customFormat="false" ht="12.75" hidden="false" customHeight="fals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</row>
    <row r="865" customFormat="false" ht="12.75" hidden="false" customHeight="fals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</row>
    <row r="866" customFormat="false" ht="12.75" hidden="false" customHeight="fals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</row>
    <row r="867" customFormat="false" ht="12.75" hidden="false" customHeight="fals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</row>
    <row r="868" customFormat="false" ht="12.75" hidden="false" customHeight="fals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</row>
    <row r="869" customFormat="false" ht="12.75" hidden="false" customHeight="fals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</row>
    <row r="870" customFormat="false" ht="12.75" hidden="false" customHeight="false" outlineLevel="0" collapsed="false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</row>
    <row r="871" customFormat="false" ht="12.75" hidden="false" customHeight="false" outlineLevel="0" collapsed="false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</row>
    <row r="872" customFormat="false" ht="12.75" hidden="false" customHeight="false" outlineLevel="0" collapsed="false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</row>
    <row r="873" customFormat="false" ht="12.75" hidden="false" customHeight="false" outlineLevel="0" collapsed="false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</row>
    <row r="874" customFormat="false" ht="12.75" hidden="false" customHeight="false" outlineLevel="0" collapsed="false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</row>
    <row r="875" customFormat="false" ht="12.75" hidden="false" customHeight="false" outlineLevel="0" collapsed="false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</row>
    <row r="876" customFormat="false" ht="12.75" hidden="false" customHeight="false" outlineLevel="0" collapsed="false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</row>
    <row r="877" customFormat="false" ht="12.75" hidden="false" customHeight="false" outlineLevel="0" collapsed="false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</row>
    <row r="878" customFormat="false" ht="12.75" hidden="false" customHeight="false" outlineLevel="0" collapsed="false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</row>
    <row r="879" customFormat="false" ht="12.75" hidden="false" customHeight="false" outlineLevel="0" collapsed="false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</row>
    <row r="880" customFormat="false" ht="12.75" hidden="false" customHeight="false" outlineLevel="0" collapsed="false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</row>
    <row r="881" customFormat="false" ht="12.75" hidden="false" customHeight="false" outlineLevel="0" collapsed="false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</row>
    <row r="882" customFormat="false" ht="12.75" hidden="false" customHeight="false" outlineLevel="0" collapsed="false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</row>
    <row r="883" customFormat="false" ht="12.75" hidden="false" customHeight="false" outlineLevel="0" collapsed="false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</row>
    <row r="884" customFormat="false" ht="12.75" hidden="false" customHeight="false" outlineLevel="0" collapsed="false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</row>
    <row r="885" customFormat="false" ht="12.75" hidden="false" customHeight="false" outlineLevel="0" collapsed="false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</row>
    <row r="886" customFormat="false" ht="12.75" hidden="false" customHeight="false" outlineLevel="0" collapsed="false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</row>
    <row r="887" customFormat="false" ht="12.75" hidden="false" customHeight="false" outlineLevel="0" collapsed="false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</row>
    <row r="888" customFormat="false" ht="12.75" hidden="false" customHeight="false" outlineLevel="0" collapsed="false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</row>
    <row r="889" customFormat="false" ht="12.75" hidden="false" customHeight="false" outlineLevel="0" collapsed="false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</row>
    <row r="890" customFormat="false" ht="12.75" hidden="false" customHeight="false" outlineLevel="0" collapsed="false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</row>
    <row r="891" customFormat="false" ht="12.75" hidden="false" customHeight="false" outlineLevel="0" collapsed="false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</row>
    <row r="892" customFormat="false" ht="12.75" hidden="false" customHeight="false" outlineLevel="0" collapsed="false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</row>
    <row r="893" customFormat="false" ht="12.75" hidden="false" customHeight="false" outlineLevel="0" collapsed="false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</row>
    <row r="894" customFormat="false" ht="12.75" hidden="false" customHeight="false" outlineLevel="0" collapsed="false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</row>
    <row r="895" customFormat="false" ht="12.75" hidden="false" customHeight="false" outlineLevel="0" collapsed="false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</row>
    <row r="896" customFormat="false" ht="12.75" hidden="false" customHeight="false" outlineLevel="0" collapsed="false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</row>
    <row r="897" customFormat="false" ht="12.75" hidden="false" customHeight="false" outlineLevel="0" collapsed="false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</row>
    <row r="898" customFormat="false" ht="12.75" hidden="false" customHeight="false" outlineLevel="0" collapsed="false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</row>
    <row r="899" customFormat="false" ht="12.75" hidden="false" customHeight="false" outlineLevel="0" collapsed="false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</row>
    <row r="900" customFormat="false" ht="12.75" hidden="false" customHeight="false" outlineLevel="0" collapsed="false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</row>
    <row r="901" customFormat="false" ht="12.75" hidden="false" customHeight="false" outlineLevel="0" collapsed="false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</row>
    <row r="902" customFormat="false" ht="12.75" hidden="false" customHeight="false" outlineLevel="0" collapsed="false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</row>
    <row r="903" customFormat="false" ht="12.75" hidden="false" customHeight="false" outlineLevel="0" collapsed="false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</row>
    <row r="904" customFormat="false" ht="12.75" hidden="false" customHeight="false" outlineLevel="0" collapsed="false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</row>
    <row r="905" customFormat="false" ht="12.75" hidden="false" customHeight="false" outlineLevel="0" collapsed="false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</row>
    <row r="906" customFormat="false" ht="12.75" hidden="false" customHeight="false" outlineLevel="0" collapsed="false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</row>
    <row r="907" customFormat="false" ht="12.75" hidden="false" customHeight="false" outlineLevel="0" collapsed="false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</row>
    <row r="908" customFormat="false" ht="12.75" hidden="false" customHeight="false" outlineLevel="0" collapsed="false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</row>
    <row r="909" customFormat="false" ht="12.75" hidden="false" customHeight="false" outlineLevel="0" collapsed="false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</row>
    <row r="910" customFormat="false" ht="12.75" hidden="false" customHeight="false" outlineLevel="0" collapsed="false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</row>
    <row r="911" customFormat="false" ht="12.75" hidden="false" customHeight="false" outlineLevel="0" collapsed="false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</row>
    <row r="912" customFormat="false" ht="12.75" hidden="false" customHeight="false" outlineLevel="0" collapsed="false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</row>
    <row r="913" customFormat="false" ht="12.75" hidden="false" customHeight="false" outlineLevel="0" collapsed="false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</row>
    <row r="914" customFormat="false" ht="12.75" hidden="false" customHeight="false" outlineLevel="0" collapsed="false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</row>
    <row r="915" customFormat="false" ht="12.75" hidden="false" customHeight="false" outlineLevel="0" collapsed="false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</row>
    <row r="916" customFormat="false" ht="12.75" hidden="false" customHeight="false" outlineLevel="0" collapsed="false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</row>
    <row r="917" customFormat="false" ht="12.75" hidden="false" customHeight="false" outlineLevel="0" collapsed="false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</row>
    <row r="918" customFormat="false" ht="12.75" hidden="false" customHeight="false" outlineLevel="0" collapsed="false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</row>
    <row r="919" customFormat="false" ht="12.75" hidden="false" customHeight="false" outlineLevel="0" collapsed="false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</row>
    <row r="920" customFormat="false" ht="12.75" hidden="false" customHeight="false" outlineLevel="0" collapsed="false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</row>
    <row r="921" customFormat="false" ht="12.75" hidden="false" customHeight="false" outlineLevel="0" collapsed="false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</row>
    <row r="922" customFormat="false" ht="12.75" hidden="false" customHeight="false" outlineLevel="0" collapsed="false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</row>
    <row r="923" customFormat="false" ht="12.75" hidden="false" customHeight="false" outlineLevel="0" collapsed="false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</row>
    <row r="924" customFormat="false" ht="12.75" hidden="false" customHeight="false" outlineLevel="0" collapsed="false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</row>
    <row r="925" customFormat="false" ht="12.75" hidden="false" customHeight="false" outlineLevel="0" collapsed="false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</row>
    <row r="926" customFormat="false" ht="12.75" hidden="false" customHeight="false" outlineLevel="0" collapsed="false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</row>
    <row r="927" customFormat="false" ht="12.75" hidden="false" customHeight="false" outlineLevel="0" collapsed="false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</row>
    <row r="928" customFormat="false" ht="12.75" hidden="false" customHeight="false" outlineLevel="0" collapsed="false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</row>
    <row r="929" customFormat="false" ht="12.75" hidden="false" customHeight="false" outlineLevel="0" collapsed="false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</row>
    <row r="930" customFormat="false" ht="12.75" hidden="false" customHeight="false" outlineLevel="0" collapsed="false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</row>
    <row r="931" customFormat="false" ht="12.75" hidden="false" customHeight="false" outlineLevel="0" collapsed="false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</row>
    <row r="932" customFormat="false" ht="12.75" hidden="false" customHeight="false" outlineLevel="0" collapsed="false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</row>
    <row r="933" customFormat="false" ht="12.75" hidden="false" customHeight="false" outlineLevel="0" collapsed="false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</row>
    <row r="934" customFormat="false" ht="12.75" hidden="false" customHeight="false" outlineLevel="0" collapsed="false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</row>
    <row r="935" customFormat="false" ht="12.75" hidden="false" customHeight="false" outlineLevel="0" collapsed="false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</row>
    <row r="936" customFormat="false" ht="12.75" hidden="false" customHeight="false" outlineLevel="0" collapsed="false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</row>
    <row r="937" customFormat="false" ht="12.75" hidden="false" customHeight="false" outlineLevel="0" collapsed="false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</row>
    <row r="938" customFormat="false" ht="12.75" hidden="false" customHeight="false" outlineLevel="0" collapsed="false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</row>
    <row r="939" customFormat="false" ht="12.75" hidden="false" customHeight="false" outlineLevel="0" collapsed="false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</row>
    <row r="940" customFormat="false" ht="12.75" hidden="false" customHeight="false" outlineLevel="0" collapsed="false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</row>
    <row r="941" customFormat="false" ht="12.75" hidden="false" customHeight="false" outlineLevel="0" collapsed="false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</row>
    <row r="942" customFormat="false" ht="12.75" hidden="false" customHeight="false" outlineLevel="0" collapsed="false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</row>
    <row r="943" customFormat="false" ht="12.75" hidden="false" customHeight="false" outlineLevel="0" collapsed="false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</row>
    <row r="944" customFormat="false" ht="12.75" hidden="false" customHeight="false" outlineLevel="0" collapsed="false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</row>
    <row r="945" customFormat="false" ht="12.75" hidden="false" customHeight="false" outlineLevel="0" collapsed="false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</row>
    <row r="946" customFormat="false" ht="12.75" hidden="false" customHeight="false" outlineLevel="0" collapsed="false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</row>
    <row r="947" customFormat="false" ht="12.75" hidden="false" customHeight="false" outlineLevel="0" collapsed="false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</row>
    <row r="948" customFormat="false" ht="12.75" hidden="false" customHeight="false" outlineLevel="0" collapsed="false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</row>
    <row r="949" customFormat="false" ht="12.75" hidden="false" customHeight="false" outlineLevel="0" collapsed="false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</row>
    <row r="950" customFormat="false" ht="12.75" hidden="false" customHeight="false" outlineLevel="0" collapsed="false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</row>
    <row r="951" customFormat="false" ht="12.75" hidden="false" customHeight="false" outlineLevel="0" collapsed="false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</row>
    <row r="952" customFormat="false" ht="12.75" hidden="false" customHeight="false" outlineLevel="0" collapsed="false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</row>
    <row r="953" customFormat="false" ht="12.75" hidden="false" customHeight="false" outlineLevel="0" collapsed="false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</row>
    <row r="954" customFormat="false" ht="12.75" hidden="false" customHeight="false" outlineLevel="0" collapsed="false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</row>
    <row r="955" customFormat="false" ht="12.75" hidden="false" customHeight="false" outlineLevel="0" collapsed="false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</row>
    <row r="956" customFormat="false" ht="12.75" hidden="false" customHeight="false" outlineLevel="0" collapsed="false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</row>
    <row r="957" customFormat="false" ht="12.75" hidden="false" customHeight="false" outlineLevel="0" collapsed="false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</row>
    <row r="958" customFormat="false" ht="12.75" hidden="false" customHeight="false" outlineLevel="0" collapsed="false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</row>
    <row r="959" customFormat="false" ht="12.75" hidden="false" customHeight="false" outlineLevel="0" collapsed="false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</row>
    <row r="960" customFormat="false" ht="12.75" hidden="false" customHeight="false" outlineLevel="0" collapsed="false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</row>
    <row r="961" customFormat="false" ht="12.75" hidden="false" customHeight="false" outlineLevel="0" collapsed="false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</row>
    <row r="962" customFormat="false" ht="12.75" hidden="false" customHeight="false" outlineLevel="0" collapsed="false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</row>
    <row r="963" customFormat="false" ht="12.75" hidden="false" customHeight="false" outlineLevel="0" collapsed="false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</row>
    <row r="964" customFormat="false" ht="12.75" hidden="false" customHeight="false" outlineLevel="0" collapsed="false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</row>
    <row r="965" customFormat="false" ht="12.75" hidden="false" customHeight="false" outlineLevel="0" collapsed="false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</row>
    <row r="966" customFormat="false" ht="12.75" hidden="false" customHeight="false" outlineLevel="0" collapsed="false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</row>
    <row r="967" customFormat="false" ht="12.75" hidden="false" customHeight="false" outlineLevel="0" collapsed="false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</row>
    <row r="968" customFormat="false" ht="12.75" hidden="false" customHeight="false" outlineLevel="0" collapsed="false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</row>
    <row r="969" customFormat="false" ht="12.75" hidden="false" customHeight="false" outlineLevel="0" collapsed="false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</row>
    <row r="970" customFormat="false" ht="12.75" hidden="false" customHeight="false" outlineLevel="0" collapsed="false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</row>
    <row r="971" customFormat="false" ht="12.75" hidden="false" customHeight="false" outlineLevel="0" collapsed="false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</row>
    <row r="972" customFormat="false" ht="12.75" hidden="false" customHeight="false" outlineLevel="0" collapsed="false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</row>
    <row r="973" customFormat="false" ht="12.75" hidden="false" customHeight="false" outlineLevel="0" collapsed="false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</row>
    <row r="974" customFormat="false" ht="12.75" hidden="false" customHeight="false" outlineLevel="0" collapsed="false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</row>
    <row r="975" customFormat="false" ht="12.75" hidden="false" customHeight="false" outlineLevel="0" collapsed="false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</row>
    <row r="976" customFormat="false" ht="12.75" hidden="false" customHeight="false" outlineLevel="0" collapsed="false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</row>
    <row r="977" customFormat="false" ht="12.75" hidden="false" customHeight="false" outlineLevel="0" collapsed="false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</row>
    <row r="978" customFormat="false" ht="12.75" hidden="false" customHeight="false" outlineLevel="0" collapsed="false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</row>
    <row r="979" customFormat="false" ht="12.75" hidden="false" customHeight="false" outlineLevel="0" collapsed="false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</row>
    <row r="980" customFormat="false" ht="12.75" hidden="false" customHeight="false" outlineLevel="0" collapsed="false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</row>
    <row r="981" customFormat="false" ht="12.75" hidden="false" customHeight="false" outlineLevel="0" collapsed="false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</row>
    <row r="982" customFormat="false" ht="12.75" hidden="false" customHeight="false" outlineLevel="0" collapsed="false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</row>
    <row r="983" customFormat="false" ht="12.75" hidden="false" customHeight="false" outlineLevel="0" collapsed="false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</row>
    <row r="984" customFormat="false" ht="12.75" hidden="false" customHeight="false" outlineLevel="0" collapsed="false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</row>
    <row r="985" customFormat="false" ht="12.75" hidden="false" customHeight="false" outlineLevel="0" collapsed="false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</row>
    <row r="986" customFormat="false" ht="12.75" hidden="false" customHeight="false" outlineLevel="0" collapsed="false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</row>
    <row r="987" customFormat="false" ht="12.75" hidden="false" customHeight="false" outlineLevel="0" collapsed="false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</row>
    <row r="988" customFormat="false" ht="12.75" hidden="false" customHeight="false" outlineLevel="0" collapsed="false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</row>
    <row r="989" customFormat="false" ht="12.75" hidden="false" customHeight="false" outlineLevel="0" collapsed="false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</row>
    <row r="990" customFormat="false" ht="12.75" hidden="false" customHeight="false" outlineLevel="0" collapsed="false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</row>
    <row r="991" customFormat="false" ht="12.75" hidden="false" customHeight="false" outlineLevel="0" collapsed="false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</row>
    <row r="992" customFormat="false" ht="12.75" hidden="false" customHeight="false" outlineLevel="0" collapsed="false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</row>
    <row r="993" customFormat="false" ht="12.75" hidden="false" customHeight="false" outlineLevel="0" collapsed="false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</row>
    <row r="994" customFormat="false" ht="12.75" hidden="false" customHeight="false" outlineLevel="0" collapsed="false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</row>
    <row r="995" customFormat="false" ht="12.75" hidden="false" customHeight="false" outlineLevel="0" collapsed="false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</row>
    <row r="996" customFormat="false" ht="12.75" hidden="false" customHeight="false" outlineLevel="0" collapsed="false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</row>
    <row r="997" customFormat="false" ht="12.75" hidden="false" customHeight="false" outlineLevel="0" collapsed="false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</row>
    <row r="998" customFormat="false" ht="12.75" hidden="false" customHeight="false" outlineLevel="0" collapsed="false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</row>
    <row r="999" customFormat="false" ht="12.75" hidden="false" customHeight="false" outlineLevel="0" collapsed="false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</row>
    <row r="1000" customFormat="false" ht="12.75" hidden="false" customHeight="false" outlineLevel="0" collapsed="false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</row>
    <row r="1001" customFormat="false" ht="12.75" hidden="false" customHeight="false" outlineLevel="0" collapsed="false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</row>
    <row r="1002" customFormat="false" ht="12.75" hidden="false" customHeight="false" outlineLevel="0" collapsed="false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</row>
    <row r="1003" customFormat="false" ht="12.75" hidden="false" customHeight="false" outlineLevel="0" collapsed="false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</row>
    <row r="1004" customFormat="false" ht="12.75" hidden="false" customHeight="false" outlineLevel="0" collapsed="false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</row>
    <row r="1005" customFormat="false" ht="12.75" hidden="false" customHeight="false" outlineLevel="0" collapsed="false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</row>
    <row r="1006" customFormat="false" ht="12.75" hidden="false" customHeight="false" outlineLevel="0" collapsed="false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</row>
    <row r="1007" customFormat="false" ht="12.75" hidden="false" customHeight="false" outlineLevel="0" collapsed="false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</row>
    <row r="1008" customFormat="false" ht="12.75" hidden="false" customHeight="false" outlineLevel="0" collapsed="false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</row>
    <row r="1009" customFormat="false" ht="12.75" hidden="false" customHeight="false" outlineLevel="0" collapsed="false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</row>
    <row r="1010" customFormat="false" ht="12.75" hidden="false" customHeight="false" outlineLevel="0" collapsed="false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</row>
    <row r="1011" customFormat="false" ht="12.75" hidden="false" customHeight="false" outlineLevel="0" collapsed="false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</row>
    <row r="1012" customFormat="false" ht="12.75" hidden="false" customHeight="false" outlineLevel="0" collapsed="false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</row>
    <row r="1013" customFormat="false" ht="12.75" hidden="false" customHeight="false" outlineLevel="0" collapsed="false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</row>
    <row r="1014" customFormat="false" ht="12.75" hidden="false" customHeight="false" outlineLevel="0" collapsed="false">
      <c r="A1014" s="3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</row>
    <row r="1015" customFormat="false" ht="12.75" hidden="false" customHeight="false" outlineLevel="0" collapsed="false">
      <c r="A1015" s="3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</row>
    <row r="1016" customFormat="false" ht="12.75" hidden="false" customHeight="false" outlineLevel="0" collapsed="false">
      <c r="A1016" s="3"/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</row>
    <row r="1017" customFormat="false" ht="12.75" hidden="false" customHeight="false" outlineLevel="0" collapsed="false">
      <c r="A1017" s="3"/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</row>
    <row r="1018" customFormat="false" ht="12.75" hidden="false" customHeight="false" outlineLevel="0" collapsed="false">
      <c r="A1018" s="3"/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</row>
    <row r="1019" customFormat="false" ht="12.75" hidden="false" customHeight="false" outlineLevel="0" collapsed="false">
      <c r="A1019" s="3"/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</row>
    <row r="1020" customFormat="false" ht="12.75" hidden="false" customHeight="false" outlineLevel="0" collapsed="false">
      <c r="A1020" s="3"/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</row>
    <row r="1021" customFormat="false" ht="12.75" hidden="false" customHeight="false" outlineLevel="0" collapsed="false">
      <c r="A1021" s="3"/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</row>
    <row r="1022" customFormat="false" ht="12.75" hidden="false" customHeight="false" outlineLevel="0" collapsed="false">
      <c r="A1022" s="3"/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</row>
    <row r="1023" customFormat="false" ht="12.75" hidden="false" customHeight="false" outlineLevel="0" collapsed="false">
      <c r="A1023" s="3"/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</row>
    <row r="1024" customFormat="false" ht="12.75" hidden="false" customHeight="false" outlineLevel="0" collapsed="false">
      <c r="A1024" s="3"/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</row>
    <row r="1025" customFormat="false" ht="12.75" hidden="false" customHeight="false" outlineLevel="0" collapsed="false">
      <c r="A1025" s="3"/>
      <c r="B1025" s="3"/>
      <c r="C1025" s="3"/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</row>
    <row r="1026" customFormat="false" ht="12.75" hidden="false" customHeight="false" outlineLevel="0" collapsed="false">
      <c r="A1026" s="3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</row>
    <row r="1027" customFormat="false" ht="12.75" hidden="false" customHeight="false" outlineLevel="0" collapsed="false">
      <c r="A1027" s="3"/>
      <c r="B1027" s="3"/>
      <c r="C1027" s="3"/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</row>
    <row r="1028" customFormat="false" ht="12.75" hidden="false" customHeight="false" outlineLevel="0" collapsed="false">
      <c r="A1028" s="3"/>
      <c r="B1028" s="3"/>
      <c r="C1028" s="3"/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</row>
    <row r="1029" customFormat="false" ht="12.75" hidden="false" customHeight="false" outlineLevel="0" collapsed="false">
      <c r="A1029" s="3"/>
      <c r="B1029" s="3"/>
      <c r="C1029" s="3"/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</row>
    <row r="1030" customFormat="false" ht="12.75" hidden="false" customHeight="false" outlineLevel="0" collapsed="false">
      <c r="A1030" s="3"/>
      <c r="B1030" s="3"/>
      <c r="C1030" s="3"/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</row>
    <row r="1031" customFormat="false" ht="12.75" hidden="false" customHeight="false" outlineLevel="0" collapsed="false">
      <c r="A1031" s="3"/>
      <c r="B1031" s="3"/>
      <c r="C1031" s="3"/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</row>
    <row r="1032" customFormat="false" ht="12.75" hidden="false" customHeight="false" outlineLevel="0" collapsed="false">
      <c r="A1032" s="3"/>
      <c r="B1032" s="3"/>
      <c r="C1032" s="3"/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</row>
    <row r="1033" customFormat="false" ht="12.75" hidden="false" customHeight="false" outlineLevel="0" collapsed="false">
      <c r="A1033" s="3"/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</row>
    <row r="1034" customFormat="false" ht="12.75" hidden="false" customHeight="false" outlineLevel="0" collapsed="false">
      <c r="A1034" s="3"/>
      <c r="B1034" s="3"/>
      <c r="C1034" s="3"/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</row>
    <row r="1035" customFormat="false" ht="12.75" hidden="false" customHeight="false" outlineLevel="0" collapsed="false">
      <c r="A1035" s="3"/>
      <c r="B1035" s="3"/>
      <c r="C1035" s="3"/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</row>
    <row r="1036" customFormat="false" ht="12.75" hidden="false" customHeight="false" outlineLevel="0" collapsed="false">
      <c r="A1036" s="3"/>
      <c r="B1036" s="3"/>
      <c r="C1036" s="3"/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</row>
    <row r="1037" customFormat="false" ht="12.75" hidden="false" customHeight="false" outlineLevel="0" collapsed="false">
      <c r="A1037" s="3"/>
      <c r="B1037" s="3"/>
      <c r="C1037" s="3"/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</row>
    <row r="1038" customFormat="false" ht="12.75" hidden="false" customHeight="false" outlineLevel="0" collapsed="false">
      <c r="A1038" s="3"/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</row>
    <row r="1039" customFormat="false" ht="12.75" hidden="false" customHeight="false" outlineLevel="0" collapsed="false">
      <c r="A1039" s="3"/>
      <c r="B1039" s="3"/>
      <c r="C1039" s="3"/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</row>
    <row r="1040" customFormat="false" ht="12.75" hidden="false" customHeight="false" outlineLevel="0" collapsed="false">
      <c r="A1040" s="3"/>
      <c r="B1040" s="3"/>
      <c r="C1040" s="3"/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</row>
    <row r="1041" customFormat="false" ht="12.75" hidden="false" customHeight="false" outlineLevel="0" collapsed="false">
      <c r="A1041" s="3"/>
      <c r="B1041" s="3"/>
      <c r="C1041" s="3"/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</row>
    <row r="1042" customFormat="false" ht="12.75" hidden="false" customHeight="false" outlineLevel="0" collapsed="false">
      <c r="A1042" s="3"/>
      <c r="B1042" s="3"/>
      <c r="C1042" s="3"/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</row>
    <row r="1043" customFormat="false" ht="12.75" hidden="false" customHeight="false" outlineLevel="0" collapsed="false">
      <c r="A1043" s="3"/>
      <c r="B1043" s="3"/>
      <c r="C1043" s="3"/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</row>
    <row r="1044" customFormat="false" ht="12.75" hidden="false" customHeight="false" outlineLevel="0" collapsed="false">
      <c r="A1044" s="3"/>
      <c r="B1044" s="3"/>
      <c r="C1044" s="3"/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</row>
    <row r="1045" customFormat="false" ht="12.75" hidden="false" customHeight="false" outlineLevel="0" collapsed="false">
      <c r="A1045" s="3"/>
      <c r="B1045" s="3"/>
      <c r="C1045" s="3"/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</row>
    <row r="1046" customFormat="false" ht="12.75" hidden="false" customHeight="false" outlineLevel="0" collapsed="false">
      <c r="A1046" s="3"/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</row>
    <row r="1047" customFormat="false" ht="12.75" hidden="false" customHeight="false" outlineLevel="0" collapsed="false">
      <c r="A1047" s="3"/>
      <c r="B1047" s="3"/>
      <c r="C1047" s="3"/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</row>
    <row r="1048" customFormat="false" ht="12.75" hidden="false" customHeight="false" outlineLevel="0" collapsed="false">
      <c r="A1048" s="3"/>
      <c r="B1048" s="3"/>
      <c r="C1048" s="3"/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</row>
    <row r="1049" customFormat="false" ht="12.75" hidden="false" customHeight="false" outlineLevel="0" collapsed="false">
      <c r="A1049" s="3"/>
      <c r="B1049" s="3"/>
      <c r="C1049" s="3"/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</row>
    <row r="1050" customFormat="false" ht="12.75" hidden="false" customHeight="false" outlineLevel="0" collapsed="false">
      <c r="A1050" s="3"/>
      <c r="B1050" s="3"/>
      <c r="C1050" s="3"/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</row>
    <row r="1051" customFormat="false" ht="12.75" hidden="false" customHeight="false" outlineLevel="0" collapsed="false">
      <c r="A1051" s="3"/>
      <c r="B1051" s="3"/>
      <c r="C1051" s="3"/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</row>
    <row r="1052" customFormat="false" ht="12.75" hidden="false" customHeight="false" outlineLevel="0" collapsed="false">
      <c r="A1052" s="3"/>
      <c r="B1052" s="3"/>
      <c r="C1052" s="3"/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</row>
    <row r="1053" customFormat="false" ht="12.75" hidden="false" customHeight="false" outlineLevel="0" collapsed="false">
      <c r="A1053" s="3"/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</row>
    <row r="1054" customFormat="false" ht="12.75" hidden="false" customHeight="false" outlineLevel="0" collapsed="false">
      <c r="A1054" s="3"/>
      <c r="B1054" s="3"/>
      <c r="C1054" s="3"/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</row>
    <row r="1055" customFormat="false" ht="12.75" hidden="false" customHeight="false" outlineLevel="0" collapsed="false">
      <c r="A1055" s="3"/>
      <c r="B1055" s="3"/>
      <c r="C1055" s="3"/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</row>
    <row r="1056" customFormat="false" ht="12.75" hidden="false" customHeight="false" outlineLevel="0" collapsed="false">
      <c r="A1056" s="3"/>
      <c r="B1056" s="3"/>
      <c r="C1056" s="3"/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</row>
    <row r="1057" customFormat="false" ht="12.75" hidden="false" customHeight="false" outlineLevel="0" collapsed="false">
      <c r="A1057" s="3"/>
      <c r="B1057" s="3"/>
      <c r="C1057" s="3"/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</row>
    <row r="1058" customFormat="false" ht="12.75" hidden="false" customHeight="false" outlineLevel="0" collapsed="false">
      <c r="A1058" s="3"/>
      <c r="B1058" s="3"/>
      <c r="C1058" s="3"/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</row>
    <row r="1059" customFormat="false" ht="12.75" hidden="false" customHeight="false" outlineLevel="0" collapsed="false">
      <c r="A1059" s="3"/>
      <c r="B1059" s="3"/>
      <c r="C1059" s="3"/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</row>
    <row r="1060" customFormat="false" ht="12.75" hidden="false" customHeight="false" outlineLevel="0" collapsed="false">
      <c r="A1060" s="3"/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</row>
    <row r="1061" customFormat="false" ht="12.75" hidden="false" customHeight="false" outlineLevel="0" collapsed="false">
      <c r="A1061" s="3"/>
      <c r="B1061" s="3"/>
      <c r="C1061" s="3"/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</row>
    <row r="1062" customFormat="false" ht="12.75" hidden="false" customHeight="false" outlineLevel="0" collapsed="false">
      <c r="A1062" s="3"/>
      <c r="B1062" s="3"/>
      <c r="C1062" s="3"/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</row>
    <row r="1063" customFormat="false" ht="12.75" hidden="false" customHeight="false" outlineLevel="0" collapsed="false">
      <c r="A1063" s="3"/>
      <c r="B1063" s="3"/>
      <c r="C1063" s="3"/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</row>
    <row r="1064" customFormat="false" ht="12.75" hidden="false" customHeight="false" outlineLevel="0" collapsed="false">
      <c r="A1064" s="3"/>
      <c r="B1064" s="3"/>
      <c r="C1064" s="3"/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</row>
    <row r="1065" customFormat="false" ht="12.75" hidden="false" customHeight="false" outlineLevel="0" collapsed="false">
      <c r="A1065" s="3"/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</row>
    <row r="1066" customFormat="false" ht="12.75" hidden="false" customHeight="false" outlineLevel="0" collapsed="false">
      <c r="A1066" s="3"/>
      <c r="B1066" s="3"/>
      <c r="C1066" s="3"/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</row>
    <row r="1067" customFormat="false" ht="12.75" hidden="false" customHeight="false" outlineLevel="0" collapsed="false">
      <c r="A1067" s="3"/>
      <c r="B1067" s="3"/>
      <c r="C1067" s="3"/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</row>
    <row r="1068" customFormat="false" ht="12.75" hidden="false" customHeight="false" outlineLevel="0" collapsed="false">
      <c r="A1068" s="3"/>
      <c r="B1068" s="3"/>
      <c r="C1068" s="3"/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</row>
    <row r="1069" customFormat="false" ht="12.75" hidden="false" customHeight="false" outlineLevel="0" collapsed="false">
      <c r="A1069" s="3"/>
      <c r="B1069" s="3"/>
      <c r="C1069" s="3"/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</row>
    <row r="1070" customFormat="false" ht="12.75" hidden="false" customHeight="false" outlineLevel="0" collapsed="false">
      <c r="A1070" s="3"/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</row>
    <row r="1071" customFormat="false" ht="12.75" hidden="false" customHeight="false" outlineLevel="0" collapsed="false">
      <c r="A1071" s="3"/>
      <c r="B1071" s="3"/>
      <c r="C1071" s="3"/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</row>
    <row r="1072" customFormat="false" ht="12.75" hidden="false" customHeight="false" outlineLevel="0" collapsed="false">
      <c r="A1072" s="3"/>
      <c r="B1072" s="3"/>
      <c r="C1072" s="3"/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</row>
    <row r="1073" customFormat="false" ht="12.75" hidden="false" customHeight="false" outlineLevel="0" collapsed="false">
      <c r="A1073" s="3"/>
      <c r="B1073" s="3"/>
      <c r="C1073" s="3"/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</row>
    <row r="1074" customFormat="false" ht="12.75" hidden="false" customHeight="false" outlineLevel="0" collapsed="false">
      <c r="A1074" s="3"/>
      <c r="B1074" s="3"/>
      <c r="C1074" s="3"/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</row>
    <row r="1075" customFormat="false" ht="12.75" hidden="false" customHeight="false" outlineLevel="0" collapsed="false">
      <c r="A1075" s="3"/>
      <c r="B1075" s="3"/>
      <c r="C1075" s="3"/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</row>
    <row r="1076" customFormat="false" ht="12.75" hidden="false" customHeight="false" outlineLevel="0" collapsed="false">
      <c r="A1076" s="3"/>
      <c r="B1076" s="3"/>
      <c r="C1076" s="3"/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</row>
    <row r="1077" customFormat="false" ht="12.75" hidden="false" customHeight="false" outlineLevel="0" collapsed="false">
      <c r="A1077" s="3"/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</row>
    <row r="1078" customFormat="false" ht="12.75" hidden="false" customHeight="false" outlineLevel="0" collapsed="false">
      <c r="A1078" s="3"/>
      <c r="B1078" s="3"/>
      <c r="C1078" s="3"/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</row>
    <row r="1079" customFormat="false" ht="12.75" hidden="false" customHeight="false" outlineLevel="0" collapsed="false">
      <c r="A1079" s="3"/>
      <c r="B1079" s="3"/>
      <c r="C1079" s="3"/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</row>
    <row r="1080" customFormat="false" ht="12.75" hidden="false" customHeight="false" outlineLevel="0" collapsed="false">
      <c r="A1080" s="3"/>
      <c r="B1080" s="3"/>
      <c r="C1080" s="3"/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</row>
    <row r="1081" customFormat="false" ht="12.75" hidden="false" customHeight="false" outlineLevel="0" collapsed="false">
      <c r="A1081" s="3"/>
      <c r="B1081" s="3"/>
      <c r="C1081" s="3"/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</row>
    <row r="1082" customFormat="false" ht="12.75" hidden="false" customHeight="false" outlineLevel="0" collapsed="false">
      <c r="A1082" s="3"/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</row>
    <row r="1083" customFormat="false" ht="12.75" hidden="false" customHeight="false" outlineLevel="0" collapsed="false">
      <c r="A1083" s="3"/>
      <c r="B1083" s="3"/>
      <c r="C1083" s="3"/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</row>
    <row r="1084" customFormat="false" ht="12.75" hidden="false" customHeight="false" outlineLevel="0" collapsed="false">
      <c r="A1084" s="3"/>
      <c r="B1084" s="3"/>
      <c r="C1084" s="3"/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</row>
    <row r="1085" customFormat="false" ht="12.75" hidden="false" customHeight="false" outlineLevel="0" collapsed="false">
      <c r="A1085" s="3"/>
      <c r="B1085" s="3"/>
      <c r="C1085" s="3"/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</row>
    <row r="1086" customFormat="false" ht="12.75" hidden="false" customHeight="false" outlineLevel="0" collapsed="false">
      <c r="A1086" s="3"/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</row>
    <row r="1087" customFormat="false" ht="12.75" hidden="false" customHeight="false" outlineLevel="0" collapsed="false">
      <c r="A1087" s="3"/>
      <c r="B1087" s="3"/>
      <c r="C1087" s="3"/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</row>
    <row r="1088" customFormat="false" ht="12.75" hidden="false" customHeight="false" outlineLevel="0" collapsed="false">
      <c r="A1088" s="3"/>
      <c r="B1088" s="3"/>
      <c r="C1088" s="3"/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</row>
    <row r="1089" customFormat="false" ht="12.75" hidden="false" customHeight="false" outlineLevel="0" collapsed="false">
      <c r="A1089" s="3"/>
      <c r="B1089" s="3"/>
      <c r="C1089" s="3"/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</row>
    <row r="1090" customFormat="false" ht="12.75" hidden="false" customHeight="false" outlineLevel="0" collapsed="false">
      <c r="A1090" s="3"/>
      <c r="B1090" s="3"/>
      <c r="C1090" s="3"/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</row>
    <row r="1091" customFormat="false" ht="12.75" hidden="false" customHeight="false" outlineLevel="0" collapsed="false">
      <c r="A1091" s="3"/>
      <c r="B1091" s="3"/>
      <c r="C1091" s="3"/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</row>
    <row r="1092" customFormat="false" ht="12.75" hidden="false" customHeight="false" outlineLevel="0" collapsed="false">
      <c r="A1092" s="3"/>
      <c r="B1092" s="3"/>
      <c r="C1092" s="3"/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</row>
    <row r="1093" customFormat="false" ht="12.75" hidden="false" customHeight="false" outlineLevel="0" collapsed="false">
      <c r="A1093" s="3"/>
      <c r="B1093" s="3"/>
      <c r="C1093" s="3"/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</row>
    <row r="1094" customFormat="false" ht="12.75" hidden="false" customHeight="false" outlineLevel="0" collapsed="false">
      <c r="A1094" s="3"/>
      <c r="B1094" s="3"/>
      <c r="C1094" s="3"/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</row>
    <row r="1095" customFormat="false" ht="12.75" hidden="false" customHeight="false" outlineLevel="0" collapsed="false">
      <c r="A1095" s="3"/>
      <c r="B1095" s="3"/>
      <c r="C1095" s="3"/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</row>
    <row r="1096" customFormat="false" ht="12.75" hidden="false" customHeight="false" outlineLevel="0" collapsed="false">
      <c r="A1096" s="3"/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</row>
    <row r="1097" customFormat="false" ht="12.75" hidden="false" customHeight="false" outlineLevel="0" collapsed="false">
      <c r="A1097" s="3"/>
      <c r="B1097" s="3"/>
      <c r="C1097" s="3"/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</row>
    <row r="1098" customFormat="false" ht="12.75" hidden="false" customHeight="false" outlineLevel="0" collapsed="false">
      <c r="A1098" s="3"/>
      <c r="B1098" s="3"/>
      <c r="C1098" s="3"/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</row>
    <row r="1099" customFormat="false" ht="12.75" hidden="false" customHeight="false" outlineLevel="0" collapsed="false">
      <c r="A1099" s="3"/>
      <c r="B1099" s="3"/>
      <c r="C1099" s="3"/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</row>
    <row r="1100" customFormat="false" ht="12.75" hidden="false" customHeight="false" outlineLevel="0" collapsed="false">
      <c r="A1100" s="3"/>
      <c r="B1100" s="3"/>
      <c r="C1100" s="3"/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</row>
    <row r="1101" customFormat="false" ht="12.75" hidden="false" customHeight="false" outlineLevel="0" collapsed="false">
      <c r="A1101" s="3"/>
      <c r="B1101" s="3"/>
      <c r="C1101" s="3"/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</row>
    <row r="1102" customFormat="false" ht="12.75" hidden="false" customHeight="false" outlineLevel="0" collapsed="false">
      <c r="A1102" s="3"/>
      <c r="B1102" s="3"/>
      <c r="C1102" s="3"/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</row>
    <row r="1103" customFormat="false" ht="12.75" hidden="false" customHeight="false" outlineLevel="0" collapsed="false">
      <c r="A1103" s="3"/>
      <c r="B1103" s="3"/>
      <c r="C1103" s="3"/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</row>
    <row r="1104" customFormat="false" ht="12.75" hidden="false" customHeight="false" outlineLevel="0" collapsed="false">
      <c r="A1104" s="3"/>
      <c r="B1104" s="3"/>
      <c r="C1104" s="3"/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</row>
    <row r="1105" customFormat="false" ht="12.75" hidden="false" customHeight="false" outlineLevel="0" collapsed="false">
      <c r="A1105" s="3"/>
      <c r="B1105" s="3"/>
      <c r="C1105" s="3"/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</row>
    <row r="1106" customFormat="false" ht="12.75" hidden="false" customHeight="false" outlineLevel="0" collapsed="false">
      <c r="A1106" s="3"/>
      <c r="B1106" s="3"/>
      <c r="C1106" s="3"/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</row>
    <row r="1107" customFormat="false" ht="12.75" hidden="false" customHeight="false" outlineLevel="0" collapsed="false">
      <c r="A1107" s="3"/>
      <c r="B1107" s="3"/>
      <c r="C1107" s="3"/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</row>
    <row r="1108" customFormat="false" ht="12.75" hidden="false" customHeight="false" outlineLevel="0" collapsed="false">
      <c r="A1108" s="3"/>
      <c r="B1108" s="3"/>
      <c r="C1108" s="3"/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</row>
    <row r="1109" customFormat="false" ht="12.75" hidden="false" customHeight="false" outlineLevel="0" collapsed="false">
      <c r="A1109" s="3"/>
      <c r="B1109" s="3"/>
      <c r="C1109" s="3"/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</row>
    <row r="1110" customFormat="false" ht="12.75" hidden="false" customHeight="false" outlineLevel="0" collapsed="false">
      <c r="A1110" s="3"/>
      <c r="B1110" s="3"/>
      <c r="C1110" s="3"/>
      <c r="D1110" s="3"/>
      <c r="E1110" s="3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</row>
    <row r="1111" customFormat="false" ht="12.75" hidden="false" customHeight="false" outlineLevel="0" collapsed="false">
      <c r="A1111" s="3"/>
      <c r="B1111" s="3"/>
      <c r="C1111" s="3"/>
      <c r="D1111" s="3"/>
      <c r="E1111" s="3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</row>
    <row r="1112" customFormat="false" ht="12.75" hidden="false" customHeight="false" outlineLevel="0" collapsed="false">
      <c r="A1112" s="3"/>
      <c r="B1112" s="3"/>
      <c r="C1112" s="3"/>
      <c r="D1112" s="3"/>
      <c r="E1112" s="3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</row>
    <row r="1113" customFormat="false" ht="12.75" hidden="false" customHeight="false" outlineLevel="0" collapsed="false">
      <c r="A1113" s="3"/>
      <c r="B1113" s="3"/>
      <c r="C1113" s="3"/>
      <c r="D1113" s="3"/>
      <c r="E1113" s="3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</row>
    <row r="1114" customFormat="false" ht="12.75" hidden="false" customHeight="false" outlineLevel="0" collapsed="false">
      <c r="A1114" s="3"/>
      <c r="B1114" s="3"/>
      <c r="C1114" s="3"/>
      <c r="D1114" s="3"/>
      <c r="E1114" s="3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</row>
    <row r="1115" customFormat="false" ht="12.75" hidden="false" customHeight="false" outlineLevel="0" collapsed="false">
      <c r="A1115" s="3"/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</row>
    <row r="1116" customFormat="false" ht="12.75" hidden="false" customHeight="false" outlineLevel="0" collapsed="false">
      <c r="A1116" s="3"/>
      <c r="B1116" s="3"/>
      <c r="C1116" s="3"/>
      <c r="D1116" s="3"/>
      <c r="E1116" s="3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</row>
    <row r="1117" customFormat="false" ht="12.75" hidden="false" customHeight="false" outlineLevel="0" collapsed="false">
      <c r="A1117" s="3"/>
      <c r="B1117" s="3"/>
      <c r="C1117" s="3"/>
      <c r="D1117" s="3"/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</row>
    <row r="1118" customFormat="false" ht="12.75" hidden="false" customHeight="false" outlineLevel="0" collapsed="false">
      <c r="A1118" s="3"/>
      <c r="B1118" s="3"/>
      <c r="C1118" s="3"/>
      <c r="D1118" s="3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</row>
    <row r="1119" customFormat="false" ht="12.75" hidden="false" customHeight="false" outlineLevel="0" collapsed="false">
      <c r="A1119" s="3"/>
      <c r="B1119" s="3"/>
      <c r="C1119" s="3"/>
      <c r="D1119" s="3"/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</row>
    <row r="1120" customFormat="false" ht="12.75" hidden="false" customHeight="false" outlineLevel="0" collapsed="false">
      <c r="A1120" s="3"/>
      <c r="B1120" s="3"/>
      <c r="C1120" s="3"/>
      <c r="D1120" s="3"/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</row>
    <row r="1121" customFormat="false" ht="12.75" hidden="false" customHeight="false" outlineLevel="0" collapsed="false">
      <c r="A1121" s="3"/>
      <c r="B1121" s="3"/>
      <c r="C1121" s="3"/>
      <c r="D1121" s="3"/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</row>
  </sheetData>
  <mergeCells count="13">
    <mergeCell ref="A6:Z6"/>
    <mergeCell ref="H66:M66"/>
    <mergeCell ref="N66:Z66"/>
    <mergeCell ref="I105:I106"/>
    <mergeCell ref="J105:N106"/>
    <mergeCell ref="H111:M111"/>
    <mergeCell ref="N111:Z111"/>
    <mergeCell ref="G431:Z431"/>
    <mergeCell ref="E433:E447"/>
    <mergeCell ref="G449:Z449"/>
    <mergeCell ref="E451:E465"/>
    <mergeCell ref="G467:Z467"/>
    <mergeCell ref="E469:E483"/>
  </mergeCells>
  <conditionalFormatting sqref="G433:Z447 G451:Z465 G469:Z483">
    <cfRule type="cellIs" priority="2" operator="equal" aboveAverage="0" equalAverage="0" bottom="0" percent="0" rank="0" text="" dxfId="0">
      <formula>$F$432</formula>
    </cfRule>
  </conditionalFormatting>
  <printOptions headings="false" gridLines="false" gridLinesSet="true" horizontalCentered="true" verticalCentered="false"/>
  <pageMargins left="0" right="0" top="0" bottom="0.25" header="0.511811023622047" footer="0.25"/>
  <pageSetup paperSize="5" scale="62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&amp;L&amp;F, &amp;A&amp;CPage &amp;P&amp;R&amp;D</oddFooter>
  </headerFooter>
  <rowBreaks count="9" manualBreakCount="9">
    <brk id="57" man="true" max="16383" min="0"/>
    <brk id="94" man="true" max="16383" min="0"/>
    <brk id="152" man="true" max="16383" min="0"/>
    <brk id="200" man="true" max="16383" min="0"/>
    <brk id="231" man="true" max="16383" min="0"/>
    <brk id="293" man="true" max="16383" min="0"/>
    <brk id="318" man="true" max="16383" min="0"/>
    <brk id="393" man="true" max="16383" min="0"/>
    <brk id="430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Y253"/>
  <sheetViews>
    <sheetView showFormulas="false" showGridLines="true" showRowColHeaders="true" showZeros="true" rightToLeft="false" tabSelected="true" showOutlineSymbols="true" defaultGridColor="true" view="normal" topLeftCell="A87" colorId="64" zoomScale="74" zoomScaleNormal="74" zoomScalePageLayoutView="100" workbookViewId="0">
      <selection pane="topLeft" activeCell="A105" activeCellId="0" sqref="A10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.7"/>
    <col collapsed="false" customWidth="true" hidden="false" outlineLevel="0" max="2" min="2" style="0" width="4.14"/>
    <col collapsed="false" customWidth="true" hidden="false" outlineLevel="0" max="3" min="3" style="0" width="1.7"/>
    <col collapsed="false" customWidth="true" hidden="false" outlineLevel="0" max="4" min="4" style="0" width="16.7"/>
    <col collapsed="false" customWidth="true" hidden="false" outlineLevel="0" max="5" min="5" style="0" width="4.7"/>
    <col collapsed="false" customWidth="true" hidden="false" outlineLevel="0" max="6" min="6" style="0" width="13.28"/>
    <col collapsed="false" customWidth="true" hidden="false" outlineLevel="0" max="11" min="7" style="0" width="12.7"/>
    <col collapsed="false" customWidth="true" hidden="false" outlineLevel="0" max="14" min="12" style="0" width="11.56"/>
    <col collapsed="false" customWidth="true" hidden="false" outlineLevel="0" max="15" min="15" style="0" width="11.13"/>
    <col collapsed="false" customWidth="true" hidden="false" outlineLevel="0" max="17" min="16" style="0" width="11.56"/>
    <col collapsed="false" customWidth="true" hidden="false" outlineLevel="0" max="18" min="18" style="0" width="11.13"/>
    <col collapsed="false" customWidth="true" hidden="false" outlineLevel="0" max="19" min="19" style="0" width="10.41"/>
    <col collapsed="false" customWidth="true" hidden="false" outlineLevel="0" max="22" min="20" style="0" width="11.13"/>
    <col collapsed="false" customWidth="true" hidden="false" outlineLevel="0" max="23" min="23" style="0" width="10.85"/>
    <col collapsed="false" customWidth="true" hidden="false" outlineLevel="0" max="27" min="24" style="0" width="11.13"/>
    <col collapsed="false" customWidth="true" hidden="false" outlineLevel="0" max="28" min="28" style="0" width="11.56"/>
    <col collapsed="false" customWidth="true" hidden="false" outlineLevel="0" max="29" min="29" style="0" width="11.13"/>
    <col collapsed="false" customWidth="true" hidden="false" outlineLevel="0" max="38" min="30" style="0" width="11.56"/>
    <col collapsed="false" customWidth="true" hidden="false" outlineLevel="0" max="39" min="39" style="0" width="11.13"/>
    <col collapsed="false" customWidth="true" hidden="false" outlineLevel="0" max="45" min="40" style="0" width="11.56"/>
    <col collapsed="false" customWidth="true" hidden="false" outlineLevel="0" max="47" min="46" style="0" width="11.13"/>
    <col collapsed="false" customWidth="true" hidden="false" outlineLevel="0" max="48" min="48" style="0" width="11.56"/>
    <col collapsed="false" customWidth="true" hidden="false" outlineLevel="0" max="51" min="49" style="0" width="11.13"/>
  </cols>
  <sheetData>
    <row r="1" customFormat="false" ht="18" hidden="false" customHeight="false" outlineLevel="0" collapsed="false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273"/>
      <c r="AR1" s="275"/>
      <c r="AS1" s="273"/>
      <c r="AT1" s="3"/>
      <c r="AU1" s="3"/>
      <c r="AV1" s="3"/>
      <c r="AW1" s="3"/>
      <c r="AX1" s="3"/>
      <c r="AY1" s="3"/>
    </row>
    <row r="2" customFormat="false" ht="18.75" hidden="false" customHeight="true" outlineLevel="0" collapsed="false">
      <c r="A2" s="6" t="s">
        <v>2</v>
      </c>
      <c r="B2" s="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3"/>
      <c r="Z2" s="3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275"/>
      <c r="AS2" s="7"/>
      <c r="AT2" s="7"/>
      <c r="AU2" s="7"/>
      <c r="AV2" s="7"/>
      <c r="AW2" s="7"/>
      <c r="AX2" s="7"/>
      <c r="AY2" s="7"/>
    </row>
    <row r="3" customFormat="false" ht="12.75" hidden="false" customHeight="true" outlineLevel="0" collapsed="false">
      <c r="A3" s="11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</row>
    <row r="4" customFormat="false" ht="13.5" hidden="false" customHeight="false" outlineLevel="0" collapsed="false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273"/>
      <c r="AR4" s="276"/>
      <c r="AS4" s="273"/>
      <c r="AT4" s="3"/>
      <c r="AU4" s="3"/>
      <c r="AV4" s="3"/>
      <c r="AW4" s="3"/>
      <c r="AX4" s="14"/>
      <c r="AY4" s="14"/>
    </row>
    <row r="5" customFormat="false" ht="12.75" hidden="false" customHeight="false" outlineLevel="0" collapsed="false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273"/>
      <c r="AR5" s="276"/>
      <c r="AS5" s="273"/>
      <c r="AT5" s="3"/>
      <c r="AU5" s="3"/>
      <c r="AV5" s="3"/>
      <c r="AW5" s="3"/>
      <c r="AX5" s="14"/>
      <c r="AY5" s="14"/>
    </row>
    <row r="6" customFormat="false" ht="18" hidden="false" customHeight="false" outlineLevel="0" collapsed="false">
      <c r="A6" s="16" t="s">
        <v>7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273"/>
      <c r="AR6" s="276"/>
      <c r="AS6" s="273"/>
      <c r="AT6" s="3"/>
      <c r="AU6" s="3"/>
      <c r="AV6" s="3"/>
      <c r="AW6" s="3"/>
      <c r="AX6" s="14"/>
      <c r="AY6" s="14"/>
    </row>
    <row r="7" customFormat="false" ht="18" hidden="false" customHeight="false" outlineLevel="0" collapsed="false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273"/>
      <c r="AR7" s="276"/>
      <c r="AS7" s="273"/>
      <c r="AT7" s="3"/>
      <c r="AU7" s="3"/>
      <c r="AV7" s="3"/>
      <c r="AW7" s="3"/>
      <c r="AX7" s="14"/>
      <c r="AY7" s="14"/>
    </row>
    <row r="8" customFormat="false" ht="12.75" hidden="false" customHeight="false" outlineLevel="0" collapsed="false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273"/>
      <c r="AR8" s="276"/>
      <c r="AS8" s="273"/>
      <c r="AT8" s="3"/>
      <c r="AU8" s="3"/>
      <c r="AV8" s="3"/>
      <c r="AW8" s="3"/>
      <c r="AX8" s="14"/>
      <c r="AY8" s="14"/>
    </row>
    <row r="9" customFormat="false" ht="13.5" hidden="false" customHeight="false" outlineLevel="0" collapsed="false">
      <c r="A9" s="3"/>
      <c r="B9" s="3"/>
      <c r="C9" s="3"/>
      <c r="D9" s="3"/>
      <c r="E9" s="3"/>
      <c r="F9" s="3"/>
      <c r="G9" s="3"/>
      <c r="H9" s="18" t="s">
        <v>8</v>
      </c>
      <c r="I9" s="277" t="n">
        <f aca="false">+Valuation!H9</f>
        <v>2001</v>
      </c>
      <c r="J9" s="20" t="n">
        <f aca="false">+I9+1</f>
        <v>2002</v>
      </c>
      <c r="K9" s="20" t="n">
        <f aca="false">+J9+1</f>
        <v>2003</v>
      </c>
      <c r="L9" s="20" t="n">
        <f aca="false">+K9+1</f>
        <v>2004</v>
      </c>
      <c r="M9" s="20" t="n">
        <f aca="false">+L9+1</f>
        <v>2005</v>
      </c>
      <c r="N9" s="20" t="n">
        <f aca="false">+M9+1</f>
        <v>2006</v>
      </c>
      <c r="O9" s="20" t="n">
        <f aca="false">+N9+1</f>
        <v>2007</v>
      </c>
      <c r="P9" s="20" t="n">
        <f aca="false">+O9+1</f>
        <v>2008</v>
      </c>
      <c r="Q9" s="20" t="n">
        <f aca="false">+P9+1</f>
        <v>2009</v>
      </c>
      <c r="R9" s="20" t="n">
        <f aca="false">+Q9+1</f>
        <v>2010</v>
      </c>
      <c r="S9" s="20" t="n">
        <f aca="false">+R9+1</f>
        <v>2011</v>
      </c>
      <c r="T9" s="20" t="n">
        <f aca="false">+S9+1</f>
        <v>2012</v>
      </c>
      <c r="U9" s="20" t="n">
        <f aca="false">+T9+1</f>
        <v>2013</v>
      </c>
      <c r="V9" s="20" t="n">
        <f aca="false">+U9+1</f>
        <v>2014</v>
      </c>
      <c r="W9" s="20" t="n">
        <f aca="false">+V9+1</f>
        <v>2015</v>
      </c>
      <c r="X9" s="20" t="n">
        <f aca="false">+W9+1</f>
        <v>2016</v>
      </c>
      <c r="Y9" s="20" t="n">
        <f aca="false">+X9+1</f>
        <v>2017</v>
      </c>
      <c r="Z9" s="20" t="n">
        <f aca="false">+Y9+1</f>
        <v>2018</v>
      </c>
      <c r="AA9" s="20" t="n">
        <f aca="false">+Z9+1</f>
        <v>2019</v>
      </c>
      <c r="AB9" s="21" t="n">
        <f aca="false">+AA9+1</f>
        <v>2020</v>
      </c>
      <c r="AC9" s="21" t="n">
        <f aca="false">+AB9+1</f>
        <v>2021</v>
      </c>
      <c r="AD9" s="21" t="n">
        <f aca="false">+AC9+1</f>
        <v>2022</v>
      </c>
      <c r="AE9" s="21" t="n">
        <f aca="false">+AD9+1</f>
        <v>2023</v>
      </c>
      <c r="AF9" s="21" t="n">
        <f aca="false">+AE9+1</f>
        <v>2024</v>
      </c>
      <c r="AG9" s="21" t="n">
        <f aca="false">+AF9+1</f>
        <v>2025</v>
      </c>
      <c r="AH9" s="21" t="n">
        <f aca="false">+AG9+1</f>
        <v>2026</v>
      </c>
      <c r="AI9" s="21" t="n">
        <f aca="false">+AH9+1</f>
        <v>2027</v>
      </c>
      <c r="AJ9" s="21" t="n">
        <f aca="false">+AI9+1</f>
        <v>2028</v>
      </c>
      <c r="AK9" s="21" t="n">
        <f aca="false">+AJ9+1</f>
        <v>2029</v>
      </c>
      <c r="AL9" s="21" t="n">
        <f aca="false">+AK9+1</f>
        <v>2030</v>
      </c>
      <c r="AM9" s="21" t="n">
        <f aca="false">+AL9+1</f>
        <v>2031</v>
      </c>
      <c r="AN9" s="21" t="n">
        <f aca="false">+AM9+1</f>
        <v>2032</v>
      </c>
      <c r="AO9" s="21" t="n">
        <f aca="false">+AN9+1</f>
        <v>2033</v>
      </c>
      <c r="AP9" s="21" t="n">
        <f aca="false">+AO9+1</f>
        <v>2034</v>
      </c>
      <c r="AQ9" s="21" t="n">
        <f aca="false">+AP9+1</f>
        <v>2035</v>
      </c>
      <c r="AR9" s="21" t="n">
        <f aca="false">+AQ9+1</f>
        <v>2036</v>
      </c>
      <c r="AS9" s="273"/>
      <c r="AT9" s="3"/>
      <c r="AU9" s="3"/>
      <c r="AV9" s="3"/>
      <c r="AW9" s="3"/>
      <c r="AX9" s="3"/>
      <c r="AY9" s="3"/>
    </row>
    <row r="10" customFormat="false" ht="13.5" hidden="false" customHeight="false" outlineLevel="0" collapsed="false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</row>
    <row r="11" customFormat="false" ht="12.75" hidden="false" customHeight="false" outlineLevel="0" collapsed="false">
      <c r="A11" s="278" t="s">
        <v>250</v>
      </c>
      <c r="B11" s="279"/>
      <c r="C11" s="279"/>
      <c r="D11" s="279"/>
      <c r="E11" s="279"/>
      <c r="F11" s="280" t="n">
        <v>3</v>
      </c>
      <c r="G11" s="29" t="s">
        <v>11</v>
      </c>
      <c r="H11" s="281" t="n">
        <f aca="false">+Valuation!G12</f>
        <v>36891</v>
      </c>
      <c r="I11" s="31" t="n">
        <f aca="false">+H11+365</f>
        <v>37256</v>
      </c>
      <c r="J11" s="31" t="n">
        <f aca="false">+I11+365</f>
        <v>37621</v>
      </c>
      <c r="K11" s="31" t="n">
        <f aca="false">+J11+365</f>
        <v>37986</v>
      </c>
      <c r="L11" s="31" t="n">
        <f aca="false">+K11+366</f>
        <v>38352</v>
      </c>
      <c r="M11" s="31" t="n">
        <f aca="false">+L11+365</f>
        <v>38717</v>
      </c>
      <c r="N11" s="31" t="n">
        <f aca="false">+M11+365</f>
        <v>39082</v>
      </c>
      <c r="O11" s="31" t="n">
        <f aca="false">+N11+365</f>
        <v>39447</v>
      </c>
      <c r="P11" s="31" t="n">
        <f aca="false">+O11+366</f>
        <v>39813</v>
      </c>
      <c r="Q11" s="31" t="n">
        <f aca="false">+P11+365</f>
        <v>40178</v>
      </c>
      <c r="R11" s="31" t="n">
        <f aca="false">+Q11+365</f>
        <v>40543</v>
      </c>
      <c r="S11" s="31" t="n">
        <f aca="false">+R11+365</f>
        <v>40908</v>
      </c>
      <c r="T11" s="31" t="n">
        <f aca="false">+S11+366</f>
        <v>41274</v>
      </c>
      <c r="U11" s="31" t="n">
        <f aca="false">+T11+365</f>
        <v>41639</v>
      </c>
      <c r="V11" s="31" t="n">
        <f aca="false">+U11+365</f>
        <v>42004</v>
      </c>
      <c r="W11" s="31" t="n">
        <f aca="false">+V11+365</f>
        <v>42369</v>
      </c>
      <c r="X11" s="31" t="n">
        <f aca="false">+W11+366</f>
        <v>42735</v>
      </c>
      <c r="Y11" s="31" t="n">
        <f aca="false">+X11+365</f>
        <v>43100</v>
      </c>
      <c r="Z11" s="31" t="n">
        <f aca="false">+Y11+365</f>
        <v>43465</v>
      </c>
      <c r="AA11" s="31" t="n">
        <f aca="false">+Z11+365</f>
        <v>43830</v>
      </c>
      <c r="AB11" s="31" t="n">
        <f aca="false">+AA11+366</f>
        <v>44196</v>
      </c>
      <c r="AC11" s="31" t="n">
        <f aca="false">+AB11+365</f>
        <v>44561</v>
      </c>
      <c r="AD11" s="31" t="n">
        <f aca="false">+AC11+365</f>
        <v>44926</v>
      </c>
      <c r="AE11" s="31" t="n">
        <f aca="false">+AD11+365</f>
        <v>45291</v>
      </c>
      <c r="AF11" s="31" t="n">
        <f aca="false">+AE11+366</f>
        <v>45657</v>
      </c>
      <c r="AG11" s="31" t="n">
        <f aca="false">+AF11+365</f>
        <v>46022</v>
      </c>
      <c r="AH11" s="31" t="n">
        <f aca="false">+AG11+365</f>
        <v>46387</v>
      </c>
      <c r="AI11" s="31" t="n">
        <f aca="false">+AH11+365</f>
        <v>46752</v>
      </c>
      <c r="AJ11" s="31" t="n">
        <f aca="false">+AI11+366</f>
        <v>47118</v>
      </c>
      <c r="AK11" s="31" t="n">
        <f aca="false">+AJ11+365</f>
        <v>47483</v>
      </c>
      <c r="AL11" s="31" t="n">
        <f aca="false">+AK11+365</f>
        <v>47848</v>
      </c>
      <c r="AM11" s="31" t="n">
        <f aca="false">+AL11+365</f>
        <v>48213</v>
      </c>
      <c r="AN11" s="31" t="n">
        <f aca="false">+AM11+366</f>
        <v>48579</v>
      </c>
      <c r="AO11" s="31" t="n">
        <f aca="false">+AN11+365</f>
        <v>48944</v>
      </c>
      <c r="AP11" s="31" t="n">
        <f aca="false">+AO11+365</f>
        <v>49309</v>
      </c>
      <c r="AQ11" s="31" t="n">
        <f aca="false">+AP11+365</f>
        <v>49674</v>
      </c>
      <c r="AR11" s="31" t="n">
        <f aca="false">+AQ11+366</f>
        <v>50040</v>
      </c>
      <c r="AS11" s="31"/>
      <c r="AT11" s="31"/>
      <c r="AU11" s="31"/>
      <c r="AV11" s="31"/>
      <c r="AW11" s="31"/>
      <c r="AX11" s="31"/>
      <c r="AY11" s="31"/>
    </row>
    <row r="12" customFormat="false" ht="12.75" hidden="false" customHeight="false" outlineLevel="0" collapsed="false">
      <c r="A12" s="282" t="s">
        <v>251</v>
      </c>
      <c r="B12" s="283"/>
      <c r="C12" s="283"/>
      <c r="D12" s="283"/>
      <c r="E12" s="283"/>
      <c r="F12" s="284" t="n">
        <v>0.06</v>
      </c>
      <c r="G12" s="29" t="s">
        <v>13</v>
      </c>
      <c r="H12" s="36" t="n">
        <f aca="false">ROUND(YEARFRAC('Litigation Analysis'!$H$11,H11),0)</f>
        <v>0</v>
      </c>
      <c r="I12" s="36" t="n">
        <f aca="false">ROUND(YEARFRAC('Litigation Analysis'!$H$11,I11),0)</f>
        <v>1</v>
      </c>
      <c r="J12" s="36" t="n">
        <f aca="false">ROUND(YEARFRAC('Litigation Analysis'!$H$11,J11),0)</f>
        <v>2</v>
      </c>
      <c r="K12" s="36" t="n">
        <f aca="false">ROUND(YEARFRAC('Litigation Analysis'!$H$11,K11),0)</f>
        <v>3</v>
      </c>
      <c r="L12" s="36" t="n">
        <f aca="false">ROUND(YEARFRAC('Litigation Analysis'!$H$11,L11),0)</f>
        <v>4</v>
      </c>
      <c r="M12" s="36" t="n">
        <f aca="false">ROUND(YEARFRAC('Litigation Analysis'!$H$11,M11),0)</f>
        <v>5</v>
      </c>
      <c r="N12" s="36" t="n">
        <f aca="false">ROUND(YEARFRAC('Litigation Analysis'!$H$11,N11),0)</f>
        <v>6</v>
      </c>
      <c r="O12" s="36" t="n">
        <f aca="false">ROUND(YEARFRAC('Litigation Analysis'!$H$11,O11),0)</f>
        <v>7</v>
      </c>
      <c r="P12" s="36" t="n">
        <f aca="false">ROUND(YEARFRAC('Litigation Analysis'!$H$11,P11),0)</f>
        <v>8</v>
      </c>
      <c r="Q12" s="36" t="n">
        <f aca="false">ROUND(YEARFRAC('Litigation Analysis'!$H$11,Q11),0)</f>
        <v>9</v>
      </c>
      <c r="R12" s="36" t="n">
        <f aca="false">ROUND(YEARFRAC('Litigation Analysis'!$H$11,R11),0)</f>
        <v>10</v>
      </c>
      <c r="S12" s="36" t="n">
        <f aca="false">ROUND(YEARFRAC('Litigation Analysis'!$H$11,S11),0)</f>
        <v>11</v>
      </c>
      <c r="T12" s="36" t="n">
        <f aca="false">ROUND(YEARFRAC('Litigation Analysis'!$H$11,T11),0)</f>
        <v>12</v>
      </c>
      <c r="U12" s="36" t="n">
        <f aca="false">ROUND(YEARFRAC('Litigation Analysis'!$H$11,U11),0)</f>
        <v>13</v>
      </c>
      <c r="V12" s="36" t="n">
        <f aca="false">ROUND(YEARFRAC('Litigation Analysis'!$H$11,V11),0)</f>
        <v>14</v>
      </c>
      <c r="W12" s="36" t="n">
        <f aca="false">ROUND(YEARFRAC('Litigation Analysis'!$H$11,W11),0)</f>
        <v>15</v>
      </c>
      <c r="X12" s="36" t="n">
        <f aca="false">ROUND(YEARFRAC('Litigation Analysis'!$H$11,X11),0)</f>
        <v>16</v>
      </c>
      <c r="Y12" s="36" t="n">
        <f aca="false">ROUND(YEARFRAC('Litigation Analysis'!$H$11,Y11),0)</f>
        <v>17</v>
      </c>
      <c r="Z12" s="36" t="n">
        <f aca="false">ROUND(YEARFRAC('Litigation Analysis'!$H$11,Z11),0)</f>
        <v>18</v>
      </c>
      <c r="AA12" s="36" t="n">
        <f aca="false">ROUND(YEARFRAC('Litigation Analysis'!$H$11,AA11),0)</f>
        <v>19</v>
      </c>
      <c r="AB12" s="36" t="n">
        <f aca="false">ROUND(YEARFRAC('Litigation Analysis'!$H$11,AB11),0)</f>
        <v>20</v>
      </c>
      <c r="AC12" s="36" t="n">
        <f aca="false">ROUND(YEARFRAC('Litigation Analysis'!$H$11,AC11),0)</f>
        <v>21</v>
      </c>
      <c r="AD12" s="36" t="n">
        <f aca="false">ROUND(YEARFRAC('Litigation Analysis'!$H$11,AD11),0)</f>
        <v>22</v>
      </c>
      <c r="AE12" s="36" t="n">
        <f aca="false">ROUND(YEARFRAC('Litigation Analysis'!$H$11,AE11),0)</f>
        <v>23</v>
      </c>
      <c r="AF12" s="36" t="n">
        <f aca="false">ROUND(YEARFRAC('Litigation Analysis'!$H$11,AF11),0)</f>
        <v>24</v>
      </c>
      <c r="AG12" s="36" t="n">
        <f aca="false">ROUND(YEARFRAC('Litigation Analysis'!$H$11,AG11),0)</f>
        <v>25</v>
      </c>
      <c r="AH12" s="36" t="n">
        <f aca="false">ROUND(YEARFRAC('Litigation Analysis'!$H$11,AH11),0)</f>
        <v>26</v>
      </c>
      <c r="AI12" s="36" t="n">
        <f aca="false">ROUND(YEARFRAC('Litigation Analysis'!$H$11,AI11),0)</f>
        <v>27</v>
      </c>
      <c r="AJ12" s="36" t="n">
        <f aca="false">ROUND(YEARFRAC('Litigation Analysis'!$H$11,AJ11),0)</f>
        <v>28</v>
      </c>
      <c r="AK12" s="36" t="n">
        <f aca="false">ROUND(YEARFRAC('Litigation Analysis'!$H$11,AK11),0)</f>
        <v>29</v>
      </c>
      <c r="AL12" s="36" t="n">
        <f aca="false">ROUND(YEARFRAC('Litigation Analysis'!$H$11,AL11),0)</f>
        <v>30</v>
      </c>
      <c r="AM12" s="36" t="n">
        <f aca="false">ROUND(YEARFRAC('Litigation Analysis'!$H$11,AM11),0)</f>
        <v>31</v>
      </c>
      <c r="AN12" s="36" t="n">
        <f aca="false">ROUND(YEARFRAC('Litigation Analysis'!$H$11,AN11),0)</f>
        <v>32</v>
      </c>
      <c r="AO12" s="36" t="n">
        <f aca="false">ROUND(YEARFRAC('Litigation Analysis'!$H$11,AO11),0)</f>
        <v>33</v>
      </c>
      <c r="AP12" s="36" t="n">
        <f aca="false">ROUND(YEARFRAC('Litigation Analysis'!$H$11,AP11),0)</f>
        <v>34</v>
      </c>
      <c r="AQ12" s="36" t="n">
        <f aca="false">ROUND(YEARFRAC('Litigation Analysis'!$H$11,AQ11),0)</f>
        <v>35</v>
      </c>
      <c r="AR12" s="36" t="n">
        <f aca="false">ROUND(YEARFRAC('Litigation Analysis'!$H$11,AR11),0)</f>
        <v>36</v>
      </c>
      <c r="AS12" s="3"/>
      <c r="AT12" s="3"/>
      <c r="AU12" s="3"/>
      <c r="AV12" s="3"/>
      <c r="AW12" s="3"/>
      <c r="AX12" s="3"/>
      <c r="AY12" s="3"/>
    </row>
    <row r="13" customFormat="false" ht="12.75" hidden="false" customHeight="false" outlineLevel="0" collapsed="false">
      <c r="A13" s="282" t="s">
        <v>252</v>
      </c>
      <c r="B13" s="283"/>
      <c r="C13" s="283"/>
      <c r="D13" s="283"/>
      <c r="E13" s="283"/>
      <c r="F13" s="284" t="n">
        <v>0.05</v>
      </c>
      <c r="G13" s="29" t="s">
        <v>16</v>
      </c>
      <c r="H13" s="43" t="n">
        <f aca="false">1/(1+$F$13)^H12</f>
        <v>1</v>
      </c>
      <c r="I13" s="43" t="n">
        <f aca="false">1/(1+$F$13)^I12</f>
        <v>0.952380952380952</v>
      </c>
      <c r="J13" s="43" t="n">
        <f aca="false">1/(1+$F$13)^J12</f>
        <v>0.90702947845805</v>
      </c>
      <c r="K13" s="43" t="n">
        <f aca="false">1/(1+$F$13)^K12</f>
        <v>0.863837598531476</v>
      </c>
      <c r="L13" s="43" t="n">
        <f aca="false">1/(1+$F$13)^L12</f>
        <v>0.822702474791882</v>
      </c>
      <c r="M13" s="43" t="n">
        <f aca="false">1/(1+$F$13)^M12</f>
        <v>0.783526166468459</v>
      </c>
      <c r="N13" s="43" t="n">
        <f aca="false">1/(1+$F$13)^N12</f>
        <v>0.746215396636627</v>
      </c>
      <c r="O13" s="43" t="n">
        <f aca="false">1/(1+$F$13)^O12</f>
        <v>0.710681330130121</v>
      </c>
      <c r="P13" s="43" t="n">
        <f aca="false">1/(1+$F$13)^P12</f>
        <v>0.676839362028687</v>
      </c>
      <c r="Q13" s="43" t="n">
        <f aca="false">1/(1+$F$13)^Q12</f>
        <v>0.644608916217797</v>
      </c>
      <c r="R13" s="43" t="n">
        <f aca="false">1/(1+$F$13)^R12</f>
        <v>0.613913253540759</v>
      </c>
      <c r="S13" s="43" t="n">
        <f aca="false">1/(1+$F$13)^S12</f>
        <v>0.584679289086437</v>
      </c>
      <c r="T13" s="43" t="n">
        <f aca="false">1/(1+$F$13)^T12</f>
        <v>0.556837418177559</v>
      </c>
      <c r="U13" s="43" t="n">
        <f aca="false">1/(1+$F$13)^U12</f>
        <v>0.530321350645295</v>
      </c>
      <c r="V13" s="43" t="n">
        <f aca="false">1/(1+$F$13)^V12</f>
        <v>0.505067952995519</v>
      </c>
      <c r="W13" s="43" t="n">
        <f aca="false">1/(1+$F$13)^W12</f>
        <v>0.48101709809097</v>
      </c>
      <c r="X13" s="43" t="n">
        <f aca="false">1/(1+$F$13)^X12</f>
        <v>0.4581115219914</v>
      </c>
      <c r="Y13" s="43" t="n">
        <f aca="false">1/(1+$F$13)^Y12</f>
        <v>0.436296687610857</v>
      </c>
      <c r="Z13" s="43" t="n">
        <f aca="false">1/(1+$F$13)^Z12</f>
        <v>0.415520654867483</v>
      </c>
      <c r="AA13" s="43" t="n">
        <f aca="false">1/(1+$F$13)^AA12</f>
        <v>0.39573395701665</v>
      </c>
      <c r="AB13" s="43" t="n">
        <f aca="false">1/(1+$F$13)^AB12</f>
        <v>0.376889482873</v>
      </c>
      <c r="AC13" s="43" t="n">
        <f aca="false">1/(1+$F$13)^AC12</f>
        <v>0.358942364640953</v>
      </c>
      <c r="AD13" s="43" t="n">
        <f aca="false">1/(1+$F$13)^AD12</f>
        <v>0.341849871086622</v>
      </c>
      <c r="AE13" s="43" t="n">
        <f aca="false">1/(1+$F$13)^AE12</f>
        <v>0.325571305796783</v>
      </c>
      <c r="AF13" s="43" t="n">
        <f aca="false">1/(1+$F$13)^AF12</f>
        <v>0.31006791028265</v>
      </c>
      <c r="AG13" s="43" t="n">
        <f aca="false">1/(1+$F$13)^AG12</f>
        <v>0.295302771697762</v>
      </c>
      <c r="AH13" s="43" t="n">
        <f aca="false">1/(1+$F$13)^AH12</f>
        <v>0.281240734950249</v>
      </c>
      <c r="AI13" s="43" t="n">
        <f aca="false">1/(1+$F$13)^AI12</f>
        <v>0.267848319000238</v>
      </c>
      <c r="AJ13" s="43" t="n">
        <f aca="false">1/(1+$F$13)^AJ12</f>
        <v>0.255093637143083</v>
      </c>
      <c r="AK13" s="43" t="n">
        <f aca="false">1/(1+$F$13)^AK12</f>
        <v>0.242946321088651</v>
      </c>
      <c r="AL13" s="43" t="n">
        <f aca="false">1/(1+$F$13)^AL12</f>
        <v>0.231377448655858</v>
      </c>
      <c r="AM13" s="43" t="n">
        <f aca="false">1/(1+$F$13)^AM12</f>
        <v>0.220359474910341</v>
      </c>
      <c r="AN13" s="43" t="n">
        <f aca="false">1/(1+$F$13)^AN12</f>
        <v>0.209866166581277</v>
      </c>
      <c r="AO13" s="43" t="n">
        <f aca="false">1/(1+$F$13)^AO12</f>
        <v>0.199872539601216</v>
      </c>
      <c r="AP13" s="43" t="n">
        <f aca="false">1/(1+$F$13)^AP12</f>
        <v>0.190354799620206</v>
      </c>
      <c r="AQ13" s="43" t="n">
        <f aca="false">1/(1+$F$13)^AQ12</f>
        <v>0.181290285352577</v>
      </c>
      <c r="AR13" s="43" t="n">
        <f aca="false">1/(1+$F$13)^AR12</f>
        <v>0.172657414621502</v>
      </c>
      <c r="AS13" s="3"/>
      <c r="AT13" s="3"/>
      <c r="AU13" s="3"/>
      <c r="AV13" s="3"/>
      <c r="AW13" s="3"/>
      <c r="AX13" s="3"/>
      <c r="AY13" s="3"/>
    </row>
    <row r="14" customFormat="false" ht="13.5" hidden="false" customHeight="false" outlineLevel="0" collapsed="false">
      <c r="A14" s="285" t="s">
        <v>253</v>
      </c>
      <c r="B14" s="286"/>
      <c r="C14" s="286"/>
      <c r="D14" s="286"/>
      <c r="E14" s="286"/>
      <c r="F14" s="287" t="n">
        <v>10000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</row>
    <row r="15" customFormat="false" ht="13.5" hidden="false" customHeight="false" outlineLevel="0" collapsed="false">
      <c r="A15" s="2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</row>
    <row r="16" customFormat="false" ht="12.75" hidden="false" customHeight="false" outlineLevel="0" collapsed="false">
      <c r="A16" s="278" t="s">
        <v>254</v>
      </c>
      <c r="B16" s="288"/>
      <c r="C16" s="288"/>
      <c r="D16" s="288"/>
      <c r="E16" s="288"/>
      <c r="F16" s="289" t="n">
        <f aca="false">+Valuation!E12</f>
        <v>0.06125</v>
      </c>
      <c r="G16" s="29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S16" s="281"/>
      <c r="T16" s="281"/>
      <c r="U16" s="281"/>
      <c r="V16" s="281"/>
      <c r="W16" s="281"/>
      <c r="X16" s="281"/>
      <c r="Y16" s="281"/>
      <c r="Z16" s="281"/>
      <c r="AA16" s="281"/>
      <c r="AB16" s="281"/>
      <c r="AC16" s="281"/>
      <c r="AD16" s="281"/>
      <c r="AE16" s="281"/>
      <c r="AF16" s="281"/>
      <c r="AG16" s="281"/>
      <c r="AH16" s="281"/>
      <c r="AI16" s="281"/>
      <c r="AJ16" s="281"/>
      <c r="AK16" s="281"/>
      <c r="AL16" s="281"/>
      <c r="AM16" s="281"/>
      <c r="AN16" s="281"/>
      <c r="AO16" s="281"/>
      <c r="AP16" s="281"/>
      <c r="AQ16" s="281"/>
      <c r="AR16" s="281"/>
      <c r="AS16" s="3"/>
      <c r="AT16" s="3"/>
      <c r="AU16" s="3"/>
      <c r="AV16" s="3"/>
      <c r="AW16" s="3"/>
      <c r="AX16" s="3"/>
      <c r="AY16" s="3"/>
    </row>
    <row r="17" customFormat="false" ht="12.75" hidden="false" customHeight="false" outlineLevel="0" collapsed="false">
      <c r="A17" s="282" t="s">
        <v>255</v>
      </c>
      <c r="B17" s="283"/>
      <c r="C17" s="283"/>
      <c r="D17" s="283"/>
      <c r="E17" s="283"/>
      <c r="F17" s="290" t="n">
        <f aca="false">+Valuation!E13</f>
        <v>0.00125</v>
      </c>
      <c r="G17" s="29"/>
      <c r="H17" s="291"/>
      <c r="I17" s="291"/>
      <c r="J17" s="291"/>
      <c r="K17" s="291"/>
      <c r="L17" s="291"/>
      <c r="M17" s="291"/>
      <c r="N17" s="291"/>
      <c r="O17" s="291"/>
      <c r="P17" s="291"/>
      <c r="Q17" s="291"/>
      <c r="R17" s="291"/>
      <c r="S17" s="291"/>
      <c r="T17" s="291"/>
      <c r="U17" s="291"/>
      <c r="V17" s="291"/>
      <c r="W17" s="291"/>
      <c r="X17" s="291"/>
      <c r="Y17" s="291"/>
      <c r="Z17" s="291"/>
      <c r="AA17" s="291"/>
      <c r="AB17" s="291"/>
      <c r="AC17" s="291"/>
      <c r="AD17" s="291"/>
      <c r="AE17" s="291"/>
      <c r="AF17" s="291"/>
      <c r="AG17" s="291"/>
      <c r="AH17" s="291"/>
      <c r="AI17" s="291"/>
      <c r="AJ17" s="291"/>
      <c r="AK17" s="291"/>
      <c r="AL17" s="291"/>
      <c r="AM17" s="291"/>
      <c r="AN17" s="291"/>
      <c r="AO17" s="291"/>
      <c r="AP17" s="291"/>
      <c r="AQ17" s="291"/>
      <c r="AR17" s="291"/>
      <c r="AS17" s="3"/>
      <c r="AT17" s="3"/>
      <c r="AU17" s="3"/>
      <c r="AV17" s="3"/>
      <c r="AW17" s="3"/>
      <c r="AX17" s="3"/>
      <c r="AY17" s="3"/>
    </row>
    <row r="18" customFormat="false" ht="13.5" hidden="false" customHeight="false" outlineLevel="0" collapsed="false">
      <c r="A18" s="285" t="s">
        <v>256</v>
      </c>
      <c r="B18" s="286"/>
      <c r="C18" s="286"/>
      <c r="D18" s="286"/>
      <c r="E18" s="286"/>
      <c r="F18" s="292" t="n">
        <f aca="false">+SUM(F16:F17)</f>
        <v>0.0625</v>
      </c>
      <c r="G18" s="29" t="s">
        <v>16</v>
      </c>
      <c r="H18" s="43" t="n">
        <f aca="false">1/(1+$F$18)^H12</f>
        <v>1</v>
      </c>
      <c r="I18" s="43" t="n">
        <f aca="false">1/(1+$F$18)^I12</f>
        <v>0.941176470588235</v>
      </c>
      <c r="J18" s="43" t="n">
        <f aca="false">1/(1+$F$18)^J12</f>
        <v>0.885813148788927</v>
      </c>
      <c r="K18" s="43" t="n">
        <f aca="false">1/(1+$F$18)^K12</f>
        <v>0.833706492977814</v>
      </c>
      <c r="L18" s="43" t="n">
        <f aca="false">1/(1+$F$18)^L12</f>
        <v>0.784664934567354</v>
      </c>
      <c r="M18" s="43" t="n">
        <f aca="false">1/(1+$F$18)^M12</f>
        <v>0.738508173710451</v>
      </c>
      <c r="N18" s="43" t="n">
        <f aca="false">1/(1+$F$18)^N12</f>
        <v>0.695066516433366</v>
      </c>
      <c r="O18" s="43" t="n">
        <f aca="false">1/(1+$F$18)^O12</f>
        <v>0.654180250760815</v>
      </c>
      <c r="P18" s="43" t="n">
        <f aca="false">1/(1+$F$18)^P12</f>
        <v>0.615699059539591</v>
      </c>
      <c r="Q18" s="43" t="n">
        <f aca="false">1/(1+$F$18)^Q12</f>
        <v>0.579481467801968</v>
      </c>
      <c r="R18" s="43" t="n">
        <f aca="false">1/(1+$F$18)^R12</f>
        <v>0.545394322637146</v>
      </c>
      <c r="S18" s="43" t="n">
        <f aca="false">1/(1+$F$18)^S12</f>
        <v>0.51331230365849</v>
      </c>
      <c r="T18" s="43" t="n">
        <f aca="false">1/(1+$F$18)^T12</f>
        <v>0.483117462266814</v>
      </c>
      <c r="U18" s="43" t="n">
        <f aca="false">1/(1+$F$18)^U12</f>
        <v>0.454698788015825</v>
      </c>
      <c r="V18" s="43" t="n">
        <f aca="false">1/(1+$F$18)^V12</f>
        <v>0.427951800485483</v>
      </c>
      <c r="W18" s="43" t="n">
        <f aca="false">1/(1+$F$18)^W12</f>
        <v>0.402778165162807</v>
      </c>
      <c r="X18" s="43" t="n">
        <f aca="false">1/(1+$F$18)^X12</f>
        <v>0.379085331917936</v>
      </c>
      <c r="Y18" s="43" t="n">
        <f aca="false">1/(1+$F$18)^Y12</f>
        <v>0.356786194746293</v>
      </c>
      <c r="Z18" s="43" t="n">
        <f aca="false">1/(1+$F$18)^Z12</f>
        <v>0.335798771525923</v>
      </c>
      <c r="AA18" s="43" t="n">
        <f aca="false">1/(1+$F$18)^AA12</f>
        <v>0.316045902612633</v>
      </c>
      <c r="AB18" s="43" t="n">
        <f aca="false">1/(1+$F$18)^AB12</f>
        <v>0.297454967164831</v>
      </c>
      <c r="AC18" s="43" t="n">
        <f aca="false">1/(1+$F$18)^AC12</f>
        <v>0.279957616155135</v>
      </c>
      <c r="AD18" s="43" t="n">
        <f aca="false">1/(1+$F$18)^AD12</f>
        <v>0.263489521087186</v>
      </c>
      <c r="AE18" s="43" t="n">
        <f aca="false">1/(1+$F$18)^AE12</f>
        <v>0.247990137493822</v>
      </c>
      <c r="AF18" s="43" t="n">
        <f aca="false">1/(1+$F$18)^AF12</f>
        <v>0.233402482347127</v>
      </c>
      <c r="AG18" s="43" t="n">
        <f aca="false">1/(1+$F$18)^AG12</f>
        <v>0.219672924562002</v>
      </c>
      <c r="AH18" s="43" t="n">
        <f aca="false">1/(1+$F$18)^AH12</f>
        <v>0.20675098782306</v>
      </c>
      <c r="AI18" s="43" t="n">
        <f aca="false">1/(1+$F$18)^AI12</f>
        <v>0.194589165009939</v>
      </c>
      <c r="AJ18" s="43" t="n">
        <f aca="false">1/(1+$F$18)^AJ12</f>
        <v>0.183142743538766</v>
      </c>
      <c r="AK18" s="43" t="n">
        <f aca="false">1/(1+$F$18)^AK12</f>
        <v>0.172369640977662</v>
      </c>
      <c r="AL18" s="43" t="n">
        <f aca="false">1/(1+$F$18)^AL12</f>
        <v>0.162230250331918</v>
      </c>
      <c r="AM18" s="43" t="n">
        <f aca="false">1/(1+$F$18)^AM12</f>
        <v>0.15268729443004</v>
      </c>
      <c r="AN18" s="43" t="n">
        <f aca="false">1/(1+$F$18)^AN12</f>
        <v>0.143705688875332</v>
      </c>
      <c r="AO18" s="43" t="n">
        <f aca="false">1/(1+$F$18)^AO12</f>
        <v>0.135252413059136</v>
      </c>
      <c r="AP18" s="43" t="n">
        <f aca="false">1/(1+$F$18)^AP12</f>
        <v>0.12729638876154</v>
      </c>
      <c r="AQ18" s="43" t="n">
        <f aca="false">1/(1+$F$18)^AQ12</f>
        <v>0.119808365893214</v>
      </c>
      <c r="AR18" s="43" t="n">
        <f aca="false">1/(1+$F$18)^AR12</f>
        <v>0.112760814958319</v>
      </c>
      <c r="AS18" s="3"/>
      <c r="AT18" s="3"/>
      <c r="AU18" s="3"/>
      <c r="AV18" s="3"/>
      <c r="AW18" s="3"/>
      <c r="AX18" s="3"/>
      <c r="AY18" s="3"/>
    </row>
    <row r="19" customFormat="false" ht="13.5" hidden="false" customHeight="false" outlineLevel="0" collapsed="false">
      <c r="A19" s="2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</row>
    <row r="20" customFormat="false" ht="12.75" hidden="false" customHeight="false" outlineLevel="0" collapsed="false">
      <c r="A20" s="278" t="s">
        <v>257</v>
      </c>
      <c r="B20" s="288"/>
      <c r="C20" s="288"/>
      <c r="D20" s="288"/>
      <c r="E20" s="288"/>
      <c r="F20" s="293" t="n">
        <v>0.14</v>
      </c>
      <c r="G20" s="29"/>
      <c r="H20" s="281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281"/>
      <c r="T20" s="281"/>
      <c r="U20" s="281"/>
      <c r="V20" s="281"/>
      <c r="W20" s="281"/>
      <c r="X20" s="281"/>
      <c r="Y20" s="281"/>
      <c r="Z20" s="281"/>
      <c r="AA20" s="281"/>
      <c r="AB20" s="281"/>
      <c r="AC20" s="281"/>
      <c r="AD20" s="281"/>
      <c r="AE20" s="281"/>
      <c r="AF20" s="281"/>
      <c r="AG20" s="281"/>
      <c r="AH20" s="281"/>
      <c r="AI20" s="281"/>
      <c r="AJ20" s="281"/>
      <c r="AK20" s="281"/>
      <c r="AL20" s="281"/>
      <c r="AM20" s="281"/>
      <c r="AN20" s="281"/>
      <c r="AO20" s="281"/>
      <c r="AP20" s="281"/>
      <c r="AQ20" s="281"/>
      <c r="AR20" s="281"/>
      <c r="AS20" s="3"/>
      <c r="AT20" s="3"/>
      <c r="AU20" s="3"/>
      <c r="AV20" s="3"/>
      <c r="AW20" s="3"/>
      <c r="AX20" s="3"/>
      <c r="AY20" s="3"/>
    </row>
    <row r="21" customFormat="false" ht="12.75" hidden="false" customHeight="false" outlineLevel="0" collapsed="false">
      <c r="A21" s="282" t="s">
        <v>12</v>
      </c>
      <c r="B21" s="283"/>
      <c r="C21" s="283"/>
      <c r="D21" s="283"/>
      <c r="E21" s="283"/>
      <c r="F21" s="294" t="n">
        <v>0</v>
      </c>
      <c r="G21" s="29"/>
      <c r="H21" s="291"/>
      <c r="I21" s="291"/>
      <c r="J21" s="291"/>
      <c r="K21" s="291"/>
      <c r="L21" s="291"/>
      <c r="M21" s="291"/>
      <c r="N21" s="291"/>
      <c r="O21" s="291"/>
      <c r="P21" s="291"/>
      <c r="Q21" s="291"/>
      <c r="R21" s="291"/>
      <c r="S21" s="291"/>
      <c r="T21" s="291"/>
      <c r="U21" s="291"/>
      <c r="V21" s="291"/>
      <c r="W21" s="291"/>
      <c r="X21" s="291"/>
      <c r="Y21" s="291"/>
      <c r="Z21" s="291"/>
      <c r="AA21" s="291"/>
      <c r="AB21" s="291"/>
      <c r="AC21" s="291"/>
      <c r="AD21" s="291"/>
      <c r="AE21" s="291"/>
      <c r="AF21" s="291"/>
      <c r="AG21" s="291"/>
      <c r="AH21" s="291"/>
      <c r="AI21" s="291"/>
      <c r="AJ21" s="291"/>
      <c r="AK21" s="291"/>
      <c r="AL21" s="291"/>
      <c r="AM21" s="291"/>
      <c r="AN21" s="291"/>
      <c r="AO21" s="291"/>
      <c r="AP21" s="291"/>
      <c r="AQ21" s="291"/>
      <c r="AR21" s="291"/>
      <c r="AS21" s="3"/>
      <c r="AT21" s="3"/>
      <c r="AU21" s="3"/>
      <c r="AV21" s="3"/>
      <c r="AW21" s="3"/>
      <c r="AX21" s="3"/>
      <c r="AY21" s="3"/>
    </row>
    <row r="22" customFormat="false" ht="13.5" hidden="false" customHeight="false" outlineLevel="0" collapsed="false">
      <c r="A22" s="285" t="s">
        <v>256</v>
      </c>
      <c r="B22" s="286"/>
      <c r="C22" s="286"/>
      <c r="D22" s="286"/>
      <c r="E22" s="286"/>
      <c r="F22" s="292" t="n">
        <f aca="false">+SUM(F20:F21)</f>
        <v>0.14</v>
      </c>
      <c r="G22" s="29" t="s">
        <v>16</v>
      </c>
      <c r="H22" s="43" t="n">
        <f aca="false">1/(1+$F$22)^H12</f>
        <v>1</v>
      </c>
      <c r="I22" s="43" t="n">
        <f aca="false">1/(1+$F$22)^I12</f>
        <v>0.87719298245614</v>
      </c>
      <c r="J22" s="43" t="n">
        <f aca="false">1/(1+$F$22)^J12</f>
        <v>0.769467528470298</v>
      </c>
      <c r="K22" s="43" t="n">
        <f aca="false">1/(1+$F$22)^K12</f>
        <v>0.674971516202016</v>
      </c>
      <c r="L22" s="43" t="n">
        <f aca="false">1/(1+$F$22)^L12</f>
        <v>0.592080277370189</v>
      </c>
      <c r="M22" s="43" t="n">
        <f aca="false">1/(1+$F$22)^M12</f>
        <v>0.519368664359815</v>
      </c>
      <c r="N22" s="43" t="n">
        <f aca="false">1/(1+$F$22)^N12</f>
        <v>0.455586547684048</v>
      </c>
      <c r="O22" s="43" t="n">
        <f aca="false">1/(1+$F$22)^O12</f>
        <v>0.399637322529867</v>
      </c>
      <c r="P22" s="43" t="n">
        <f aca="false">1/(1+$F$22)^P12</f>
        <v>0.350559054850761</v>
      </c>
      <c r="Q22" s="43" t="n">
        <f aca="false">1/(1+$F$22)^Q12</f>
        <v>0.307507942851544</v>
      </c>
      <c r="R22" s="43" t="n">
        <f aca="false">1/(1+$F$22)^R12</f>
        <v>0.269743809518898</v>
      </c>
      <c r="S22" s="43" t="n">
        <f aca="false">1/(1+$F$22)^S12</f>
        <v>0.236617376770964</v>
      </c>
      <c r="T22" s="43" t="n">
        <f aca="false">1/(1+$F$22)^T12</f>
        <v>0.20755910243067</v>
      </c>
      <c r="U22" s="43" t="n">
        <f aca="false">1/(1+$F$22)^U12</f>
        <v>0.182069388097079</v>
      </c>
      <c r="V22" s="43" t="n">
        <f aca="false">1/(1+$F$22)^V12</f>
        <v>0.159709989558841</v>
      </c>
      <c r="W22" s="43" t="n">
        <f aca="false">1/(1+$F$22)^W12</f>
        <v>0.140096482069159</v>
      </c>
      <c r="X22" s="43" t="n">
        <f aca="false">1/(1+$F$22)^X12</f>
        <v>0.122891650937859</v>
      </c>
      <c r="Y22" s="43" t="n">
        <f aca="false">1/(1+$F$22)^Y12</f>
        <v>0.107799693805139</v>
      </c>
      <c r="Z22" s="43" t="n">
        <f aca="false">1/(1+$F$22)^Z12</f>
        <v>0.0945611349167886</v>
      </c>
      <c r="AA22" s="43" t="n">
        <f aca="false">1/(1+$F$22)^AA12</f>
        <v>0.0829483639620953</v>
      </c>
      <c r="AB22" s="43" t="n">
        <f aca="false">1/(1+$F$22)^AB12</f>
        <v>0.0727617227737678</v>
      </c>
      <c r="AC22" s="43" t="n">
        <f aca="false">1/(1+$F$22)^AC12</f>
        <v>0.0638260726085682</v>
      </c>
      <c r="AD22" s="43" t="n">
        <f aca="false">1/(1+$F$22)^AD12</f>
        <v>0.0559877829899721</v>
      </c>
      <c r="AE22" s="43" t="n">
        <f aca="false">1/(1+$F$22)^AE12</f>
        <v>0.0491120903420808</v>
      </c>
      <c r="AF22" s="43" t="n">
        <f aca="false">1/(1+$F$22)^AF12</f>
        <v>0.0430807810018253</v>
      </c>
      <c r="AG22" s="43" t="n">
        <f aca="false">1/(1+$F$22)^AG12</f>
        <v>0.0377901587735309</v>
      </c>
      <c r="AH22" s="43" t="n">
        <f aca="false">1/(1+$F$22)^AH12</f>
        <v>0.0331492620820447</v>
      </c>
      <c r="AI22" s="43" t="n">
        <f aca="false">1/(1+$F$22)^AI12</f>
        <v>0.029078300071969</v>
      </c>
      <c r="AJ22" s="43" t="n">
        <f aca="false">1/(1+$F$22)^AJ12</f>
        <v>0.0255072807648851</v>
      </c>
      <c r="AK22" s="43" t="n">
        <f aca="false">1/(1+$F$22)^AK12</f>
        <v>0.0223748076884957</v>
      </c>
      <c r="AL22" s="43" t="n">
        <f aca="false">1/(1+$F$22)^AL12</f>
        <v>0.0196270242881541</v>
      </c>
      <c r="AM22" s="43" t="n">
        <f aca="false">1/(1+$F$22)^AM12</f>
        <v>0.017216687972065</v>
      </c>
      <c r="AN22" s="43" t="n">
        <f aca="false">1/(1+$F$22)^AN12</f>
        <v>0.0151023578702325</v>
      </c>
      <c r="AO22" s="43" t="n">
        <f aca="false">1/(1+$F$22)^AO12</f>
        <v>0.0132476823423092</v>
      </c>
      <c r="AP22" s="43" t="n">
        <f aca="false">1/(1+$F$22)^AP12</f>
        <v>0.0116207739844817</v>
      </c>
      <c r="AQ22" s="43" t="n">
        <f aca="false">1/(1+$F$22)^AQ12</f>
        <v>0.0101936613898963</v>
      </c>
      <c r="AR22" s="43" t="n">
        <f aca="false">1/(1+$F$22)^AR12</f>
        <v>0.0089418082367511</v>
      </c>
      <c r="AS22" s="3"/>
      <c r="AT22" s="3"/>
      <c r="AU22" s="3"/>
      <c r="AV22" s="3"/>
      <c r="AW22" s="3"/>
      <c r="AX22" s="3"/>
      <c r="AY22" s="3"/>
    </row>
    <row r="23" customFormat="false" ht="13.5" hidden="false" customHeight="false" outlineLevel="0" collapsed="false">
      <c r="A23" s="2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</row>
    <row r="24" customFormat="false" ht="12.75" hidden="false" customHeight="false" outlineLevel="0" collapsed="false">
      <c r="A24" s="278" t="s">
        <v>258</v>
      </c>
      <c r="B24" s="288"/>
      <c r="C24" s="288"/>
      <c r="D24" s="288"/>
      <c r="E24" s="288"/>
      <c r="F24" s="293" t="n">
        <v>0.06</v>
      </c>
      <c r="G24" s="29"/>
      <c r="H24" s="281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81"/>
      <c r="T24" s="281"/>
      <c r="U24" s="281"/>
      <c r="V24" s="281"/>
      <c r="W24" s="281"/>
      <c r="X24" s="281"/>
      <c r="Y24" s="281"/>
      <c r="Z24" s="281"/>
      <c r="AA24" s="281"/>
      <c r="AB24" s="281"/>
      <c r="AC24" s="281"/>
      <c r="AD24" s="281"/>
      <c r="AE24" s="281"/>
      <c r="AF24" s="281"/>
      <c r="AG24" s="281"/>
      <c r="AH24" s="281"/>
      <c r="AI24" s="281"/>
      <c r="AJ24" s="281"/>
      <c r="AK24" s="281"/>
      <c r="AL24" s="281"/>
      <c r="AM24" s="281"/>
      <c r="AN24" s="281"/>
      <c r="AO24" s="281"/>
      <c r="AP24" s="281"/>
      <c r="AQ24" s="281"/>
      <c r="AR24" s="281"/>
      <c r="AS24" s="3"/>
      <c r="AT24" s="3"/>
      <c r="AU24" s="3"/>
      <c r="AV24" s="3"/>
      <c r="AW24" s="3"/>
      <c r="AX24" s="3"/>
      <c r="AY24" s="3"/>
    </row>
    <row r="25" customFormat="false" ht="12.75" hidden="false" customHeight="false" outlineLevel="0" collapsed="false">
      <c r="A25" s="282" t="s">
        <v>12</v>
      </c>
      <c r="B25" s="283"/>
      <c r="C25" s="283"/>
      <c r="D25" s="283"/>
      <c r="E25" s="283"/>
      <c r="F25" s="294" t="n">
        <v>0</v>
      </c>
      <c r="G25" s="29"/>
      <c r="H25" s="291"/>
      <c r="I25" s="291"/>
      <c r="J25" s="291"/>
      <c r="K25" s="291"/>
      <c r="L25" s="291"/>
      <c r="M25" s="291"/>
      <c r="N25" s="291"/>
      <c r="O25" s="291"/>
      <c r="P25" s="291"/>
      <c r="Q25" s="291"/>
      <c r="R25" s="291"/>
      <c r="S25" s="291"/>
      <c r="T25" s="291"/>
      <c r="U25" s="291"/>
      <c r="V25" s="291"/>
      <c r="W25" s="291"/>
      <c r="X25" s="291"/>
      <c r="Y25" s="291"/>
      <c r="Z25" s="291"/>
      <c r="AA25" s="291"/>
      <c r="AB25" s="291"/>
      <c r="AC25" s="291"/>
      <c r="AD25" s="291"/>
      <c r="AE25" s="291"/>
      <c r="AF25" s="291"/>
      <c r="AG25" s="291"/>
      <c r="AH25" s="291"/>
      <c r="AI25" s="291"/>
      <c r="AJ25" s="291"/>
      <c r="AK25" s="291"/>
      <c r="AL25" s="291"/>
      <c r="AM25" s="291"/>
      <c r="AN25" s="291"/>
      <c r="AO25" s="291"/>
      <c r="AP25" s="291"/>
      <c r="AQ25" s="291"/>
      <c r="AR25" s="291"/>
      <c r="AS25" s="3"/>
      <c r="AT25" s="3"/>
      <c r="AU25" s="3"/>
      <c r="AV25" s="3"/>
      <c r="AW25" s="3"/>
      <c r="AX25" s="3"/>
      <c r="AY25" s="3"/>
    </row>
    <row r="26" customFormat="false" ht="13.5" hidden="false" customHeight="false" outlineLevel="0" collapsed="false">
      <c r="A26" s="285" t="s">
        <v>256</v>
      </c>
      <c r="B26" s="286"/>
      <c r="C26" s="286"/>
      <c r="D26" s="286"/>
      <c r="E26" s="286"/>
      <c r="F26" s="292" t="n">
        <f aca="false">+SUM(F24:F25)</f>
        <v>0.06</v>
      </c>
      <c r="G26" s="29" t="s">
        <v>16</v>
      </c>
      <c r="H26" s="43" t="n">
        <f aca="false">1/(1+$F$26)^H12</f>
        <v>1</v>
      </c>
      <c r="I26" s="43" t="n">
        <f aca="false">1/(1+$F$26)^I12</f>
        <v>0.943396226415094</v>
      </c>
      <c r="J26" s="43" t="n">
        <f aca="false">1/(1+$F$26)^J12</f>
        <v>0.88999644001424</v>
      </c>
      <c r="K26" s="43" t="n">
        <f aca="false">1/(1+$F$26)^K12</f>
        <v>0.839619283032302</v>
      </c>
      <c r="L26" s="43" t="n">
        <f aca="false">1/(1+$F$26)^L12</f>
        <v>0.79209366323802</v>
      </c>
      <c r="M26" s="43" t="n">
        <f aca="false">1/(1+$F$26)^M12</f>
        <v>0.747258172866057</v>
      </c>
      <c r="N26" s="43" t="n">
        <f aca="false">1/(1+$F$26)^N12</f>
        <v>0.704960540439676</v>
      </c>
      <c r="O26" s="43" t="n">
        <f aca="false">1/(1+$F$26)^O12</f>
        <v>0.665057113622336</v>
      </c>
      <c r="P26" s="43" t="n">
        <f aca="false">1/(1+$F$26)^P12</f>
        <v>0.627412371341827</v>
      </c>
      <c r="Q26" s="43" t="n">
        <f aca="false">1/(1+$F$26)^Q12</f>
        <v>0.591898463530025</v>
      </c>
      <c r="R26" s="43" t="n">
        <f aca="false">1/(1+$F$26)^R12</f>
        <v>0.558394776915118</v>
      </c>
      <c r="S26" s="43" t="n">
        <f aca="false">1/(1+$F$26)^S12</f>
        <v>0.526787525391621</v>
      </c>
      <c r="T26" s="43" t="n">
        <f aca="false">1/(1+$F$26)^T12</f>
        <v>0.496969363577001</v>
      </c>
      <c r="U26" s="43" t="n">
        <f aca="false">1/(1+$F$26)^U12</f>
        <v>0.468839022242453</v>
      </c>
      <c r="V26" s="43" t="n">
        <f aca="false">1/(1+$F$26)^V12</f>
        <v>0.442300964379673</v>
      </c>
      <c r="W26" s="43" t="n">
        <f aca="false">1/(1+$F$26)^W12</f>
        <v>0.417265060735541</v>
      </c>
      <c r="X26" s="43" t="n">
        <f aca="false">1/(1+$F$26)^X12</f>
        <v>0.393646283712774</v>
      </c>
      <c r="Y26" s="43" t="n">
        <f aca="false">1/(1+$F$26)^Y12</f>
        <v>0.371364418596957</v>
      </c>
      <c r="Z26" s="43" t="n">
        <f aca="false">1/(1+$F$26)^Z12</f>
        <v>0.350343791129204</v>
      </c>
      <c r="AA26" s="43" t="n">
        <f aca="false">1/(1+$F$26)^AA12</f>
        <v>0.330513010499249</v>
      </c>
      <c r="AB26" s="43" t="n">
        <f aca="false">1/(1+$F$26)^AB12</f>
        <v>0.311804726886084</v>
      </c>
      <c r="AC26" s="43" t="n">
        <f aca="false">1/(1+$F$26)^AC12</f>
        <v>0.294155402722721</v>
      </c>
      <c r="AD26" s="43" t="n">
        <f aca="false">1/(1+$F$26)^AD12</f>
        <v>0.277505096908227</v>
      </c>
      <c r="AE26" s="43" t="n">
        <f aca="false">1/(1+$F$26)^AE12</f>
        <v>0.261797261234177</v>
      </c>
      <c r="AF26" s="43" t="n">
        <f aca="false">1/(1+$F$26)^AF12</f>
        <v>0.246978548334129</v>
      </c>
      <c r="AG26" s="43" t="n">
        <f aca="false">1/(1+$F$26)^AG12</f>
        <v>0.232998630503895</v>
      </c>
      <c r="AH26" s="43" t="n">
        <f aca="false">1/(1+$F$26)^AH12</f>
        <v>0.21981002877726</v>
      </c>
      <c r="AI26" s="43" t="n">
        <f aca="false">1/(1+$F$26)^AI12</f>
        <v>0.20736795167666</v>
      </c>
      <c r="AJ26" s="43" t="n">
        <f aca="false">1/(1+$F$26)^AJ12</f>
        <v>0.195630143091189</v>
      </c>
      <c r="AK26" s="43" t="n">
        <f aca="false">1/(1+$F$26)^AK12</f>
        <v>0.184556738765272</v>
      </c>
      <c r="AL26" s="43" t="n">
        <f aca="false">1/(1+$F$26)^AL12</f>
        <v>0.174110130910634</v>
      </c>
      <c r="AM26" s="43" t="n">
        <f aca="false">1/(1+$F$26)^AM12</f>
        <v>0.16425484048173</v>
      </c>
      <c r="AN26" s="43" t="n">
        <f aca="false">1/(1+$F$26)^AN12</f>
        <v>0.154957396680878</v>
      </c>
      <c r="AO26" s="43" t="n">
        <f aca="false">1/(1+$F$26)^AO12</f>
        <v>0.146186223283847</v>
      </c>
      <c r="AP26" s="43" t="n">
        <f aca="false">1/(1+$F$26)^AP12</f>
        <v>0.137911531399856</v>
      </c>
      <c r="AQ26" s="43" t="n">
        <f aca="false">1/(1+$F$26)^AQ12</f>
        <v>0.130105218301751</v>
      </c>
      <c r="AR26" s="43" t="n">
        <f aca="false">1/(1+$F$26)^AR12</f>
        <v>0.122740771982784</v>
      </c>
      <c r="AS26" s="3"/>
      <c r="AT26" s="3"/>
      <c r="AU26" s="3"/>
      <c r="AV26" s="3"/>
      <c r="AW26" s="3"/>
      <c r="AX26" s="3"/>
      <c r="AY26" s="3"/>
    </row>
    <row r="27" customFormat="false" ht="12.75" hidden="false" customHeight="false" outlineLevel="0" collapsed="false">
      <c r="A27" s="2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</row>
    <row r="28" customFormat="false" ht="12.75" hidden="false" customHeight="false" outlineLevel="0" collapsed="false">
      <c r="A28" s="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</row>
    <row r="29" customFormat="false" ht="13.5" hidden="false" customHeight="false" outlineLevel="0" collapsed="false">
      <c r="A29" s="2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</row>
    <row r="30" customFormat="false" ht="15.75" hidden="false" customHeight="false" outlineLevel="0" collapsed="false">
      <c r="A30" s="95" t="str">
        <f aca="false">CONCATENATE("Contract Cost - NPV ",$F$18*100," of Cf to Term (2036)")</f>
        <v>Contract Cost - NPV 6.25 of Cf to Term (2036)</v>
      </c>
      <c r="B30" s="3"/>
      <c r="C30" s="3"/>
      <c r="D30" s="3"/>
      <c r="E30" s="3"/>
      <c r="F30" s="3"/>
      <c r="G30" s="3"/>
      <c r="H30" s="96" t="n">
        <f aca="false">+Valuation!G74</f>
        <v>1484626.69762458</v>
      </c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7"/>
      <c r="AO30" s="7"/>
      <c r="AP30" s="3"/>
      <c r="AQ30" s="3"/>
      <c r="AR30" s="3"/>
      <c r="AS30" s="3"/>
      <c r="AT30" s="3"/>
      <c r="AU30" s="3"/>
      <c r="AV30" s="3"/>
      <c r="AW30" s="3"/>
      <c r="AX30" s="3"/>
      <c r="AY30" s="3"/>
    </row>
    <row r="31" customFormat="false" ht="13.5" hidden="false" customHeight="false" outlineLevel="0" collapsed="false">
      <c r="A31" s="95" t="str">
        <f aca="false">CONCATENATE("Ownership Cost - NPV ",$F$18*100," of Cf to Term (2036)")</f>
        <v>Ownership Cost - NPV 6.25 of Cf to Term (2036)</v>
      </c>
      <c r="B31" s="3"/>
      <c r="C31" s="3"/>
      <c r="D31" s="3"/>
      <c r="E31" s="3"/>
      <c r="F31" s="3"/>
      <c r="G31" s="3"/>
      <c r="H31" s="96" t="n">
        <f aca="false">+Valuation!G178</f>
        <v>1349577.75687723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Format="false" ht="12.75" hidden="false" customHeight="false" outlineLevel="0" collapsed="false">
      <c r="A32" s="2"/>
      <c r="B32" s="3"/>
      <c r="C32" s="3"/>
      <c r="D32" s="3"/>
      <c r="E32" s="3"/>
      <c r="F32" s="3"/>
      <c r="G32" s="3"/>
      <c r="H32" s="97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Format="false" ht="12.75" hidden="false" customHeight="false" outlineLevel="0" collapsed="false">
      <c r="A33" s="48" t="s">
        <v>259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Format="false" ht="12.75" hidden="false" customHeight="false" outlineLevel="0" collapsed="false">
      <c r="A34" s="2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Format="false" ht="12.75" hidden="false" customHeight="false" outlineLevel="0" collapsed="false">
      <c r="A35" s="2"/>
      <c r="B35" s="2" t="s">
        <v>21</v>
      </c>
      <c r="C35" s="3"/>
      <c r="D35" s="273"/>
      <c r="E35" s="3"/>
      <c r="F35" s="3"/>
      <c r="G35" s="3"/>
      <c r="H35" s="14" t="s">
        <v>22</v>
      </c>
      <c r="I35" s="51" t="n">
        <f aca="false">+Valuation!H23</f>
        <v>258000</v>
      </c>
      <c r="J35" s="51" t="n">
        <f aca="false">+Valuation!I23</f>
        <v>258000</v>
      </c>
      <c r="K35" s="51" t="n">
        <f aca="false">+Valuation!J23</f>
        <v>258000</v>
      </c>
      <c r="L35" s="51" t="n">
        <f aca="false">+Valuation!K23</f>
        <v>258000</v>
      </c>
      <c r="M35" s="51" t="n">
        <f aca="false">+Valuation!L23</f>
        <v>258000</v>
      </c>
      <c r="N35" s="51" t="n">
        <f aca="false">+Valuation!M23</f>
        <v>258000</v>
      </c>
      <c r="O35" s="51" t="n">
        <f aca="false">+Valuation!N23</f>
        <v>258000</v>
      </c>
      <c r="P35" s="51" t="n">
        <f aca="false">+Valuation!O23</f>
        <v>258000</v>
      </c>
      <c r="Q35" s="51" t="n">
        <f aca="false">+Valuation!P23</f>
        <v>258000</v>
      </c>
      <c r="R35" s="51" t="n">
        <f aca="false">+Valuation!Q23</f>
        <v>258000</v>
      </c>
      <c r="S35" s="51" t="n">
        <f aca="false">+Valuation!R23</f>
        <v>258000</v>
      </c>
      <c r="T35" s="51" t="n">
        <f aca="false">+Valuation!S23</f>
        <v>258000</v>
      </c>
      <c r="U35" s="51" t="n">
        <f aca="false">+Valuation!T23</f>
        <v>258000</v>
      </c>
      <c r="V35" s="51" t="n">
        <f aca="false">+Valuation!U23</f>
        <v>258000</v>
      </c>
      <c r="W35" s="51" t="n">
        <f aca="false">+Valuation!V23</f>
        <v>258000</v>
      </c>
      <c r="X35" s="51" t="n">
        <f aca="false">+Valuation!W23</f>
        <v>258000</v>
      </c>
      <c r="Y35" s="51" t="n">
        <f aca="false">+Valuation!X23</f>
        <v>258000</v>
      </c>
      <c r="Z35" s="51" t="n">
        <f aca="false">+Valuation!Y23</f>
        <v>258000</v>
      </c>
      <c r="AA35" s="51" t="n">
        <f aca="false">+Valuation!Z23</f>
        <v>258000</v>
      </c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Format="false" ht="13.5" hidden="false" customHeight="false" outlineLevel="0" collapsed="false">
      <c r="A36" s="2"/>
      <c r="B36" s="2" t="s">
        <v>260</v>
      </c>
      <c r="C36" s="3"/>
      <c r="D36" s="273"/>
      <c r="E36" s="3"/>
      <c r="F36" s="3"/>
      <c r="G36" s="3"/>
      <c r="H36" s="3"/>
      <c r="I36" s="111" t="n">
        <v>12</v>
      </c>
      <c r="J36" s="87" t="n">
        <f aca="false">+I36</f>
        <v>12</v>
      </c>
      <c r="K36" s="87" t="n">
        <f aca="false">+J36</f>
        <v>12</v>
      </c>
      <c r="L36" s="87" t="n">
        <f aca="false">+K36</f>
        <v>12</v>
      </c>
      <c r="M36" s="87" t="n">
        <f aca="false">+L36</f>
        <v>12</v>
      </c>
      <c r="N36" s="87" t="n">
        <f aca="false">+M36</f>
        <v>12</v>
      </c>
      <c r="O36" s="87" t="n">
        <f aca="false">+N36</f>
        <v>12</v>
      </c>
      <c r="P36" s="87" t="n">
        <f aca="false">+O36</f>
        <v>12</v>
      </c>
      <c r="Q36" s="87" t="n">
        <f aca="false">+P36</f>
        <v>12</v>
      </c>
      <c r="R36" s="87" t="n">
        <f aca="false">+Q36</f>
        <v>12</v>
      </c>
      <c r="S36" s="87" t="n">
        <f aca="false">+R36</f>
        <v>12</v>
      </c>
      <c r="T36" s="87" t="n">
        <f aca="false">+S36</f>
        <v>12</v>
      </c>
      <c r="U36" s="87" t="n">
        <f aca="false">+T36</f>
        <v>12</v>
      </c>
      <c r="V36" s="87" t="n">
        <f aca="false">+U36</f>
        <v>12</v>
      </c>
      <c r="W36" s="87" t="n">
        <f aca="false">+V36</f>
        <v>12</v>
      </c>
      <c r="X36" s="87" t="n">
        <f aca="false">+W36</f>
        <v>12</v>
      </c>
      <c r="Y36" s="87" t="n">
        <f aca="false">+X36</f>
        <v>12</v>
      </c>
      <c r="Z36" s="87" t="n">
        <f aca="false">+Y36</f>
        <v>12</v>
      </c>
      <c r="AA36" s="87" t="n">
        <f aca="false">+Z36</f>
        <v>12</v>
      </c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  <row r="37" customFormat="false" ht="12.75" hidden="false" customHeight="false" outlineLevel="0" collapsed="false">
      <c r="A37" s="2"/>
      <c r="B37" s="2" t="s">
        <v>261</v>
      </c>
      <c r="C37" s="3"/>
      <c r="D37" s="3"/>
      <c r="E37" s="3"/>
      <c r="F37" s="3"/>
      <c r="G37" s="3"/>
      <c r="H37" s="14" t="s">
        <v>22</v>
      </c>
      <c r="I37" s="114" t="n">
        <f aca="false">+I35*I36</f>
        <v>3096000</v>
      </c>
      <c r="J37" s="114" t="n">
        <f aca="false">+J35*J36</f>
        <v>3096000</v>
      </c>
      <c r="K37" s="114" t="n">
        <f aca="false">+K35*K36</f>
        <v>3096000</v>
      </c>
      <c r="L37" s="114" t="n">
        <f aca="false">+L35*L36</f>
        <v>3096000</v>
      </c>
      <c r="M37" s="114" t="n">
        <f aca="false">+M35*M36</f>
        <v>3096000</v>
      </c>
      <c r="N37" s="114" t="n">
        <f aca="false">+N35*N36</f>
        <v>3096000</v>
      </c>
      <c r="O37" s="114" t="n">
        <f aca="false">+O35*O36</f>
        <v>3096000</v>
      </c>
      <c r="P37" s="114" t="n">
        <f aca="false">+P35*P36</f>
        <v>3096000</v>
      </c>
      <c r="Q37" s="114" t="n">
        <f aca="false">+Q35*Q36</f>
        <v>3096000</v>
      </c>
      <c r="R37" s="114" t="n">
        <f aca="false">+R35*R36</f>
        <v>3096000</v>
      </c>
      <c r="S37" s="114" t="n">
        <f aca="false">+S35*S36</f>
        <v>3096000</v>
      </c>
      <c r="T37" s="114" t="n">
        <f aca="false">+T35*T36</f>
        <v>3096000</v>
      </c>
      <c r="U37" s="114" t="n">
        <f aca="false">+U35*U36</f>
        <v>3096000</v>
      </c>
      <c r="V37" s="114" t="n">
        <f aca="false">+V35*V36</f>
        <v>3096000</v>
      </c>
      <c r="W37" s="114" t="n">
        <f aca="false">+W35*W36</f>
        <v>3096000</v>
      </c>
      <c r="X37" s="114" t="n">
        <f aca="false">+X35*X36</f>
        <v>3096000</v>
      </c>
      <c r="Y37" s="114" t="n">
        <f aca="false">+Y35*Y36</f>
        <v>3096000</v>
      </c>
      <c r="Z37" s="114" t="n">
        <f aca="false">+Z35*Z36</f>
        <v>3096000</v>
      </c>
      <c r="AA37" s="114" t="n">
        <f aca="false">+AA35*AA36</f>
        <v>3096000</v>
      </c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</row>
    <row r="38" customFormat="false" ht="12.75" hidden="false" customHeight="false" outlineLevel="0" collapsed="false">
      <c r="A38" s="2"/>
      <c r="B38" s="2"/>
      <c r="C38" s="3"/>
      <c r="D38" s="3"/>
      <c r="E38" s="3"/>
      <c r="F38" s="3"/>
      <c r="G38" s="3"/>
      <c r="H38" s="3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</row>
    <row r="39" customFormat="false" ht="12.75" hidden="false" customHeight="false" outlineLevel="0" collapsed="false">
      <c r="A39" s="2"/>
      <c r="B39" s="2" t="s">
        <v>262</v>
      </c>
      <c r="C39" s="3"/>
      <c r="D39" s="3"/>
      <c r="E39" s="3"/>
      <c r="F39" s="3"/>
      <c r="G39" s="3"/>
      <c r="H39" s="14" t="s">
        <v>44</v>
      </c>
      <c r="I39" s="56" t="n">
        <f aca="false">+Valuation!H63</f>
        <v>15.6682170542636</v>
      </c>
      <c r="J39" s="56" t="n">
        <f aca="false">+Valuation!I63</f>
        <v>16.1516279069767</v>
      </c>
      <c r="K39" s="56" t="n">
        <f aca="false">+Valuation!J63</f>
        <v>16.7326808914729</v>
      </c>
      <c r="L39" s="56" t="n">
        <f aca="false">+Valuation!K63</f>
        <v>17.3190181007752</v>
      </c>
      <c r="M39" s="56" t="n">
        <f aca="false">+Valuation!L63</f>
        <v>17.8629974031008</v>
      </c>
      <c r="N39" s="56" t="n">
        <f aca="false">+Valuation!M63</f>
        <v>18.464618875969</v>
      </c>
      <c r="O39" s="56" t="n">
        <f aca="false">+Valuation!N63</f>
        <v>18.56</v>
      </c>
      <c r="P39" s="56" t="n">
        <f aca="false">+Valuation!O63</f>
        <v>19.03</v>
      </c>
      <c r="Q39" s="56" t="n">
        <f aca="false">+Valuation!P63</f>
        <v>19.69</v>
      </c>
      <c r="R39" s="56" t="n">
        <f aca="false">+Valuation!Q63</f>
        <v>20.26</v>
      </c>
      <c r="S39" s="56" t="n">
        <f aca="false">+Valuation!R63</f>
        <v>20.86</v>
      </c>
      <c r="T39" s="56" t="n">
        <f aca="false">+Valuation!S63</f>
        <v>21.52</v>
      </c>
      <c r="U39" s="56" t="n">
        <f aca="false">+Valuation!T63</f>
        <v>21.96</v>
      </c>
      <c r="V39" s="56" t="n">
        <f aca="false">+Valuation!U63</f>
        <v>22.01</v>
      </c>
      <c r="W39" s="56" t="n">
        <f aca="false">+Valuation!V63</f>
        <v>22.21</v>
      </c>
      <c r="X39" s="56" t="n">
        <f aca="false">+Valuation!W63</f>
        <v>22.26</v>
      </c>
      <c r="Y39" s="56" t="n">
        <f aca="false">+Valuation!X63</f>
        <v>23.13</v>
      </c>
      <c r="Z39" s="56" t="n">
        <f aca="false">+Valuation!Y63</f>
        <v>23.58</v>
      </c>
      <c r="AA39" s="56" t="n">
        <f aca="false">+Valuation!Z63</f>
        <v>24.07</v>
      </c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</row>
    <row r="40" customFormat="false" ht="13.5" hidden="false" customHeight="false" outlineLevel="0" collapsed="false">
      <c r="A40" s="2"/>
      <c r="B40" s="2" t="s">
        <v>263</v>
      </c>
      <c r="C40" s="3"/>
      <c r="D40" s="3"/>
      <c r="E40" s="3"/>
      <c r="F40" s="3"/>
      <c r="G40" s="3"/>
      <c r="H40" s="14" t="s">
        <v>44</v>
      </c>
      <c r="I40" s="78" t="n">
        <v>-3.42</v>
      </c>
      <c r="J40" s="78" t="n">
        <v>-5.95</v>
      </c>
      <c r="K40" s="78" t="n">
        <v>-2.65</v>
      </c>
      <c r="L40" s="78" t="n">
        <v>-2.74</v>
      </c>
      <c r="M40" s="78" t="n">
        <v>-5.33</v>
      </c>
      <c r="N40" s="78" t="n">
        <v>-4.45</v>
      </c>
      <c r="O40" s="78" t="n">
        <v>-3.19</v>
      </c>
      <c r="P40" s="78" t="n">
        <v>-10.45</v>
      </c>
      <c r="Q40" s="78" t="n">
        <v>-3.53</v>
      </c>
      <c r="R40" s="78" t="n">
        <v>-3.75</v>
      </c>
      <c r="S40" s="78" t="n">
        <v>-6.74</v>
      </c>
      <c r="T40" s="78" t="n">
        <v>-4.08</v>
      </c>
      <c r="U40" s="78" t="n">
        <v>-4.32</v>
      </c>
      <c r="V40" s="78" t="n">
        <v>-9.21</v>
      </c>
      <c r="W40" s="78" t="n">
        <v>-4.73</v>
      </c>
      <c r="X40" s="78" t="n">
        <v>-4.99</v>
      </c>
      <c r="Y40" s="78" t="n">
        <v>-10.49</v>
      </c>
      <c r="Z40" s="78" t="n">
        <v>-5.5</v>
      </c>
      <c r="AA40" s="78" t="n">
        <v>-8.87</v>
      </c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</row>
    <row r="41" customFormat="false" ht="12.75" hidden="false" customHeight="false" outlineLevel="0" collapsed="false">
      <c r="A41" s="2"/>
      <c r="B41" s="2" t="s">
        <v>264</v>
      </c>
      <c r="C41" s="3"/>
      <c r="D41" s="3"/>
      <c r="E41" s="3"/>
      <c r="F41" s="3"/>
      <c r="G41" s="3"/>
      <c r="H41" s="3"/>
      <c r="I41" s="99" t="n">
        <f aca="false">+I39+I40</f>
        <v>12.2482170542636</v>
      </c>
      <c r="J41" s="99" t="n">
        <f aca="false">+J39+J40</f>
        <v>10.2016279069767</v>
      </c>
      <c r="K41" s="99" t="n">
        <f aca="false">+K39+K40</f>
        <v>14.0826808914729</v>
      </c>
      <c r="L41" s="99" t="n">
        <f aca="false">+L39+L40</f>
        <v>14.5790181007752</v>
      </c>
      <c r="M41" s="99" t="n">
        <f aca="false">+M39+M40</f>
        <v>12.5329974031008</v>
      </c>
      <c r="N41" s="99" t="n">
        <f aca="false">+N39+N40</f>
        <v>14.014618875969</v>
      </c>
      <c r="O41" s="99" t="n">
        <f aca="false">+O39+O40</f>
        <v>15.37</v>
      </c>
      <c r="P41" s="99" t="n">
        <f aca="false">+P39+P40</f>
        <v>8.58</v>
      </c>
      <c r="Q41" s="99" t="n">
        <f aca="false">+Q39+Q40</f>
        <v>16.16</v>
      </c>
      <c r="R41" s="99" t="n">
        <f aca="false">+R39+R40</f>
        <v>16.51</v>
      </c>
      <c r="S41" s="99" t="n">
        <f aca="false">+S39+S40</f>
        <v>14.12</v>
      </c>
      <c r="T41" s="99" t="n">
        <f aca="false">+T39+T40</f>
        <v>17.44</v>
      </c>
      <c r="U41" s="99" t="n">
        <f aca="false">+U39+U40</f>
        <v>17.64</v>
      </c>
      <c r="V41" s="99" t="n">
        <f aca="false">+V39+V40</f>
        <v>12.8</v>
      </c>
      <c r="W41" s="99" t="n">
        <f aca="false">+W39+W40</f>
        <v>17.48</v>
      </c>
      <c r="X41" s="99" t="n">
        <f aca="false">+X39+X40</f>
        <v>17.27</v>
      </c>
      <c r="Y41" s="99" t="n">
        <f aca="false">+Y39+Y40</f>
        <v>12.64</v>
      </c>
      <c r="Z41" s="99" t="n">
        <f aca="false">+Z39+Z40</f>
        <v>18.08</v>
      </c>
      <c r="AA41" s="99" t="n">
        <f aca="false">+AA39+AA40</f>
        <v>15.2</v>
      </c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</row>
    <row r="42" customFormat="false" ht="12.75" hidden="false" customHeight="false" outlineLevel="0" collapsed="false">
      <c r="A42" s="2"/>
      <c r="B42" s="2"/>
      <c r="C42" s="3"/>
      <c r="D42" s="3"/>
      <c r="E42" s="3"/>
      <c r="F42" s="3"/>
      <c r="G42" s="3"/>
      <c r="H42" s="3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</row>
    <row r="43" customFormat="false" ht="12.75" hidden="false" customHeight="false" outlineLevel="0" collapsed="false">
      <c r="A43" s="2"/>
      <c r="B43" s="2" t="s">
        <v>265</v>
      </c>
      <c r="C43" s="3"/>
      <c r="D43" s="3"/>
      <c r="E43" s="3"/>
      <c r="F43" s="3"/>
      <c r="G43" s="3"/>
      <c r="H43" s="3"/>
      <c r="I43" s="97" t="n">
        <f aca="false">+I41*I37/1000</f>
        <v>37920.48</v>
      </c>
      <c r="J43" s="97" t="n">
        <f aca="false">+J41*J37/1000</f>
        <v>31584.24</v>
      </c>
      <c r="K43" s="97" t="n">
        <f aca="false">+K41*K37/1000</f>
        <v>43599.98004</v>
      </c>
      <c r="L43" s="97" t="n">
        <f aca="false">+L41*L37/1000</f>
        <v>45136.64004</v>
      </c>
      <c r="M43" s="97" t="n">
        <f aca="false">+M41*M37/1000</f>
        <v>38802.15996</v>
      </c>
      <c r="N43" s="97" t="n">
        <f aca="false">+N41*N37/1000</f>
        <v>43389.26004</v>
      </c>
      <c r="O43" s="97" t="n">
        <f aca="false">+O41*O37/1000</f>
        <v>47585.52</v>
      </c>
      <c r="P43" s="97" t="n">
        <f aca="false">+P41*P37/1000</f>
        <v>26563.68</v>
      </c>
      <c r="Q43" s="97" t="n">
        <f aca="false">+Q41*Q37/1000</f>
        <v>50031.36</v>
      </c>
      <c r="R43" s="97" t="n">
        <f aca="false">+R41*R37/1000</f>
        <v>51114.96</v>
      </c>
      <c r="S43" s="97" t="n">
        <f aca="false">+S41*S37/1000</f>
        <v>43715.52</v>
      </c>
      <c r="T43" s="97" t="n">
        <f aca="false">+T41*T37/1000</f>
        <v>53994.24</v>
      </c>
      <c r="U43" s="97" t="n">
        <f aca="false">+U41*U37/1000</f>
        <v>54613.44</v>
      </c>
      <c r="V43" s="97" t="n">
        <f aca="false">+V41*V37/1000</f>
        <v>39628.8</v>
      </c>
      <c r="W43" s="97" t="n">
        <f aca="false">+W41*W37/1000</f>
        <v>54118.08</v>
      </c>
      <c r="X43" s="97" t="n">
        <f aca="false">+X41*X37/1000</f>
        <v>53467.92</v>
      </c>
      <c r="Y43" s="97" t="n">
        <f aca="false">+Y41*Y37/1000</f>
        <v>39133.44</v>
      </c>
      <c r="Z43" s="97" t="n">
        <f aca="false">+Z41*Z37/1000</f>
        <v>55975.68</v>
      </c>
      <c r="AA43" s="97" t="n">
        <f aca="false">+AA41*AA37/1000</f>
        <v>47059.2</v>
      </c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</row>
    <row r="44" customFormat="false" ht="12.75" hidden="false" customHeight="false" outlineLevel="0" collapsed="false">
      <c r="A44" s="2"/>
      <c r="B44" s="2" t="s">
        <v>266</v>
      </c>
      <c r="C44" s="3"/>
      <c r="D44" s="3"/>
      <c r="E44" s="3"/>
      <c r="F44" s="3"/>
      <c r="G44" s="3"/>
      <c r="H44" s="3"/>
      <c r="I44" s="97" t="n">
        <f aca="false">+I43*I13</f>
        <v>36114.7428571429</v>
      </c>
      <c r="J44" s="97" t="n">
        <f aca="false">+J43*J13</f>
        <v>28647.8367346939</v>
      </c>
      <c r="K44" s="97" t="n">
        <f aca="false">+K43*K13</f>
        <v>37663.3020537739</v>
      </c>
      <c r="L44" s="97" t="n">
        <f aca="false">+L43*L13</f>
        <v>37134.0254646983</v>
      </c>
      <c r="M44" s="97" t="n">
        <f aca="false">+M43*M13</f>
        <v>30402.5076441547</v>
      </c>
      <c r="N44" s="97" t="n">
        <f aca="false">+N43*N13</f>
        <v>32377.7338905184</v>
      </c>
      <c r="O44" s="97" t="n">
        <f aca="false">+O43*O13</f>
        <v>33818.1406485335</v>
      </c>
      <c r="P44" s="97" t="n">
        <f aca="false">+P43*P13</f>
        <v>17979.3442243342</v>
      </c>
      <c r="Q44" s="97" t="n">
        <f aca="false">+Q43*Q13</f>
        <v>32250.6607465024</v>
      </c>
      <c r="R44" s="97" t="n">
        <f aca="false">+R43*R13</f>
        <v>31380.1513982058</v>
      </c>
      <c r="S44" s="97" t="n">
        <f aca="false">+S43*S13</f>
        <v>25559.5591556439</v>
      </c>
      <c r="T44" s="97" t="n">
        <f aca="false">+T43*T13</f>
        <v>30066.0131980595</v>
      </c>
      <c r="U44" s="97" t="n">
        <f aca="false">+U43*U13</f>
        <v>28962.6732641858</v>
      </c>
      <c r="V44" s="97" t="n">
        <f aca="false">+V43*V13</f>
        <v>20015.2368956688</v>
      </c>
      <c r="W44" s="97" t="n">
        <f aca="false">+W43*W13</f>
        <v>26031.721795855</v>
      </c>
      <c r="X44" s="97" t="n">
        <f aca="false">+X43*X13</f>
        <v>24494.2702089144</v>
      </c>
      <c r="Y44" s="97" t="n">
        <f aca="false">+Y43*Y13</f>
        <v>17073.7902468182</v>
      </c>
      <c r="Z44" s="97" t="n">
        <f aca="false">+Z43*Z13</f>
        <v>23259.0512102527</v>
      </c>
      <c r="AA44" s="97" t="n">
        <f aca="false">+AA43*AA13</f>
        <v>18622.923430038</v>
      </c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</row>
    <row r="45" customFormat="false" ht="13.5" hidden="false" customHeight="false" outlineLevel="0" collapsed="false">
      <c r="A45" s="2"/>
      <c r="B45" s="2" t="s">
        <v>267</v>
      </c>
      <c r="C45" s="3"/>
      <c r="D45" s="3"/>
      <c r="E45" s="296" t="n">
        <f aca="false">+F13*100</f>
        <v>5</v>
      </c>
      <c r="F45" s="3"/>
      <c r="G45" s="3"/>
      <c r="H45" s="114"/>
      <c r="I45" s="97" t="n">
        <f aca="false">IF(+I12=$F$11,SUM(J44:AA44)+SUM($I$44:I44),0)</f>
        <v>0</v>
      </c>
      <c r="J45" s="97" t="n">
        <f aca="false">IF(+J12=$F$11,SUM(K44:AB44)+SUM($I$44:J44),0)</f>
        <v>0</v>
      </c>
      <c r="K45" s="97" t="n">
        <v>362118.886072581</v>
      </c>
      <c r="L45" s="97" t="n">
        <f aca="false">IF(+L12=$F$11,SUM(M44:AD44)+SUM($I$44:L44),0)</f>
        <v>0</v>
      </c>
      <c r="M45" s="97" t="n">
        <f aca="false">IF(+M12=$F$11,SUM(N44:AE44)+SUM($I$44:M44),0)</f>
        <v>0</v>
      </c>
      <c r="N45" s="97" t="n">
        <f aca="false">IF(+N12=$F$11,SUM(O44:AF44)+SUM($I$44:N44),0)</f>
        <v>0</v>
      </c>
      <c r="O45" s="97" t="n">
        <f aca="false">IF(+O12=$F$11,SUM(P44:AG44)+SUM($I$44:O44),0)</f>
        <v>0</v>
      </c>
      <c r="P45" s="97" t="n">
        <f aca="false">IF(+P12=$F$11,SUM(Q44:AH44)+SUM($I$44:P44),0)</f>
        <v>0</v>
      </c>
      <c r="Q45" s="97" t="n">
        <f aca="false">IF(+Q12=$F$11,SUM(R44:AI44)+SUM($I$44:Q44),0)</f>
        <v>0</v>
      </c>
      <c r="R45" s="97" t="n">
        <f aca="false">IF(+R12=$F$11,SUM(S44:AJ44)+SUM($I$44:R44),0)</f>
        <v>0</v>
      </c>
      <c r="S45" s="97" t="n">
        <f aca="false">IF(+S12=$F$11,SUM(T44:AK44)+SUM($I$44:S44),0)</f>
        <v>0</v>
      </c>
      <c r="T45" s="97" t="n">
        <f aca="false">IF(+T12=$F$11,SUM(U44:AL44)+SUM($I$44:T44),0)</f>
        <v>0</v>
      </c>
      <c r="U45" s="97" t="n">
        <f aca="false">IF(+U12=$F$11,SUM(V44:AM44)+SUM($I$44:U44),0)</f>
        <v>0</v>
      </c>
      <c r="V45" s="97" t="n">
        <f aca="false">IF(+V12=$F$11,SUM(W44:AN44)+SUM($I$44:V44),0)</f>
        <v>0</v>
      </c>
      <c r="W45" s="97" t="n">
        <f aca="false">IF(+W12=$F$11,SUM(X44:AO44)+SUM($I$44:W44),0)</f>
        <v>0</v>
      </c>
      <c r="X45" s="97" t="n">
        <f aca="false">IF(+X12=$F$11,SUM(Y44:AP44)+SUM($I$44:X44),0)</f>
        <v>0</v>
      </c>
      <c r="Y45" s="97" t="n">
        <f aca="false">IF(+Y12=$F$11,SUM(Z44:AQ44)+SUM($I$44:Y44),0)</f>
        <v>0</v>
      </c>
      <c r="Z45" s="97" t="n">
        <f aca="false">IF(+Z12=$F$11,SUM(AA44:AR44)+SUM($I$44:Z44),0)</f>
        <v>0</v>
      </c>
      <c r="AA45" s="97" t="n">
        <f aca="false">IF(+AA12=$F$11,SUM(AB44:AS44)+SUM($I$44:AA44),0)</f>
        <v>0</v>
      </c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</row>
    <row r="46" customFormat="false" ht="13.5" hidden="false" customHeight="false" outlineLevel="0" collapsed="false">
      <c r="A46" s="2"/>
      <c r="B46" s="2" t="s">
        <v>268</v>
      </c>
      <c r="C46" s="3"/>
      <c r="D46" s="3"/>
      <c r="E46" s="3"/>
      <c r="F46" s="3"/>
      <c r="G46" s="3"/>
      <c r="H46" s="3"/>
      <c r="I46" s="213" t="n">
        <f aca="false">+I45*'Litigation Analysis'!I18</f>
        <v>0</v>
      </c>
      <c r="J46" s="214" t="n">
        <f aca="false">+J45*'Litigation Analysis'!J18</f>
        <v>0</v>
      </c>
      <c r="K46" s="214" t="n">
        <f aca="false">+K45*'Litigation Analysis'!K18</f>
        <v>301900.866548604</v>
      </c>
      <c r="L46" s="214" t="n">
        <f aca="false">+L45*'Litigation Analysis'!L18</f>
        <v>0</v>
      </c>
      <c r="M46" s="214" t="n">
        <f aca="false">+M45*'Litigation Analysis'!M18</f>
        <v>0</v>
      </c>
      <c r="N46" s="214" t="n">
        <f aca="false">+N45*'Litigation Analysis'!N18</f>
        <v>0</v>
      </c>
      <c r="O46" s="214" t="n">
        <f aca="false">+O45*'Litigation Analysis'!O18</f>
        <v>0</v>
      </c>
      <c r="P46" s="214" t="n">
        <f aca="false">+P45*'Litigation Analysis'!P18</f>
        <v>0</v>
      </c>
      <c r="Q46" s="214" t="n">
        <f aca="false">+Q45*'Litigation Analysis'!Q18</f>
        <v>0</v>
      </c>
      <c r="R46" s="214" t="n">
        <f aca="false">+R45*'Litigation Analysis'!R18</f>
        <v>0</v>
      </c>
      <c r="S46" s="214" t="n">
        <f aca="false">+S45*'Litigation Analysis'!S18</f>
        <v>0</v>
      </c>
      <c r="T46" s="214" t="n">
        <f aca="false">+T45*'Litigation Analysis'!T18</f>
        <v>0</v>
      </c>
      <c r="U46" s="214" t="n">
        <f aca="false">+U45*'Litigation Analysis'!U18</f>
        <v>0</v>
      </c>
      <c r="V46" s="214" t="n">
        <f aca="false">+V45*'Litigation Analysis'!V18</f>
        <v>0</v>
      </c>
      <c r="W46" s="214" t="n">
        <f aca="false">+W45*'Litigation Analysis'!W18</f>
        <v>0</v>
      </c>
      <c r="X46" s="214" t="n">
        <f aca="false">+X45*'Litigation Analysis'!X18</f>
        <v>0</v>
      </c>
      <c r="Y46" s="214" t="n">
        <f aca="false">+Y45*'Litigation Analysis'!Y18</f>
        <v>0</v>
      </c>
      <c r="Z46" s="214" t="n">
        <f aca="false">+Z45*'Litigation Analysis'!Z18</f>
        <v>0</v>
      </c>
      <c r="AA46" s="235" t="n">
        <f aca="false">+AA45*'Litigation Analysis'!AA18</f>
        <v>0</v>
      </c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</row>
    <row r="47" customFormat="false" ht="13.5" hidden="false" customHeight="false" outlineLevel="0" collapsed="false">
      <c r="A47" s="2"/>
      <c r="B47" s="95" t="str">
        <f aca="false">CONCATENATE("NPV ",$F$18*100," of Cf to Term (2036)")</f>
        <v>NPV 6.25 of Cf to Term (2036)</v>
      </c>
      <c r="C47" s="3"/>
      <c r="D47" s="296"/>
      <c r="E47" s="3"/>
      <c r="F47" s="3"/>
      <c r="G47" s="3"/>
      <c r="H47" s="218" t="n">
        <f aca="false">SUM(I46:AA46)</f>
        <v>301900.866548604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</row>
    <row r="48" customFormat="false" ht="12.75" hidden="false" customHeight="false" outlineLevel="0" collapsed="false">
      <c r="A48" s="2"/>
      <c r="B48" s="2"/>
      <c r="C48" s="3"/>
      <c r="D48" s="3"/>
      <c r="E48" s="3"/>
      <c r="F48" s="3"/>
      <c r="G48" s="3"/>
      <c r="H48" s="3"/>
      <c r="I48" s="3"/>
      <c r="J48" s="3"/>
      <c r="K48" s="159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</row>
    <row r="49" customFormat="false" ht="12.75" hidden="false" customHeight="false" outlineLevel="0" collapsed="false">
      <c r="A49" s="48" t="s">
        <v>269</v>
      </c>
      <c r="B49" s="3"/>
      <c r="C49" s="3"/>
      <c r="D49" s="3"/>
      <c r="E49" s="3"/>
      <c r="F49" s="3"/>
      <c r="G49" s="3"/>
      <c r="H49" s="3"/>
      <c r="I49" s="3"/>
      <c r="J49" s="3"/>
      <c r="K49" s="159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</row>
    <row r="50" customFormat="false" ht="12.75" hidden="false" customHeight="false" outlineLevel="0" collapsed="false">
      <c r="A50" s="2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</row>
    <row r="51" customFormat="false" ht="12.75" hidden="false" customHeight="false" outlineLevel="0" collapsed="false">
      <c r="A51" s="2"/>
      <c r="B51" s="2" t="s">
        <v>270</v>
      </c>
      <c r="C51" s="3"/>
      <c r="D51" s="3"/>
      <c r="E51" s="3"/>
      <c r="F51" s="3"/>
      <c r="G51" s="3"/>
      <c r="H51" s="14" t="s">
        <v>28</v>
      </c>
      <c r="I51" s="297" t="n">
        <f aca="false">+Valuation!H35</f>
        <v>37.2423670454243</v>
      </c>
      <c r="J51" s="297" t="n">
        <f aca="false">+Valuation!I35</f>
        <v>31.1137307039562</v>
      </c>
      <c r="K51" s="297" t="n">
        <f aca="false">+Valuation!J35</f>
        <v>29.9517717068529</v>
      </c>
      <c r="L51" s="297" t="n">
        <f aca="false">+Valuation!K35</f>
        <v>31.5234122576721</v>
      </c>
      <c r="M51" s="297" t="n">
        <f aca="false">+Valuation!L35</f>
        <v>33.9352290994459</v>
      </c>
      <c r="N51" s="297" t="n">
        <f aca="false">+Valuation!M35</f>
        <v>35.0920720145232</v>
      </c>
      <c r="O51" s="297" t="n">
        <f aca="false">+Valuation!N35</f>
        <v>36.9136048518082</v>
      </c>
      <c r="P51" s="297" t="n">
        <f aca="false">+Valuation!O35</f>
        <v>39.7324111725473</v>
      </c>
      <c r="Q51" s="297" t="n">
        <f aca="false">+Valuation!P35</f>
        <v>40.6123890685507</v>
      </c>
      <c r="R51" s="297" t="n">
        <f aca="false">+Valuation!Q35</f>
        <v>41.6594005260721</v>
      </c>
      <c r="S51" s="297" t="n">
        <f aca="false">+Valuation!R35</f>
        <v>42.8868506404742</v>
      </c>
      <c r="T51" s="297" t="n">
        <f aca="false">+Valuation!S35</f>
        <v>43.641232880531</v>
      </c>
      <c r="U51" s="297" t="n">
        <f aca="false">+Valuation!T35</f>
        <v>44.6007220265115</v>
      </c>
      <c r="V51" s="297" t="n">
        <f aca="false">+Valuation!U35</f>
        <v>46.4373350596128</v>
      </c>
      <c r="W51" s="297" t="n">
        <f aca="false">+Valuation!V35</f>
        <v>45.1347102125821</v>
      </c>
      <c r="X51" s="297" t="n">
        <f aca="false">+Valuation!W35</f>
        <v>45.9807034805413</v>
      </c>
      <c r="Y51" s="297" t="n">
        <f aca="false">+Valuation!X35</f>
        <v>46.7193472960623</v>
      </c>
      <c r="Z51" s="297" t="n">
        <f aca="false">+Valuation!Y35</f>
        <v>47.2915166305407</v>
      </c>
      <c r="AA51" s="297" t="n">
        <f aca="false">+Valuation!Z35</f>
        <v>48.9167535870342</v>
      </c>
      <c r="AB51" s="297" t="n">
        <f aca="false">+Valuation!AA35</f>
        <v>49.9124694194766</v>
      </c>
      <c r="AC51" s="297" t="n">
        <f aca="false">+Valuation!AB35</f>
        <v>50.9284533593928</v>
      </c>
      <c r="AD51" s="297" t="n">
        <f aca="false">+Valuation!AC35</f>
        <v>51.9651179704554</v>
      </c>
      <c r="AE51" s="297" t="n">
        <f aca="false">+Valuation!AD35</f>
        <v>53.0228842141996</v>
      </c>
      <c r="AF51" s="297" t="n">
        <f aca="false">+Valuation!AE35</f>
        <v>54.1021816209643</v>
      </c>
      <c r="AG51" s="297" t="n">
        <f aca="false">+Valuation!AF35</f>
        <v>55.2034484643131</v>
      </c>
      <c r="AH51" s="297" t="n">
        <f aca="false">+Valuation!AG35</f>
        <v>56.3271319390051</v>
      </c>
      <c r="AI51" s="297" t="n">
        <f aca="false">+Valuation!AH35</f>
        <v>57.4736883425888</v>
      </c>
      <c r="AJ51" s="297" t="n">
        <f aca="false">+Valuation!AI35</f>
        <v>58.6435832606919</v>
      </c>
      <c r="AK51" s="297" t="n">
        <f aca="false">+Valuation!AJ35</f>
        <v>59.8372917560835</v>
      </c>
      <c r="AL51" s="297" t="n">
        <f aca="false">+Valuation!AK35</f>
        <v>61.0552985615841</v>
      </c>
      <c r="AM51" s="297" t="n">
        <f aca="false">+Valuation!AL35</f>
        <v>62.2980982769024</v>
      </c>
      <c r="AN51" s="297" t="n">
        <f aca="false">+Valuation!AM35</f>
        <v>63.5661955694791</v>
      </c>
      <c r="AO51" s="297" t="n">
        <f aca="false">+Valuation!AN35</f>
        <v>64.8601053794186</v>
      </c>
      <c r="AP51" s="297" t="n">
        <f aca="false">+Valuation!AO35</f>
        <v>66.1803531285923</v>
      </c>
      <c r="AQ51" s="297" t="n">
        <f aca="false">+Valuation!AP35</f>
        <v>67.5274749339983</v>
      </c>
      <c r="AR51" s="297" t="n">
        <f aca="false">+Valuation!AQ35</f>
        <v>68.9020178254639</v>
      </c>
      <c r="AS51" s="3"/>
      <c r="AT51" s="3"/>
      <c r="AU51" s="3"/>
      <c r="AV51" s="3"/>
      <c r="AW51" s="3"/>
      <c r="AX51" s="3"/>
      <c r="AY51" s="3"/>
    </row>
    <row r="52" customFormat="false" ht="13.5" hidden="false" customHeight="false" outlineLevel="0" collapsed="false">
      <c r="A52" s="2"/>
      <c r="B52" s="2" t="s">
        <v>271</v>
      </c>
      <c r="C52" s="3"/>
      <c r="D52" s="3"/>
      <c r="E52" s="3"/>
      <c r="F52" s="3"/>
      <c r="G52" s="3"/>
      <c r="H52" s="3" t="s">
        <v>25</v>
      </c>
      <c r="I52" s="298" t="n">
        <f aca="false">+Valuation!H25</f>
        <v>1943668.8</v>
      </c>
      <c r="J52" s="298" t="n">
        <f aca="false">+Valuation!I25</f>
        <v>1943668.8</v>
      </c>
      <c r="K52" s="298" t="n">
        <f aca="false">+Valuation!J25</f>
        <v>1943668.8</v>
      </c>
      <c r="L52" s="298" t="n">
        <f aca="false">+Valuation!K25</f>
        <v>1948993.92</v>
      </c>
      <c r="M52" s="298" t="n">
        <f aca="false">+Valuation!L25</f>
        <v>1943668.8</v>
      </c>
      <c r="N52" s="298" t="n">
        <f aca="false">+Valuation!M25</f>
        <v>1943668.8</v>
      </c>
      <c r="O52" s="298" t="n">
        <f aca="false">+Valuation!N25</f>
        <v>1943668.8</v>
      </c>
      <c r="P52" s="298" t="n">
        <f aca="false">+Valuation!O25</f>
        <v>1948993.92</v>
      </c>
      <c r="Q52" s="298" t="n">
        <f aca="false">+Valuation!P25</f>
        <v>1943668.8</v>
      </c>
      <c r="R52" s="298" t="n">
        <f aca="false">+Valuation!Q25</f>
        <v>1943668.8</v>
      </c>
      <c r="S52" s="298" t="n">
        <f aca="false">+Valuation!R25</f>
        <v>1943668.8</v>
      </c>
      <c r="T52" s="298" t="n">
        <f aca="false">+Valuation!S25</f>
        <v>1948993.92</v>
      </c>
      <c r="U52" s="298" t="n">
        <f aca="false">+Valuation!T25</f>
        <v>1943668.8</v>
      </c>
      <c r="V52" s="298" t="n">
        <f aca="false">+Valuation!U25</f>
        <v>1943668.8</v>
      </c>
      <c r="W52" s="298" t="n">
        <f aca="false">+Valuation!V25</f>
        <v>1943668.8</v>
      </c>
      <c r="X52" s="298" t="n">
        <f aca="false">+Valuation!W25</f>
        <v>1948993.92</v>
      </c>
      <c r="Y52" s="298" t="n">
        <f aca="false">+Valuation!X25</f>
        <v>1943668.8</v>
      </c>
      <c r="Z52" s="298" t="n">
        <f aca="false">+Valuation!Y25</f>
        <v>1943668.8</v>
      </c>
      <c r="AA52" s="298" t="n">
        <f aca="false">+Valuation!Z25</f>
        <v>1943668.8</v>
      </c>
      <c r="AB52" s="298" t="n">
        <f aca="false">+Valuation!AA25</f>
        <v>1948993.92</v>
      </c>
      <c r="AC52" s="298" t="n">
        <f aca="false">+Valuation!AB25</f>
        <v>1943668.8</v>
      </c>
      <c r="AD52" s="298" t="n">
        <f aca="false">+Valuation!AC25</f>
        <v>1943668.8</v>
      </c>
      <c r="AE52" s="298" t="n">
        <f aca="false">+Valuation!AD25</f>
        <v>1943668.8</v>
      </c>
      <c r="AF52" s="298" t="n">
        <f aca="false">+Valuation!AE25</f>
        <v>1948993.92</v>
      </c>
      <c r="AG52" s="298" t="n">
        <f aca="false">+Valuation!AF25</f>
        <v>1943668.8</v>
      </c>
      <c r="AH52" s="298" t="n">
        <f aca="false">+Valuation!AG25</f>
        <v>1943668.8</v>
      </c>
      <c r="AI52" s="298" t="n">
        <f aca="false">+Valuation!AH25</f>
        <v>1943668.8</v>
      </c>
      <c r="AJ52" s="298" t="n">
        <f aca="false">+Valuation!AI25</f>
        <v>1948993.92</v>
      </c>
      <c r="AK52" s="298" t="n">
        <f aca="false">+Valuation!AJ25</f>
        <v>1943668.8</v>
      </c>
      <c r="AL52" s="298" t="n">
        <f aca="false">+Valuation!AK25</f>
        <v>1943668.8</v>
      </c>
      <c r="AM52" s="298" t="n">
        <f aca="false">+Valuation!AL25</f>
        <v>1943668.8</v>
      </c>
      <c r="AN52" s="298" t="n">
        <f aca="false">+Valuation!AM25</f>
        <v>1948993.92</v>
      </c>
      <c r="AO52" s="298" t="n">
        <f aca="false">+Valuation!AN25</f>
        <v>1943668.8</v>
      </c>
      <c r="AP52" s="298" t="n">
        <f aca="false">+Valuation!AO25</f>
        <v>1943668.8</v>
      </c>
      <c r="AQ52" s="298" t="n">
        <f aca="false">+Valuation!AP25</f>
        <v>1943668.8</v>
      </c>
      <c r="AR52" s="298" t="n">
        <f aca="false">+Valuation!AQ25</f>
        <v>1948993.92</v>
      </c>
      <c r="AS52" s="3"/>
      <c r="AT52" s="3"/>
      <c r="AU52" s="3"/>
      <c r="AV52" s="3"/>
      <c r="AW52" s="3"/>
      <c r="AX52" s="3"/>
      <c r="AY52" s="3"/>
    </row>
    <row r="53" customFormat="false" ht="12.75" hidden="false" customHeight="false" outlineLevel="0" collapsed="false">
      <c r="A53" s="2"/>
      <c r="B53" s="2" t="s">
        <v>272</v>
      </c>
      <c r="C53" s="3"/>
      <c r="D53" s="3"/>
      <c r="E53" s="3"/>
      <c r="F53" s="3"/>
      <c r="G53" s="3"/>
      <c r="H53" s="3"/>
      <c r="I53" s="97" t="n">
        <f aca="false">+I51*I52/1000</f>
        <v>72386.8268643394</v>
      </c>
      <c r="J53" s="97" t="n">
        <f aca="false">+J51*J52/1000</f>
        <v>60474.7876208817</v>
      </c>
      <c r="K53" s="97" t="n">
        <f aca="false">+K51*K52/1000</f>
        <v>58216.3241713328</v>
      </c>
      <c r="L53" s="97" t="n">
        <f aca="false">+L51*L52/1000</f>
        <v>61438.9388278564</v>
      </c>
      <c r="M53" s="97" t="n">
        <f aca="false">+M51*M52/1000</f>
        <v>65958.8460214451</v>
      </c>
      <c r="N53" s="97" t="n">
        <f aca="false">+N51*N52/1000</f>
        <v>68207.3655019818</v>
      </c>
      <c r="O53" s="97" t="n">
        <f aca="false">+O51*O52/1000</f>
        <v>71747.8220459883</v>
      </c>
      <c r="P53" s="97" t="n">
        <f aca="false">+P51*P52/1000</f>
        <v>77438.2278022348</v>
      </c>
      <c r="Q53" s="97" t="n">
        <f aca="false">+Q51*Q52/1000</f>
        <v>78937.033526003</v>
      </c>
      <c r="R53" s="97" t="n">
        <f aca="false">+R51*R52/1000</f>
        <v>80972.0770292299</v>
      </c>
      <c r="S53" s="97" t="n">
        <f aca="false">+S51*S52/1000</f>
        <v>83357.8335201498</v>
      </c>
      <c r="T53" s="97" t="n">
        <f aca="false">+T51*T52/1000</f>
        <v>85056.497545459</v>
      </c>
      <c r="U53" s="97" t="n">
        <f aca="false">+U51*U52/1000</f>
        <v>86689.0318604031</v>
      </c>
      <c r="V53" s="97" t="n">
        <f aca="false">+V51*V52/1000</f>
        <v>90258.7993105156</v>
      </c>
      <c r="W53" s="97" t="n">
        <f aca="false">+W51*W52/1000</f>
        <v>87726.9280372372</v>
      </c>
      <c r="X53" s="97" t="n">
        <f aca="false">+X51*X52/1000</f>
        <v>89616.1115208977</v>
      </c>
      <c r="Y53" s="97" t="n">
        <f aca="false">+Y51*Y52/1000</f>
        <v>90806.9376957207</v>
      </c>
      <c r="Z53" s="97" t="n">
        <f aca="false">+Z51*Z52/1000</f>
        <v>91919.045379463</v>
      </c>
      <c r="AA53" s="97" t="n">
        <f aca="false">+AA51*AA52/1000</f>
        <v>95077.9677444065</v>
      </c>
      <c r="AB53" s="97" t="n">
        <f aca="false">+AB51*AB52/1000</f>
        <v>97279.0994307457</v>
      </c>
      <c r="AC53" s="97" t="n">
        <f aca="false">+AC51*AC52/1000</f>
        <v>98988.045826907</v>
      </c>
      <c r="AD53" s="97" t="n">
        <f aca="false">+AD51*AD52/1000</f>
        <v>101002.978487494</v>
      </c>
      <c r="AE53" s="97" t="n">
        <f aca="false">+AE51*AE52/1000</f>
        <v>103058.925733152</v>
      </c>
      <c r="AF53" s="97" t="n">
        <f aca="false">+AF51*AF52/1000</f>
        <v>105444.823037995</v>
      </c>
      <c r="AG53" s="97" t="n">
        <f aca="false">+AG51*AG52/1000</f>
        <v>107297.220432493</v>
      </c>
      <c r="AH53" s="97" t="n">
        <f aca="false">+AH51*AH52/1000</f>
        <v>109481.288943328</v>
      </c>
      <c r="AI53" s="97" t="n">
        <f aca="false">+AI51*AI52/1000</f>
        <v>111709.814852413</v>
      </c>
      <c r="AJ53" s="97" t="n">
        <f aca="false">+AJ51*AJ52/1000</f>
        <v>114295.987222102</v>
      </c>
      <c r="AK53" s="97" t="n">
        <f aca="false">+AK51*AK52/1000</f>
        <v>116303.877062797</v>
      </c>
      <c r="AL53" s="97" t="n">
        <f aca="false">+AL51*AL52/1000</f>
        <v>118671.278888836</v>
      </c>
      <c r="AM53" s="97" t="n">
        <f aca="false">+AM51*AM52/1000</f>
        <v>121086.869920149</v>
      </c>
      <c r="AN53" s="97" t="n">
        <f aca="false">+AN51*AN52/1000</f>
        <v>123890.128682446</v>
      </c>
      <c r="AO53" s="97" t="n">
        <f aca="false">+AO51*AO52/1000</f>
        <v>126066.563190688</v>
      </c>
      <c r="AP53" s="97" t="n">
        <f aca="false">+AP51*AP52/1000</f>
        <v>128632.687549027</v>
      </c>
      <c r="AQ53" s="97" t="n">
        <f aca="false">+AQ51*AQ52/1000</f>
        <v>131251.046171995</v>
      </c>
      <c r="AR53" s="97" t="n">
        <f aca="false">+AR51*AR52/1000</f>
        <v>134289.613817561</v>
      </c>
      <c r="AS53" s="3"/>
      <c r="AT53" s="3"/>
      <c r="AU53" s="3"/>
      <c r="AV53" s="3"/>
      <c r="AW53" s="3"/>
      <c r="AX53" s="3"/>
      <c r="AY53" s="3"/>
    </row>
    <row r="54" customFormat="false" ht="13.5" hidden="false" customHeight="false" outlineLevel="0" collapsed="false">
      <c r="A54" s="2"/>
      <c r="B54" s="2" t="s">
        <v>273</v>
      </c>
      <c r="C54" s="3"/>
      <c r="D54" s="3"/>
      <c r="E54" s="3"/>
      <c r="F54" s="3"/>
      <c r="G54" s="3"/>
      <c r="H54" s="3"/>
      <c r="I54" s="177" t="n">
        <f aca="false">+Valuation!H168+Valuation!H171</f>
        <v>54795.5926444244</v>
      </c>
      <c r="J54" s="177" t="n">
        <f aca="false">+Valuation!I168+Valuation!I171</f>
        <v>52090.8165639991</v>
      </c>
      <c r="K54" s="177" t="n">
        <f aca="false">+Valuation!J168+Valuation!J171</f>
        <v>53250.7951342917</v>
      </c>
      <c r="L54" s="177" t="n">
        <f aca="false">+Valuation!K168+Valuation!K171</f>
        <v>59293.0121023961</v>
      </c>
      <c r="M54" s="177" t="n">
        <f aca="false">+Valuation!L168+Valuation!L171</f>
        <v>58597.1848852146</v>
      </c>
      <c r="N54" s="177" t="n">
        <f aca="false">+Valuation!M168+Valuation!M171</f>
        <v>61164.966134924</v>
      </c>
      <c r="O54" s="177" t="n">
        <f aca="false">+Valuation!N168+Valuation!N171</f>
        <v>60940.8866187398</v>
      </c>
      <c r="P54" s="177" t="n">
        <f aca="false">+Valuation!O168+Valuation!O171</f>
        <v>53941.8709230268</v>
      </c>
      <c r="Q54" s="177" t="n">
        <f aca="false">+Valuation!P168+Valuation!P171</f>
        <v>53511.8438047983</v>
      </c>
      <c r="R54" s="177" t="n">
        <f aca="false">+Valuation!Q168+Valuation!Q171</f>
        <v>62997.4439050143</v>
      </c>
      <c r="S54" s="177" t="n">
        <f aca="false">+Valuation!R168+Valuation!R171</f>
        <v>57605.9196425594</v>
      </c>
      <c r="T54" s="177" t="n">
        <f aca="false">+Valuation!S168+Valuation!S171</f>
        <v>59255.933507353</v>
      </c>
      <c r="U54" s="177" t="n">
        <f aca="false">+Valuation!T168+Valuation!T171</f>
        <v>67314.4054778393</v>
      </c>
      <c r="V54" s="177" t="n">
        <f aca="false">+Valuation!U168+Valuation!U171</f>
        <v>62343.24578155</v>
      </c>
      <c r="W54" s="177" t="n">
        <f aca="false">+Valuation!V168+Valuation!V171</f>
        <v>62243.697776771</v>
      </c>
      <c r="X54" s="177" t="n">
        <f aca="false">+Valuation!W168+Valuation!W171</f>
        <v>67518.2614645058</v>
      </c>
      <c r="Y54" s="177" t="n">
        <f aca="false">+Valuation!X168+Valuation!X171</f>
        <v>66258.2790301723</v>
      </c>
      <c r="Z54" s="177" t="n">
        <f aca="false">+Valuation!Y168+Valuation!Y171</f>
        <v>67756.9474329316</v>
      </c>
      <c r="AA54" s="177" t="n">
        <f aca="false">+Valuation!Z168+Valuation!Z171</f>
        <v>77103.2041820449</v>
      </c>
      <c r="AB54" s="177" t="n">
        <f aca="false">+Valuation!AA168+Valuation!AA171</f>
        <v>71866.2291164918</v>
      </c>
      <c r="AC54" s="177" t="n">
        <f aca="false">+Valuation!AB168+Valuation!AB171</f>
        <v>72338.6899509131</v>
      </c>
      <c r="AD54" s="177" t="n">
        <f aca="false">+Valuation!AC168+Valuation!AC171</f>
        <v>77652.018903887</v>
      </c>
      <c r="AE54" s="177" t="n">
        <f aca="false">+Valuation!AD168+Valuation!AD171</f>
        <v>76461.3656336432</v>
      </c>
      <c r="AF54" s="177" t="n">
        <f aca="false">+Valuation!AE168+Valuation!AE171</f>
        <v>78721.9236235374</v>
      </c>
      <c r="AG54" s="177" t="n">
        <f aca="false">+Valuation!AF168+Valuation!AF171</f>
        <v>88238.9538167038</v>
      </c>
      <c r="AH54" s="177" t="n">
        <f aca="false">+Valuation!AG168+Valuation!AG171</f>
        <v>82943.3179229124</v>
      </c>
      <c r="AI54" s="177" t="n">
        <f aca="false">+Valuation!AH168+Valuation!AH171</f>
        <v>83850.6610956688</v>
      </c>
      <c r="AJ54" s="177" t="n">
        <f aca="false">+Valuation!AI168+Valuation!AI171</f>
        <v>89774.8355804284</v>
      </c>
      <c r="AK54" s="177" t="n">
        <f aca="false">+Valuation!AJ168+Valuation!AJ171</f>
        <v>88621.782984547</v>
      </c>
      <c r="AL54" s="177" t="n">
        <f aca="false">+Valuation!AK168+Valuation!AK171</f>
        <v>91038.6087243754</v>
      </c>
      <c r="AM54" s="177" t="n">
        <f aca="false">+Valuation!AL168+Valuation!AL171</f>
        <v>101288.214854066</v>
      </c>
      <c r="AN54" s="177" t="n">
        <f aca="false">+Valuation!AM168+Valuation!AM171</f>
        <v>96370.5415245197</v>
      </c>
      <c r="AO54" s="177" t="n">
        <f aca="false">+Valuation!AN168+Valuation!AN171</f>
        <v>97381.7225372211</v>
      </c>
      <c r="AP54" s="177" t="n">
        <f aca="false">+Valuation!AO168+Valuation!AO171</f>
        <v>103573.96487511</v>
      </c>
      <c r="AQ54" s="177" t="n">
        <f aca="false">+Valuation!AP168+Valuation!AP171</f>
        <v>102919.893179758</v>
      </c>
      <c r="AR54" s="177" t="n">
        <f aca="false">+Valuation!AQ168+Valuation!AQ171</f>
        <v>105987.920735764</v>
      </c>
      <c r="AS54" s="3"/>
      <c r="AT54" s="3"/>
      <c r="AU54" s="3"/>
      <c r="AV54" s="3"/>
      <c r="AW54" s="3"/>
      <c r="AX54" s="3"/>
      <c r="AY54" s="3"/>
    </row>
    <row r="55" customFormat="false" ht="13.5" hidden="false" customHeight="false" outlineLevel="0" collapsed="false">
      <c r="A55" s="2"/>
      <c r="B55" s="2" t="s">
        <v>201</v>
      </c>
      <c r="C55" s="3"/>
      <c r="D55" s="3"/>
      <c r="E55" s="3"/>
      <c r="F55" s="3"/>
      <c r="G55" s="3"/>
      <c r="H55" s="3"/>
      <c r="I55" s="159" t="n">
        <f aca="false">+I53-I54</f>
        <v>17591.2342199151</v>
      </c>
      <c r="J55" s="159" t="n">
        <f aca="false">+J53-J54</f>
        <v>8383.97105688263</v>
      </c>
      <c r="K55" s="159" t="n">
        <f aca="false">+K53-K54</f>
        <v>4965.52903704105</v>
      </c>
      <c r="L55" s="159" t="n">
        <f aca="false">+L53-L54</f>
        <v>2145.92672546035</v>
      </c>
      <c r="M55" s="159" t="n">
        <f aca="false">+M53-M54</f>
        <v>7361.66113623052</v>
      </c>
      <c r="N55" s="159" t="n">
        <f aca="false">+N53-N54</f>
        <v>7042.39936705778</v>
      </c>
      <c r="O55" s="159" t="n">
        <f aca="false">+O53-O54</f>
        <v>10806.9354272485</v>
      </c>
      <c r="P55" s="159" t="n">
        <f aca="false">+P53-P54</f>
        <v>23496.3568792081</v>
      </c>
      <c r="Q55" s="159" t="n">
        <f aca="false">+Q53-Q54</f>
        <v>25425.1897212046</v>
      </c>
      <c r="R55" s="159" t="n">
        <f aca="false">+R53-R54</f>
        <v>17974.6331242156</v>
      </c>
      <c r="S55" s="159" t="n">
        <f aca="false">+S53-S54</f>
        <v>25751.9138775904</v>
      </c>
      <c r="T55" s="159" t="n">
        <f aca="false">+T53-T54</f>
        <v>25800.564038106</v>
      </c>
      <c r="U55" s="159" t="n">
        <f aca="false">+U53-U54</f>
        <v>19374.6263825638</v>
      </c>
      <c r="V55" s="159" t="n">
        <f aca="false">+V53-V54</f>
        <v>27915.5535289656</v>
      </c>
      <c r="W55" s="159" t="n">
        <f aca="false">+W53-W54</f>
        <v>25483.2302604662</v>
      </c>
      <c r="X55" s="159" t="n">
        <f aca="false">+X53-X54</f>
        <v>22097.850056392</v>
      </c>
      <c r="Y55" s="159" t="n">
        <f aca="false">+Y53-Y54</f>
        <v>24548.6586655484</v>
      </c>
      <c r="Z55" s="159" t="n">
        <f aca="false">+Z53-Z54</f>
        <v>24162.0979465314</v>
      </c>
      <c r="AA55" s="159" t="n">
        <f aca="false">+AA53-AA54</f>
        <v>17974.7635623616</v>
      </c>
      <c r="AB55" s="159" t="n">
        <f aca="false">+AB53-AB54</f>
        <v>25412.8703142539</v>
      </c>
      <c r="AC55" s="159" t="n">
        <f aca="false">+AC53-AC54</f>
        <v>26649.3558759939</v>
      </c>
      <c r="AD55" s="159" t="n">
        <f aca="false">+AD53-AD54</f>
        <v>23350.9595836065</v>
      </c>
      <c r="AE55" s="159" t="n">
        <f aca="false">+AE53-AE54</f>
        <v>26597.5600995091</v>
      </c>
      <c r="AF55" s="159" t="n">
        <f aca="false">+AF53-AF54</f>
        <v>26722.8994144578</v>
      </c>
      <c r="AG55" s="159" t="n">
        <f aca="false">+AG53-AG54</f>
        <v>19058.2666157895</v>
      </c>
      <c r="AH55" s="159" t="n">
        <f aca="false">+AH53-AH54</f>
        <v>26537.9710204155</v>
      </c>
      <c r="AI55" s="159" t="n">
        <f aca="false">+AI53-AI54</f>
        <v>27859.1537567447</v>
      </c>
      <c r="AJ55" s="159" t="n">
        <f aca="false">+AJ53-AJ54</f>
        <v>24521.1516416738</v>
      </c>
      <c r="AK55" s="159" t="n">
        <f aca="false">+AK53-AK54</f>
        <v>27682.0940782497</v>
      </c>
      <c r="AL55" s="159" t="n">
        <f aca="false">+AL53-AL54</f>
        <v>27632.6701644604</v>
      </c>
      <c r="AM55" s="159" t="n">
        <f aca="false">+AM53-AM54</f>
        <v>19798.6550660832</v>
      </c>
      <c r="AN55" s="159" t="n">
        <f aca="false">+AN53-AN54</f>
        <v>27519.5871579261</v>
      </c>
      <c r="AO55" s="159" t="n">
        <f aca="false">+AO53-AO54</f>
        <v>28684.8406534671</v>
      </c>
      <c r="AP55" s="159" t="n">
        <f aca="false">+AP53-AP54</f>
        <v>25058.7226739171</v>
      </c>
      <c r="AQ55" s="159" t="n">
        <f aca="false">+AQ53-AQ54</f>
        <v>28331.1529922364</v>
      </c>
      <c r="AR55" s="159" t="n">
        <f aca="false">+AR53-AR54</f>
        <v>28301.6930817972</v>
      </c>
      <c r="AS55" s="3"/>
      <c r="AT55" s="3"/>
      <c r="AU55" s="3"/>
      <c r="AV55" s="3"/>
      <c r="AW55" s="3"/>
      <c r="AX55" s="3"/>
      <c r="AY55" s="3"/>
    </row>
    <row r="56" customFormat="false" ht="13.5" hidden="false" customHeight="false" outlineLevel="0" collapsed="false">
      <c r="A56" s="2"/>
      <c r="B56" s="2" t="s">
        <v>268</v>
      </c>
      <c r="C56" s="3"/>
      <c r="D56" s="3"/>
      <c r="E56" s="3"/>
      <c r="F56" s="3"/>
      <c r="G56" s="3"/>
      <c r="H56" s="3"/>
      <c r="I56" s="213" t="n">
        <f aca="false">+I55*'Litigation Analysis'!I22</f>
        <v>15430.9072104518</v>
      </c>
      <c r="J56" s="214" t="n">
        <f aca="false">+J55*'Litigation Analysis'!J22</f>
        <v>6451.193487906</v>
      </c>
      <c r="K56" s="214" t="n">
        <f aca="false">+K55*'Litigation Analysis'!K22</f>
        <v>3351.59066287674</v>
      </c>
      <c r="L56" s="214" t="n">
        <f aca="false">+L55*'Litigation Analysis'!L22</f>
        <v>1270.56089082666</v>
      </c>
      <c r="M56" s="214" t="n">
        <f aca="false">+M55*'Litigation Analysis'!M22</f>
        <v>3823.4161117936</v>
      </c>
      <c r="N56" s="214" t="n">
        <f aca="false">+N55*'Litigation Analysis'!N22</f>
        <v>3208.42241505018</v>
      </c>
      <c r="O56" s="214" t="n">
        <f aca="false">+O55*'Litigation Analysis'!O22</f>
        <v>4318.85473889875</v>
      </c>
      <c r="P56" s="214" t="n">
        <f aca="false">+P55*'Litigation Analysis'!P22</f>
        <v>8236.86066001134</v>
      </c>
      <c r="Q56" s="214" t="n">
        <f aca="false">+Q55*'Litigation Analysis'!Q22</f>
        <v>7818.44778777787</v>
      </c>
      <c r="R56" s="214" t="n">
        <f aca="false">+R55*'Litigation Analysis'!R22</f>
        <v>4848.54601363049</v>
      </c>
      <c r="S56" s="214" t="n">
        <f aca="false">+S55*'Litigation Analysis'!S22</f>
        <v>6093.35030854721</v>
      </c>
      <c r="T56" s="214" t="n">
        <f aca="false">+T55*'Litigation Analysis'!T22</f>
        <v>5355.1419139543</v>
      </c>
      <c r="U56" s="214" t="n">
        <f aca="false">+U55*'Litigation Analysis'!U22</f>
        <v>3527.52637008291</v>
      </c>
      <c r="V56" s="214" t="n">
        <f aca="false">+V55*'Litigation Analysis'!V22</f>
        <v>4458.39276264036</v>
      </c>
      <c r="W56" s="214" t="n">
        <f aca="false">+W55*'Litigation Analysis'!W22</f>
        <v>3570.11091124965</v>
      </c>
      <c r="X56" s="214" t="n">
        <f aca="false">+X55*'Litigation Analysis'!X22</f>
        <v>2715.64127560726</v>
      </c>
      <c r="Y56" s="214" t="n">
        <f aca="false">+Y55*'Litigation Analysis'!Y22</f>
        <v>2646.33788747299</v>
      </c>
      <c r="Z56" s="214" t="n">
        <f aca="false">+Z55*'Litigation Analysis'!Z22</f>
        <v>2284.79540379462</v>
      </c>
      <c r="AA56" s="214" t="n">
        <f aca="false">+AA55*'Litigation Analysis'!AA22</f>
        <v>1490.97723010338</v>
      </c>
      <c r="AB56" s="214" t="n">
        <f aca="false">+AB55*'Litigation Analysis'!AB22</f>
        <v>1849.08422469145</v>
      </c>
      <c r="AC56" s="214" t="n">
        <f aca="false">+AC55*'Litigation Analysis'!AC22</f>
        <v>1700.92372311276</v>
      </c>
      <c r="AD56" s="214" t="n">
        <f aca="false">+AD55*'Litigation Analysis'!AD22</f>
        <v>1307.36845777457</v>
      </c>
      <c r="AE56" s="214" t="n">
        <f aca="false">+AE55*'Litigation Analysis'!AE22</f>
        <v>1306.26177448601</v>
      </c>
      <c r="AF56" s="214" t="n">
        <f aca="false">+AF55*'Litigation Analysis'!AF22</f>
        <v>1151.24337740806</v>
      </c>
      <c r="AG56" s="214" t="n">
        <f aca="false">+AG55*'Litigation Analysis'!AG22</f>
        <v>720.214921358971</v>
      </c>
      <c r="AH56" s="214" t="n">
        <f aca="false">+AH55*'Litigation Analysis'!AH22</f>
        <v>879.714156481458</v>
      </c>
      <c r="AI56" s="214" t="n">
        <f aca="false">+AI55*'Litigation Analysis'!AI22</f>
        <v>810.096832689745</v>
      </c>
      <c r="AJ56" s="214" t="n">
        <f aca="false">+AJ55*'Litigation Analysis'!AJ22</f>
        <v>625.467899602496</v>
      </c>
      <c r="AK56" s="214" t="n">
        <f aca="false">+AK55*'Litigation Analysis'!AK22</f>
        <v>619.381531415683</v>
      </c>
      <c r="AL56" s="214" t="n">
        <f aca="false">+AL55*'Litigation Analysis'!AL22</f>
        <v>542.347088464416</v>
      </c>
      <c r="AM56" s="214" t="n">
        <f aca="false">+AM55*'Litigation Analysis'!AM22</f>
        <v>340.867266539299</v>
      </c>
      <c r="AN56" s="214" t="n">
        <f aca="false">+AN55*'Litigation Analysis'!AN22</f>
        <v>415.610653700053</v>
      </c>
      <c r="AO56" s="214" t="n">
        <f aca="false">+AO55*'Litigation Analysis'!AO22</f>
        <v>380.007657016888</v>
      </c>
      <c r="AP56" s="214" t="n">
        <f aca="false">+AP55*'Litigation Analysis'!AP22</f>
        <v>291.201752533398</v>
      </c>
      <c r="AQ56" s="214" t="n">
        <f aca="false">+AQ55*'Litigation Analysis'!AQ22</f>
        <v>288.798180388204</v>
      </c>
      <c r="AR56" s="235" t="n">
        <f aca="false">+AR55*'Litigation Analysis'!AR22</f>
        <v>253.068312312816</v>
      </c>
      <c r="AS56" s="3"/>
      <c r="AT56" s="3"/>
      <c r="AU56" s="3"/>
      <c r="AV56" s="3"/>
      <c r="AW56" s="3"/>
      <c r="AX56" s="3"/>
      <c r="AY56" s="3"/>
    </row>
    <row r="57" customFormat="false" ht="13.5" hidden="false" customHeight="false" outlineLevel="0" collapsed="false">
      <c r="A57" s="2"/>
      <c r="B57" s="95" t="str">
        <f aca="false">CONCATENATE("NPV ",$F$22*100," of Cf to Term (2036)")</f>
        <v>NPV 14 of Cf to Term (2036)</v>
      </c>
      <c r="C57" s="3"/>
      <c r="D57" s="296"/>
      <c r="E57" s="3"/>
      <c r="F57" s="3"/>
      <c r="G57" s="3"/>
      <c r="H57" s="218" t="n">
        <f aca="false">-SUM(I56:AA56)</f>
        <v>-90901.0740426761</v>
      </c>
      <c r="I57" s="299" t="s">
        <v>274</v>
      </c>
      <c r="J57" s="99" t="n">
        <f aca="false">-H57*1000/$I$35</f>
        <v>352.329744351458</v>
      </c>
      <c r="K57" s="3" t="s">
        <v>275</v>
      </c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</row>
    <row r="58" customFormat="false" ht="12.75" hidden="false" customHeight="false" outlineLevel="0" collapsed="false">
      <c r="A58" s="2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</row>
    <row r="59" customFormat="false" ht="12.75" hidden="false" customHeight="false" outlineLevel="0" collapsed="false">
      <c r="A59" s="48" t="s">
        <v>276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</row>
    <row r="60" customFormat="false" ht="12.75" hidden="false" customHeight="false" outlineLevel="0" collapsed="false">
      <c r="A60" s="2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</row>
    <row r="61" customFormat="false" ht="12.75" hidden="true" customHeight="false" outlineLevel="0" collapsed="false">
      <c r="A61" s="2"/>
      <c r="B61" s="3" t="s">
        <v>277</v>
      </c>
      <c r="C61" s="3"/>
      <c r="D61" s="3"/>
      <c r="E61" s="3"/>
      <c r="F61" s="3"/>
      <c r="G61" s="3"/>
      <c r="H61" s="159" t="n">
        <f aca="false">SUM(I45:AA45)</f>
        <v>362118.886072581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</row>
    <row r="62" customFormat="false" ht="12.75" hidden="false" customHeight="false" outlineLevel="0" collapsed="false">
      <c r="A62" s="2"/>
      <c r="B62" s="2" t="s">
        <v>278</v>
      </c>
      <c r="C62" s="3"/>
      <c r="D62" s="3"/>
      <c r="E62" s="3"/>
      <c r="F62" s="3"/>
      <c r="G62" s="300" t="n">
        <f aca="false">+F12</f>
        <v>0.06</v>
      </c>
      <c r="H62" s="3"/>
      <c r="I62" s="97" t="n">
        <f aca="false">IF(+I12&lt;=$F$11,SUM($H$61:H62)*$F$12,0)</f>
        <v>21727.1331643549</v>
      </c>
      <c r="J62" s="97" t="n">
        <f aca="false">IF(+J12&lt;=$F$11,SUM($H$61:I62)*$F$12,0)</f>
        <v>23030.7611542162</v>
      </c>
      <c r="K62" s="97" t="n">
        <f aca="false">IF(+K12&lt;=$F$11,SUM($H$61:J62)*$F$12,0)</f>
        <v>24412.6068234692</v>
      </c>
      <c r="L62" s="97" t="n">
        <f aca="false">IF(+L12&lt;=$F$11,SUM($H$61:K62)*$F$12,0)</f>
        <v>0</v>
      </c>
      <c r="M62" s="97" t="n">
        <f aca="false">IF(+M12&lt;=$F$11,SUM($H$61:L62)*$F$12,0)</f>
        <v>0</v>
      </c>
      <c r="N62" s="97" t="n">
        <f aca="false">IF(+N12&lt;=$F$11,SUM($H$61:M62)*$F$12,0)</f>
        <v>0</v>
      </c>
      <c r="O62" s="97" t="n">
        <f aca="false">IF(+O12&lt;=$F$11,SUM($H$61:N62)*$F$12,0)</f>
        <v>0</v>
      </c>
      <c r="P62" s="97" t="n">
        <f aca="false">IF(+P12&lt;=$F$11,SUM($H$61:O62)*$F$12,0)</f>
        <v>0</v>
      </c>
      <c r="Q62" s="97" t="n">
        <f aca="false">IF(+Q12&lt;=$F$11,SUM($H$61:P62)*$F$12,0)</f>
        <v>0</v>
      </c>
      <c r="R62" s="97" t="n">
        <f aca="false">IF(+R12&lt;=$F$11,SUM($H$61:Q62)*$F$12,0)</f>
        <v>0</v>
      </c>
      <c r="S62" s="97" t="n">
        <f aca="false">IF(+S12&lt;=$F$11,SUM($H$61:R62)*$F$12,0)</f>
        <v>0</v>
      </c>
      <c r="T62" s="97" t="n">
        <f aca="false">IF(+T12&lt;=$F$11,SUM($H$61:S62)*$F$12,0)</f>
        <v>0</v>
      </c>
      <c r="U62" s="97" t="n">
        <f aca="false">IF(+U12&lt;=$F$11,SUM($H$61:T62)*$F$12,0)</f>
        <v>0</v>
      </c>
      <c r="V62" s="97" t="n">
        <f aca="false">IF(+V12&lt;=$F$11,SUM($H$61:U62)*$F$12,0)</f>
        <v>0</v>
      </c>
      <c r="W62" s="97" t="n">
        <f aca="false">IF(+W12&lt;=$F$11,SUM($H$61:V62)*$F$12,0)</f>
        <v>0</v>
      </c>
      <c r="X62" s="97" t="n">
        <f aca="false">IF(+X12&lt;=$F$11,SUM($H$61:W62)*$F$12,0)</f>
        <v>0</v>
      </c>
      <c r="Y62" s="97" t="n">
        <f aca="false">IF(+Y12&lt;=$F$11,SUM($H$61:X62)*$F$12,0)</f>
        <v>0</v>
      </c>
      <c r="Z62" s="97" t="n">
        <f aca="false">IF(+Z12&lt;=$F$11,SUM($H$61:Y62)*$F$12,0)</f>
        <v>0</v>
      </c>
      <c r="AA62" s="97" t="n">
        <f aca="false">IF(+AA12&lt;=$F$11,SUM($H$61:Z62)*$F$12,0)</f>
        <v>0</v>
      </c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</row>
    <row r="63" customFormat="false" ht="13.5" hidden="false" customHeight="false" outlineLevel="0" collapsed="false">
      <c r="A63" s="2"/>
      <c r="B63" s="2" t="s">
        <v>268</v>
      </c>
      <c r="C63" s="3"/>
      <c r="D63" s="3"/>
      <c r="E63" s="3"/>
      <c r="F63" s="3"/>
      <c r="G63" s="3"/>
      <c r="H63" s="3"/>
      <c r="I63" s="97" t="n">
        <f aca="false">+I62*'Litigation Analysis'!I18</f>
        <v>20449.0665076281</v>
      </c>
      <c r="J63" s="97" t="n">
        <f aca="false">+J62*'Litigation Analysis'!J18</f>
        <v>20400.9510570219</v>
      </c>
      <c r="K63" s="97" t="n">
        <f aca="false">+K62*'Litigation Analysis'!K18</f>
        <v>20352.9488192407</v>
      </c>
      <c r="L63" s="97" t="n">
        <f aca="false">+L62*'Litigation Analysis'!L18</f>
        <v>0</v>
      </c>
      <c r="M63" s="97" t="n">
        <f aca="false">+M62*'Litigation Analysis'!M18</f>
        <v>0</v>
      </c>
      <c r="N63" s="97" t="n">
        <f aca="false">+N62*'Litigation Analysis'!N18</f>
        <v>0</v>
      </c>
      <c r="O63" s="97" t="n">
        <f aca="false">+O62*'Litigation Analysis'!O18</f>
        <v>0</v>
      </c>
      <c r="P63" s="97" t="n">
        <f aca="false">+P62*'Litigation Analysis'!P18</f>
        <v>0</v>
      </c>
      <c r="Q63" s="97" t="n">
        <f aca="false">+Q62*'Litigation Analysis'!Q18</f>
        <v>0</v>
      </c>
      <c r="R63" s="97" t="n">
        <f aca="false">+R62*'Litigation Analysis'!R18</f>
        <v>0</v>
      </c>
      <c r="S63" s="97" t="n">
        <f aca="false">+S62*'Litigation Analysis'!S18</f>
        <v>0</v>
      </c>
      <c r="T63" s="97" t="n">
        <f aca="false">+T62*'Litigation Analysis'!T18</f>
        <v>0</v>
      </c>
      <c r="U63" s="97" t="n">
        <f aca="false">+U62*'Litigation Analysis'!U18</f>
        <v>0</v>
      </c>
      <c r="V63" s="97" t="n">
        <f aca="false">+V62*'Litigation Analysis'!V18</f>
        <v>0</v>
      </c>
      <c r="W63" s="97" t="n">
        <f aca="false">+W62*'Litigation Analysis'!W18</f>
        <v>0</v>
      </c>
      <c r="X63" s="97" t="n">
        <f aca="false">+X62*'Litigation Analysis'!X18</f>
        <v>0</v>
      </c>
      <c r="Y63" s="97" t="n">
        <f aca="false">+Y62*'Litigation Analysis'!Y18</f>
        <v>0</v>
      </c>
      <c r="Z63" s="97" t="n">
        <f aca="false">+Z62*'Litigation Analysis'!Z18</f>
        <v>0</v>
      </c>
      <c r="AA63" s="97" t="n">
        <f aca="false">+AA62*'Litigation Analysis'!AA18</f>
        <v>0</v>
      </c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</row>
    <row r="64" customFormat="false" ht="13.5" hidden="false" customHeight="false" outlineLevel="0" collapsed="false">
      <c r="A64" s="2"/>
      <c r="B64" s="95" t="str">
        <f aca="false">CONCATENATE("NPV ",$F$18*100," of Cf to Term (2036)")</f>
        <v>NPV 6.25 of Cf to Term (2036)</v>
      </c>
      <c r="C64" s="3"/>
      <c r="D64" s="296"/>
      <c r="E64" s="3"/>
      <c r="F64" s="3"/>
      <c r="G64" s="3"/>
      <c r="H64" s="218" t="n">
        <f aca="false">SUM(I63:AA63)</f>
        <v>61202.9663838908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</row>
    <row r="65" customFormat="false" ht="12.75" hidden="false" customHeight="false" outlineLevel="0" collapsed="false">
      <c r="A65" s="2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</row>
    <row r="66" customFormat="false" ht="12.75" hidden="false" customHeight="false" outlineLevel="0" collapsed="false">
      <c r="A66" s="48" t="s">
        <v>279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</row>
    <row r="67" customFormat="false" ht="12.75" hidden="false" customHeight="fals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</row>
    <row r="68" customFormat="false" ht="12.75" hidden="false" customHeight="false" outlineLevel="0" collapsed="false">
      <c r="A68" s="3"/>
      <c r="B68" s="2" t="s">
        <v>280</v>
      </c>
      <c r="C68" s="3"/>
      <c r="D68" s="3"/>
      <c r="E68" s="3"/>
      <c r="F68" s="3"/>
      <c r="G68" s="3"/>
      <c r="H68" s="3"/>
      <c r="I68" s="97" t="n">
        <f aca="false">IF(+I12&lt;=$F$11,+$F$14,0)</f>
        <v>10000</v>
      </c>
      <c r="J68" s="97" t="n">
        <f aca="false">IF(+J12&lt;=$F$11,+$F$14,0)</f>
        <v>10000</v>
      </c>
      <c r="K68" s="97" t="n">
        <f aca="false">IF(+K12&lt;=$F$11,+$F$14,0)</f>
        <v>10000</v>
      </c>
      <c r="L68" s="97" t="n">
        <f aca="false">IF(+L12&lt;=$F$11,+$F$14,0)</f>
        <v>0</v>
      </c>
      <c r="M68" s="97" t="n">
        <f aca="false">IF(+M12&lt;=$F$11,+$F$14,0)</f>
        <v>0</v>
      </c>
      <c r="N68" s="97" t="n">
        <f aca="false">IF(+N12&lt;=$F$11,+$F$14,0)</f>
        <v>0</v>
      </c>
      <c r="O68" s="97" t="n">
        <f aca="false">IF(+O12&lt;=$F$11,+$F$14,0)</f>
        <v>0</v>
      </c>
      <c r="P68" s="97" t="n">
        <f aca="false">IF(+P12&lt;=$F$11,+$F$14,0)</f>
        <v>0</v>
      </c>
      <c r="Q68" s="97" t="n">
        <f aca="false">IF(+Q12&lt;=$F$11,+$F$14,0)</f>
        <v>0</v>
      </c>
      <c r="R68" s="97" t="n">
        <f aca="false">IF(+R12&lt;=$F$11,+$F$14,0)</f>
        <v>0</v>
      </c>
      <c r="S68" s="97" t="n">
        <f aca="false">IF(+S12&lt;=$F$11,+$F$14,0)</f>
        <v>0</v>
      </c>
      <c r="T68" s="97" t="n">
        <f aca="false">IF(+T12&lt;=$F$11,+$F$14,0)</f>
        <v>0</v>
      </c>
      <c r="U68" s="97" t="n">
        <f aca="false">IF(+U12&lt;=$F$11,+$F$14,0)</f>
        <v>0</v>
      </c>
      <c r="V68" s="97" t="n">
        <f aca="false">IF(+V12&lt;=$F$11,+$F$14,0)</f>
        <v>0</v>
      </c>
      <c r="W68" s="97" t="n">
        <f aca="false">IF(+W12&lt;=$F$11,+$F$14,0)</f>
        <v>0</v>
      </c>
      <c r="X68" s="97" t="n">
        <f aca="false">IF(+X12&lt;=$F$11,+$F$14,0)</f>
        <v>0</v>
      </c>
      <c r="Y68" s="97" t="n">
        <f aca="false">IF(+Y12&lt;=$F$11,+$F$14,0)</f>
        <v>0</v>
      </c>
      <c r="Z68" s="97" t="n">
        <f aca="false">IF(+Z12&lt;=$F$11,+$F$14,0)</f>
        <v>0</v>
      </c>
      <c r="AA68" s="97" t="n">
        <f aca="false">IF(+AA12&lt;=$F$11,+$F$14,0)</f>
        <v>0</v>
      </c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</row>
    <row r="69" customFormat="false" ht="13.5" hidden="false" customHeight="false" outlineLevel="0" collapsed="false">
      <c r="A69" s="3"/>
      <c r="B69" s="2" t="s">
        <v>268</v>
      </c>
      <c r="C69" s="3"/>
      <c r="D69" s="3"/>
      <c r="E69" s="3"/>
      <c r="F69" s="3"/>
      <c r="G69" s="3"/>
      <c r="H69" s="82"/>
      <c r="I69" s="97" t="n">
        <f aca="false">+I68*'Litigation Analysis'!I18</f>
        <v>9411.76470588235</v>
      </c>
      <c r="J69" s="97" t="n">
        <f aca="false">+J68*'Litigation Analysis'!J18</f>
        <v>8858.13148788927</v>
      </c>
      <c r="K69" s="97" t="n">
        <f aca="false">+K68*'Litigation Analysis'!K18</f>
        <v>8337.06492977814</v>
      </c>
      <c r="L69" s="97" t="n">
        <f aca="false">+L68*'Litigation Analysis'!L18</f>
        <v>0</v>
      </c>
      <c r="M69" s="97" t="n">
        <f aca="false">+M68*'Litigation Analysis'!M18</f>
        <v>0</v>
      </c>
      <c r="N69" s="97" t="n">
        <f aca="false">+N68*'Litigation Analysis'!N18</f>
        <v>0</v>
      </c>
      <c r="O69" s="97" t="n">
        <f aca="false">+O68*'Litigation Analysis'!O18</f>
        <v>0</v>
      </c>
      <c r="P69" s="97" t="n">
        <f aca="false">+P68*'Litigation Analysis'!P18</f>
        <v>0</v>
      </c>
      <c r="Q69" s="97" t="n">
        <f aca="false">+Q68*'Litigation Analysis'!Q18</f>
        <v>0</v>
      </c>
      <c r="R69" s="97" t="n">
        <f aca="false">+R68*'Litigation Analysis'!R18</f>
        <v>0</v>
      </c>
      <c r="S69" s="97" t="n">
        <f aca="false">+S68*'Litigation Analysis'!S18</f>
        <v>0</v>
      </c>
      <c r="T69" s="97" t="n">
        <f aca="false">+T68*'Litigation Analysis'!T18</f>
        <v>0</v>
      </c>
      <c r="U69" s="97" t="n">
        <f aca="false">+U68*'Litigation Analysis'!U18</f>
        <v>0</v>
      </c>
      <c r="V69" s="97" t="n">
        <f aca="false">+V68*'Litigation Analysis'!V18</f>
        <v>0</v>
      </c>
      <c r="W69" s="97" t="n">
        <f aca="false">+W68*'Litigation Analysis'!W18</f>
        <v>0</v>
      </c>
      <c r="X69" s="97" t="n">
        <f aca="false">+X68*'Litigation Analysis'!X18</f>
        <v>0</v>
      </c>
      <c r="Y69" s="97" t="n">
        <f aca="false">+Y68*'Litigation Analysis'!Y18</f>
        <v>0</v>
      </c>
      <c r="Z69" s="97" t="n">
        <f aca="false">+Z68*'Litigation Analysis'!Z18</f>
        <v>0</v>
      </c>
      <c r="AA69" s="97" t="n">
        <f aca="false">+AA68*'Litigation Analysis'!AA18</f>
        <v>0</v>
      </c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</row>
    <row r="70" customFormat="false" ht="13.5" hidden="false" customHeight="false" outlineLevel="0" collapsed="false">
      <c r="A70" s="3"/>
      <c r="B70" s="95" t="str">
        <f aca="false">CONCATENATE("NPV ",$F$18*100," of Cf to Term (2036)")</f>
        <v>NPV 6.25 of Cf to Term (2036)</v>
      </c>
      <c r="C70" s="3"/>
      <c r="D70" s="296"/>
      <c r="E70" s="3"/>
      <c r="F70" s="3"/>
      <c r="G70" s="3"/>
      <c r="H70" s="274" t="n">
        <f aca="false">SUM(I69:AA69)</f>
        <v>26606.9611235498</v>
      </c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</row>
    <row r="71" customFormat="false" ht="12.75" hidden="false" customHeight="fals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</row>
    <row r="72" customFormat="false" ht="12.75" hidden="false" customHeight="false" outlineLevel="0" collapsed="false">
      <c r="A72" s="48" t="s">
        <v>281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</row>
    <row r="73" customFormat="false" ht="12.75" hidden="false" customHeight="fals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</row>
    <row r="74" customFormat="false" ht="12.75" hidden="false" customHeight="false" outlineLevel="0" collapsed="false">
      <c r="A74" s="3"/>
      <c r="B74" s="2" t="s">
        <v>270</v>
      </c>
      <c r="C74" s="3"/>
      <c r="D74" s="2"/>
      <c r="E74" s="2"/>
      <c r="F74" s="3"/>
      <c r="G74" s="3"/>
      <c r="H74" s="14" t="s">
        <v>28</v>
      </c>
      <c r="I74" s="56" t="n">
        <f aca="false">+I51</f>
        <v>37.2423670454243</v>
      </c>
      <c r="J74" s="56" t="n">
        <f aca="false">+J51</f>
        <v>31.1137307039562</v>
      </c>
      <c r="K74" s="56" t="n">
        <f aca="false">+K51</f>
        <v>29.9517717068529</v>
      </c>
      <c r="L74" s="56" t="n">
        <f aca="false">+L51</f>
        <v>31.5234122576721</v>
      </c>
      <c r="M74" s="56" t="n">
        <f aca="false">+M51</f>
        <v>33.9352290994459</v>
      </c>
      <c r="N74" s="56" t="n">
        <f aca="false">+N51</f>
        <v>35.0920720145232</v>
      </c>
      <c r="O74" s="56" t="n">
        <f aca="false">+O51</f>
        <v>36.9136048518082</v>
      </c>
      <c r="P74" s="56" t="n">
        <f aca="false">+P51</f>
        <v>39.7324111725473</v>
      </c>
      <c r="Q74" s="56" t="n">
        <f aca="false">+Q51</f>
        <v>40.6123890685507</v>
      </c>
      <c r="R74" s="56" t="n">
        <f aca="false">+R51</f>
        <v>41.6594005260721</v>
      </c>
      <c r="S74" s="56" t="n">
        <f aca="false">+S51</f>
        <v>42.8868506404742</v>
      </c>
      <c r="T74" s="56" t="n">
        <f aca="false">+T51</f>
        <v>43.641232880531</v>
      </c>
      <c r="U74" s="56" t="n">
        <f aca="false">+U51</f>
        <v>44.6007220265115</v>
      </c>
      <c r="V74" s="56" t="n">
        <f aca="false">+V51</f>
        <v>46.4373350596128</v>
      </c>
      <c r="W74" s="56" t="n">
        <f aca="false">+W51</f>
        <v>45.1347102125821</v>
      </c>
      <c r="X74" s="56" t="n">
        <f aca="false">+X51</f>
        <v>45.9807034805413</v>
      </c>
      <c r="Y74" s="56" t="n">
        <f aca="false">+Y51</f>
        <v>46.7193472960623</v>
      </c>
      <c r="Z74" s="56" t="n">
        <f aca="false">+Z51</f>
        <v>47.2915166305407</v>
      </c>
      <c r="AA74" s="56" t="n">
        <f aca="false">+AA51</f>
        <v>48.9167535870342</v>
      </c>
      <c r="AB74" s="56" t="n">
        <f aca="false">+AB51</f>
        <v>49.9124694194766</v>
      </c>
      <c r="AC74" s="56" t="n">
        <f aca="false">+AC51</f>
        <v>50.9284533593928</v>
      </c>
      <c r="AD74" s="56" t="n">
        <f aca="false">+AD51</f>
        <v>51.9651179704554</v>
      </c>
      <c r="AE74" s="56" t="n">
        <f aca="false">+AE51</f>
        <v>53.0228842141996</v>
      </c>
      <c r="AF74" s="56" t="n">
        <f aca="false">+AF51</f>
        <v>54.1021816209643</v>
      </c>
      <c r="AG74" s="56" t="n">
        <f aca="false">+AG51</f>
        <v>55.2034484643131</v>
      </c>
      <c r="AH74" s="56" t="n">
        <f aca="false">+AH51</f>
        <v>56.3271319390051</v>
      </c>
      <c r="AI74" s="56" t="n">
        <f aca="false">+AI51</f>
        <v>57.4736883425888</v>
      </c>
      <c r="AJ74" s="56" t="n">
        <f aca="false">+AJ51</f>
        <v>58.6435832606919</v>
      </c>
      <c r="AK74" s="56" t="n">
        <f aca="false">+AK51</f>
        <v>59.8372917560835</v>
      </c>
      <c r="AL74" s="56" t="n">
        <f aca="false">+AL51</f>
        <v>61.0552985615841</v>
      </c>
      <c r="AM74" s="56" t="n">
        <f aca="false">+AM51</f>
        <v>62.2980982769024</v>
      </c>
      <c r="AN74" s="56" t="n">
        <f aca="false">+AN51</f>
        <v>63.5661955694791</v>
      </c>
      <c r="AO74" s="56" t="n">
        <f aca="false">+AO51</f>
        <v>64.8601053794186</v>
      </c>
      <c r="AP74" s="56" t="n">
        <f aca="false">+AP51</f>
        <v>66.1803531285923</v>
      </c>
      <c r="AQ74" s="56" t="n">
        <f aca="false">+AQ51</f>
        <v>67.5274749339983</v>
      </c>
      <c r="AR74" s="56" t="n">
        <f aca="false">+AR51</f>
        <v>68.9020178254639</v>
      </c>
      <c r="AS74" s="3"/>
      <c r="AT74" s="3"/>
      <c r="AU74" s="3"/>
      <c r="AV74" s="3"/>
      <c r="AW74" s="3"/>
      <c r="AX74" s="3"/>
      <c r="AY74" s="3"/>
    </row>
    <row r="75" customFormat="false" ht="13.5" hidden="false" customHeight="false" outlineLevel="0" collapsed="false">
      <c r="A75" s="3"/>
      <c r="B75" s="2" t="s">
        <v>282</v>
      </c>
      <c r="C75" s="3"/>
      <c r="D75" s="2"/>
      <c r="E75" s="2"/>
      <c r="F75" s="3"/>
      <c r="G75" s="3"/>
      <c r="H75" s="3" t="s">
        <v>25</v>
      </c>
      <c r="I75" s="298" t="n">
        <f aca="false">+I52</f>
        <v>1943668.8</v>
      </c>
      <c r="J75" s="298" t="n">
        <f aca="false">+J52</f>
        <v>1943668.8</v>
      </c>
      <c r="K75" s="298" t="n">
        <f aca="false">+K52</f>
        <v>1943668.8</v>
      </c>
      <c r="L75" s="298" t="n">
        <f aca="false">+L52</f>
        <v>1948993.92</v>
      </c>
      <c r="M75" s="298" t="n">
        <f aca="false">+M52</f>
        <v>1943668.8</v>
      </c>
      <c r="N75" s="298" t="n">
        <f aca="false">+N52</f>
        <v>1943668.8</v>
      </c>
      <c r="O75" s="298" t="n">
        <f aca="false">+O52</f>
        <v>1943668.8</v>
      </c>
      <c r="P75" s="298" t="n">
        <f aca="false">+P52</f>
        <v>1948993.92</v>
      </c>
      <c r="Q75" s="298" t="n">
        <f aca="false">+Q52</f>
        <v>1943668.8</v>
      </c>
      <c r="R75" s="298" t="n">
        <f aca="false">+R52</f>
        <v>1943668.8</v>
      </c>
      <c r="S75" s="298" t="n">
        <f aca="false">+S52</f>
        <v>1943668.8</v>
      </c>
      <c r="T75" s="298" t="n">
        <f aca="false">+T52</f>
        <v>1948993.92</v>
      </c>
      <c r="U75" s="298" t="n">
        <f aca="false">+U52</f>
        <v>1943668.8</v>
      </c>
      <c r="V75" s="298" t="n">
        <f aca="false">+V52</f>
        <v>1943668.8</v>
      </c>
      <c r="W75" s="298" t="n">
        <f aca="false">+W52</f>
        <v>1943668.8</v>
      </c>
      <c r="X75" s="298" t="n">
        <f aca="false">+X52</f>
        <v>1948993.92</v>
      </c>
      <c r="Y75" s="298" t="n">
        <f aca="false">+Y52</f>
        <v>1943668.8</v>
      </c>
      <c r="Z75" s="298" t="n">
        <f aca="false">+Z52</f>
        <v>1943668.8</v>
      </c>
      <c r="AA75" s="298" t="n">
        <f aca="false">+AA52</f>
        <v>1943668.8</v>
      </c>
      <c r="AB75" s="298" t="n">
        <f aca="false">+AB52</f>
        <v>1948993.92</v>
      </c>
      <c r="AC75" s="298" t="n">
        <f aca="false">+AC52</f>
        <v>1943668.8</v>
      </c>
      <c r="AD75" s="298" t="n">
        <f aca="false">+AD52</f>
        <v>1943668.8</v>
      </c>
      <c r="AE75" s="298" t="n">
        <f aca="false">+AE52</f>
        <v>1943668.8</v>
      </c>
      <c r="AF75" s="298" t="n">
        <f aca="false">+AF52</f>
        <v>1948993.92</v>
      </c>
      <c r="AG75" s="298" t="n">
        <f aca="false">+AG52</f>
        <v>1943668.8</v>
      </c>
      <c r="AH75" s="298" t="n">
        <f aca="false">+AH52</f>
        <v>1943668.8</v>
      </c>
      <c r="AI75" s="298" t="n">
        <f aca="false">+AI52</f>
        <v>1943668.8</v>
      </c>
      <c r="AJ75" s="298" t="n">
        <f aca="false">+AJ52</f>
        <v>1948993.92</v>
      </c>
      <c r="AK75" s="298" t="n">
        <f aca="false">+AK52</f>
        <v>1943668.8</v>
      </c>
      <c r="AL75" s="298" t="n">
        <f aca="false">+AL52</f>
        <v>1943668.8</v>
      </c>
      <c r="AM75" s="298" t="n">
        <f aca="false">+AM52</f>
        <v>1943668.8</v>
      </c>
      <c r="AN75" s="298" t="n">
        <f aca="false">+AN52</f>
        <v>1948993.92</v>
      </c>
      <c r="AO75" s="298" t="n">
        <f aca="false">+AO52</f>
        <v>1943668.8</v>
      </c>
      <c r="AP75" s="298" t="n">
        <f aca="false">+AP52</f>
        <v>1943668.8</v>
      </c>
      <c r="AQ75" s="298" t="n">
        <f aca="false">+AQ52</f>
        <v>1943668.8</v>
      </c>
      <c r="AR75" s="298" t="n">
        <f aca="false">+AR52</f>
        <v>1948993.92</v>
      </c>
      <c r="AS75" s="3"/>
      <c r="AT75" s="3"/>
      <c r="AU75" s="3"/>
      <c r="AV75" s="3"/>
      <c r="AW75" s="3"/>
      <c r="AX75" s="3"/>
      <c r="AY75" s="3"/>
    </row>
    <row r="76" customFormat="false" ht="13.5" hidden="false" customHeight="false" outlineLevel="0" collapsed="false">
      <c r="A76" s="3"/>
      <c r="B76" s="2" t="s">
        <v>283</v>
      </c>
      <c r="C76" s="3"/>
      <c r="D76" s="2"/>
      <c r="E76" s="2"/>
      <c r="F76" s="3"/>
      <c r="G76" s="3"/>
      <c r="H76" s="163"/>
      <c r="I76" s="97" t="n">
        <f aca="false">+I74*I75/1000</f>
        <v>72386.8268643394</v>
      </c>
      <c r="J76" s="97" t="n">
        <f aca="false">+J74*J75/1000</f>
        <v>60474.7876208817</v>
      </c>
      <c r="K76" s="97" t="n">
        <f aca="false">+K74*K75/1000</f>
        <v>58216.3241713328</v>
      </c>
      <c r="L76" s="97" t="n">
        <f aca="false">+L74*L75/1000</f>
        <v>61438.9388278564</v>
      </c>
      <c r="M76" s="97" t="n">
        <f aca="false">+M74*M75/1000</f>
        <v>65958.8460214451</v>
      </c>
      <c r="N76" s="97" t="n">
        <f aca="false">+N74*N75/1000</f>
        <v>68207.3655019818</v>
      </c>
      <c r="O76" s="97" t="n">
        <f aca="false">+O74*O75/1000</f>
        <v>71747.8220459883</v>
      </c>
      <c r="P76" s="97" t="n">
        <f aca="false">+P74*P75/1000</f>
        <v>77438.2278022348</v>
      </c>
      <c r="Q76" s="97" t="n">
        <f aca="false">+Q74*Q75/1000</f>
        <v>78937.033526003</v>
      </c>
      <c r="R76" s="97" t="n">
        <f aca="false">+R74*R75/1000</f>
        <v>80972.0770292299</v>
      </c>
      <c r="S76" s="97" t="n">
        <f aca="false">+S74*S75/1000</f>
        <v>83357.8335201498</v>
      </c>
      <c r="T76" s="97" t="n">
        <f aca="false">+T74*T75/1000</f>
        <v>85056.497545459</v>
      </c>
      <c r="U76" s="97" t="n">
        <f aca="false">+U74*U75/1000</f>
        <v>86689.0318604031</v>
      </c>
      <c r="V76" s="97" t="n">
        <f aca="false">+V74*V75/1000</f>
        <v>90258.7993105156</v>
      </c>
      <c r="W76" s="97" t="n">
        <f aca="false">+W74*W75/1000</f>
        <v>87726.9280372372</v>
      </c>
      <c r="X76" s="97" t="n">
        <f aca="false">+X74*X75/1000</f>
        <v>89616.1115208977</v>
      </c>
      <c r="Y76" s="97" t="n">
        <f aca="false">+Y74*Y75/1000</f>
        <v>90806.9376957207</v>
      </c>
      <c r="Z76" s="97" t="n">
        <f aca="false">+Z74*Z75/1000</f>
        <v>91919.045379463</v>
      </c>
      <c r="AA76" s="97" t="n">
        <f aca="false">+AA74*AA75/1000</f>
        <v>95077.9677444065</v>
      </c>
      <c r="AB76" s="97" t="n">
        <f aca="false">+AB74*AB75/1000</f>
        <v>97279.0994307457</v>
      </c>
      <c r="AC76" s="97" t="n">
        <f aca="false">+AC74*AC75/1000</f>
        <v>98988.045826907</v>
      </c>
      <c r="AD76" s="97" t="n">
        <f aca="false">+AD74*AD75/1000</f>
        <v>101002.978487494</v>
      </c>
      <c r="AE76" s="97" t="n">
        <f aca="false">+AE74*AE75/1000</f>
        <v>103058.925733152</v>
      </c>
      <c r="AF76" s="97" t="n">
        <f aca="false">+AF74*AF75/1000</f>
        <v>105444.823037995</v>
      </c>
      <c r="AG76" s="97" t="n">
        <f aca="false">+AG74*AG75/1000</f>
        <v>107297.220432493</v>
      </c>
      <c r="AH76" s="97" t="n">
        <f aca="false">+AH74*AH75/1000</f>
        <v>109481.288943328</v>
      </c>
      <c r="AI76" s="97" t="n">
        <f aca="false">+AI74*AI75/1000</f>
        <v>111709.814852413</v>
      </c>
      <c r="AJ76" s="97" t="n">
        <f aca="false">+AJ74*AJ75/1000</f>
        <v>114295.987222102</v>
      </c>
      <c r="AK76" s="97" t="n">
        <f aca="false">+AK74*AK75/1000</f>
        <v>116303.877062797</v>
      </c>
      <c r="AL76" s="97" t="n">
        <f aca="false">+AL74*AL75/1000</f>
        <v>118671.278888836</v>
      </c>
      <c r="AM76" s="97" t="n">
        <f aca="false">+AM74*AM75/1000</f>
        <v>121086.869920149</v>
      </c>
      <c r="AN76" s="97" t="n">
        <f aca="false">+AN74*AN75/1000</f>
        <v>123890.128682446</v>
      </c>
      <c r="AO76" s="97" t="n">
        <f aca="false">+AO74*AO75/1000</f>
        <v>126066.563190688</v>
      </c>
      <c r="AP76" s="97" t="n">
        <f aca="false">+AP74*AP75/1000</f>
        <v>128632.687549027</v>
      </c>
      <c r="AQ76" s="97" t="n">
        <f aca="false">+AQ74*AQ75/1000</f>
        <v>131251.046171995</v>
      </c>
      <c r="AR76" s="97" t="n">
        <f aca="false">+AR74*AR75/1000</f>
        <v>134289.613817561</v>
      </c>
      <c r="AS76" s="3"/>
      <c r="AT76" s="3"/>
      <c r="AU76" s="3"/>
      <c r="AV76" s="3"/>
      <c r="AW76" s="3"/>
      <c r="AX76" s="3"/>
      <c r="AY76" s="3"/>
    </row>
    <row r="77" customFormat="false" ht="13.5" hidden="false" customHeight="false" outlineLevel="0" collapsed="false">
      <c r="A77" s="3"/>
      <c r="B77" s="2" t="s">
        <v>268</v>
      </c>
      <c r="C77" s="2"/>
      <c r="D77" s="2"/>
      <c r="E77" s="2"/>
      <c r="F77" s="3"/>
      <c r="G77" s="3"/>
      <c r="H77" s="163"/>
      <c r="I77" s="213" t="n">
        <f aca="false">+I76*'Litigation Analysis'!I18</f>
        <v>68128.7782252607</v>
      </c>
      <c r="J77" s="214" t="n">
        <f aca="false">+J76*'Litigation Analysis'!J18</f>
        <v>53569.3620447949</v>
      </c>
      <c r="K77" s="214" t="n">
        <f aca="false">+K76*'Litigation Analysis'!K18</f>
        <v>48535.3274589414</v>
      </c>
      <c r="L77" s="214" t="n">
        <f aca="false">+L76*'Litigation Analysis'!L18</f>
        <v>48208.9809152477</v>
      </c>
      <c r="M77" s="214" t="n">
        <f aca="false">+M76*'Litigation Analysis'!M18</f>
        <v>48711.1469153463</v>
      </c>
      <c r="N77" s="214" t="n">
        <f aca="false">+N76*'Litigation Analysis'!N18</f>
        <v>47408.6559345598</v>
      </c>
      <c r="O77" s="214" t="n">
        <f aca="false">+O76*'Litigation Analysis'!O18</f>
        <v>46936.0082175869</v>
      </c>
      <c r="P77" s="214" t="n">
        <f aca="false">+P76*'Litigation Analysis'!P18</f>
        <v>47678.6440302485</v>
      </c>
      <c r="Q77" s="214" t="n">
        <f aca="false">+Q76*'Litigation Analysis'!Q18</f>
        <v>45742.5480515813</v>
      </c>
      <c r="R77" s="214" t="n">
        <f aca="false">+R76*'Litigation Analysis'!R18</f>
        <v>44161.7111038796</v>
      </c>
      <c r="S77" s="214" t="n">
        <f aca="false">+S76*'Litigation Analysis'!S18</f>
        <v>42788.601552209</v>
      </c>
      <c r="T77" s="214" t="n">
        <f aca="false">+T76*'Litigation Analysis'!T18</f>
        <v>41092.2792434657</v>
      </c>
      <c r="U77" s="214" t="n">
        <f aca="false">+U76*'Litigation Analysis'!U18</f>
        <v>39417.3977211905</v>
      </c>
      <c r="V77" s="214" t="n">
        <f aca="false">+V76*'Litigation Analysis'!V18</f>
        <v>38626.415674593</v>
      </c>
      <c r="W77" s="214" t="n">
        <f aca="false">+W76*'Litigation Analysis'!W18</f>
        <v>35334.491110208</v>
      </c>
      <c r="X77" s="214" t="n">
        <f aca="false">+X76*'Litigation Analysis'!X18</f>
        <v>33972.1533810943</v>
      </c>
      <c r="Y77" s="214" t="n">
        <f aca="false">+Y76*'Litigation Analysis'!Y18</f>
        <v>32398.6617570199</v>
      </c>
      <c r="Z77" s="214" t="n">
        <f aca="false">+Z76*'Litigation Analysis'!Z18</f>
        <v>30866.3025182592</v>
      </c>
      <c r="AA77" s="214" t="n">
        <f aca="false">+AA76*'Litigation Analysis'!AA18</f>
        <v>30049.0021343558</v>
      </c>
      <c r="AB77" s="214" t="n">
        <f aca="false">+AB76*'Litigation Analysis'!AB18</f>
        <v>28936.1513269968</v>
      </c>
      <c r="AC77" s="214" t="n">
        <f aca="false">+AC76*'Litigation Analysis'!AC18</f>
        <v>27712.4573375562</v>
      </c>
      <c r="AD77" s="214" t="n">
        <f aca="false">+AD76*'Litigation Analysis'!AD18</f>
        <v>26613.226430049</v>
      </c>
      <c r="AE77" s="214" t="n">
        <f aca="false">+AE76*'Litigation Analysis'!AE18</f>
        <v>25557.59716253</v>
      </c>
      <c r="AF77" s="214" t="n">
        <f aca="false">+AF76*'Litigation Analysis'!AF18</f>
        <v>24611.0834477216</v>
      </c>
      <c r="AG77" s="214" t="n">
        <f aca="false">+AG76*'Litigation Analysis'!AG18</f>
        <v>23570.2942097796</v>
      </c>
      <c r="AH77" s="214" t="n">
        <f aca="false">+AH76*'Litigation Analysis'!AH18</f>
        <v>22635.3646371749</v>
      </c>
      <c r="AI77" s="214" t="n">
        <f aca="false">+AI76*'Litigation Analysis'!AI18</f>
        <v>21737.519595546</v>
      </c>
      <c r="AJ77" s="214" t="n">
        <f aca="false">+AJ76*'Litigation Analysis'!AJ18</f>
        <v>20932.4806753276</v>
      </c>
      <c r="AK77" s="214" t="n">
        <f aca="false">+AK76*'Litigation Analysis'!AK18</f>
        <v>20047.2575336244</v>
      </c>
      <c r="AL77" s="214" t="n">
        <f aca="false">+AL76*'Litigation Analysis'!AL18</f>
        <v>19252.0712813446</v>
      </c>
      <c r="AM77" s="214" t="n">
        <f aca="false">+AM76*'Litigation Analysis'!AM18</f>
        <v>18488.4265591097</v>
      </c>
      <c r="AN77" s="214" t="n">
        <f aca="false">+AN76*'Litigation Analysis'!AN18</f>
        <v>17803.7162871644</v>
      </c>
      <c r="AO77" s="214" t="n">
        <f aca="false">+AO76*'Litigation Analysis'!AO18</f>
        <v>17050.8068776126</v>
      </c>
      <c r="AP77" s="214" t="n">
        <f aca="false">+AP76*'Litigation Analysis'!AP18</f>
        <v>16374.4766016826</v>
      </c>
      <c r="AQ77" s="214" t="n">
        <f aca="false">+AQ76*'Litigation Analysis'!AQ18</f>
        <v>15724.9733636414</v>
      </c>
      <c r="AR77" s="235" t="n">
        <f aca="false">+AR76*'Litigation Analysis'!AR18</f>
        <v>15142.6062945061</v>
      </c>
      <c r="AS77" s="3"/>
      <c r="AT77" s="3"/>
      <c r="AU77" s="3"/>
      <c r="AV77" s="3"/>
      <c r="AW77" s="3"/>
      <c r="AX77" s="3"/>
      <c r="AY77" s="3"/>
    </row>
    <row r="78" customFormat="false" ht="13.5" hidden="false" customHeight="false" outlineLevel="0" collapsed="false">
      <c r="A78" s="3"/>
      <c r="B78" s="95" t="str">
        <f aca="false">CONCATENATE("NPV ",$F$18*100," of Cf to Term (2036)")</f>
        <v>NPV 6.25 of Cf to Term (2036)</v>
      </c>
      <c r="C78" s="2"/>
      <c r="D78" s="296"/>
      <c r="E78" s="2"/>
      <c r="F78" s="3"/>
      <c r="G78" s="3"/>
      <c r="H78" s="218" t="n">
        <f aca="false">SUM(I77:AR77)</f>
        <v>1185816.97761121</v>
      </c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</row>
    <row r="79" customFormat="false" ht="13.5" hidden="false" customHeight="false" outlineLevel="0" collapsed="false">
      <c r="A79" s="3"/>
      <c r="B79" s="2"/>
      <c r="C79" s="2"/>
      <c r="D79" s="2"/>
      <c r="E79" s="2"/>
      <c r="F79" s="3"/>
      <c r="G79" s="3"/>
      <c r="H79" s="163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</row>
    <row r="80" customFormat="false" ht="13.5" hidden="false" customHeight="false" outlineLevel="0" collapsed="false">
      <c r="A80" s="48" t="s">
        <v>51</v>
      </c>
      <c r="B80" s="3"/>
      <c r="C80" s="3"/>
      <c r="D80" s="3"/>
      <c r="E80" s="3"/>
      <c r="F80" s="3"/>
      <c r="G80" s="3"/>
      <c r="H80" s="162" t="n">
        <f aca="false">+H47+H57+H64+H70+H78</f>
        <v>1484626.69762458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</row>
    <row r="81" customFormat="false" ht="13.5" hidden="false" customHeight="false" outlineLevel="0" collapsed="false">
      <c r="A81" s="3"/>
      <c r="B81" s="3"/>
      <c r="C81" s="3"/>
      <c r="D81" s="3"/>
      <c r="E81" s="3"/>
      <c r="F81" s="3"/>
      <c r="G81" s="3"/>
      <c r="H81" s="46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</row>
    <row r="82" customFormat="false" ht="13.5" hidden="false" customHeight="false" outlineLevel="0" collapsed="false">
      <c r="A82" s="48" t="s">
        <v>284</v>
      </c>
      <c r="B82" s="3"/>
      <c r="C82" s="3"/>
      <c r="D82" s="3"/>
      <c r="E82" s="3"/>
      <c r="F82" s="3"/>
      <c r="G82" s="3"/>
      <c r="H82" s="162" t="n">
        <f aca="false">+H30-H80</f>
        <v>0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</row>
    <row r="83" customFormat="false" ht="13.5" hidden="false" customHeight="fals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</row>
    <row r="84" customFormat="false" ht="13.5" hidden="false" customHeight="false" outlineLevel="0" collapsed="false">
      <c r="A84" s="48" t="s">
        <v>285</v>
      </c>
      <c r="B84" s="3"/>
      <c r="C84" s="3"/>
      <c r="D84" s="3"/>
      <c r="E84" s="3"/>
      <c r="F84" s="3"/>
      <c r="G84" s="3"/>
      <c r="H84" s="162" t="n">
        <f aca="false">+H31-H80</f>
        <v>-135048.940747344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</row>
    <row r="85" customFormat="false" ht="12.75" hidden="false" customHeight="fals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</row>
    <row r="86" customFormat="false" ht="12.75" hidden="false" customHeight="false" outlineLevel="0" collapsed="false">
      <c r="A86" s="3"/>
      <c r="B86" s="3"/>
      <c r="C86" s="3"/>
      <c r="D86" s="3"/>
      <c r="E86" s="3"/>
      <c r="F86" s="3"/>
      <c r="G86" s="3"/>
      <c r="H86" s="159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</row>
    <row r="87" customFormat="false" ht="13.5" hidden="false" customHeight="false" outlineLevel="0" collapsed="false">
      <c r="A87" s="3"/>
      <c r="B87" s="3"/>
      <c r="C87" s="3"/>
      <c r="D87" s="3"/>
      <c r="E87" s="3"/>
      <c r="F87" s="3"/>
      <c r="G87" s="3"/>
      <c r="H87" s="159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</row>
    <row r="88" customFormat="false" ht="12.75" hidden="false" customHeight="false" outlineLevel="0" collapsed="false">
      <c r="A88" s="236"/>
      <c r="B88" s="301"/>
      <c r="C88" s="301"/>
      <c r="D88" s="301"/>
      <c r="E88" s="301"/>
      <c r="F88" s="301"/>
      <c r="G88" s="301"/>
      <c r="H88" s="301"/>
      <c r="I88" s="237"/>
      <c r="J88" s="3"/>
      <c r="K88" s="236"/>
      <c r="L88" s="301"/>
      <c r="M88" s="301"/>
      <c r="N88" s="301"/>
      <c r="O88" s="301"/>
      <c r="P88" s="301"/>
      <c r="Q88" s="301"/>
      <c r="R88" s="237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</row>
    <row r="89" customFormat="false" ht="15.75" hidden="false" customHeight="false" outlineLevel="0" collapsed="false">
      <c r="A89" s="302" t="s">
        <v>286</v>
      </c>
      <c r="B89" s="302"/>
      <c r="C89" s="302"/>
      <c r="D89" s="302"/>
      <c r="E89" s="302"/>
      <c r="F89" s="302"/>
      <c r="G89" s="302"/>
      <c r="H89" s="302"/>
      <c r="I89" s="302"/>
      <c r="J89" s="3"/>
      <c r="K89" s="302" t="s">
        <v>287</v>
      </c>
      <c r="L89" s="302"/>
      <c r="M89" s="302"/>
      <c r="N89" s="302"/>
      <c r="O89" s="302"/>
      <c r="P89" s="302"/>
      <c r="Q89" s="302"/>
      <c r="R89" s="302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</row>
    <row r="90" customFormat="false" ht="12.75" hidden="false" customHeight="false" outlineLevel="0" collapsed="false">
      <c r="A90" s="25" t="s">
        <v>288</v>
      </c>
      <c r="B90" s="25"/>
      <c r="C90" s="25"/>
      <c r="D90" s="25"/>
      <c r="E90" s="25"/>
      <c r="F90" s="25"/>
      <c r="G90" s="25"/>
      <c r="H90" s="25"/>
      <c r="I90" s="25"/>
      <c r="J90" s="3"/>
      <c r="K90" s="25" t="s">
        <v>288</v>
      </c>
      <c r="L90" s="25"/>
      <c r="M90" s="25"/>
      <c r="N90" s="25"/>
      <c r="O90" s="25"/>
      <c r="P90" s="25"/>
      <c r="Q90" s="25"/>
      <c r="R90" s="25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</row>
    <row r="91" customFormat="false" ht="12.75" hidden="false" customHeight="false" outlineLevel="0" collapsed="false">
      <c r="A91" s="303"/>
      <c r="B91" s="273"/>
      <c r="C91" s="273"/>
      <c r="D91" s="273"/>
      <c r="E91" s="273"/>
      <c r="F91" s="273"/>
      <c r="G91" s="273"/>
      <c r="H91" s="273"/>
      <c r="I91" s="304"/>
      <c r="J91" s="3"/>
      <c r="K91" s="303"/>
      <c r="L91" s="273"/>
      <c r="M91" s="273"/>
      <c r="N91" s="273"/>
      <c r="O91" s="273"/>
      <c r="P91" s="273"/>
      <c r="Q91" s="273"/>
      <c r="R91" s="304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</row>
    <row r="92" customFormat="false" ht="12.75" hidden="false" customHeight="false" outlineLevel="0" collapsed="false">
      <c r="A92" s="303"/>
      <c r="B92" s="273"/>
      <c r="C92" s="273"/>
      <c r="D92" s="273"/>
      <c r="E92" s="273"/>
      <c r="F92" s="273"/>
      <c r="G92" s="273"/>
      <c r="H92" s="273"/>
      <c r="I92" s="194" t="s">
        <v>289</v>
      </c>
      <c r="J92" s="3"/>
      <c r="K92" s="303"/>
      <c r="L92" s="273"/>
      <c r="M92" s="273"/>
      <c r="N92" s="273"/>
      <c r="O92" s="273"/>
      <c r="P92" s="273"/>
      <c r="Q92" s="273"/>
      <c r="R92" s="304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</row>
    <row r="93" customFormat="false" ht="12.75" hidden="false" customHeight="false" outlineLevel="0" collapsed="false">
      <c r="A93" s="303"/>
      <c r="B93" s="273"/>
      <c r="C93" s="273"/>
      <c r="D93" s="273"/>
      <c r="E93" s="273"/>
      <c r="F93" s="273"/>
      <c r="G93" s="305" t="s">
        <v>290</v>
      </c>
      <c r="H93" s="305" t="s">
        <v>289</v>
      </c>
      <c r="I93" s="306" t="s">
        <v>291</v>
      </c>
      <c r="J93" s="3"/>
      <c r="K93" s="239"/>
      <c r="L93" s="273"/>
      <c r="M93" s="273"/>
      <c r="N93" s="307" t="n">
        <v>36707</v>
      </c>
      <c r="O93" s="307" t="n">
        <v>37072</v>
      </c>
      <c r="P93" s="307" t="n">
        <v>37437</v>
      </c>
      <c r="Q93" s="307" t="n">
        <v>37802</v>
      </c>
      <c r="R93" s="308" t="n">
        <v>37986</v>
      </c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</row>
    <row r="94" customFormat="false" ht="15" hidden="false" customHeight="false" outlineLevel="0" collapsed="false">
      <c r="A94" s="303"/>
      <c r="B94" s="273"/>
      <c r="C94" s="273"/>
      <c r="D94" s="273"/>
      <c r="E94" s="273"/>
      <c r="F94" s="309" t="s">
        <v>292</v>
      </c>
      <c r="G94" s="309" t="s">
        <v>293</v>
      </c>
      <c r="H94" s="309" t="s">
        <v>294</v>
      </c>
      <c r="I94" s="310" t="s">
        <v>295</v>
      </c>
      <c r="J94" s="3"/>
      <c r="K94" s="311" t="s">
        <v>296</v>
      </c>
      <c r="L94" s="273"/>
      <c r="M94" s="273"/>
      <c r="N94" s="273"/>
      <c r="O94" s="273"/>
      <c r="P94" s="273"/>
      <c r="Q94" s="273"/>
      <c r="R94" s="304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</row>
    <row r="95" customFormat="false" ht="12.75" hidden="false" customHeight="false" outlineLevel="0" collapsed="false">
      <c r="A95" s="303"/>
      <c r="B95" s="273"/>
      <c r="C95" s="273"/>
      <c r="D95" s="273"/>
      <c r="E95" s="273"/>
      <c r="F95" s="273"/>
      <c r="G95" s="273"/>
      <c r="H95" s="273"/>
      <c r="I95" s="304"/>
      <c r="J95" s="3"/>
      <c r="K95" s="312" t="s">
        <v>67</v>
      </c>
      <c r="L95" s="273"/>
      <c r="M95" s="273"/>
      <c r="N95" s="90" t="n">
        <v>-210800</v>
      </c>
      <c r="O95" s="273"/>
      <c r="P95" s="273"/>
      <c r="Q95" s="273"/>
      <c r="R95" s="304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</row>
    <row r="96" customFormat="false" ht="12.75" hidden="false" customHeight="false" outlineLevel="0" collapsed="false">
      <c r="A96" s="312" t="s">
        <v>297</v>
      </c>
      <c r="B96" s="273"/>
      <c r="C96" s="273"/>
      <c r="D96" s="273"/>
      <c r="E96" s="273"/>
      <c r="F96" s="273"/>
      <c r="G96" s="163" t="n">
        <f aca="false">+G98-G97</f>
        <v>386371.685067994</v>
      </c>
      <c r="H96" s="163" t="n">
        <f aca="false">+H98-H97</f>
        <v>216636.886072581</v>
      </c>
      <c r="I96" s="313" t="n">
        <f aca="false">+I98-I97</f>
        <v>81954.2758843209</v>
      </c>
      <c r="J96" s="3"/>
      <c r="K96" s="312" t="s">
        <v>298</v>
      </c>
      <c r="L96" s="273"/>
      <c r="M96" s="273"/>
      <c r="N96" s="90" t="n">
        <v>-19200</v>
      </c>
      <c r="O96" s="273"/>
      <c r="P96" s="273"/>
      <c r="Q96" s="273"/>
      <c r="R96" s="304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</row>
    <row r="97" customFormat="false" ht="15" hidden="false" customHeight="false" outlineLevel="0" collapsed="false">
      <c r="A97" s="312" t="s">
        <v>299</v>
      </c>
      <c r="B97" s="273"/>
      <c r="C97" s="273"/>
      <c r="D97" s="273"/>
      <c r="E97" s="273"/>
      <c r="F97" s="314" t="s">
        <v>300</v>
      </c>
      <c r="G97" s="315" t="n">
        <f aca="false">+Valuation!G101</f>
        <v>145482</v>
      </c>
      <c r="H97" s="316" t="n">
        <f aca="false">+G97</f>
        <v>145482</v>
      </c>
      <c r="I97" s="317" t="n">
        <f aca="false">+H97</f>
        <v>145482</v>
      </c>
      <c r="J97" s="3"/>
      <c r="K97" s="312" t="s">
        <v>301</v>
      </c>
      <c r="L97" s="273"/>
      <c r="M97" s="273"/>
      <c r="N97" s="273"/>
      <c r="O97" s="97" t="n">
        <f aca="false">-I68/2</f>
        <v>-5000</v>
      </c>
      <c r="P97" s="97" t="n">
        <f aca="false">-J68/2</f>
        <v>-5000</v>
      </c>
      <c r="Q97" s="97" t="n">
        <f aca="false">-K68/2</f>
        <v>-5000</v>
      </c>
      <c r="R97" s="304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</row>
    <row r="98" customFormat="false" ht="12.75" hidden="false" customHeight="false" outlineLevel="0" collapsed="false">
      <c r="A98" s="318" t="s">
        <v>302</v>
      </c>
      <c r="B98" s="273"/>
      <c r="C98" s="273"/>
      <c r="D98" s="273"/>
      <c r="E98" s="319"/>
      <c r="F98" s="319"/>
      <c r="G98" s="90" t="n">
        <v>531853.685067994</v>
      </c>
      <c r="H98" s="90" t="n">
        <v>362118.886072581</v>
      </c>
      <c r="I98" s="320" t="n">
        <v>227436.275884321</v>
      </c>
      <c r="J98" s="3"/>
      <c r="K98" s="312" t="s">
        <v>303</v>
      </c>
      <c r="L98" s="273"/>
      <c r="M98" s="273"/>
      <c r="N98" s="273"/>
      <c r="O98" s="273"/>
      <c r="P98" s="273"/>
      <c r="Q98" s="273"/>
      <c r="R98" s="313" t="n">
        <f aca="false">+G98+G104</f>
        <v>621744.117355032</v>
      </c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</row>
    <row r="99" customFormat="false" ht="12.75" hidden="false" customHeight="false" outlineLevel="0" collapsed="false">
      <c r="A99" s="312"/>
      <c r="B99" s="273"/>
      <c r="C99" s="273"/>
      <c r="D99" s="273"/>
      <c r="E99" s="273"/>
      <c r="F99" s="273"/>
      <c r="G99" s="97"/>
      <c r="H99" s="97"/>
      <c r="I99" s="321"/>
      <c r="J99" s="3"/>
      <c r="K99" s="312" t="s">
        <v>301</v>
      </c>
      <c r="L99" s="273"/>
      <c r="M99" s="273"/>
      <c r="N99" s="273"/>
      <c r="O99" s="273"/>
      <c r="P99" s="273"/>
      <c r="Q99" s="273"/>
      <c r="R99" s="313" t="n">
        <f aca="false">-SUM(O97:Q97)</f>
        <v>15000</v>
      </c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</row>
    <row r="100" customFormat="false" ht="12.75" hidden="false" customHeight="false" outlineLevel="0" collapsed="false">
      <c r="A100" s="312"/>
      <c r="B100" s="273"/>
      <c r="C100" s="273"/>
      <c r="D100" s="273"/>
      <c r="E100" s="273"/>
      <c r="F100" s="273"/>
      <c r="G100" s="97"/>
      <c r="H100" s="97"/>
      <c r="I100" s="321"/>
      <c r="J100" s="3"/>
      <c r="K100" s="312" t="s">
        <v>304</v>
      </c>
      <c r="L100" s="273"/>
      <c r="M100" s="273"/>
      <c r="N100" s="273"/>
      <c r="O100" s="163" t="n">
        <f aca="false">+I55</f>
        <v>17591.2342199151</v>
      </c>
      <c r="P100" s="163" t="n">
        <f aca="false">+J55</f>
        <v>8383.97105688263</v>
      </c>
      <c r="Q100" s="163" t="n">
        <f aca="false">+K55</f>
        <v>4965.52903704105</v>
      </c>
      <c r="R100" s="304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</row>
    <row r="101" customFormat="false" ht="15" hidden="false" customHeight="false" outlineLevel="0" collapsed="false">
      <c r="A101" s="311" t="s">
        <v>305</v>
      </c>
      <c r="B101" s="273"/>
      <c r="C101" s="273"/>
      <c r="D101" s="273"/>
      <c r="E101" s="273"/>
      <c r="F101" s="273"/>
      <c r="G101" s="97"/>
      <c r="H101" s="97"/>
      <c r="I101" s="321"/>
      <c r="J101" s="3"/>
      <c r="K101" s="312" t="s">
        <v>148</v>
      </c>
      <c r="L101" s="273"/>
      <c r="M101" s="273"/>
      <c r="N101" s="322" t="n">
        <v>0</v>
      </c>
      <c r="O101" s="322" t="n">
        <v>-15447.7109685329</v>
      </c>
      <c r="P101" s="322" t="n">
        <v>-15234.9991961905</v>
      </c>
      <c r="Q101" s="322" t="n">
        <v>-15413.5187267937</v>
      </c>
      <c r="R101" s="323" t="n">
        <v>-138456</v>
      </c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</row>
    <row r="102" customFormat="false" ht="13.5" hidden="false" customHeight="false" outlineLevel="0" collapsed="false">
      <c r="A102" s="318" t="s">
        <v>302</v>
      </c>
      <c r="B102" s="273"/>
      <c r="C102" s="273"/>
      <c r="D102" s="273"/>
      <c r="E102" s="319"/>
      <c r="F102" s="324" t="s">
        <v>306</v>
      </c>
      <c r="G102" s="325" t="n">
        <f aca="false">+G98*$K$18</f>
        <v>443409.870555364</v>
      </c>
      <c r="H102" s="325" t="n">
        <f aca="false">+H98*$K$18</f>
        <v>301900.866548604</v>
      </c>
      <c r="I102" s="326" t="n">
        <f aca="false">+I98*$K$18</f>
        <v>189615.099943452</v>
      </c>
      <c r="J102" s="3"/>
      <c r="K102" s="312" t="s">
        <v>167</v>
      </c>
      <c r="L102" s="273"/>
      <c r="M102" s="273"/>
      <c r="N102" s="163" t="n">
        <f aca="false">SUM(N95:N101)</f>
        <v>-230000</v>
      </c>
      <c r="O102" s="163" t="n">
        <f aca="false">SUM(O95:O101)</f>
        <v>-2856.47674861785</v>
      </c>
      <c r="P102" s="163" t="n">
        <f aca="false">SUM(P95:P101)</f>
        <v>-11851.0281393079</v>
      </c>
      <c r="Q102" s="163" t="n">
        <f aca="false">SUM(Q95:Q101)</f>
        <v>-15447.9896897526</v>
      </c>
      <c r="R102" s="313" t="n">
        <f aca="false">SUM(R95:R101)</f>
        <v>498288.117355032</v>
      </c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</row>
    <row r="103" customFormat="false" ht="13.5" hidden="false" customHeight="false" outlineLevel="0" collapsed="false">
      <c r="A103" s="318" t="s">
        <v>307</v>
      </c>
      <c r="B103" s="273"/>
      <c r="C103" s="273"/>
      <c r="D103" s="273"/>
      <c r="E103" s="319"/>
      <c r="F103" s="324" t="s">
        <v>308</v>
      </c>
      <c r="G103" s="325" t="n">
        <f aca="false">+H57</f>
        <v>-90901.0740426761</v>
      </c>
      <c r="H103" s="325" t="n">
        <f aca="false">+G103</f>
        <v>-90901.0740426761</v>
      </c>
      <c r="I103" s="326" t="n">
        <f aca="false">+H103</f>
        <v>-90901.0740426761</v>
      </c>
      <c r="J103" s="3"/>
      <c r="K103" s="312" t="s">
        <v>309</v>
      </c>
      <c r="L103" s="327" t="n">
        <v>0.1125</v>
      </c>
      <c r="M103" s="273"/>
      <c r="N103" s="217" t="n">
        <f aca="false">XNPV(L103,N102:R102,$N$93:$R$93)</f>
        <v>89594.9498950706</v>
      </c>
      <c r="O103" s="273"/>
      <c r="P103" s="273"/>
      <c r="Q103" s="273"/>
      <c r="R103" s="304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</row>
    <row r="104" customFormat="false" ht="12.75" hidden="false" customHeight="false" outlineLevel="0" collapsed="false">
      <c r="A104" s="318" t="s">
        <v>251</v>
      </c>
      <c r="B104" s="273"/>
      <c r="C104" s="273"/>
      <c r="D104" s="273"/>
      <c r="E104" s="319"/>
      <c r="F104" s="324" t="s">
        <v>310</v>
      </c>
      <c r="G104" s="90" t="n">
        <v>89890.4322870377</v>
      </c>
      <c r="H104" s="90" t="n">
        <v>61202.9663838908</v>
      </c>
      <c r="I104" s="320" t="n">
        <v>38439.7922416987</v>
      </c>
      <c r="J104" s="3"/>
      <c r="K104" s="312"/>
      <c r="L104" s="273"/>
      <c r="M104" s="273"/>
      <c r="N104" s="273"/>
      <c r="O104" s="273"/>
      <c r="P104" s="273"/>
      <c r="Q104" s="273"/>
      <c r="R104" s="304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</row>
    <row r="105" customFormat="false" ht="12.75" hidden="false" customHeight="false" outlineLevel="0" collapsed="false">
      <c r="A105" s="318" t="s">
        <v>301</v>
      </c>
      <c r="B105" s="273"/>
      <c r="C105" s="273"/>
      <c r="D105" s="273"/>
      <c r="E105" s="319"/>
      <c r="F105" s="324" t="s">
        <v>311</v>
      </c>
      <c r="G105" s="325" t="n">
        <f aca="false">+H70</f>
        <v>26606.9611235498</v>
      </c>
      <c r="H105" s="325" t="n">
        <f aca="false">+G105</f>
        <v>26606.9611235498</v>
      </c>
      <c r="I105" s="326" t="n">
        <f aca="false">+H105</f>
        <v>26606.9611235498</v>
      </c>
      <c r="J105" s="3"/>
      <c r="K105" s="311" t="s">
        <v>312</v>
      </c>
      <c r="L105" s="273"/>
      <c r="M105" s="273"/>
      <c r="N105" s="273"/>
      <c r="O105" s="273"/>
      <c r="P105" s="273"/>
      <c r="Q105" s="273"/>
      <c r="R105" s="304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</row>
    <row r="106" customFormat="false" ht="15" hidden="false" customHeight="false" outlineLevel="0" collapsed="false">
      <c r="A106" s="312" t="s">
        <v>281</v>
      </c>
      <c r="B106" s="273"/>
      <c r="C106" s="273"/>
      <c r="D106" s="273"/>
      <c r="E106" s="273"/>
      <c r="F106" s="314" t="s">
        <v>313</v>
      </c>
      <c r="G106" s="316" t="n">
        <f aca="false">+H78</f>
        <v>1185816.97761121</v>
      </c>
      <c r="H106" s="316" t="n">
        <f aca="false">+G106</f>
        <v>1185816.97761121</v>
      </c>
      <c r="I106" s="317" t="n">
        <f aca="false">+H106</f>
        <v>1185816.97761121</v>
      </c>
      <c r="J106" s="3"/>
      <c r="K106" s="312" t="s">
        <v>67</v>
      </c>
      <c r="L106" s="273"/>
      <c r="M106" s="273"/>
      <c r="N106" s="97" t="n">
        <f aca="false">+$N$95</f>
        <v>-210800</v>
      </c>
      <c r="O106" s="273"/>
      <c r="P106" s="273"/>
      <c r="Q106" s="273"/>
      <c r="R106" s="304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</row>
    <row r="107" customFormat="false" ht="12.75" hidden="false" customHeight="false" outlineLevel="0" collapsed="false">
      <c r="A107" s="312" t="s">
        <v>161</v>
      </c>
      <c r="B107" s="273"/>
      <c r="C107" s="273"/>
      <c r="D107" s="273"/>
      <c r="E107" s="273"/>
      <c r="F107" s="273"/>
      <c r="G107" s="163" t="n">
        <f aca="false">SUM(G102:G106)</f>
        <v>1654823.16753449</v>
      </c>
      <c r="H107" s="163" t="n">
        <f aca="false">SUM(H102:H106)</f>
        <v>1484626.69762458</v>
      </c>
      <c r="I107" s="313" t="n">
        <f aca="false">SUM(I102:I106)</f>
        <v>1349577.75687723</v>
      </c>
      <c r="J107" s="3"/>
      <c r="K107" s="312" t="s">
        <v>298</v>
      </c>
      <c r="L107" s="273"/>
      <c r="M107" s="273"/>
      <c r="N107" s="97" t="n">
        <f aca="false">+$N$96</f>
        <v>-19200</v>
      </c>
      <c r="O107" s="273"/>
      <c r="P107" s="273"/>
      <c r="Q107" s="273"/>
      <c r="R107" s="304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</row>
    <row r="108" customFormat="false" ht="12.75" hidden="false" customHeight="false" outlineLevel="0" collapsed="false">
      <c r="A108" s="312"/>
      <c r="B108" s="273"/>
      <c r="C108" s="273"/>
      <c r="D108" s="273"/>
      <c r="E108" s="273"/>
      <c r="F108" s="273"/>
      <c r="G108" s="273"/>
      <c r="H108" s="273"/>
      <c r="I108" s="304"/>
      <c r="J108" s="3"/>
      <c r="K108" s="312" t="s">
        <v>301</v>
      </c>
      <c r="L108" s="273"/>
      <c r="M108" s="273"/>
      <c r="N108" s="273"/>
      <c r="O108" s="97" t="n">
        <f aca="false">+$O$97</f>
        <v>-5000</v>
      </c>
      <c r="P108" s="97" t="n">
        <f aca="false">+$P$97</f>
        <v>-5000</v>
      </c>
      <c r="Q108" s="97" t="n">
        <f aca="false">+$Q$97</f>
        <v>-5000</v>
      </c>
      <c r="R108" s="304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</row>
    <row r="109" customFormat="false" ht="12.75" hidden="false" customHeight="false" outlineLevel="0" collapsed="false">
      <c r="A109" s="312" t="s">
        <v>314</v>
      </c>
      <c r="B109" s="273"/>
      <c r="C109" s="273"/>
      <c r="D109" s="273"/>
      <c r="E109" s="273"/>
      <c r="F109" s="273"/>
      <c r="G109" s="163" t="n">
        <f aca="false">+H30</f>
        <v>1484626.69762458</v>
      </c>
      <c r="H109" s="163" t="n">
        <f aca="false">+G109</f>
        <v>1484626.69762458</v>
      </c>
      <c r="I109" s="313" t="n">
        <f aca="false">+H109</f>
        <v>1484626.69762458</v>
      </c>
      <c r="J109" s="3"/>
      <c r="K109" s="312" t="s">
        <v>303</v>
      </c>
      <c r="L109" s="273"/>
      <c r="M109" s="273"/>
      <c r="N109" s="273"/>
      <c r="O109" s="273"/>
      <c r="P109" s="273"/>
      <c r="Q109" s="273"/>
      <c r="R109" s="328" t="n">
        <v>531216.884177054</v>
      </c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</row>
    <row r="110" customFormat="false" ht="12.75" hidden="false" customHeight="false" outlineLevel="0" collapsed="false">
      <c r="A110" s="312" t="s">
        <v>315</v>
      </c>
      <c r="B110" s="273"/>
      <c r="C110" s="273"/>
      <c r="D110" s="273"/>
      <c r="E110" s="273"/>
      <c r="F110" s="273"/>
      <c r="G110" s="163" t="n">
        <f aca="false">+G107-G109</f>
        <v>170196.469909906</v>
      </c>
      <c r="H110" s="163" t="n">
        <f aca="false">+H107-H109</f>
        <v>0</v>
      </c>
      <c r="I110" s="313" t="n">
        <f aca="false">+I107-I109</f>
        <v>-135048.940747345</v>
      </c>
      <c r="J110" s="3"/>
      <c r="K110" s="312" t="s">
        <v>301</v>
      </c>
      <c r="L110" s="273"/>
      <c r="M110" s="273"/>
      <c r="N110" s="273"/>
      <c r="O110" s="273"/>
      <c r="P110" s="273"/>
      <c r="Q110" s="273"/>
      <c r="R110" s="313" t="n">
        <f aca="false">-SUM(O108:Q108)</f>
        <v>15000</v>
      </c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</row>
    <row r="111" customFormat="false" ht="15" hidden="false" customHeight="false" outlineLevel="0" collapsed="false">
      <c r="A111" s="312"/>
      <c r="B111" s="273"/>
      <c r="C111" s="273"/>
      <c r="D111" s="273"/>
      <c r="E111" s="273"/>
      <c r="F111" s="273"/>
      <c r="G111" s="273"/>
      <c r="H111" s="273"/>
      <c r="I111" s="304"/>
      <c r="J111" s="3"/>
      <c r="K111" s="312" t="s">
        <v>148</v>
      </c>
      <c r="L111" s="273"/>
      <c r="M111" s="273"/>
      <c r="N111" s="315" t="n">
        <f aca="false">+$N$101</f>
        <v>0</v>
      </c>
      <c r="O111" s="315" t="n">
        <f aca="false">-Valuation!H291</f>
        <v>-15897.7109685329</v>
      </c>
      <c r="P111" s="315" t="n">
        <f aca="false">-Valuation!I291</f>
        <v>-15684.9991961905</v>
      </c>
      <c r="Q111" s="315" t="n">
        <f aca="false">-Valuation!J291</f>
        <v>-15863.5187267937</v>
      </c>
      <c r="R111" s="329" t="n">
        <f aca="false">-Valuation!J287</f>
        <v>-138456</v>
      </c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</row>
    <row r="112" customFormat="false" ht="13.5" hidden="false" customHeight="false" outlineLevel="0" collapsed="false">
      <c r="A112" s="312" t="s">
        <v>316</v>
      </c>
      <c r="B112" s="273"/>
      <c r="C112" s="273"/>
      <c r="D112" s="273"/>
      <c r="E112" s="273"/>
      <c r="F112" s="273"/>
      <c r="G112" s="97" t="n">
        <f aca="false">+H31</f>
        <v>1349577.75687723</v>
      </c>
      <c r="H112" s="163" t="n">
        <f aca="false">+G112</f>
        <v>1349577.75687723</v>
      </c>
      <c r="I112" s="313" t="n">
        <f aca="false">+H112</f>
        <v>1349577.75687723</v>
      </c>
      <c r="J112" s="3"/>
      <c r="K112" s="312" t="s">
        <v>167</v>
      </c>
      <c r="L112" s="273"/>
      <c r="M112" s="273"/>
      <c r="N112" s="163" t="n">
        <f aca="false">SUM(N106:N111)</f>
        <v>-230000</v>
      </c>
      <c r="O112" s="163" t="n">
        <f aca="false">SUM(O106:O111)</f>
        <v>-20897.7109685329</v>
      </c>
      <c r="P112" s="163" t="n">
        <f aca="false">SUM(P106:P111)</f>
        <v>-20684.9991961905</v>
      </c>
      <c r="Q112" s="163" t="n">
        <f aca="false">SUM(Q106:Q111)</f>
        <v>-20863.5187267937</v>
      </c>
      <c r="R112" s="313" t="n">
        <f aca="false">SUM(R106:R111)</f>
        <v>407760.884177054</v>
      </c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</row>
    <row r="113" customFormat="false" ht="13.5" hidden="false" customHeight="false" outlineLevel="0" collapsed="false">
      <c r="A113" s="312" t="s">
        <v>317</v>
      </c>
      <c r="B113" s="273"/>
      <c r="C113" s="273"/>
      <c r="D113" s="273"/>
      <c r="E113" s="273"/>
      <c r="F113" s="273"/>
      <c r="G113" s="163" t="n">
        <f aca="false">+G107-G112</f>
        <v>305245.410657251</v>
      </c>
      <c r="H113" s="163" t="n">
        <f aca="false">+H107-H112</f>
        <v>135048.940747344</v>
      </c>
      <c r="I113" s="313" t="n">
        <f aca="false">+I107-I112</f>
        <v>0</v>
      </c>
      <c r="J113" s="3"/>
      <c r="K113" s="312" t="s">
        <v>309</v>
      </c>
      <c r="L113" s="330" t="n">
        <f aca="false">+L103</f>
        <v>0.1125</v>
      </c>
      <c r="M113" s="273"/>
      <c r="N113" s="217" t="n">
        <f aca="false">XNPV(L113,N112:R112,$N$93:$R$93)</f>
        <v>-5.82076609134674E-011</v>
      </c>
      <c r="O113" s="273"/>
      <c r="P113" s="273"/>
      <c r="Q113" s="273"/>
      <c r="R113" s="304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</row>
    <row r="114" customFormat="false" ht="12.75" hidden="false" customHeight="false" outlineLevel="0" collapsed="false">
      <c r="A114" s="303"/>
      <c r="B114" s="273"/>
      <c r="C114" s="273"/>
      <c r="D114" s="273"/>
      <c r="E114" s="273"/>
      <c r="F114" s="273"/>
      <c r="G114" s="273"/>
      <c r="H114" s="273"/>
      <c r="I114" s="304"/>
      <c r="J114" s="3"/>
      <c r="K114" s="312"/>
      <c r="L114" s="273"/>
      <c r="M114" s="273"/>
      <c r="N114" s="273"/>
      <c r="O114" s="273"/>
      <c r="P114" s="273"/>
      <c r="Q114" s="273"/>
      <c r="R114" s="304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</row>
    <row r="115" customFormat="false" ht="12.75" hidden="false" customHeight="false" outlineLevel="0" collapsed="false">
      <c r="A115" s="303"/>
      <c r="B115" s="273"/>
      <c r="C115" s="273"/>
      <c r="D115" s="273"/>
      <c r="E115" s="273"/>
      <c r="F115" s="273"/>
      <c r="G115" s="273"/>
      <c r="H115" s="273"/>
      <c r="I115" s="304"/>
      <c r="J115" s="3"/>
      <c r="K115" s="311" t="s">
        <v>318</v>
      </c>
      <c r="L115" s="273"/>
      <c r="M115" s="273"/>
      <c r="N115" s="273"/>
      <c r="O115" s="273"/>
      <c r="P115" s="273"/>
      <c r="Q115" s="273"/>
      <c r="R115" s="304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</row>
    <row r="116" customFormat="false" ht="12.75" hidden="false" customHeight="false" outlineLevel="0" collapsed="false">
      <c r="A116" s="303"/>
      <c r="B116" s="273"/>
      <c r="C116" s="331" t="s">
        <v>319</v>
      </c>
      <c r="D116" s="273"/>
      <c r="E116" s="273"/>
      <c r="F116" s="273"/>
      <c r="G116" s="273"/>
      <c r="H116" s="273"/>
      <c r="I116" s="304"/>
      <c r="J116" s="3"/>
      <c r="K116" s="312" t="s">
        <v>67</v>
      </c>
      <c r="L116" s="273"/>
      <c r="M116" s="273"/>
      <c r="N116" s="97" t="n">
        <f aca="false">+$N$95</f>
        <v>-210800</v>
      </c>
      <c r="O116" s="273"/>
      <c r="P116" s="273"/>
      <c r="Q116" s="273"/>
      <c r="R116" s="304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</row>
    <row r="117" customFormat="false" ht="12.75" hidden="false" customHeight="false" outlineLevel="0" collapsed="false">
      <c r="A117" s="303"/>
      <c r="B117" s="273"/>
      <c r="C117" s="331"/>
      <c r="D117" s="273"/>
      <c r="E117" s="273"/>
      <c r="F117" s="273"/>
      <c r="G117" s="273"/>
      <c r="H117" s="273"/>
      <c r="I117" s="304"/>
      <c r="J117" s="3"/>
      <c r="K117" s="312" t="s">
        <v>298</v>
      </c>
      <c r="L117" s="273"/>
      <c r="M117" s="273"/>
      <c r="N117" s="97" t="n">
        <f aca="false">+$N$96</f>
        <v>-19200</v>
      </c>
      <c r="O117" s="273"/>
      <c r="P117" s="273"/>
      <c r="Q117" s="273"/>
      <c r="R117" s="304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</row>
    <row r="118" customFormat="false" ht="12.75" hidden="false" customHeight="false" outlineLevel="0" collapsed="false">
      <c r="A118" s="303"/>
      <c r="B118" s="332" t="str">
        <f aca="false">CONCATENATE("Brazos values discounted at ",$F$18*100,"%")</f>
        <v>Brazos values discounted at 6.25%</v>
      </c>
      <c r="C118" s="331"/>
      <c r="D118" s="273"/>
      <c r="E118" s="273"/>
      <c r="F118" s="273"/>
      <c r="G118" s="273"/>
      <c r="H118" s="273"/>
      <c r="I118" s="304"/>
      <c r="J118" s="3"/>
      <c r="K118" s="312" t="s">
        <v>301</v>
      </c>
      <c r="L118" s="273"/>
      <c r="M118" s="273"/>
      <c r="N118" s="273"/>
      <c r="O118" s="97" t="n">
        <f aca="false">+$O$97</f>
        <v>-5000</v>
      </c>
      <c r="P118" s="97" t="n">
        <f aca="false">+$P$97</f>
        <v>-5000</v>
      </c>
      <c r="Q118" s="97" t="n">
        <f aca="false">+$Q$97</f>
        <v>-5000</v>
      </c>
      <c r="R118" s="304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</row>
    <row r="119" customFormat="false" ht="12.75" hidden="false" customHeight="false" outlineLevel="0" collapsed="false">
      <c r="A119" s="303"/>
      <c r="B119" s="273"/>
      <c r="C119" s="331"/>
      <c r="D119" s="273"/>
      <c r="E119" s="273"/>
      <c r="F119" s="273"/>
      <c r="G119" s="273"/>
      <c r="H119" s="273"/>
      <c r="I119" s="304"/>
      <c r="J119" s="3"/>
      <c r="K119" s="312" t="s">
        <v>320</v>
      </c>
      <c r="L119" s="273"/>
      <c r="M119" s="273"/>
      <c r="N119" s="273"/>
      <c r="O119" s="273"/>
      <c r="P119" s="273"/>
      <c r="Q119" s="273"/>
      <c r="R119" s="333" t="n">
        <f aca="false">+H139</f>
        <v>279836.574493805</v>
      </c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</row>
    <row r="120" customFormat="false" ht="12.75" hidden="false" customHeight="false" outlineLevel="0" collapsed="false">
      <c r="A120" s="303"/>
      <c r="B120" s="273"/>
      <c r="C120" s="331" t="s">
        <v>300</v>
      </c>
      <c r="D120" s="2" t="s">
        <v>321</v>
      </c>
      <c r="E120" s="273"/>
      <c r="F120" s="273"/>
      <c r="G120" s="273"/>
      <c r="H120" s="273"/>
      <c r="I120" s="304"/>
      <c r="J120" s="3"/>
      <c r="K120" s="312" t="s">
        <v>301</v>
      </c>
      <c r="L120" s="273"/>
      <c r="M120" s="273"/>
      <c r="N120" s="273"/>
      <c r="O120" s="273"/>
      <c r="P120" s="273"/>
      <c r="Q120" s="273"/>
      <c r="R120" s="313" t="n">
        <f aca="false">-SUM(O118:Q118)</f>
        <v>15000</v>
      </c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</row>
    <row r="121" customFormat="false" ht="15" hidden="false" customHeight="false" outlineLevel="0" collapsed="false">
      <c r="A121" s="303"/>
      <c r="B121" s="273"/>
      <c r="C121" s="331" t="s">
        <v>306</v>
      </c>
      <c r="D121" s="334" t="str">
        <f aca="false">CONCATENATE("Assumes payment at the end of year ",F11)</f>
        <v>Assumes payment at the end of year 3</v>
      </c>
      <c r="E121" s="273"/>
      <c r="F121" s="273"/>
      <c r="G121" s="273"/>
      <c r="H121" s="273"/>
      <c r="I121" s="304"/>
      <c r="J121" s="3"/>
      <c r="K121" s="312" t="s">
        <v>148</v>
      </c>
      <c r="L121" s="273"/>
      <c r="M121" s="273"/>
      <c r="N121" s="315" t="n">
        <f aca="false">+$N$101</f>
        <v>0</v>
      </c>
      <c r="O121" s="315" t="n">
        <f aca="false">+$O$101</f>
        <v>-15447.7109685329</v>
      </c>
      <c r="P121" s="315" t="n">
        <f aca="false">+$P$101</f>
        <v>-15234.9991961905</v>
      </c>
      <c r="Q121" s="315" t="n">
        <f aca="false">+$Q$101</f>
        <v>-15413.5187267937</v>
      </c>
      <c r="R121" s="329" t="n">
        <f aca="false">+$R$101</f>
        <v>-138456</v>
      </c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</row>
    <row r="122" customFormat="false" ht="13.5" hidden="false" customHeight="false" outlineLevel="0" collapsed="false">
      <c r="A122" s="303"/>
      <c r="B122" s="273"/>
      <c r="C122" s="331" t="s">
        <v>308</v>
      </c>
      <c r="D122" s="334" t="str">
        <f aca="false">CONCATENATE("NPV ",F22*100," of net margins (7x24) from Pace Global Energy, 2001-36 ($",ROUND(J57,0)," per kW)")</f>
        <v>NPV 14 of net margins (7x24) from Pace Global Energy, 2001-36 ($352 per kW)</v>
      </c>
      <c r="E122" s="273"/>
      <c r="F122" s="273"/>
      <c r="G122" s="273"/>
      <c r="H122" s="273"/>
      <c r="I122" s="304"/>
      <c r="J122" s="3"/>
      <c r="K122" s="312" t="s">
        <v>167</v>
      </c>
      <c r="L122" s="273"/>
      <c r="M122" s="273"/>
      <c r="N122" s="163" t="n">
        <f aca="false">SUM(N116:N121)</f>
        <v>-230000</v>
      </c>
      <c r="O122" s="163" t="n">
        <f aca="false">SUM(O116:O121)</f>
        <v>-20447.7109685329</v>
      </c>
      <c r="P122" s="163" t="n">
        <f aca="false">SUM(P116:P121)</f>
        <v>-20234.9991961905</v>
      </c>
      <c r="Q122" s="163" t="n">
        <f aca="false">SUM(Q116:Q121)</f>
        <v>-20413.5187267937</v>
      </c>
      <c r="R122" s="313" t="n">
        <f aca="false">SUM(R116:R121)</f>
        <v>156380.574493805</v>
      </c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</row>
    <row r="123" customFormat="false" ht="13.5" hidden="false" customHeight="false" outlineLevel="0" collapsed="false">
      <c r="A123" s="303"/>
      <c r="B123" s="273"/>
      <c r="C123" s="331" t="s">
        <v>310</v>
      </c>
      <c r="D123" s="334" t="str">
        <f aca="false">CONCATENATE("Assumes ",F12*100,"% per annum from the date of breach (December 31, 2000)")</f>
        <v>Assumes 6% per annum from the date of breach (December 31, 2000)</v>
      </c>
      <c r="E123" s="273"/>
      <c r="F123" s="273"/>
      <c r="G123" s="273"/>
      <c r="H123" s="273"/>
      <c r="I123" s="304"/>
      <c r="J123" s="3"/>
      <c r="K123" s="312" t="s">
        <v>309</v>
      </c>
      <c r="L123" s="330" t="n">
        <f aca="false">+L113</f>
        <v>0.1125</v>
      </c>
      <c r="M123" s="273"/>
      <c r="N123" s="217" t="n">
        <f aca="false">XNPV(L123,N122:R122,$N$93:$R$93)</f>
        <v>-171922.943519455</v>
      </c>
      <c r="O123" s="273"/>
      <c r="P123" s="273"/>
      <c r="Q123" s="273"/>
      <c r="R123" s="304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</row>
    <row r="124" customFormat="false" ht="12.75" hidden="false" customHeight="false" outlineLevel="0" collapsed="false">
      <c r="A124" s="303"/>
      <c r="B124" s="273"/>
      <c r="C124" s="331" t="s">
        <v>311</v>
      </c>
      <c r="D124" s="334" t="str">
        <f aca="false">CONCATENATE("Assumes $",+F14/1000,".0 MM per year")</f>
        <v>Assumes $10.0 MM per year</v>
      </c>
      <c r="E124" s="273"/>
      <c r="F124" s="273"/>
      <c r="G124" s="273"/>
      <c r="H124" s="273"/>
      <c r="I124" s="304"/>
      <c r="J124" s="3"/>
      <c r="K124" s="303"/>
      <c r="L124" s="273"/>
      <c r="M124" s="273"/>
      <c r="N124" s="273"/>
      <c r="O124" s="273"/>
      <c r="P124" s="273"/>
      <c r="Q124" s="273"/>
      <c r="R124" s="304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</row>
    <row r="125" customFormat="false" ht="12.75" hidden="false" customHeight="false" outlineLevel="0" collapsed="false">
      <c r="A125" s="303"/>
      <c r="B125" s="273"/>
      <c r="C125" s="331" t="s">
        <v>313</v>
      </c>
      <c r="D125" s="2" t="s">
        <v>322</v>
      </c>
      <c r="E125" s="273"/>
      <c r="F125" s="273"/>
      <c r="G125" s="273"/>
      <c r="H125" s="273"/>
      <c r="I125" s="304"/>
      <c r="J125" s="3"/>
      <c r="K125" s="303"/>
      <c r="L125" s="273"/>
      <c r="M125" s="273"/>
      <c r="N125" s="273"/>
      <c r="O125" s="273"/>
      <c r="P125" s="273"/>
      <c r="Q125" s="273"/>
      <c r="R125" s="304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</row>
    <row r="126" customFormat="false" ht="13.5" hidden="false" customHeight="false" outlineLevel="0" collapsed="false">
      <c r="A126" s="335"/>
      <c r="B126" s="336"/>
      <c r="C126" s="336"/>
      <c r="D126" s="336"/>
      <c r="E126" s="336"/>
      <c r="F126" s="336"/>
      <c r="G126" s="336"/>
      <c r="H126" s="336"/>
      <c r="I126" s="337"/>
      <c r="J126" s="3"/>
      <c r="K126" s="335"/>
      <c r="L126" s="336"/>
      <c r="M126" s="336"/>
      <c r="N126" s="336"/>
      <c r="O126" s="336"/>
      <c r="P126" s="336"/>
      <c r="Q126" s="336"/>
      <c r="R126" s="337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</row>
    <row r="127" customFormat="false" ht="12.75" hidden="false" customHeight="fals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</row>
    <row r="128" customFormat="false" ht="12.75" hidden="false" customHeight="fals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</row>
    <row r="129" customFormat="false" ht="12.75" hidden="false" customHeight="false" outlineLevel="0" collapsed="false">
      <c r="A129" s="3"/>
      <c r="B129" s="3"/>
      <c r="C129" s="3"/>
      <c r="D129" s="334"/>
      <c r="E129" s="3"/>
      <c r="F129" s="3"/>
      <c r="G129" s="159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</row>
    <row r="130" customFormat="false" ht="12.75" hidden="false" customHeight="fals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</row>
    <row r="131" customFormat="false" ht="12.75" hidden="false" customHeight="fals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</row>
    <row r="132" customFormat="false" ht="12.75" hidden="false" customHeight="false" outlineLevel="0" collapsed="false">
      <c r="A132" s="2"/>
      <c r="B132" s="48" t="s">
        <v>323</v>
      </c>
      <c r="C132" s="3"/>
      <c r="D132" s="3"/>
      <c r="E132" s="3"/>
      <c r="F132" s="3"/>
      <c r="G132" s="3"/>
      <c r="H132" s="3"/>
      <c r="I132" s="3"/>
      <c r="J132" s="3"/>
      <c r="K132" s="159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</row>
    <row r="133" customFormat="false" ht="12.75" hidden="false" customHeight="false" outlineLevel="0" collapsed="false">
      <c r="A133" s="2"/>
      <c r="B133" s="2" t="s">
        <v>324</v>
      </c>
      <c r="C133" s="3"/>
      <c r="D133" s="3"/>
      <c r="E133" s="3"/>
      <c r="F133" s="3"/>
      <c r="G133" s="3"/>
      <c r="H133" s="3"/>
      <c r="I133" s="220" t="n">
        <f aca="false">+Valuation!H85</f>
        <v>43.4373384107416</v>
      </c>
      <c r="J133" s="3"/>
      <c r="K133" s="159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</row>
    <row r="134" customFormat="false" ht="13.5" hidden="false" customHeight="false" outlineLevel="0" collapsed="false">
      <c r="A134" s="2"/>
      <c r="B134" s="2" t="s">
        <v>325</v>
      </c>
      <c r="C134" s="3"/>
      <c r="D134" s="3"/>
      <c r="E134" s="3"/>
      <c r="F134" s="3"/>
      <c r="G134" s="3"/>
      <c r="H134" s="3"/>
      <c r="I134" s="160" t="n">
        <f aca="false">+I51</f>
        <v>37.2423670454243</v>
      </c>
      <c r="J134" s="3"/>
      <c r="K134" s="159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</row>
    <row r="135" customFormat="false" ht="12.75" hidden="false" customHeight="false" outlineLevel="0" collapsed="false">
      <c r="A135" s="2"/>
      <c r="B135" s="2" t="s">
        <v>326</v>
      </c>
      <c r="C135" s="3"/>
      <c r="D135" s="3"/>
      <c r="E135" s="3"/>
      <c r="F135" s="3"/>
      <c r="G135" s="3"/>
      <c r="H135" s="3"/>
      <c r="I135" s="220" t="n">
        <f aca="false">+I133-I134</f>
        <v>6.19497136531726</v>
      </c>
      <c r="J135" s="3"/>
      <c r="K135" s="159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</row>
    <row r="136" customFormat="false" ht="13.5" hidden="false" customHeight="false" outlineLevel="0" collapsed="false">
      <c r="A136" s="2"/>
      <c r="B136" s="2" t="s">
        <v>49</v>
      </c>
      <c r="C136" s="3"/>
      <c r="D136" s="3"/>
      <c r="E136" s="3"/>
      <c r="F136" s="3"/>
      <c r="G136" s="3"/>
      <c r="H136" s="3"/>
      <c r="I136" s="114" t="n">
        <f aca="false">+I52</f>
        <v>1943668.8</v>
      </c>
      <c r="J136" s="3"/>
      <c r="K136" s="159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</row>
    <row r="137" customFormat="false" ht="13.5" hidden="false" customHeight="false" outlineLevel="0" collapsed="false">
      <c r="A137" s="2"/>
      <c r="B137" s="95" t="str">
        <f aca="false">CONCATENATE("NPV ",F26*100," of Cf to 2019")</f>
        <v>NPV 6 of Cf to 2019</v>
      </c>
      <c r="C137" s="3"/>
      <c r="D137" s="3"/>
      <c r="E137" s="3"/>
      <c r="F137" s="3"/>
      <c r="G137" s="3"/>
      <c r="H137" s="217" t="n">
        <f aca="false">SUMPRODUCT(I26:AA26,I137:AA137)</f>
        <v>134354.574493805</v>
      </c>
      <c r="I137" s="97" t="n">
        <f aca="false">+I135*I136/1000</f>
        <v>12040.9725596606</v>
      </c>
      <c r="J137" s="159" t="n">
        <f aca="false">+I137</f>
        <v>12040.9725596606</v>
      </c>
      <c r="K137" s="159" t="n">
        <f aca="false">+J137</f>
        <v>12040.9725596606</v>
      </c>
      <c r="L137" s="159" t="n">
        <f aca="false">+K137</f>
        <v>12040.9725596606</v>
      </c>
      <c r="M137" s="159" t="n">
        <f aca="false">+L137</f>
        <v>12040.9725596606</v>
      </c>
      <c r="N137" s="159" t="n">
        <f aca="false">+M137</f>
        <v>12040.9725596606</v>
      </c>
      <c r="O137" s="159" t="n">
        <f aca="false">+N137</f>
        <v>12040.9725596606</v>
      </c>
      <c r="P137" s="159" t="n">
        <f aca="false">+O137</f>
        <v>12040.9725596606</v>
      </c>
      <c r="Q137" s="159" t="n">
        <f aca="false">+P137</f>
        <v>12040.9725596606</v>
      </c>
      <c r="R137" s="159" t="n">
        <f aca="false">+Q137</f>
        <v>12040.9725596606</v>
      </c>
      <c r="S137" s="159" t="n">
        <f aca="false">+R137</f>
        <v>12040.9725596606</v>
      </c>
      <c r="T137" s="159" t="n">
        <f aca="false">+S137</f>
        <v>12040.9725596606</v>
      </c>
      <c r="U137" s="159" t="n">
        <f aca="false">+T137</f>
        <v>12040.9725596606</v>
      </c>
      <c r="V137" s="159" t="n">
        <f aca="false">+U137</f>
        <v>12040.9725596606</v>
      </c>
      <c r="W137" s="159" t="n">
        <f aca="false">+V137</f>
        <v>12040.9725596606</v>
      </c>
      <c r="X137" s="159" t="n">
        <f aca="false">+W137</f>
        <v>12040.9725596606</v>
      </c>
      <c r="Y137" s="159" t="n">
        <f aca="false">+X137</f>
        <v>12040.9725596606</v>
      </c>
      <c r="Z137" s="159" t="n">
        <f aca="false">+Y137</f>
        <v>12040.9725596606</v>
      </c>
      <c r="AA137" s="159" t="n">
        <f aca="false">+Z137</f>
        <v>12040.9725596606</v>
      </c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</row>
    <row r="138" customFormat="false" ht="12.75" hidden="false" customHeight="false" outlineLevel="0" collapsed="false">
      <c r="A138" s="2"/>
      <c r="B138" s="48" t="s">
        <v>149</v>
      </c>
      <c r="C138" s="3"/>
      <c r="D138" s="3"/>
      <c r="E138" s="3"/>
      <c r="F138" s="3"/>
      <c r="G138" s="3"/>
      <c r="H138" s="159" t="n">
        <f aca="false">+G97</f>
        <v>145482</v>
      </c>
      <c r="I138" s="3"/>
      <c r="J138" s="3"/>
      <c r="K138" s="159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</row>
    <row r="139" customFormat="false" ht="12.75" hidden="false" customHeight="false" outlineLevel="0" collapsed="false">
      <c r="A139" s="3"/>
      <c r="B139" s="48" t="s">
        <v>327</v>
      </c>
      <c r="C139" s="3"/>
      <c r="D139" s="3"/>
      <c r="E139" s="3"/>
      <c r="F139" s="3"/>
      <c r="G139" s="3"/>
      <c r="H139" s="159" t="n">
        <f aca="false">SUM(H137:H138)</f>
        <v>279836.574493805</v>
      </c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</row>
    <row r="140" customFormat="false" ht="12.75" hidden="false" customHeight="false" outlineLevel="0" collapsed="false">
      <c r="A140" s="3"/>
      <c r="B140" s="2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</row>
    <row r="141" customFormat="false" ht="12.75" hidden="false" customHeight="false" outlineLevel="0" collapsed="false">
      <c r="A141" s="3"/>
      <c r="B141" s="2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</row>
    <row r="142" customFormat="false" ht="12.75" hidden="false" customHeight="false" outlineLevel="0" collapsed="false">
      <c r="A142" s="3"/>
      <c r="B142" s="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</row>
    <row r="143" customFormat="false" ht="12.75" hidden="false" customHeight="fals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</row>
    <row r="144" customFormat="false" ht="12.75" hidden="false" customHeight="fals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</row>
    <row r="145" customFormat="false" ht="12.75" hidden="false" customHeight="fals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</row>
    <row r="146" customFormat="false" ht="12.75" hidden="false" customHeight="fals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</row>
    <row r="147" customFormat="false" ht="12.75" hidden="false" customHeight="fals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</row>
    <row r="148" customFormat="false" ht="12.75" hidden="false" customHeight="fals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</row>
    <row r="149" customFormat="false" ht="12.75" hidden="false" customHeight="fals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</row>
    <row r="150" customFormat="false" ht="12.75" hidden="false" customHeight="fals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</row>
    <row r="151" customFormat="false" ht="12.75" hidden="false" customHeight="fals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</row>
    <row r="152" customFormat="false" ht="12.75" hidden="false" customHeight="fals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</row>
    <row r="153" customFormat="false" ht="12.75" hidden="false" customHeight="fals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</row>
    <row r="154" customFormat="false" ht="12.75" hidden="false" customHeight="fals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</row>
    <row r="155" customFormat="false" ht="12.75" hidden="false" customHeight="fals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</row>
    <row r="156" customFormat="false" ht="12.75" hidden="false" customHeight="fals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</row>
    <row r="157" customFormat="false" ht="12.75" hidden="false" customHeight="fals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</row>
    <row r="158" customFormat="false" ht="12.75" hidden="false" customHeight="fals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</row>
    <row r="159" customFormat="false" ht="12.75" hidden="false" customHeight="fals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</row>
    <row r="160" customFormat="false" ht="12.75" hidden="false" customHeight="fals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</row>
    <row r="161" customFormat="false" ht="12.75" hidden="false" customHeight="fals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</row>
    <row r="162" customFormat="false" ht="12.75" hidden="false" customHeight="fals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</row>
    <row r="163" customFormat="false" ht="12.75" hidden="false" customHeight="fals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</row>
    <row r="164" customFormat="false" ht="12.75" hidden="false" customHeight="fals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</row>
    <row r="165" customFormat="false" ht="12.75" hidden="false" customHeight="fals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</row>
    <row r="166" customFormat="false" ht="12.75" hidden="false" customHeight="fals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</row>
    <row r="167" customFormat="false" ht="12.75" hidden="false" customHeight="fals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</row>
    <row r="168" customFormat="false" ht="12.75" hidden="false" customHeight="fals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</row>
    <row r="169" customFormat="false" ht="12.75" hidden="false" customHeight="fals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</row>
    <row r="170" customFormat="false" ht="12.75" hidden="false" customHeight="fals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</row>
    <row r="171" customFormat="false" ht="12.75" hidden="false" customHeight="fals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</row>
    <row r="172" customFormat="false" ht="12.75" hidden="false" customHeight="fals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</row>
    <row r="173" customFormat="false" ht="12.75" hidden="false" customHeight="fals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</row>
    <row r="174" customFormat="false" ht="12.75" hidden="false" customHeight="fals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</row>
    <row r="175" customFormat="false" ht="12.75" hidden="false" customHeight="fals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</row>
    <row r="176" customFormat="false" ht="12.75" hidden="false" customHeight="fals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</row>
    <row r="177" customFormat="false" ht="12.75" hidden="false" customHeight="fals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</row>
    <row r="178" customFormat="false" ht="12.75" hidden="false" customHeight="fals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</row>
    <row r="179" customFormat="false" ht="12.75" hidden="false" customHeight="fals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</row>
    <row r="180" customFormat="false" ht="12.75" hidden="false" customHeight="fals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</row>
    <row r="181" customFormat="false" ht="12.75" hidden="false" customHeight="fals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</row>
    <row r="182" customFormat="false" ht="12.75" hidden="false" customHeight="fals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</row>
    <row r="183" customFormat="false" ht="12.75" hidden="false" customHeight="fals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</row>
    <row r="184" customFormat="false" ht="12.75" hidden="false" customHeight="fals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</row>
    <row r="185" customFormat="false" ht="12.75" hidden="false" customHeight="fals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</row>
    <row r="186" customFormat="false" ht="12.75" hidden="false" customHeight="fals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</row>
    <row r="187" customFormat="false" ht="12.75" hidden="false" customHeight="fals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</row>
    <row r="188" customFormat="false" ht="12.75" hidden="false" customHeight="fals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</row>
    <row r="189" customFormat="false" ht="12.75" hidden="false" customHeight="fals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</row>
    <row r="190" customFormat="false" ht="12.75" hidden="false" customHeight="fals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</row>
    <row r="191" customFormat="false" ht="12.75" hidden="false" customHeight="fals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</row>
    <row r="192" customFormat="false" ht="12.75" hidden="false" customHeight="fals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</row>
    <row r="193" customFormat="false" ht="12.75" hidden="false" customHeight="fals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</row>
    <row r="194" customFormat="false" ht="12.75" hidden="false" customHeight="fals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</row>
    <row r="195" customFormat="false" ht="12.75" hidden="false" customHeight="fals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</row>
    <row r="196" customFormat="false" ht="12.75" hidden="false" customHeight="fals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</row>
    <row r="197" customFormat="false" ht="12.75" hidden="false" customHeight="fals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</row>
    <row r="198" customFormat="false" ht="12.75" hidden="false" customHeight="fals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</row>
    <row r="199" customFormat="false" ht="12.75" hidden="false" customHeight="fals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</row>
    <row r="200" customFormat="false" ht="12.75" hidden="false" customHeight="fals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</row>
    <row r="201" customFormat="false" ht="12.75" hidden="false" customHeight="fals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</row>
    <row r="202" customFormat="false" ht="12.75" hidden="false" customHeight="fals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</row>
    <row r="203" customFormat="false" ht="12.75" hidden="false" customHeight="fals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</row>
    <row r="204" customFormat="false" ht="12.75" hidden="false" customHeight="fals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</row>
    <row r="205" customFormat="false" ht="12.75" hidden="false" customHeight="fals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</row>
    <row r="206" customFormat="false" ht="12.75" hidden="false" customHeight="fals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</row>
    <row r="207" customFormat="false" ht="12.75" hidden="false" customHeight="fals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</row>
    <row r="208" customFormat="false" ht="12.75" hidden="false" customHeight="fals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</row>
    <row r="209" customFormat="false" ht="12.75" hidden="false" customHeight="fals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</row>
    <row r="210" customFormat="false" ht="12.75" hidden="false" customHeight="fals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</row>
    <row r="211" customFormat="false" ht="12.75" hidden="false" customHeight="fals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</row>
    <row r="212" customFormat="false" ht="12.75" hidden="false" customHeight="fals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</row>
    <row r="213" customFormat="false" ht="12.75" hidden="false" customHeight="fals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</row>
    <row r="214" customFormat="false" ht="12.75" hidden="false" customHeight="fals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</row>
    <row r="215" customFormat="false" ht="12.75" hidden="false" customHeight="fals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</row>
    <row r="216" customFormat="false" ht="12.75" hidden="false" customHeight="fals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</row>
    <row r="217" customFormat="false" ht="12.75" hidden="false" customHeight="fals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</row>
    <row r="218" customFormat="false" ht="12.75" hidden="false" customHeight="fals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</row>
    <row r="219" customFormat="false" ht="12.75" hidden="false" customHeight="fals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</row>
    <row r="220" customFormat="false" ht="12.75" hidden="false" customHeight="fals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</row>
    <row r="221" customFormat="false" ht="12.75" hidden="false" customHeight="fals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</row>
    <row r="222" customFormat="false" ht="12.75" hidden="false" customHeight="fals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</row>
    <row r="223" customFormat="false" ht="12.75" hidden="false" customHeight="fals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</row>
    <row r="224" customFormat="false" ht="12.75" hidden="false" customHeight="fals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</row>
    <row r="225" customFormat="false" ht="12.75" hidden="false" customHeight="fals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</row>
    <row r="226" customFormat="false" ht="12.75" hidden="false" customHeight="fals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</row>
    <row r="227" customFormat="false" ht="12.75" hidden="false" customHeight="fals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</row>
    <row r="228" customFormat="false" ht="12.75" hidden="false" customHeight="fals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</row>
    <row r="229" customFormat="false" ht="12.75" hidden="false" customHeight="fals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</row>
    <row r="230" customFormat="false" ht="12.75" hidden="false" customHeight="fals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</row>
    <row r="231" customFormat="false" ht="12.75" hidden="false" customHeight="fals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</row>
    <row r="232" customFormat="false" ht="12.75" hidden="false" customHeight="fals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</row>
    <row r="233" customFormat="false" ht="12.75" hidden="false" customHeight="fals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</row>
    <row r="234" customFormat="false" ht="12.75" hidden="false" customHeight="fals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</row>
    <row r="235" customFormat="false" ht="12.75" hidden="false" customHeight="fals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</row>
    <row r="236" customFormat="false" ht="12.75" hidden="false" customHeight="fals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</row>
    <row r="237" customFormat="false" ht="12.75" hidden="false" customHeight="fals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</row>
    <row r="238" customFormat="false" ht="12.75" hidden="false" customHeight="fals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</row>
    <row r="239" customFormat="false" ht="12.75" hidden="false" customHeight="fals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</row>
    <row r="240" customFormat="false" ht="12.75" hidden="false" customHeight="fals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</row>
    <row r="241" customFormat="false" ht="12.75" hidden="false" customHeight="fals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</row>
    <row r="242" customFormat="false" ht="12.75" hidden="false" customHeight="fals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</row>
    <row r="243" customFormat="false" ht="12.75" hidden="false" customHeight="fals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</row>
    <row r="244" customFormat="false" ht="12.75" hidden="false" customHeight="fals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</row>
    <row r="245" customFormat="false" ht="12.75" hidden="false" customHeight="fals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</row>
    <row r="246" customFormat="false" ht="12.75" hidden="false" customHeight="fals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</row>
    <row r="247" customFormat="false" ht="12.75" hidden="false" customHeight="fals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</row>
    <row r="248" customFormat="false" ht="12.75" hidden="false" customHeight="fals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</row>
    <row r="249" customFormat="false" ht="12.75" hidden="false" customHeight="fals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</row>
    <row r="250" customFormat="false" ht="12.75" hidden="false" customHeight="fals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</row>
    <row r="251" customFormat="false" ht="12.75" hidden="false" customHeight="fals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</row>
    <row r="252" customFormat="false" ht="12.75" hidden="false" customHeight="fals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</row>
    <row r="253" customFormat="false" ht="12.75" hidden="false" customHeight="false" outlineLevel="0" collapsed="false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</row>
  </sheetData>
  <mergeCells count="5">
    <mergeCell ref="A6:Z6"/>
    <mergeCell ref="A89:I89"/>
    <mergeCell ref="K89:R89"/>
    <mergeCell ref="A90:I90"/>
    <mergeCell ref="K90:R90"/>
  </mergeCells>
  <printOptions headings="false" gridLines="false" gridLinesSet="true" horizontalCentered="true" verticalCentered="false"/>
  <pageMargins left="0" right="0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3" activeCellId="0" sqref="A3:IV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38" width="6.28"/>
    <col collapsed="false" customWidth="true" hidden="false" outlineLevel="0" max="9" min="2" style="338" width="11.7"/>
    <col collapsed="false" customWidth="false" hidden="false" outlineLevel="0" max="257" min="10" style="338" width="9.14"/>
  </cols>
  <sheetData>
    <row r="1" customFormat="false" ht="18.75" hidden="false" customHeight="false" outlineLevel="0" collapsed="false">
      <c r="A1" s="1" t="s">
        <v>0</v>
      </c>
      <c r="B1" s="2"/>
      <c r="C1" s="3"/>
      <c r="D1" s="3"/>
      <c r="E1" s="3"/>
      <c r="F1" s="3"/>
      <c r="G1" s="3"/>
      <c r="H1" s="3"/>
      <c r="I1" s="4" t="s">
        <v>1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</row>
    <row r="2" customFormat="false" ht="18.75" hidden="false" customHeight="true" outlineLevel="0" collapsed="false">
      <c r="A2" s="6" t="s">
        <v>328</v>
      </c>
      <c r="B2" s="6"/>
      <c r="C2" s="7"/>
      <c r="D2" s="7"/>
      <c r="E2" s="7"/>
      <c r="F2" s="7"/>
      <c r="G2" s="7"/>
      <c r="H2" s="7"/>
      <c r="I2" s="8" t="s">
        <v>3</v>
      </c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</row>
    <row r="3" customFormat="false" ht="12" hidden="false" customHeight="false" outlineLevel="0" collapsed="false">
      <c r="A3" s="339"/>
      <c r="B3" s="339"/>
      <c r="C3" s="339"/>
      <c r="D3" s="339"/>
      <c r="E3" s="339"/>
      <c r="F3" s="339"/>
      <c r="G3" s="339"/>
      <c r="H3" s="339"/>
      <c r="I3" s="339"/>
      <c r="J3" s="339"/>
      <c r="K3" s="339"/>
      <c r="L3" s="339"/>
      <c r="M3" s="339"/>
      <c r="N3" s="339"/>
      <c r="O3" s="339"/>
      <c r="P3" s="339"/>
      <c r="Q3" s="339"/>
      <c r="R3" s="339"/>
      <c r="S3" s="339"/>
      <c r="T3" s="339"/>
      <c r="U3" s="339"/>
      <c r="V3" s="339"/>
      <c r="W3" s="339"/>
      <c r="X3" s="339"/>
      <c r="Y3" s="339"/>
      <c r="Z3" s="339"/>
      <c r="AA3" s="339"/>
      <c r="AB3" s="339"/>
      <c r="AC3" s="339"/>
      <c r="AD3" s="339"/>
      <c r="AE3" s="339"/>
      <c r="AF3" s="339"/>
      <c r="AG3" s="339"/>
      <c r="AH3" s="339"/>
      <c r="AI3" s="339"/>
      <c r="AJ3" s="339"/>
      <c r="AK3" s="339"/>
      <c r="AL3" s="339"/>
      <c r="AM3" s="339"/>
      <c r="AN3" s="339"/>
      <c r="AO3" s="339"/>
      <c r="AP3" s="339"/>
      <c r="AQ3" s="339"/>
      <c r="AR3" s="339"/>
      <c r="AS3" s="339"/>
      <c r="AT3" s="339"/>
      <c r="AU3" s="339"/>
      <c r="AV3" s="339"/>
      <c r="AW3" s="339"/>
      <c r="AX3" s="339"/>
      <c r="AY3" s="339"/>
      <c r="AZ3" s="339"/>
      <c r="BA3" s="339"/>
      <c r="BB3" s="339"/>
      <c r="BC3" s="339"/>
      <c r="BD3" s="339"/>
      <c r="BE3" s="339"/>
      <c r="BF3" s="339"/>
      <c r="BG3" s="339"/>
      <c r="BH3" s="339"/>
      <c r="BI3" s="339"/>
      <c r="BJ3" s="339"/>
      <c r="BK3" s="339"/>
      <c r="BL3" s="339"/>
      <c r="BM3" s="339"/>
      <c r="BN3" s="339"/>
      <c r="BO3" s="339"/>
      <c r="BP3" s="339"/>
      <c r="BQ3" s="339"/>
      <c r="BR3" s="339"/>
      <c r="BS3" s="339"/>
      <c r="BT3" s="339"/>
      <c r="BU3" s="339"/>
      <c r="BV3" s="339"/>
      <c r="BW3" s="339"/>
      <c r="BX3" s="339"/>
      <c r="BY3" s="339"/>
      <c r="BZ3" s="339"/>
      <c r="CA3" s="339"/>
      <c r="CB3" s="339"/>
      <c r="CC3" s="339"/>
      <c r="CD3" s="339"/>
      <c r="CE3" s="339"/>
      <c r="CF3" s="339"/>
      <c r="CG3" s="339"/>
      <c r="CH3" s="339"/>
      <c r="CI3" s="339"/>
      <c r="CJ3" s="339"/>
      <c r="CK3" s="339"/>
      <c r="CL3" s="339"/>
      <c r="CM3" s="339"/>
      <c r="CN3" s="339"/>
      <c r="CO3" s="339"/>
      <c r="CP3" s="339"/>
      <c r="CQ3" s="339"/>
      <c r="CR3" s="339"/>
      <c r="CS3" s="339"/>
      <c r="CT3" s="339"/>
      <c r="CU3" s="339"/>
      <c r="CV3" s="339"/>
      <c r="CW3" s="339"/>
      <c r="CX3" s="339"/>
      <c r="CY3" s="339"/>
      <c r="CZ3" s="339"/>
      <c r="DA3" s="339"/>
      <c r="DB3" s="339"/>
      <c r="DC3" s="339"/>
      <c r="DD3" s="339"/>
      <c r="DE3" s="339"/>
      <c r="DF3" s="339"/>
      <c r="DG3" s="339"/>
      <c r="DH3" s="339"/>
      <c r="DI3" s="339"/>
      <c r="DJ3" s="339"/>
      <c r="DK3" s="339"/>
      <c r="DL3" s="339"/>
      <c r="DM3" s="339"/>
      <c r="DN3" s="339"/>
      <c r="DO3" s="339"/>
      <c r="DP3" s="339"/>
      <c r="DQ3" s="339"/>
      <c r="DR3" s="339"/>
      <c r="DS3" s="339"/>
      <c r="DT3" s="339"/>
      <c r="DU3" s="339"/>
      <c r="DV3" s="339"/>
      <c r="DW3" s="339"/>
      <c r="DX3" s="339"/>
      <c r="DY3" s="339"/>
      <c r="DZ3" s="339"/>
      <c r="EA3" s="339"/>
      <c r="EB3" s="339"/>
      <c r="EC3" s="339"/>
      <c r="ED3" s="339"/>
      <c r="EE3" s="339"/>
      <c r="EF3" s="339"/>
      <c r="EG3" s="339"/>
      <c r="EH3" s="339"/>
      <c r="EI3" s="339"/>
      <c r="EJ3" s="339"/>
      <c r="EK3" s="339"/>
      <c r="EL3" s="339"/>
      <c r="EM3" s="339"/>
      <c r="EN3" s="339"/>
      <c r="EO3" s="339"/>
      <c r="EP3" s="339"/>
      <c r="EQ3" s="339"/>
      <c r="ER3" s="339"/>
      <c r="ES3" s="339"/>
      <c r="ET3" s="339"/>
      <c r="EU3" s="339"/>
      <c r="EV3" s="339"/>
      <c r="EW3" s="339"/>
      <c r="EX3" s="339"/>
      <c r="EY3" s="339"/>
      <c r="EZ3" s="339"/>
      <c r="FA3" s="339"/>
      <c r="FB3" s="339"/>
      <c r="FC3" s="339"/>
      <c r="FD3" s="339"/>
      <c r="FE3" s="339"/>
      <c r="FF3" s="339"/>
      <c r="FG3" s="339"/>
      <c r="FH3" s="339"/>
      <c r="FI3" s="339"/>
      <c r="FJ3" s="339"/>
      <c r="FK3" s="339"/>
      <c r="FL3" s="339"/>
      <c r="FM3" s="339"/>
      <c r="FN3" s="339"/>
      <c r="FO3" s="339"/>
      <c r="FP3" s="339"/>
      <c r="FQ3" s="339"/>
      <c r="FR3" s="339"/>
      <c r="FS3" s="339"/>
      <c r="FT3" s="339"/>
      <c r="FU3" s="339"/>
      <c r="FV3" s="339"/>
      <c r="FW3" s="339"/>
      <c r="FX3" s="339"/>
      <c r="FY3" s="339"/>
      <c r="FZ3" s="339"/>
      <c r="GA3" s="339"/>
      <c r="GB3" s="339"/>
      <c r="GC3" s="339"/>
      <c r="GD3" s="339"/>
      <c r="GE3" s="339"/>
      <c r="GF3" s="339"/>
      <c r="GG3" s="339"/>
      <c r="GH3" s="339"/>
      <c r="GI3" s="339"/>
      <c r="GJ3" s="339"/>
      <c r="GK3" s="339"/>
      <c r="GL3" s="339"/>
      <c r="GM3" s="339"/>
      <c r="GN3" s="339"/>
      <c r="GO3" s="339"/>
      <c r="GP3" s="339"/>
      <c r="GQ3" s="339"/>
      <c r="GR3" s="339"/>
      <c r="GS3" s="339"/>
      <c r="GT3" s="339"/>
      <c r="GU3" s="339"/>
      <c r="GV3" s="339"/>
      <c r="GW3" s="339"/>
      <c r="GX3" s="339"/>
      <c r="GY3" s="339"/>
      <c r="GZ3" s="339"/>
      <c r="HA3" s="339"/>
      <c r="HB3" s="339"/>
      <c r="HC3" s="339"/>
      <c r="HD3" s="339"/>
      <c r="HE3" s="339"/>
      <c r="HF3" s="339"/>
      <c r="HG3" s="339"/>
      <c r="HH3" s="339"/>
      <c r="HI3" s="339"/>
      <c r="HJ3" s="339"/>
      <c r="HK3" s="339"/>
      <c r="HL3" s="339"/>
      <c r="HM3" s="339"/>
      <c r="HN3" s="339"/>
      <c r="HO3" s="339"/>
      <c r="HP3" s="339"/>
      <c r="HQ3" s="339"/>
      <c r="HR3" s="339"/>
      <c r="HS3" s="339"/>
      <c r="HT3" s="339"/>
      <c r="HU3" s="339"/>
      <c r="HV3" s="339"/>
      <c r="HW3" s="339"/>
      <c r="HX3" s="339"/>
      <c r="HY3" s="339"/>
      <c r="HZ3" s="339"/>
      <c r="IA3" s="339"/>
      <c r="IB3" s="339"/>
      <c r="IC3" s="339"/>
      <c r="ID3" s="339"/>
      <c r="IE3" s="339"/>
      <c r="IF3" s="339"/>
      <c r="IG3" s="339"/>
      <c r="IH3" s="339"/>
      <c r="II3" s="339"/>
      <c r="IJ3" s="339"/>
      <c r="IK3" s="339"/>
      <c r="IL3" s="339"/>
      <c r="IM3" s="339"/>
      <c r="IN3" s="339"/>
      <c r="IO3" s="339"/>
      <c r="IP3" s="339"/>
      <c r="IQ3" s="339"/>
      <c r="IR3" s="339"/>
      <c r="IS3" s="339"/>
      <c r="IT3" s="339"/>
      <c r="IU3" s="339"/>
      <c r="IV3" s="339"/>
      <c r="IW3" s="339"/>
    </row>
    <row r="4" customFormat="false" ht="12.75" hidden="false" customHeight="false" outlineLevel="0" collapsed="false"/>
    <row r="5" customFormat="false" ht="53.25" hidden="false" customHeight="true" outlineLevel="0" collapsed="false">
      <c r="A5" s="340" t="s">
        <v>329</v>
      </c>
      <c r="B5" s="341" t="s">
        <v>330</v>
      </c>
      <c r="C5" s="341" t="s">
        <v>331</v>
      </c>
      <c r="D5" s="341" t="s">
        <v>332</v>
      </c>
      <c r="E5" s="341" t="s">
        <v>333</v>
      </c>
      <c r="F5" s="341" t="s">
        <v>334</v>
      </c>
      <c r="G5" s="341" t="s">
        <v>335</v>
      </c>
      <c r="H5" s="341" t="s">
        <v>336</v>
      </c>
      <c r="I5" s="342" t="s">
        <v>337</v>
      </c>
      <c r="J5" s="343"/>
      <c r="K5" s="343"/>
      <c r="L5" s="343"/>
      <c r="M5" s="343"/>
      <c r="N5" s="343"/>
      <c r="O5" s="343"/>
      <c r="P5" s="343"/>
      <c r="Q5" s="343"/>
      <c r="R5" s="343"/>
      <c r="S5" s="343"/>
      <c r="T5" s="343"/>
      <c r="U5" s="343"/>
      <c r="V5" s="343"/>
      <c r="W5" s="343"/>
      <c r="X5" s="343"/>
      <c r="Y5" s="343"/>
      <c r="Z5" s="343"/>
      <c r="AA5" s="343"/>
      <c r="AB5" s="343"/>
      <c r="AC5" s="343"/>
      <c r="AD5" s="343"/>
      <c r="AE5" s="343"/>
      <c r="AF5" s="343"/>
      <c r="AG5" s="343"/>
      <c r="AH5" s="343"/>
      <c r="AI5" s="343"/>
      <c r="AJ5" s="343"/>
      <c r="AK5" s="343"/>
      <c r="AL5" s="343"/>
      <c r="AM5" s="343"/>
      <c r="AN5" s="343"/>
      <c r="AO5" s="343"/>
      <c r="AP5" s="343"/>
      <c r="AQ5" s="343"/>
      <c r="AR5" s="343"/>
      <c r="AS5" s="343"/>
      <c r="AT5" s="343"/>
      <c r="AU5" s="343"/>
      <c r="AV5" s="343"/>
      <c r="AW5" s="343"/>
      <c r="AX5" s="343"/>
      <c r="AY5" s="343"/>
      <c r="AZ5" s="343"/>
      <c r="BA5" s="343"/>
      <c r="BB5" s="343"/>
      <c r="BC5" s="343"/>
      <c r="BD5" s="343"/>
      <c r="BE5" s="343"/>
      <c r="BF5" s="343"/>
      <c r="BG5" s="343"/>
      <c r="BH5" s="343"/>
      <c r="BI5" s="343"/>
      <c r="BJ5" s="343"/>
      <c r="BK5" s="343"/>
      <c r="BL5" s="343"/>
      <c r="BM5" s="343"/>
      <c r="BN5" s="343"/>
      <c r="BO5" s="343"/>
      <c r="BP5" s="343"/>
      <c r="BQ5" s="343"/>
      <c r="BR5" s="343"/>
      <c r="BS5" s="343"/>
      <c r="BT5" s="343"/>
      <c r="BU5" s="343"/>
      <c r="BV5" s="343"/>
      <c r="BW5" s="343"/>
      <c r="BX5" s="343"/>
      <c r="BY5" s="343"/>
      <c r="BZ5" s="343"/>
      <c r="CA5" s="343"/>
      <c r="CB5" s="343"/>
      <c r="CC5" s="343"/>
      <c r="CD5" s="343"/>
      <c r="CE5" s="343"/>
      <c r="CF5" s="343"/>
      <c r="CG5" s="343"/>
      <c r="CH5" s="343"/>
      <c r="CI5" s="343"/>
      <c r="CJ5" s="343"/>
      <c r="CK5" s="343"/>
      <c r="CL5" s="343"/>
      <c r="CM5" s="343"/>
      <c r="CN5" s="343"/>
      <c r="CO5" s="343"/>
      <c r="CP5" s="343"/>
      <c r="CQ5" s="343"/>
      <c r="CR5" s="343"/>
      <c r="CS5" s="343"/>
      <c r="CT5" s="343"/>
      <c r="CU5" s="343"/>
      <c r="CV5" s="343"/>
      <c r="CW5" s="343"/>
      <c r="CX5" s="343"/>
      <c r="CY5" s="343"/>
      <c r="CZ5" s="343"/>
      <c r="DA5" s="343"/>
      <c r="DB5" s="343"/>
      <c r="DC5" s="343"/>
      <c r="DD5" s="343"/>
      <c r="DE5" s="343"/>
      <c r="DF5" s="343"/>
      <c r="DG5" s="343"/>
      <c r="DH5" s="343"/>
      <c r="DI5" s="343"/>
      <c r="DJ5" s="343"/>
      <c r="DK5" s="343"/>
      <c r="DL5" s="343"/>
      <c r="DM5" s="343"/>
      <c r="DN5" s="343"/>
      <c r="DO5" s="343"/>
      <c r="DP5" s="343"/>
      <c r="DQ5" s="343"/>
      <c r="DR5" s="343"/>
      <c r="DS5" s="343"/>
      <c r="DT5" s="343"/>
      <c r="DU5" s="343"/>
      <c r="DV5" s="343"/>
      <c r="DW5" s="343"/>
      <c r="DX5" s="343"/>
      <c r="DY5" s="343"/>
      <c r="DZ5" s="343"/>
      <c r="EA5" s="343"/>
      <c r="EB5" s="343"/>
      <c r="EC5" s="343"/>
      <c r="ED5" s="343"/>
      <c r="EE5" s="343"/>
      <c r="EF5" s="343"/>
      <c r="EG5" s="343"/>
      <c r="EH5" s="343"/>
      <c r="EI5" s="343"/>
      <c r="EJ5" s="343"/>
      <c r="EK5" s="343"/>
      <c r="EL5" s="343"/>
      <c r="EM5" s="343"/>
      <c r="EN5" s="343"/>
      <c r="EO5" s="343"/>
      <c r="EP5" s="343"/>
      <c r="EQ5" s="343"/>
      <c r="ER5" s="343"/>
      <c r="ES5" s="343"/>
      <c r="ET5" s="343"/>
      <c r="EU5" s="343"/>
      <c r="EV5" s="343"/>
      <c r="EW5" s="343"/>
      <c r="EX5" s="343"/>
      <c r="EY5" s="343"/>
      <c r="EZ5" s="343"/>
      <c r="FA5" s="343"/>
      <c r="FB5" s="343"/>
      <c r="FC5" s="343"/>
      <c r="FD5" s="343"/>
      <c r="FE5" s="343"/>
      <c r="FF5" s="343"/>
      <c r="FG5" s="343"/>
      <c r="FH5" s="343"/>
      <c r="FI5" s="343"/>
      <c r="FJ5" s="343"/>
      <c r="FK5" s="343"/>
      <c r="FL5" s="343"/>
      <c r="FM5" s="343"/>
      <c r="FN5" s="343"/>
      <c r="FO5" s="343"/>
      <c r="FP5" s="343"/>
      <c r="FQ5" s="343"/>
      <c r="FR5" s="343"/>
      <c r="FS5" s="343"/>
      <c r="FT5" s="343"/>
      <c r="FU5" s="343"/>
      <c r="FV5" s="343"/>
      <c r="FW5" s="343"/>
      <c r="FX5" s="343"/>
      <c r="FY5" s="343"/>
      <c r="FZ5" s="343"/>
      <c r="GA5" s="343"/>
      <c r="GB5" s="343"/>
      <c r="GC5" s="343"/>
      <c r="GD5" s="343"/>
      <c r="GE5" s="343"/>
      <c r="GF5" s="343"/>
      <c r="GG5" s="343"/>
      <c r="GH5" s="343"/>
      <c r="GI5" s="343"/>
      <c r="GJ5" s="343"/>
      <c r="GK5" s="343"/>
      <c r="GL5" s="343"/>
      <c r="GM5" s="343"/>
      <c r="GN5" s="343"/>
      <c r="GO5" s="343"/>
      <c r="GP5" s="343"/>
      <c r="GQ5" s="343"/>
      <c r="GR5" s="343"/>
      <c r="GS5" s="343"/>
      <c r="GT5" s="343"/>
      <c r="GU5" s="343"/>
      <c r="GV5" s="343"/>
      <c r="GW5" s="343"/>
      <c r="GX5" s="343"/>
      <c r="GY5" s="343"/>
      <c r="GZ5" s="343"/>
      <c r="HA5" s="343"/>
      <c r="HB5" s="343"/>
      <c r="HC5" s="343"/>
      <c r="HD5" s="343"/>
      <c r="HE5" s="343"/>
      <c r="HF5" s="343"/>
      <c r="HG5" s="343"/>
      <c r="HH5" s="343"/>
      <c r="HI5" s="343"/>
      <c r="HJ5" s="343"/>
      <c r="HK5" s="343"/>
      <c r="HL5" s="343"/>
      <c r="HM5" s="343"/>
      <c r="HN5" s="343"/>
      <c r="HO5" s="343"/>
      <c r="HP5" s="343"/>
      <c r="HQ5" s="343"/>
      <c r="HR5" s="343"/>
      <c r="HS5" s="343"/>
      <c r="HT5" s="343"/>
      <c r="HU5" s="343"/>
      <c r="HV5" s="343"/>
      <c r="HW5" s="343"/>
      <c r="HX5" s="343"/>
      <c r="HY5" s="343"/>
      <c r="HZ5" s="343"/>
      <c r="IA5" s="343"/>
      <c r="IB5" s="343"/>
      <c r="IC5" s="343"/>
      <c r="ID5" s="343"/>
      <c r="IE5" s="343"/>
      <c r="IF5" s="343"/>
      <c r="IG5" s="343"/>
      <c r="IH5" s="343"/>
      <c r="II5" s="343"/>
      <c r="IJ5" s="343"/>
      <c r="IK5" s="343"/>
      <c r="IL5" s="343"/>
      <c r="IM5" s="343"/>
      <c r="IN5" s="343"/>
      <c r="IO5" s="343"/>
      <c r="IP5" s="343"/>
      <c r="IQ5" s="343"/>
      <c r="IR5" s="343"/>
      <c r="IS5" s="343"/>
      <c r="IT5" s="343"/>
      <c r="IU5" s="343"/>
      <c r="IV5" s="343"/>
      <c r="IW5" s="343"/>
    </row>
    <row r="6" customFormat="false" ht="13.5" hidden="false" customHeight="true" outlineLevel="0" collapsed="false">
      <c r="A6" s="344"/>
      <c r="B6" s="345"/>
      <c r="C6" s="345"/>
      <c r="D6" s="345"/>
      <c r="E6" s="345"/>
      <c r="F6" s="346"/>
      <c r="G6" s="346"/>
      <c r="H6" s="346"/>
      <c r="I6" s="347"/>
      <c r="J6" s="348"/>
      <c r="K6" s="348"/>
      <c r="L6" s="348"/>
      <c r="M6" s="348"/>
      <c r="N6" s="348"/>
      <c r="O6" s="348"/>
      <c r="P6" s="348"/>
      <c r="Q6" s="348"/>
      <c r="R6" s="348"/>
      <c r="S6" s="348"/>
      <c r="T6" s="348"/>
      <c r="U6" s="348"/>
      <c r="V6" s="348"/>
      <c r="W6" s="348"/>
      <c r="X6" s="348"/>
      <c r="Y6" s="348"/>
      <c r="Z6" s="348"/>
      <c r="AA6" s="348"/>
      <c r="AB6" s="348"/>
      <c r="AC6" s="348"/>
      <c r="AD6" s="348"/>
      <c r="AE6" s="348"/>
      <c r="AF6" s="348"/>
      <c r="AG6" s="348"/>
      <c r="AH6" s="348"/>
      <c r="AI6" s="348"/>
      <c r="AJ6" s="348"/>
      <c r="AK6" s="348"/>
      <c r="AL6" s="348"/>
      <c r="AM6" s="348"/>
      <c r="AN6" s="348"/>
      <c r="AO6" s="348"/>
      <c r="AP6" s="348"/>
      <c r="AQ6" s="348"/>
      <c r="AR6" s="348"/>
      <c r="AS6" s="348"/>
      <c r="AT6" s="348"/>
      <c r="AU6" s="348"/>
      <c r="AV6" s="348"/>
      <c r="AW6" s="348"/>
      <c r="AX6" s="348"/>
      <c r="AY6" s="348"/>
      <c r="AZ6" s="348"/>
      <c r="BA6" s="348"/>
      <c r="BB6" s="348"/>
      <c r="BC6" s="348"/>
      <c r="BD6" s="348"/>
      <c r="BE6" s="348"/>
      <c r="BF6" s="348"/>
      <c r="BG6" s="348"/>
      <c r="BH6" s="348"/>
      <c r="BI6" s="348"/>
      <c r="BJ6" s="348"/>
      <c r="BK6" s="348"/>
      <c r="BL6" s="348"/>
      <c r="BM6" s="348"/>
      <c r="BN6" s="348"/>
      <c r="BO6" s="348"/>
      <c r="BP6" s="348"/>
      <c r="BQ6" s="348"/>
      <c r="BR6" s="348"/>
      <c r="BS6" s="348"/>
      <c r="BT6" s="348"/>
      <c r="BU6" s="348"/>
      <c r="BV6" s="348"/>
      <c r="BW6" s="348"/>
      <c r="BX6" s="348"/>
      <c r="BY6" s="348"/>
      <c r="BZ6" s="348"/>
      <c r="CA6" s="348"/>
      <c r="CB6" s="348"/>
      <c r="CC6" s="348"/>
      <c r="CD6" s="348"/>
      <c r="CE6" s="348"/>
      <c r="CF6" s="348"/>
      <c r="CG6" s="348"/>
      <c r="CH6" s="348"/>
      <c r="CI6" s="348"/>
      <c r="CJ6" s="348"/>
      <c r="CK6" s="348"/>
      <c r="CL6" s="348"/>
      <c r="CM6" s="348"/>
      <c r="CN6" s="348"/>
      <c r="CO6" s="348"/>
      <c r="CP6" s="348"/>
      <c r="CQ6" s="348"/>
      <c r="CR6" s="348"/>
      <c r="CS6" s="348"/>
      <c r="CT6" s="348"/>
      <c r="CU6" s="348"/>
      <c r="CV6" s="348"/>
      <c r="CW6" s="348"/>
      <c r="CX6" s="348"/>
      <c r="CY6" s="348"/>
      <c r="CZ6" s="348"/>
      <c r="DA6" s="348"/>
      <c r="DB6" s="348"/>
      <c r="DC6" s="348"/>
      <c r="DD6" s="348"/>
      <c r="DE6" s="348"/>
      <c r="DF6" s="348"/>
      <c r="DG6" s="348"/>
      <c r="DH6" s="348"/>
      <c r="DI6" s="348"/>
      <c r="DJ6" s="348"/>
      <c r="DK6" s="348"/>
      <c r="DL6" s="348"/>
      <c r="DM6" s="348"/>
      <c r="DN6" s="348"/>
      <c r="DO6" s="348"/>
      <c r="DP6" s="348"/>
      <c r="DQ6" s="348"/>
      <c r="DR6" s="348"/>
      <c r="DS6" s="348"/>
      <c r="DT6" s="348"/>
      <c r="DU6" s="348"/>
      <c r="DV6" s="348"/>
      <c r="DW6" s="348"/>
      <c r="DX6" s="348"/>
      <c r="DY6" s="348"/>
      <c r="DZ6" s="348"/>
      <c r="EA6" s="348"/>
      <c r="EB6" s="348"/>
      <c r="EC6" s="348"/>
      <c r="ED6" s="348"/>
      <c r="EE6" s="348"/>
      <c r="EF6" s="348"/>
      <c r="EG6" s="348"/>
      <c r="EH6" s="348"/>
      <c r="EI6" s="348"/>
      <c r="EJ6" s="348"/>
      <c r="EK6" s="348"/>
      <c r="EL6" s="348"/>
      <c r="EM6" s="348"/>
      <c r="EN6" s="348"/>
      <c r="EO6" s="348"/>
      <c r="EP6" s="348"/>
      <c r="EQ6" s="348"/>
      <c r="ER6" s="348"/>
      <c r="ES6" s="348"/>
      <c r="ET6" s="348"/>
      <c r="EU6" s="348"/>
      <c r="EV6" s="348"/>
      <c r="EW6" s="348"/>
      <c r="EX6" s="348"/>
      <c r="EY6" s="348"/>
      <c r="EZ6" s="348"/>
      <c r="FA6" s="348"/>
      <c r="FB6" s="348"/>
      <c r="FC6" s="348"/>
      <c r="FD6" s="348"/>
      <c r="FE6" s="348"/>
      <c r="FF6" s="348"/>
      <c r="FG6" s="348"/>
      <c r="FH6" s="348"/>
      <c r="FI6" s="348"/>
      <c r="FJ6" s="348"/>
      <c r="FK6" s="348"/>
      <c r="FL6" s="348"/>
      <c r="FM6" s="348"/>
      <c r="FN6" s="348"/>
      <c r="FO6" s="348"/>
      <c r="FP6" s="348"/>
      <c r="FQ6" s="348"/>
      <c r="FR6" s="348"/>
      <c r="FS6" s="348"/>
      <c r="FT6" s="348"/>
      <c r="FU6" s="348"/>
      <c r="FV6" s="348"/>
      <c r="FW6" s="348"/>
      <c r="FX6" s="348"/>
      <c r="FY6" s="348"/>
      <c r="FZ6" s="348"/>
      <c r="GA6" s="348"/>
      <c r="GB6" s="348"/>
      <c r="GC6" s="348"/>
      <c r="GD6" s="348"/>
      <c r="GE6" s="348"/>
      <c r="GF6" s="348"/>
      <c r="GG6" s="348"/>
      <c r="GH6" s="348"/>
      <c r="GI6" s="348"/>
      <c r="GJ6" s="348"/>
      <c r="GK6" s="348"/>
      <c r="GL6" s="348"/>
      <c r="GM6" s="348"/>
      <c r="GN6" s="348"/>
      <c r="GO6" s="348"/>
      <c r="GP6" s="348"/>
      <c r="GQ6" s="348"/>
      <c r="GR6" s="348"/>
      <c r="GS6" s="348"/>
      <c r="GT6" s="348"/>
      <c r="GU6" s="348"/>
      <c r="GV6" s="348"/>
      <c r="GW6" s="348"/>
      <c r="GX6" s="348"/>
      <c r="GY6" s="348"/>
      <c r="GZ6" s="348"/>
      <c r="HA6" s="348"/>
      <c r="HB6" s="348"/>
      <c r="HC6" s="348"/>
      <c r="HD6" s="348"/>
      <c r="HE6" s="348"/>
      <c r="HF6" s="348"/>
      <c r="HG6" s="348"/>
      <c r="HH6" s="348"/>
      <c r="HI6" s="348"/>
      <c r="HJ6" s="348"/>
      <c r="HK6" s="348"/>
      <c r="HL6" s="348"/>
      <c r="HM6" s="348"/>
      <c r="HN6" s="348"/>
      <c r="HO6" s="348"/>
      <c r="HP6" s="348"/>
      <c r="HQ6" s="348"/>
      <c r="HR6" s="348"/>
      <c r="HS6" s="348"/>
      <c r="HT6" s="348"/>
      <c r="HU6" s="348"/>
      <c r="HV6" s="348"/>
      <c r="HW6" s="348"/>
      <c r="HX6" s="348"/>
      <c r="HY6" s="348"/>
      <c r="HZ6" s="348"/>
      <c r="IA6" s="348"/>
      <c r="IB6" s="348"/>
      <c r="IC6" s="348"/>
      <c r="ID6" s="348"/>
      <c r="IE6" s="348"/>
      <c r="IF6" s="348"/>
      <c r="IG6" s="348"/>
      <c r="IH6" s="348"/>
      <c r="II6" s="348"/>
      <c r="IJ6" s="348"/>
      <c r="IK6" s="348"/>
      <c r="IL6" s="348"/>
      <c r="IM6" s="348"/>
      <c r="IN6" s="348"/>
      <c r="IO6" s="348"/>
      <c r="IP6" s="348"/>
      <c r="IQ6" s="348"/>
      <c r="IR6" s="348"/>
      <c r="IS6" s="348"/>
      <c r="IT6" s="348"/>
      <c r="IU6" s="348"/>
      <c r="IV6" s="348"/>
      <c r="IW6" s="348"/>
    </row>
    <row r="7" customFormat="false" ht="12.75" hidden="false" customHeight="true" outlineLevel="0" collapsed="false">
      <c r="A7" s="349"/>
      <c r="B7" s="345" t="s">
        <v>28</v>
      </c>
      <c r="C7" s="345" t="s">
        <v>28</v>
      </c>
      <c r="D7" s="345" t="s">
        <v>28</v>
      </c>
      <c r="E7" s="345"/>
      <c r="F7" s="350" t="s">
        <v>28</v>
      </c>
      <c r="G7" s="350" t="s">
        <v>28</v>
      </c>
      <c r="H7" s="351" t="s">
        <v>28</v>
      </c>
      <c r="I7" s="352" t="s">
        <v>28</v>
      </c>
      <c r="J7" s="348"/>
      <c r="K7" s="348"/>
      <c r="L7" s="348"/>
      <c r="M7" s="348"/>
      <c r="N7" s="348"/>
      <c r="O7" s="348"/>
      <c r="P7" s="348"/>
      <c r="Q7" s="348"/>
      <c r="R7" s="348"/>
      <c r="S7" s="348"/>
      <c r="T7" s="348"/>
      <c r="U7" s="348"/>
      <c r="V7" s="348"/>
      <c r="W7" s="348"/>
      <c r="X7" s="348"/>
      <c r="Y7" s="348"/>
      <c r="Z7" s="348"/>
      <c r="AA7" s="348"/>
      <c r="AB7" s="348"/>
      <c r="AC7" s="348"/>
      <c r="AD7" s="348"/>
      <c r="AE7" s="348"/>
      <c r="AF7" s="348"/>
      <c r="AG7" s="348"/>
      <c r="AH7" s="348"/>
      <c r="AI7" s="348"/>
      <c r="AJ7" s="348"/>
      <c r="AK7" s="348"/>
      <c r="AL7" s="348"/>
      <c r="AM7" s="348"/>
      <c r="AN7" s="348"/>
      <c r="AO7" s="348"/>
      <c r="AP7" s="348"/>
      <c r="AQ7" s="348"/>
      <c r="AR7" s="348"/>
      <c r="AS7" s="348"/>
      <c r="AT7" s="348"/>
      <c r="AU7" s="348"/>
      <c r="AV7" s="348"/>
      <c r="AW7" s="348"/>
      <c r="AX7" s="348"/>
      <c r="AY7" s="348"/>
      <c r="AZ7" s="348"/>
      <c r="BA7" s="348"/>
      <c r="BB7" s="348"/>
      <c r="BC7" s="348"/>
      <c r="BD7" s="348"/>
      <c r="BE7" s="348"/>
      <c r="BF7" s="348"/>
      <c r="BG7" s="348"/>
      <c r="BH7" s="348"/>
      <c r="BI7" s="348"/>
      <c r="BJ7" s="348"/>
      <c r="BK7" s="348"/>
      <c r="BL7" s="348"/>
      <c r="BM7" s="348"/>
      <c r="BN7" s="348"/>
      <c r="BO7" s="348"/>
      <c r="BP7" s="348"/>
      <c r="BQ7" s="348"/>
      <c r="BR7" s="348"/>
      <c r="BS7" s="348"/>
      <c r="BT7" s="348"/>
      <c r="BU7" s="348"/>
      <c r="BV7" s="348"/>
      <c r="BW7" s="348"/>
      <c r="BX7" s="348"/>
      <c r="BY7" s="348"/>
      <c r="BZ7" s="348"/>
      <c r="CA7" s="348"/>
      <c r="CB7" s="348"/>
      <c r="CC7" s="348"/>
      <c r="CD7" s="348"/>
      <c r="CE7" s="348"/>
      <c r="CF7" s="348"/>
      <c r="CG7" s="348"/>
      <c r="CH7" s="348"/>
      <c r="CI7" s="348"/>
      <c r="CJ7" s="348"/>
      <c r="CK7" s="348"/>
      <c r="CL7" s="348"/>
      <c r="CM7" s="348"/>
      <c r="CN7" s="348"/>
      <c r="CO7" s="348"/>
      <c r="CP7" s="348"/>
      <c r="CQ7" s="348"/>
      <c r="CR7" s="348"/>
      <c r="CS7" s="348"/>
      <c r="CT7" s="348"/>
      <c r="CU7" s="348"/>
      <c r="CV7" s="348"/>
      <c r="CW7" s="348"/>
      <c r="CX7" s="348"/>
      <c r="CY7" s="348"/>
      <c r="CZ7" s="348"/>
      <c r="DA7" s="348"/>
      <c r="DB7" s="348"/>
      <c r="DC7" s="348"/>
      <c r="DD7" s="348"/>
      <c r="DE7" s="348"/>
      <c r="DF7" s="348"/>
      <c r="DG7" s="348"/>
      <c r="DH7" s="348"/>
      <c r="DI7" s="348"/>
      <c r="DJ7" s="348"/>
      <c r="DK7" s="348"/>
      <c r="DL7" s="348"/>
      <c r="DM7" s="348"/>
      <c r="DN7" s="348"/>
      <c r="DO7" s="348"/>
      <c r="DP7" s="348"/>
      <c r="DQ7" s="348"/>
      <c r="DR7" s="348"/>
      <c r="DS7" s="348"/>
      <c r="DT7" s="348"/>
      <c r="DU7" s="348"/>
      <c r="DV7" s="348"/>
      <c r="DW7" s="348"/>
      <c r="DX7" s="348"/>
      <c r="DY7" s="348"/>
      <c r="DZ7" s="348"/>
      <c r="EA7" s="348"/>
      <c r="EB7" s="348"/>
      <c r="EC7" s="348"/>
      <c r="ED7" s="348"/>
      <c r="EE7" s="348"/>
      <c r="EF7" s="348"/>
      <c r="EG7" s="348"/>
      <c r="EH7" s="348"/>
      <c r="EI7" s="348"/>
      <c r="EJ7" s="348"/>
      <c r="EK7" s="348"/>
      <c r="EL7" s="348"/>
      <c r="EM7" s="348"/>
      <c r="EN7" s="348"/>
      <c r="EO7" s="348"/>
      <c r="EP7" s="348"/>
      <c r="EQ7" s="348"/>
      <c r="ER7" s="348"/>
      <c r="ES7" s="348"/>
      <c r="ET7" s="348"/>
      <c r="EU7" s="348"/>
      <c r="EV7" s="348"/>
      <c r="EW7" s="348"/>
      <c r="EX7" s="348"/>
      <c r="EY7" s="348"/>
      <c r="EZ7" s="348"/>
      <c r="FA7" s="348"/>
      <c r="FB7" s="348"/>
      <c r="FC7" s="348"/>
      <c r="FD7" s="348"/>
      <c r="FE7" s="348"/>
      <c r="FF7" s="348"/>
      <c r="FG7" s="348"/>
      <c r="FH7" s="348"/>
      <c r="FI7" s="348"/>
      <c r="FJ7" s="348"/>
      <c r="FK7" s="348"/>
      <c r="FL7" s="348"/>
      <c r="FM7" s="348"/>
      <c r="FN7" s="348"/>
      <c r="FO7" s="348"/>
      <c r="FP7" s="348"/>
      <c r="FQ7" s="348"/>
      <c r="FR7" s="348"/>
      <c r="FS7" s="348"/>
      <c r="FT7" s="348"/>
      <c r="FU7" s="348"/>
      <c r="FV7" s="348"/>
      <c r="FW7" s="348"/>
      <c r="FX7" s="348"/>
      <c r="FY7" s="348"/>
      <c r="FZ7" s="348"/>
      <c r="GA7" s="348"/>
      <c r="GB7" s="348"/>
      <c r="GC7" s="348"/>
      <c r="GD7" s="348"/>
      <c r="GE7" s="348"/>
      <c r="GF7" s="348"/>
      <c r="GG7" s="348"/>
      <c r="GH7" s="348"/>
      <c r="GI7" s="348"/>
      <c r="GJ7" s="348"/>
      <c r="GK7" s="348"/>
      <c r="GL7" s="348"/>
      <c r="GM7" s="348"/>
      <c r="GN7" s="348"/>
      <c r="GO7" s="348"/>
      <c r="GP7" s="348"/>
      <c r="GQ7" s="348"/>
      <c r="GR7" s="348"/>
      <c r="GS7" s="348"/>
      <c r="GT7" s="348"/>
      <c r="GU7" s="348"/>
      <c r="GV7" s="348"/>
      <c r="GW7" s="348"/>
      <c r="GX7" s="348"/>
      <c r="GY7" s="348"/>
      <c r="GZ7" s="348"/>
      <c r="HA7" s="348"/>
      <c r="HB7" s="348"/>
      <c r="HC7" s="348"/>
      <c r="HD7" s="348"/>
      <c r="HE7" s="348"/>
      <c r="HF7" s="348"/>
      <c r="HG7" s="348"/>
      <c r="HH7" s="348"/>
      <c r="HI7" s="348"/>
      <c r="HJ7" s="348"/>
      <c r="HK7" s="348"/>
      <c r="HL7" s="348"/>
      <c r="HM7" s="348"/>
      <c r="HN7" s="348"/>
      <c r="HO7" s="348"/>
      <c r="HP7" s="348"/>
      <c r="HQ7" s="348"/>
      <c r="HR7" s="348"/>
      <c r="HS7" s="348"/>
      <c r="HT7" s="348"/>
      <c r="HU7" s="348"/>
      <c r="HV7" s="348"/>
      <c r="HW7" s="348"/>
      <c r="HX7" s="348"/>
      <c r="HY7" s="348"/>
      <c r="HZ7" s="348"/>
      <c r="IA7" s="348"/>
      <c r="IB7" s="348"/>
      <c r="IC7" s="348"/>
      <c r="ID7" s="348"/>
      <c r="IE7" s="348"/>
      <c r="IF7" s="348"/>
      <c r="IG7" s="348"/>
      <c r="IH7" s="348"/>
      <c r="II7" s="348"/>
      <c r="IJ7" s="348"/>
      <c r="IK7" s="348"/>
      <c r="IL7" s="348"/>
      <c r="IM7" s="348"/>
      <c r="IN7" s="348"/>
      <c r="IO7" s="348"/>
      <c r="IP7" s="348"/>
      <c r="IQ7" s="348"/>
      <c r="IR7" s="348"/>
      <c r="IS7" s="348"/>
      <c r="IT7" s="348"/>
      <c r="IU7" s="348"/>
      <c r="IV7" s="348"/>
      <c r="IW7" s="348"/>
    </row>
    <row r="8" customFormat="false" ht="12.75" hidden="false" customHeight="true" outlineLevel="0" collapsed="false">
      <c r="A8" s="349"/>
      <c r="B8" s="353"/>
      <c r="C8" s="353"/>
      <c r="D8" s="353"/>
      <c r="E8" s="353"/>
      <c r="F8" s="354"/>
      <c r="G8" s="354"/>
      <c r="H8" s="355"/>
      <c r="I8" s="356"/>
      <c r="J8" s="348"/>
      <c r="K8" s="348"/>
      <c r="L8" s="348"/>
      <c r="M8" s="348"/>
      <c r="N8" s="348"/>
      <c r="O8" s="348"/>
      <c r="P8" s="348"/>
      <c r="Q8" s="348"/>
      <c r="R8" s="348"/>
      <c r="S8" s="348"/>
      <c r="T8" s="348"/>
      <c r="U8" s="348"/>
      <c r="V8" s="348"/>
      <c r="W8" s="348"/>
      <c r="X8" s="348"/>
      <c r="Y8" s="348"/>
      <c r="Z8" s="348"/>
      <c r="AA8" s="348"/>
      <c r="AB8" s="348"/>
      <c r="AC8" s="348"/>
      <c r="AD8" s="348"/>
      <c r="AE8" s="348"/>
      <c r="AF8" s="348"/>
      <c r="AG8" s="348"/>
      <c r="AH8" s="348"/>
      <c r="AI8" s="348"/>
      <c r="AJ8" s="348"/>
      <c r="AK8" s="348"/>
      <c r="AL8" s="348"/>
      <c r="AM8" s="348"/>
      <c r="AN8" s="348"/>
      <c r="AO8" s="348"/>
      <c r="AP8" s="348"/>
      <c r="AQ8" s="348"/>
      <c r="AR8" s="348"/>
      <c r="AS8" s="348"/>
      <c r="AT8" s="348"/>
      <c r="AU8" s="348"/>
      <c r="AV8" s="348"/>
      <c r="AW8" s="348"/>
      <c r="AX8" s="348"/>
      <c r="AY8" s="348"/>
      <c r="AZ8" s="348"/>
      <c r="BA8" s="348"/>
      <c r="BB8" s="348"/>
      <c r="BC8" s="348"/>
      <c r="BD8" s="348"/>
      <c r="BE8" s="348"/>
      <c r="BF8" s="348"/>
      <c r="BG8" s="348"/>
      <c r="BH8" s="348"/>
      <c r="BI8" s="348"/>
      <c r="BJ8" s="348"/>
      <c r="BK8" s="348"/>
      <c r="BL8" s="348"/>
      <c r="BM8" s="348"/>
      <c r="BN8" s="348"/>
      <c r="BO8" s="348"/>
      <c r="BP8" s="348"/>
      <c r="BQ8" s="348"/>
      <c r="BR8" s="348"/>
      <c r="BS8" s="348"/>
      <c r="BT8" s="348"/>
      <c r="BU8" s="348"/>
      <c r="BV8" s="348"/>
      <c r="BW8" s="348"/>
      <c r="BX8" s="348"/>
      <c r="BY8" s="348"/>
      <c r="BZ8" s="348"/>
      <c r="CA8" s="348"/>
      <c r="CB8" s="348"/>
      <c r="CC8" s="348"/>
      <c r="CD8" s="348"/>
      <c r="CE8" s="348"/>
      <c r="CF8" s="348"/>
      <c r="CG8" s="348"/>
      <c r="CH8" s="348"/>
      <c r="CI8" s="348"/>
      <c r="CJ8" s="348"/>
      <c r="CK8" s="348"/>
      <c r="CL8" s="348"/>
      <c r="CM8" s="348"/>
      <c r="CN8" s="348"/>
      <c r="CO8" s="348"/>
      <c r="CP8" s="348"/>
      <c r="CQ8" s="348"/>
      <c r="CR8" s="348"/>
      <c r="CS8" s="348"/>
      <c r="CT8" s="348"/>
      <c r="CU8" s="348"/>
      <c r="CV8" s="348"/>
      <c r="CW8" s="348"/>
      <c r="CX8" s="348"/>
      <c r="CY8" s="348"/>
      <c r="CZ8" s="348"/>
      <c r="DA8" s="348"/>
      <c r="DB8" s="348"/>
      <c r="DC8" s="348"/>
      <c r="DD8" s="348"/>
      <c r="DE8" s="348"/>
      <c r="DF8" s="348"/>
      <c r="DG8" s="348"/>
      <c r="DH8" s="348"/>
      <c r="DI8" s="348"/>
      <c r="DJ8" s="348"/>
      <c r="DK8" s="348"/>
      <c r="DL8" s="348"/>
      <c r="DM8" s="348"/>
      <c r="DN8" s="348"/>
      <c r="DO8" s="348"/>
      <c r="DP8" s="348"/>
      <c r="DQ8" s="348"/>
      <c r="DR8" s="348"/>
      <c r="DS8" s="348"/>
      <c r="DT8" s="348"/>
      <c r="DU8" s="348"/>
      <c r="DV8" s="348"/>
      <c r="DW8" s="348"/>
      <c r="DX8" s="348"/>
      <c r="DY8" s="348"/>
      <c r="DZ8" s="348"/>
      <c r="EA8" s="348"/>
      <c r="EB8" s="348"/>
      <c r="EC8" s="348"/>
      <c r="ED8" s="348"/>
      <c r="EE8" s="348"/>
      <c r="EF8" s="348"/>
      <c r="EG8" s="348"/>
      <c r="EH8" s="348"/>
      <c r="EI8" s="348"/>
      <c r="EJ8" s="348"/>
      <c r="EK8" s="348"/>
      <c r="EL8" s="348"/>
      <c r="EM8" s="348"/>
      <c r="EN8" s="348"/>
      <c r="EO8" s="348"/>
      <c r="EP8" s="348"/>
      <c r="EQ8" s="348"/>
      <c r="ER8" s="348"/>
      <c r="ES8" s="348"/>
      <c r="ET8" s="348"/>
      <c r="EU8" s="348"/>
      <c r="EV8" s="348"/>
      <c r="EW8" s="348"/>
      <c r="EX8" s="348"/>
      <c r="EY8" s="348"/>
      <c r="EZ8" s="348"/>
      <c r="FA8" s="348"/>
      <c r="FB8" s="348"/>
      <c r="FC8" s="348"/>
      <c r="FD8" s="348"/>
      <c r="FE8" s="348"/>
      <c r="FF8" s="348"/>
      <c r="FG8" s="348"/>
      <c r="FH8" s="348"/>
      <c r="FI8" s="348"/>
      <c r="FJ8" s="348"/>
      <c r="FK8" s="348"/>
      <c r="FL8" s="348"/>
      <c r="FM8" s="348"/>
      <c r="FN8" s="348"/>
      <c r="FO8" s="348"/>
      <c r="FP8" s="348"/>
      <c r="FQ8" s="348"/>
      <c r="FR8" s="348"/>
      <c r="FS8" s="348"/>
      <c r="FT8" s="348"/>
      <c r="FU8" s="348"/>
      <c r="FV8" s="348"/>
      <c r="FW8" s="348"/>
      <c r="FX8" s="348"/>
      <c r="FY8" s="348"/>
      <c r="FZ8" s="348"/>
      <c r="GA8" s="348"/>
      <c r="GB8" s="348"/>
      <c r="GC8" s="348"/>
      <c r="GD8" s="348"/>
      <c r="GE8" s="348"/>
      <c r="GF8" s="348"/>
      <c r="GG8" s="348"/>
      <c r="GH8" s="348"/>
      <c r="GI8" s="348"/>
      <c r="GJ8" s="348"/>
      <c r="GK8" s="348"/>
      <c r="GL8" s="348"/>
      <c r="GM8" s="348"/>
      <c r="GN8" s="348"/>
      <c r="GO8" s="348"/>
      <c r="GP8" s="348"/>
      <c r="GQ8" s="348"/>
      <c r="GR8" s="348"/>
      <c r="GS8" s="348"/>
      <c r="GT8" s="348"/>
      <c r="GU8" s="348"/>
      <c r="GV8" s="348"/>
      <c r="GW8" s="348"/>
      <c r="GX8" s="348"/>
      <c r="GY8" s="348"/>
      <c r="GZ8" s="348"/>
      <c r="HA8" s="348"/>
      <c r="HB8" s="348"/>
      <c r="HC8" s="348"/>
      <c r="HD8" s="348"/>
      <c r="HE8" s="348"/>
      <c r="HF8" s="348"/>
      <c r="HG8" s="348"/>
      <c r="HH8" s="348"/>
      <c r="HI8" s="348"/>
      <c r="HJ8" s="348"/>
      <c r="HK8" s="348"/>
      <c r="HL8" s="348"/>
      <c r="HM8" s="348"/>
      <c r="HN8" s="348"/>
      <c r="HO8" s="348"/>
      <c r="HP8" s="348"/>
      <c r="HQ8" s="348"/>
      <c r="HR8" s="348"/>
      <c r="HS8" s="348"/>
      <c r="HT8" s="348"/>
      <c r="HU8" s="348"/>
      <c r="HV8" s="348"/>
      <c r="HW8" s="348"/>
      <c r="HX8" s="348"/>
      <c r="HY8" s="348"/>
      <c r="HZ8" s="348"/>
      <c r="IA8" s="348"/>
      <c r="IB8" s="348"/>
      <c r="IC8" s="348"/>
      <c r="ID8" s="348"/>
      <c r="IE8" s="348"/>
      <c r="IF8" s="348"/>
      <c r="IG8" s="348"/>
      <c r="IH8" s="348"/>
      <c r="II8" s="348"/>
      <c r="IJ8" s="348"/>
      <c r="IK8" s="348"/>
      <c r="IL8" s="348"/>
      <c r="IM8" s="348"/>
      <c r="IN8" s="348"/>
      <c r="IO8" s="348"/>
      <c r="IP8" s="348"/>
      <c r="IQ8" s="348"/>
      <c r="IR8" s="348"/>
      <c r="IS8" s="348"/>
      <c r="IT8" s="348"/>
      <c r="IU8" s="348"/>
      <c r="IV8" s="348"/>
      <c r="IW8" s="348"/>
    </row>
    <row r="9" customFormat="false" ht="12.75" hidden="false" customHeight="true" outlineLevel="0" collapsed="false">
      <c r="A9" s="357" t="n">
        <v>1998</v>
      </c>
      <c r="B9" s="358"/>
      <c r="C9" s="358"/>
      <c r="D9" s="358"/>
      <c r="E9" s="359" t="n">
        <f aca="false">+'PACE CPI (1998=100)'!G8</f>
        <v>100</v>
      </c>
      <c r="F9" s="354"/>
      <c r="G9" s="354"/>
      <c r="H9" s="355"/>
      <c r="I9" s="360" t="s">
        <v>338</v>
      </c>
      <c r="J9" s="348"/>
      <c r="K9" s="348"/>
      <c r="L9" s="348"/>
      <c r="M9" s="348"/>
      <c r="N9" s="348"/>
      <c r="O9" s="348"/>
      <c r="P9" s="348"/>
      <c r="Q9" s="348"/>
      <c r="R9" s="348"/>
      <c r="S9" s="348"/>
      <c r="T9" s="348"/>
      <c r="U9" s="348"/>
      <c r="V9" s="348"/>
      <c r="W9" s="348"/>
      <c r="X9" s="348"/>
      <c r="Y9" s="348"/>
      <c r="Z9" s="348"/>
      <c r="AA9" s="348"/>
      <c r="AB9" s="348"/>
      <c r="AC9" s="348"/>
      <c r="AD9" s="348"/>
      <c r="AE9" s="348"/>
      <c r="AF9" s="348"/>
      <c r="AG9" s="348"/>
      <c r="AH9" s="348"/>
      <c r="AI9" s="348"/>
      <c r="AJ9" s="348"/>
      <c r="AK9" s="348"/>
      <c r="AL9" s="348"/>
      <c r="AM9" s="348"/>
      <c r="AN9" s="348"/>
      <c r="AO9" s="348"/>
      <c r="AP9" s="348"/>
      <c r="AQ9" s="348"/>
      <c r="AR9" s="348"/>
      <c r="AS9" s="348"/>
      <c r="AT9" s="348"/>
      <c r="AU9" s="348"/>
      <c r="AV9" s="348"/>
      <c r="AW9" s="348"/>
      <c r="AX9" s="348"/>
      <c r="AY9" s="348"/>
      <c r="AZ9" s="348"/>
      <c r="BA9" s="348"/>
      <c r="BB9" s="348"/>
      <c r="BC9" s="348"/>
      <c r="BD9" s="348"/>
      <c r="BE9" s="348"/>
      <c r="BF9" s="348"/>
      <c r="BG9" s="348"/>
      <c r="BH9" s="348"/>
      <c r="BI9" s="348"/>
      <c r="BJ9" s="348"/>
      <c r="BK9" s="348"/>
      <c r="BL9" s="348"/>
      <c r="BM9" s="348"/>
      <c r="BN9" s="348"/>
      <c r="BO9" s="348"/>
      <c r="BP9" s="348"/>
      <c r="BQ9" s="348"/>
      <c r="BR9" s="348"/>
      <c r="BS9" s="348"/>
      <c r="BT9" s="348"/>
      <c r="BU9" s="348"/>
      <c r="BV9" s="348"/>
      <c r="BW9" s="348"/>
      <c r="BX9" s="348"/>
      <c r="BY9" s="348"/>
      <c r="BZ9" s="348"/>
      <c r="CA9" s="348"/>
      <c r="CB9" s="348"/>
      <c r="CC9" s="348"/>
      <c r="CD9" s="348"/>
      <c r="CE9" s="348"/>
      <c r="CF9" s="348"/>
      <c r="CG9" s="348"/>
      <c r="CH9" s="348"/>
      <c r="CI9" s="348"/>
      <c r="CJ9" s="348"/>
      <c r="CK9" s="348"/>
      <c r="CL9" s="348"/>
      <c r="CM9" s="348"/>
      <c r="CN9" s="348"/>
      <c r="CO9" s="348"/>
      <c r="CP9" s="348"/>
      <c r="CQ9" s="348"/>
      <c r="CR9" s="348"/>
      <c r="CS9" s="348"/>
      <c r="CT9" s="348"/>
      <c r="CU9" s="348"/>
      <c r="CV9" s="348"/>
      <c r="CW9" s="348"/>
      <c r="CX9" s="348"/>
      <c r="CY9" s="348"/>
      <c r="CZ9" s="348"/>
      <c r="DA9" s="348"/>
      <c r="DB9" s="348"/>
      <c r="DC9" s="348"/>
      <c r="DD9" s="348"/>
      <c r="DE9" s="348"/>
      <c r="DF9" s="348"/>
      <c r="DG9" s="348"/>
      <c r="DH9" s="348"/>
      <c r="DI9" s="348"/>
      <c r="DJ9" s="348"/>
      <c r="DK9" s="348"/>
      <c r="DL9" s="348"/>
      <c r="DM9" s="348"/>
      <c r="DN9" s="348"/>
      <c r="DO9" s="348"/>
      <c r="DP9" s="348"/>
      <c r="DQ9" s="348"/>
      <c r="DR9" s="348"/>
      <c r="DS9" s="348"/>
      <c r="DT9" s="348"/>
      <c r="DU9" s="348"/>
      <c r="DV9" s="348"/>
      <c r="DW9" s="348"/>
      <c r="DX9" s="348"/>
      <c r="DY9" s="348"/>
      <c r="DZ9" s="348"/>
      <c r="EA9" s="348"/>
      <c r="EB9" s="348"/>
      <c r="EC9" s="348"/>
      <c r="ED9" s="348"/>
      <c r="EE9" s="348"/>
      <c r="EF9" s="348"/>
      <c r="EG9" s="348"/>
      <c r="EH9" s="348"/>
      <c r="EI9" s="348"/>
      <c r="EJ9" s="348"/>
      <c r="EK9" s="348"/>
      <c r="EL9" s="348"/>
      <c r="EM9" s="348"/>
      <c r="EN9" s="348"/>
      <c r="EO9" s="348"/>
      <c r="EP9" s="348"/>
      <c r="EQ9" s="348"/>
      <c r="ER9" s="348"/>
      <c r="ES9" s="348"/>
      <c r="ET9" s="348"/>
      <c r="EU9" s="348"/>
      <c r="EV9" s="348"/>
      <c r="EW9" s="348"/>
      <c r="EX9" s="348"/>
      <c r="EY9" s="348"/>
      <c r="EZ9" s="348"/>
      <c r="FA9" s="348"/>
      <c r="FB9" s="348"/>
      <c r="FC9" s="348"/>
      <c r="FD9" s="348"/>
      <c r="FE9" s="348"/>
      <c r="FF9" s="348"/>
      <c r="FG9" s="348"/>
      <c r="FH9" s="348"/>
      <c r="FI9" s="348"/>
      <c r="FJ9" s="348"/>
      <c r="FK9" s="348"/>
      <c r="FL9" s="348"/>
      <c r="FM9" s="348"/>
      <c r="FN9" s="348"/>
      <c r="FO9" s="348"/>
      <c r="FP9" s="348"/>
      <c r="FQ9" s="348"/>
      <c r="FR9" s="348"/>
      <c r="FS9" s="348"/>
      <c r="FT9" s="348"/>
      <c r="FU9" s="348"/>
      <c r="FV9" s="348"/>
      <c r="FW9" s="348"/>
      <c r="FX9" s="348"/>
      <c r="FY9" s="348"/>
      <c r="FZ9" s="348"/>
      <c r="GA9" s="348"/>
      <c r="GB9" s="348"/>
      <c r="GC9" s="348"/>
      <c r="GD9" s="348"/>
      <c r="GE9" s="348"/>
      <c r="GF9" s="348"/>
      <c r="GG9" s="348"/>
      <c r="GH9" s="348"/>
      <c r="GI9" s="348"/>
      <c r="GJ9" s="348"/>
      <c r="GK9" s="348"/>
      <c r="GL9" s="348"/>
      <c r="GM9" s="348"/>
      <c r="GN9" s="348"/>
      <c r="GO9" s="348"/>
      <c r="GP9" s="348"/>
      <c r="GQ9" s="348"/>
      <c r="GR9" s="348"/>
      <c r="GS9" s="348"/>
      <c r="GT9" s="348"/>
      <c r="GU9" s="348"/>
      <c r="GV9" s="348"/>
      <c r="GW9" s="348"/>
      <c r="GX9" s="348"/>
      <c r="GY9" s="348"/>
      <c r="GZ9" s="348"/>
      <c r="HA9" s="348"/>
      <c r="HB9" s="348"/>
      <c r="HC9" s="348"/>
      <c r="HD9" s="348"/>
      <c r="HE9" s="348"/>
      <c r="HF9" s="348"/>
      <c r="HG9" s="348"/>
      <c r="HH9" s="348"/>
      <c r="HI9" s="348"/>
      <c r="HJ9" s="348"/>
      <c r="HK9" s="348"/>
      <c r="HL9" s="348"/>
      <c r="HM9" s="348"/>
      <c r="HN9" s="348"/>
      <c r="HO9" s="348"/>
      <c r="HP9" s="348"/>
      <c r="HQ9" s="348"/>
      <c r="HR9" s="348"/>
      <c r="HS9" s="348"/>
      <c r="HT9" s="348"/>
      <c r="HU9" s="348"/>
      <c r="HV9" s="348"/>
      <c r="HW9" s="348"/>
      <c r="HX9" s="348"/>
      <c r="HY9" s="348"/>
      <c r="HZ9" s="348"/>
      <c r="IA9" s="348"/>
      <c r="IB9" s="348"/>
      <c r="IC9" s="348"/>
      <c r="ID9" s="348"/>
      <c r="IE9" s="348"/>
      <c r="IF9" s="348"/>
      <c r="IG9" s="348"/>
      <c r="IH9" s="348"/>
      <c r="II9" s="348"/>
      <c r="IJ9" s="348"/>
      <c r="IK9" s="348"/>
      <c r="IL9" s="348"/>
      <c r="IM9" s="348"/>
      <c r="IN9" s="348"/>
      <c r="IO9" s="348"/>
      <c r="IP9" s="348"/>
      <c r="IQ9" s="348"/>
      <c r="IR9" s="348"/>
      <c r="IS9" s="348"/>
      <c r="IT9" s="348"/>
      <c r="IU9" s="348"/>
      <c r="IV9" s="348"/>
      <c r="IW9" s="348"/>
    </row>
    <row r="10" customFormat="false" ht="12.75" hidden="false" customHeight="true" outlineLevel="0" collapsed="false">
      <c r="A10" s="361" t="n">
        <f aca="false">+A9+1</f>
        <v>1999</v>
      </c>
      <c r="B10" s="358"/>
      <c r="C10" s="358"/>
      <c r="D10" s="358"/>
      <c r="E10" s="359" t="n">
        <f aca="false">+'PACE CPI (1998=100)'!G9</f>
        <v>102.7</v>
      </c>
      <c r="F10" s="354"/>
      <c r="G10" s="354"/>
      <c r="H10" s="355"/>
      <c r="I10" s="362" t="n">
        <v>3.5</v>
      </c>
      <c r="J10" s="348"/>
      <c r="K10" s="348"/>
      <c r="L10" s="348"/>
      <c r="M10" s="348"/>
      <c r="N10" s="348"/>
      <c r="O10" s="348"/>
      <c r="P10" s="348"/>
      <c r="Q10" s="348"/>
      <c r="R10" s="348"/>
      <c r="S10" s="348"/>
      <c r="T10" s="348"/>
      <c r="U10" s="348"/>
      <c r="V10" s="348"/>
      <c r="W10" s="348"/>
      <c r="X10" s="348"/>
      <c r="Y10" s="348"/>
      <c r="Z10" s="348"/>
      <c r="AA10" s="348"/>
      <c r="AB10" s="348"/>
      <c r="AC10" s="348"/>
      <c r="AD10" s="348"/>
      <c r="AE10" s="348"/>
      <c r="AF10" s="348"/>
      <c r="AG10" s="348"/>
      <c r="AH10" s="348"/>
      <c r="AI10" s="348"/>
      <c r="AJ10" s="348"/>
      <c r="AK10" s="348"/>
      <c r="AL10" s="348"/>
      <c r="AM10" s="348"/>
      <c r="AN10" s="348"/>
      <c r="AO10" s="348"/>
      <c r="AP10" s="348"/>
      <c r="AQ10" s="348"/>
      <c r="AR10" s="348"/>
      <c r="AS10" s="348"/>
      <c r="AT10" s="348"/>
      <c r="AU10" s="348"/>
      <c r="AV10" s="348"/>
      <c r="AW10" s="348"/>
      <c r="AX10" s="348"/>
      <c r="AY10" s="348"/>
      <c r="AZ10" s="348"/>
      <c r="BA10" s="348"/>
      <c r="BB10" s="348"/>
      <c r="BC10" s="348"/>
      <c r="BD10" s="348"/>
      <c r="BE10" s="348"/>
      <c r="BF10" s="348"/>
      <c r="BG10" s="348"/>
      <c r="BH10" s="348"/>
      <c r="BI10" s="348"/>
      <c r="BJ10" s="348"/>
      <c r="BK10" s="348"/>
      <c r="BL10" s="348"/>
      <c r="BM10" s="348"/>
      <c r="BN10" s="348"/>
      <c r="BO10" s="348"/>
      <c r="BP10" s="348"/>
      <c r="BQ10" s="348"/>
      <c r="BR10" s="348"/>
      <c r="BS10" s="348"/>
      <c r="BT10" s="348"/>
      <c r="BU10" s="348"/>
      <c r="BV10" s="348"/>
      <c r="BW10" s="348"/>
      <c r="BX10" s="348"/>
      <c r="BY10" s="348"/>
      <c r="BZ10" s="348"/>
      <c r="CA10" s="348"/>
      <c r="CB10" s="348"/>
      <c r="CC10" s="348"/>
      <c r="CD10" s="348"/>
      <c r="CE10" s="348"/>
      <c r="CF10" s="348"/>
      <c r="CG10" s="348"/>
      <c r="CH10" s="348"/>
      <c r="CI10" s="348"/>
      <c r="CJ10" s="348"/>
      <c r="CK10" s="348"/>
      <c r="CL10" s="348"/>
      <c r="CM10" s="348"/>
      <c r="CN10" s="348"/>
      <c r="CO10" s="348"/>
      <c r="CP10" s="348"/>
      <c r="CQ10" s="348"/>
      <c r="CR10" s="348"/>
      <c r="CS10" s="348"/>
      <c r="CT10" s="348"/>
      <c r="CU10" s="348"/>
      <c r="CV10" s="348"/>
      <c r="CW10" s="348"/>
      <c r="CX10" s="348"/>
      <c r="CY10" s="348"/>
      <c r="CZ10" s="348"/>
      <c r="DA10" s="348"/>
      <c r="DB10" s="348"/>
      <c r="DC10" s="348"/>
      <c r="DD10" s="348"/>
      <c r="DE10" s="348"/>
      <c r="DF10" s="348"/>
      <c r="DG10" s="348"/>
      <c r="DH10" s="348"/>
      <c r="DI10" s="348"/>
      <c r="DJ10" s="348"/>
      <c r="DK10" s="348"/>
      <c r="DL10" s="348"/>
      <c r="DM10" s="348"/>
      <c r="DN10" s="348"/>
      <c r="DO10" s="348"/>
      <c r="DP10" s="348"/>
      <c r="DQ10" s="348"/>
      <c r="DR10" s="348"/>
      <c r="DS10" s="348"/>
      <c r="DT10" s="348"/>
      <c r="DU10" s="348"/>
      <c r="DV10" s="348"/>
      <c r="DW10" s="348"/>
      <c r="DX10" s="348"/>
      <c r="DY10" s="348"/>
      <c r="DZ10" s="348"/>
      <c r="EA10" s="348"/>
      <c r="EB10" s="348"/>
      <c r="EC10" s="348"/>
      <c r="ED10" s="348"/>
      <c r="EE10" s="348"/>
      <c r="EF10" s="348"/>
      <c r="EG10" s="348"/>
      <c r="EH10" s="348"/>
      <c r="EI10" s="348"/>
      <c r="EJ10" s="348"/>
      <c r="EK10" s="348"/>
      <c r="EL10" s="348"/>
      <c r="EM10" s="348"/>
      <c r="EN10" s="348"/>
      <c r="EO10" s="348"/>
      <c r="EP10" s="348"/>
      <c r="EQ10" s="348"/>
      <c r="ER10" s="348"/>
      <c r="ES10" s="348"/>
      <c r="ET10" s="348"/>
      <c r="EU10" s="348"/>
      <c r="EV10" s="348"/>
      <c r="EW10" s="348"/>
      <c r="EX10" s="348"/>
      <c r="EY10" s="348"/>
      <c r="EZ10" s="348"/>
      <c r="FA10" s="348"/>
      <c r="FB10" s="348"/>
      <c r="FC10" s="348"/>
      <c r="FD10" s="348"/>
      <c r="FE10" s="348"/>
      <c r="FF10" s="348"/>
      <c r="FG10" s="348"/>
      <c r="FH10" s="348"/>
      <c r="FI10" s="348"/>
      <c r="FJ10" s="348"/>
      <c r="FK10" s="348"/>
      <c r="FL10" s="348"/>
      <c r="FM10" s="348"/>
      <c r="FN10" s="348"/>
      <c r="FO10" s="348"/>
      <c r="FP10" s="348"/>
      <c r="FQ10" s="348"/>
      <c r="FR10" s="348"/>
      <c r="FS10" s="348"/>
      <c r="FT10" s="348"/>
      <c r="FU10" s="348"/>
      <c r="FV10" s="348"/>
      <c r="FW10" s="348"/>
      <c r="FX10" s="348"/>
      <c r="FY10" s="348"/>
      <c r="FZ10" s="348"/>
      <c r="GA10" s="348"/>
      <c r="GB10" s="348"/>
      <c r="GC10" s="348"/>
      <c r="GD10" s="348"/>
      <c r="GE10" s="348"/>
      <c r="GF10" s="348"/>
      <c r="GG10" s="348"/>
      <c r="GH10" s="348"/>
      <c r="GI10" s="348"/>
      <c r="GJ10" s="348"/>
      <c r="GK10" s="348"/>
      <c r="GL10" s="348"/>
      <c r="GM10" s="348"/>
      <c r="GN10" s="348"/>
      <c r="GO10" s="348"/>
      <c r="GP10" s="348"/>
      <c r="GQ10" s="348"/>
      <c r="GR10" s="348"/>
      <c r="GS10" s="348"/>
      <c r="GT10" s="348"/>
      <c r="GU10" s="348"/>
      <c r="GV10" s="348"/>
      <c r="GW10" s="348"/>
      <c r="GX10" s="348"/>
      <c r="GY10" s="348"/>
      <c r="GZ10" s="348"/>
      <c r="HA10" s="348"/>
      <c r="HB10" s="348"/>
      <c r="HC10" s="348"/>
      <c r="HD10" s="348"/>
      <c r="HE10" s="348"/>
      <c r="HF10" s="348"/>
      <c r="HG10" s="348"/>
      <c r="HH10" s="348"/>
      <c r="HI10" s="348"/>
      <c r="HJ10" s="348"/>
      <c r="HK10" s="348"/>
      <c r="HL10" s="348"/>
      <c r="HM10" s="348"/>
      <c r="HN10" s="348"/>
      <c r="HO10" s="348"/>
      <c r="HP10" s="348"/>
      <c r="HQ10" s="348"/>
      <c r="HR10" s="348"/>
      <c r="HS10" s="348"/>
      <c r="HT10" s="348"/>
      <c r="HU10" s="348"/>
      <c r="HV10" s="348"/>
      <c r="HW10" s="348"/>
      <c r="HX10" s="348"/>
      <c r="HY10" s="348"/>
      <c r="HZ10" s="348"/>
      <c r="IA10" s="348"/>
      <c r="IB10" s="348"/>
      <c r="IC10" s="348"/>
      <c r="ID10" s="348"/>
      <c r="IE10" s="348"/>
      <c r="IF10" s="348"/>
      <c r="IG10" s="348"/>
      <c r="IH10" s="348"/>
      <c r="II10" s="348"/>
      <c r="IJ10" s="348"/>
      <c r="IK10" s="348"/>
      <c r="IL10" s="348"/>
      <c r="IM10" s="348"/>
      <c r="IN10" s="348"/>
      <c r="IO10" s="348"/>
      <c r="IP10" s="348"/>
      <c r="IQ10" s="348"/>
      <c r="IR10" s="348"/>
      <c r="IS10" s="348"/>
      <c r="IT10" s="348"/>
      <c r="IU10" s="348"/>
      <c r="IV10" s="348"/>
      <c r="IW10" s="348"/>
    </row>
    <row r="11" customFormat="false" ht="12.75" hidden="false" customHeight="false" outlineLevel="0" collapsed="false">
      <c r="A11" s="361" t="n">
        <f aca="false">+A10+1</f>
        <v>2000</v>
      </c>
      <c r="B11" s="363" t="n">
        <v>48.7694622553964</v>
      </c>
      <c r="C11" s="363" t="n">
        <v>28.5534</v>
      </c>
      <c r="D11" s="363" t="n">
        <v>42.0307748369309</v>
      </c>
      <c r="E11" s="359" t="n">
        <f aca="false">+'PACE CPI (1998=100)'!G10</f>
        <v>106.808</v>
      </c>
      <c r="F11" s="364" t="n">
        <f aca="false">+B11*E11/100</f>
        <v>52.0896872457438</v>
      </c>
      <c r="G11" s="364" t="n">
        <f aca="false">+C11*E11/100</f>
        <v>30.497315472</v>
      </c>
      <c r="H11" s="365" t="n">
        <f aca="false">+D11*E11/100</f>
        <v>44.8922299878292</v>
      </c>
      <c r="I11" s="366" t="n">
        <f aca="false">+H11+$I$10</f>
        <v>48.3922299878292</v>
      </c>
    </row>
    <row r="12" customFormat="false" ht="12.75" hidden="false" customHeight="false" outlineLevel="0" collapsed="false">
      <c r="A12" s="361" t="n">
        <f aca="false">+A11+1</f>
        <v>2001</v>
      </c>
      <c r="B12" s="363" t="n">
        <v>34.70848900955</v>
      </c>
      <c r="C12" s="363" t="n">
        <v>22.8213</v>
      </c>
      <c r="D12" s="363" t="n">
        <v>30.7460926730333</v>
      </c>
      <c r="E12" s="359" t="n">
        <f aca="false">+'PACE CPI (1998=100)'!G11</f>
        <v>109.74522</v>
      </c>
      <c r="F12" s="364" t="n">
        <f aca="false">+B12*E12/100</f>
        <v>38.0909076222065</v>
      </c>
      <c r="G12" s="364" t="n">
        <f aca="false">+C12*E12/100</f>
        <v>25.04528589186</v>
      </c>
      <c r="H12" s="365" t="n">
        <f aca="false">+D12*E12/100</f>
        <v>33.7423670454243</v>
      </c>
      <c r="I12" s="366" t="n">
        <f aca="false">+H12+$I$10</f>
        <v>37.2423670454243</v>
      </c>
    </row>
    <row r="13" customFormat="false" ht="12.75" hidden="false" customHeight="false" outlineLevel="0" collapsed="false">
      <c r="A13" s="361" t="n">
        <f aca="false">+A12+1</f>
        <v>2002</v>
      </c>
      <c r="B13" s="363" t="n">
        <v>27.4191948428094</v>
      </c>
      <c r="C13" s="363" t="n">
        <v>19.0217</v>
      </c>
      <c r="D13" s="363" t="n">
        <v>24.6200298952063</v>
      </c>
      <c r="E13" s="359" t="n">
        <f aca="false">+'PACE CPI (1998=100)'!G12</f>
        <v>112.15961484</v>
      </c>
      <c r="F13" s="364" t="n">
        <f aca="false">+B13*E13/100</f>
        <v>30.7532633279242</v>
      </c>
      <c r="G13" s="364" t="n">
        <f aca="false">+C13*E13/100</f>
        <v>21.3346654560203</v>
      </c>
      <c r="H13" s="365" t="n">
        <f aca="false">+D13*E13/100</f>
        <v>27.6137307039562</v>
      </c>
      <c r="I13" s="366" t="n">
        <f aca="false">+H13+$I$10</f>
        <v>31.1137307039562</v>
      </c>
    </row>
    <row r="14" customFormat="false" ht="12.75" hidden="false" customHeight="false" outlineLevel="0" collapsed="false">
      <c r="A14" s="361" t="n">
        <f aca="false">+A13+1</f>
        <v>2003</v>
      </c>
      <c r="B14" s="363" t="n">
        <v>25.8854740761626</v>
      </c>
      <c r="C14" s="363" t="n">
        <v>17.7985</v>
      </c>
      <c r="D14" s="363" t="n">
        <v>23.1898160507751</v>
      </c>
      <c r="E14" s="359" t="n">
        <f aca="false">+'PACE CPI (1998=100)'!G13</f>
        <v>114.06632829228</v>
      </c>
      <c r="F14" s="364" t="n">
        <f aca="false">+B14*E14/100</f>
        <v>29.5266098397287</v>
      </c>
      <c r="G14" s="364" t="n">
        <f aca="false">+C14*E14/100</f>
        <v>20.3020954411015</v>
      </c>
      <c r="H14" s="365" t="n">
        <f aca="false">+D14*E14/100</f>
        <v>26.4517717068529</v>
      </c>
      <c r="I14" s="366" t="n">
        <f aca="false">+H14+$I$10</f>
        <v>29.9517717068529</v>
      </c>
    </row>
    <row r="15" customFormat="false" ht="12.75" hidden="false" customHeight="false" outlineLevel="0" collapsed="false">
      <c r="A15" s="361" t="n">
        <f aca="false">+A14+1</f>
        <v>2004</v>
      </c>
      <c r="B15" s="363" t="n">
        <v>27.3682166804847</v>
      </c>
      <c r="C15" s="363" t="n">
        <v>17.8773</v>
      </c>
      <c r="D15" s="363" t="n">
        <v>24.2045777869898</v>
      </c>
      <c r="E15" s="359" t="n">
        <f aca="false">+'PACE CPI (1998=100)'!G14</f>
        <v>115.777323216664</v>
      </c>
      <c r="F15" s="364" t="n">
        <f aca="false">+B15*E15/100</f>
        <v>31.6861886848018</v>
      </c>
      <c r="G15" s="364" t="n">
        <f aca="false">+C15*E15/100</f>
        <v>20.6978594034127</v>
      </c>
      <c r="H15" s="365" t="n">
        <f aca="false">+D15*E15/100</f>
        <v>28.0234122576721</v>
      </c>
      <c r="I15" s="366" t="n">
        <f aca="false">+H15+$I$10</f>
        <v>31.5234122576721</v>
      </c>
    </row>
    <row r="16" customFormat="false" ht="12.75" hidden="false" customHeight="false" outlineLevel="0" collapsed="false">
      <c r="A16" s="361" t="n">
        <f aca="false">+A15+1</f>
        <v>2005</v>
      </c>
      <c r="B16" s="363" t="n">
        <v>29.7244107555328</v>
      </c>
      <c r="C16" s="363" t="n">
        <v>18.2489</v>
      </c>
      <c r="D16" s="363" t="n">
        <v>25.8992405036885</v>
      </c>
      <c r="E16" s="359" t="n">
        <f aca="false">+'PACE CPI (1998=100)'!G15</f>
        <v>117.513983064914</v>
      </c>
      <c r="F16" s="364" t="n">
        <f aca="false">+B16*E16/100</f>
        <v>34.9303390214023</v>
      </c>
      <c r="G16" s="364" t="n">
        <f aca="false">+C16*E16/100</f>
        <v>21.4450092555331</v>
      </c>
      <c r="H16" s="365" t="n">
        <f aca="false">+D16*E16/100</f>
        <v>30.4352290994459</v>
      </c>
      <c r="I16" s="366" t="n">
        <f aca="false">+H16+$I$10</f>
        <v>33.9352290994459</v>
      </c>
    </row>
    <row r="17" customFormat="false" ht="12.75" hidden="false" customHeight="false" outlineLevel="0" collapsed="false">
      <c r="A17" s="361" t="n">
        <f aca="false">+A16+1</f>
        <v>2006</v>
      </c>
      <c r="B17" s="363" t="n">
        <v>30.3987314359178</v>
      </c>
      <c r="C17" s="363" t="n">
        <v>18.5054</v>
      </c>
      <c r="D17" s="363" t="n">
        <v>26.4342876239452</v>
      </c>
      <c r="E17" s="359" t="n">
        <f aca="false">+'PACE CPI (1998=100)'!G16</f>
        <v>119.511720777018</v>
      </c>
      <c r="F17" s="364" t="n">
        <f aca="false">+B17*E17/100</f>
        <v>36.3300470334496</v>
      </c>
      <c r="G17" s="364" t="n">
        <f aca="false">+C17*E17/100</f>
        <v>22.1161219766702</v>
      </c>
      <c r="H17" s="365" t="n">
        <f aca="false">+D17*E17/100</f>
        <v>31.5920720145232</v>
      </c>
      <c r="I17" s="366" t="n">
        <f aca="false">+H17+$I$10</f>
        <v>35.0920720145232</v>
      </c>
    </row>
    <row r="18" customFormat="false" ht="12.75" hidden="false" customHeight="false" outlineLevel="0" collapsed="false">
      <c r="A18" s="361" t="n">
        <f aca="false">+A17+1</f>
        <v>2007</v>
      </c>
      <c r="B18" s="363" t="n">
        <v>31.8605274252014</v>
      </c>
      <c r="C18" s="363" t="n">
        <v>18.7522</v>
      </c>
      <c r="D18" s="363" t="n">
        <v>27.4910849501343</v>
      </c>
      <c r="E18" s="359" t="n">
        <f aca="false">+'PACE CPI (1998=100)'!G17</f>
        <v>121.543420030227</v>
      </c>
      <c r="F18" s="364" t="n">
        <f aca="false">+B18*E18/100</f>
        <v>38.7243746722582</v>
      </c>
      <c r="G18" s="364" t="n">
        <f aca="false">+C18*E18/100</f>
        <v>22.7920652109082</v>
      </c>
      <c r="H18" s="365" t="n">
        <f aca="false">+D18*E18/100</f>
        <v>33.4136048518082</v>
      </c>
      <c r="I18" s="366" t="n">
        <f aca="false">+H18+$I$10</f>
        <v>36.9136048518082</v>
      </c>
    </row>
    <row r="19" customFormat="false" ht="12.75" hidden="false" customHeight="false" outlineLevel="0" collapsed="false">
      <c r="A19" s="361" t="n">
        <f aca="false">+A18+1</f>
        <v>2008</v>
      </c>
      <c r="B19" s="363" t="n">
        <v>34.4354371038708</v>
      </c>
      <c r="C19" s="363" t="n">
        <v>19.065</v>
      </c>
      <c r="D19" s="363" t="n">
        <v>29.3119580692472</v>
      </c>
      <c r="E19" s="359" t="n">
        <f aca="false">+'PACE CPI (1998=100)'!G18</f>
        <v>123.609658170741</v>
      </c>
      <c r="F19" s="364" t="n">
        <f aca="false">+B19*E19/100</f>
        <v>42.5655260936951</v>
      </c>
      <c r="G19" s="364" t="n">
        <f aca="false">+C19*E19/100</f>
        <v>23.5661813302518</v>
      </c>
      <c r="H19" s="365" t="n">
        <f aca="false">+D19*E19/100</f>
        <v>36.2324111725473</v>
      </c>
      <c r="I19" s="366" t="n">
        <f aca="false">+H19+$I$10</f>
        <v>39.7324111725473</v>
      </c>
    </row>
    <row r="20" customFormat="false" ht="12.75" hidden="false" customHeight="false" outlineLevel="0" collapsed="false">
      <c r="A20" s="361" t="n">
        <f aca="false">+A19+1</f>
        <v>2009</v>
      </c>
      <c r="B20" s="363" t="n">
        <v>34.7123273856783</v>
      </c>
      <c r="C20" s="363" t="n">
        <v>19.1413</v>
      </c>
      <c r="D20" s="363" t="n">
        <v>29.5219849237856</v>
      </c>
      <c r="E20" s="359" t="n">
        <f aca="false">+'PACE CPI (1998=100)'!G19</f>
        <v>125.711022359644</v>
      </c>
      <c r="F20" s="364" t="n">
        <f aca="false">+B20*E20/100</f>
        <v>43.6372216413628</v>
      </c>
      <c r="G20" s="364" t="n">
        <f aca="false">+C20*E20/100</f>
        <v>24.0627239229264</v>
      </c>
      <c r="H20" s="365" t="n">
        <f aca="false">+D20*E20/100</f>
        <v>37.1123890685507</v>
      </c>
      <c r="I20" s="366" t="n">
        <f aca="false">+H20+$I$10</f>
        <v>40.6123890685507</v>
      </c>
    </row>
    <row r="21" customFormat="false" ht="12.75" hidden="false" customHeight="false" outlineLevel="0" collapsed="false">
      <c r="A21" s="361" t="n">
        <f aca="false">+A20+1</f>
        <v>2010</v>
      </c>
      <c r="B21" s="363" t="n">
        <v>35.1569248774556</v>
      </c>
      <c r="C21" s="363" t="n">
        <v>19.2285</v>
      </c>
      <c r="D21" s="363" t="n">
        <v>29.8474499183037</v>
      </c>
      <c r="E21" s="359" t="n">
        <f aca="false">+'PACE CPI (1998=100)'!G20</f>
        <v>127.848109739757</v>
      </c>
      <c r="F21" s="364" t="n">
        <f aca="false">+B21*E21/100</f>
        <v>44.9474638984535</v>
      </c>
      <c r="G21" s="364" t="n">
        <f aca="false">+C21*E21/100</f>
        <v>24.5832737813093</v>
      </c>
      <c r="H21" s="365" t="n">
        <f aca="false">+D21*E21/100</f>
        <v>38.1594005260721</v>
      </c>
      <c r="I21" s="366" t="n">
        <f aca="false">+H21+$I$10</f>
        <v>41.6594005260721</v>
      </c>
    </row>
    <row r="22" customFormat="false" ht="12.75" hidden="false" customHeight="false" outlineLevel="0" collapsed="false">
      <c r="A22" s="361" t="n">
        <f aca="false">+A21+1</f>
        <v>2011</v>
      </c>
      <c r="B22" s="363" t="n">
        <v>35.5515204810812</v>
      </c>
      <c r="C22" s="363" t="n">
        <v>19.3743</v>
      </c>
      <c r="D22" s="363" t="n">
        <v>30.1591136540541</v>
      </c>
      <c r="E22" s="359" t="n">
        <f aca="false">+'PACE CPI (1998=100)'!G21</f>
        <v>130.596844099162</v>
      </c>
      <c r="F22" s="364" t="n">
        <f aca="false">+B22*E22/100</f>
        <v>46.4291637775593</v>
      </c>
      <c r="G22" s="364" t="n">
        <f aca="false">+C22*E22/100</f>
        <v>25.302224366304</v>
      </c>
      <c r="H22" s="365" t="n">
        <f aca="false">+D22*E22/100</f>
        <v>39.3868506404742</v>
      </c>
      <c r="I22" s="366" t="n">
        <f aca="false">+H22+$I$10</f>
        <v>42.8868506404742</v>
      </c>
    </row>
    <row r="23" customFormat="false" ht="12.75" hidden="false" customHeight="false" outlineLevel="0" collapsed="false">
      <c r="A23" s="361" t="n">
        <f aca="false">+A22+1</f>
        <v>2012</v>
      </c>
      <c r="B23" s="363" t="n">
        <v>35.2830866633392</v>
      </c>
      <c r="C23" s="363" t="n">
        <v>19.7033</v>
      </c>
      <c r="D23" s="363" t="n">
        <v>30.0898244422261</v>
      </c>
      <c r="E23" s="359" t="n">
        <f aca="false">+'PACE CPI (1998=100)'!G22</f>
        <v>133.404676247294</v>
      </c>
      <c r="F23" s="364" t="n">
        <f aca="false">+B23*E23/100</f>
        <v>47.0692875332799</v>
      </c>
      <c r="G23" s="364" t="n">
        <f aca="false">+C23*E23/100</f>
        <v>26.2851235750331</v>
      </c>
      <c r="H23" s="365" t="n">
        <f aca="false">+D23*E23/100</f>
        <v>40.141232880531</v>
      </c>
      <c r="I23" s="366" t="n">
        <f aca="false">+H23+$I$10</f>
        <v>43.641232880531</v>
      </c>
    </row>
    <row r="24" customFormat="false" ht="12.75" hidden="false" customHeight="false" outlineLevel="0" collapsed="false">
      <c r="A24" s="361" t="n">
        <f aca="false">+A23+1</f>
        <v>2013</v>
      </c>
      <c r="B24" s="363" t="n">
        <v>35.4385552289299</v>
      </c>
      <c r="C24" s="363" t="n">
        <v>19.6047</v>
      </c>
      <c r="D24" s="363" t="n">
        <v>30.1606034859533</v>
      </c>
      <c r="E24" s="359" t="n">
        <f aca="false">+'PACE CPI (1998=100)'!G23</f>
        <v>136.272876786611</v>
      </c>
      <c r="F24" s="364" t="n">
        <f aca="false">+B24*E24/100</f>
        <v>48.2931387020748</v>
      </c>
      <c r="G24" s="364" t="n">
        <f aca="false">+C24*E24/100</f>
        <v>26.7158886753848</v>
      </c>
      <c r="H24" s="365" t="n">
        <f aca="false">+D24*E24/100</f>
        <v>41.1007220265115</v>
      </c>
      <c r="I24" s="366" t="n">
        <f aca="false">+H24+$I$10</f>
        <v>44.6007220265115</v>
      </c>
    </row>
    <row r="25" customFormat="false" ht="12.75" hidden="false" customHeight="false" outlineLevel="0" collapsed="false">
      <c r="A25" s="361" t="n">
        <f aca="false">+A24+1</f>
        <v>2014</v>
      </c>
      <c r="B25" s="363" t="n">
        <v>36.3425180815898</v>
      </c>
      <c r="C25" s="363" t="n">
        <v>19.8505</v>
      </c>
      <c r="D25" s="363" t="n">
        <v>30.8451787210599</v>
      </c>
      <c r="E25" s="359" t="n">
        <f aca="false">+'PACE CPI (1998=100)'!G24</f>
        <v>139.202743637523</v>
      </c>
      <c r="F25" s="364" t="n">
        <f aca="false">+B25*E25/100</f>
        <v>50.589782276536</v>
      </c>
      <c r="G25" s="364" t="n">
        <f aca="false">+C25*E25/100</f>
        <v>27.6324406257666</v>
      </c>
      <c r="H25" s="365" t="n">
        <f aca="false">+D25*E25/100</f>
        <v>42.9373350596128</v>
      </c>
      <c r="I25" s="366" t="n">
        <f aca="false">+H25+$I$10</f>
        <v>46.4373350596128</v>
      </c>
    </row>
    <row r="26" customFormat="false" ht="12.75" hidden="false" customHeight="false" outlineLevel="0" collapsed="false">
      <c r="A26" s="361" t="n">
        <f aca="false">+A25+1</f>
        <v>2015</v>
      </c>
      <c r="B26" s="363" t="n">
        <v>34.3813288594422</v>
      </c>
      <c r="C26" s="363" t="n">
        <v>19.077</v>
      </c>
      <c r="D26" s="363" t="n">
        <v>29.2798859062948</v>
      </c>
      <c r="E26" s="359" t="n">
        <f aca="false">+'PACE CPI (1998=100)'!G25</f>
        <v>142.19560262573</v>
      </c>
      <c r="F26" s="364" t="n">
        <f aca="false">+B26*E26/100</f>
        <v>48.8887377624179</v>
      </c>
      <c r="G26" s="364" t="n">
        <f aca="false">+C26*E26/100</f>
        <v>27.1266551129105</v>
      </c>
      <c r="H26" s="365" t="n">
        <f aca="false">+D26*E26/100</f>
        <v>41.6347102125821</v>
      </c>
      <c r="I26" s="366" t="n">
        <f aca="false">+H26+$I$10</f>
        <v>45.1347102125821</v>
      </c>
    </row>
    <row r="27" customFormat="false" ht="12.75" hidden="false" customHeight="false" outlineLevel="0" collapsed="false">
      <c r="A27" s="361" t="n">
        <f aca="false">+A26+1</f>
        <v>2016</v>
      </c>
      <c r="B27" s="363" t="n">
        <v>34.2771457925512</v>
      </c>
      <c r="C27" s="363" t="n">
        <v>19.0124</v>
      </c>
      <c r="D27" s="363" t="n">
        <v>29.1888971950341</v>
      </c>
      <c r="E27" s="359" t="n">
        <f aca="false">+'PACE CPI (1998=100)'!G26</f>
        <v>145.537199287435</v>
      </c>
      <c r="F27" s="364" t="n">
        <f aca="false">+B27*E27/100</f>
        <v>49.8859979821498</v>
      </c>
      <c r="G27" s="364" t="n">
        <f aca="false">+C27*E27/100</f>
        <v>27.6701144773242</v>
      </c>
      <c r="H27" s="365" t="n">
        <f aca="false">+D27*E27/100</f>
        <v>42.4807034805413</v>
      </c>
      <c r="I27" s="366" t="n">
        <f aca="false">+H27+$I$10</f>
        <v>45.9807034805413</v>
      </c>
    </row>
    <row r="28" customFormat="false" ht="12.75" hidden="false" customHeight="false" outlineLevel="0" collapsed="false">
      <c r="A28" s="361" t="n">
        <f aca="false">+A27+1</f>
        <v>2017</v>
      </c>
      <c r="B28" s="363" t="n">
        <v>33.8319255503821</v>
      </c>
      <c r="C28" s="363" t="n">
        <v>19.3799</v>
      </c>
      <c r="D28" s="363" t="n">
        <v>29.0145837002547</v>
      </c>
      <c r="E28" s="359" t="n">
        <f aca="false">+'PACE CPI (1998=100)'!G27</f>
        <v>148.957323470689</v>
      </c>
      <c r="F28" s="364" t="n">
        <f aca="false">+B28*E28/100</f>
        <v>50.3951307784454</v>
      </c>
      <c r="G28" s="364" t="n">
        <f aca="false">+C28*E28/100</f>
        <v>28.8677803312961</v>
      </c>
      <c r="H28" s="365" t="n">
        <f aca="false">+D28*E28/100</f>
        <v>43.2193472960623</v>
      </c>
      <c r="I28" s="366" t="n">
        <f aca="false">+H28+$I$10</f>
        <v>46.7193472960623</v>
      </c>
    </row>
    <row r="29" customFormat="false" ht="12.75" hidden="false" customHeight="false" outlineLevel="0" collapsed="false">
      <c r="A29" s="361" t="n">
        <f aca="false">+A28+1</f>
        <v>2018</v>
      </c>
      <c r="B29" s="363" t="n">
        <v>33.4303397901228</v>
      </c>
      <c r="C29" s="363" t="n">
        <v>19.3104</v>
      </c>
      <c r="D29" s="363" t="n">
        <v>28.7236931934152</v>
      </c>
      <c r="E29" s="359" t="n">
        <f aca="false">+'PACE CPI (1998=100)'!G28</f>
        <v>152.457820572251</v>
      </c>
      <c r="F29" s="364" t="n">
        <f aca="false">+B29*E29/100</f>
        <v>50.9671674539191</v>
      </c>
      <c r="G29" s="364" t="n">
        <f aca="false">+C29*E29/100</f>
        <v>29.4402149837839</v>
      </c>
      <c r="H29" s="365" t="n">
        <f aca="false">+D29*E29/100</f>
        <v>43.7915166305407</v>
      </c>
      <c r="I29" s="366" t="n">
        <f aca="false">+H29+$I$10</f>
        <v>47.2915166305407</v>
      </c>
    </row>
    <row r="30" customFormat="false" ht="12.75" hidden="false" customHeight="false" outlineLevel="0" collapsed="false">
      <c r="A30" s="361" t="n">
        <f aca="false">+A29+1</f>
        <v>2019</v>
      </c>
      <c r="B30" s="363" t="n">
        <v>33.989848719541</v>
      </c>
      <c r="C30" s="363" t="n">
        <v>19.3375</v>
      </c>
      <c r="D30" s="363" t="n">
        <v>29.105732479694</v>
      </c>
      <c r="E30" s="359" t="n">
        <f aca="false">+'PACE CPI (1998=100)'!G29</f>
        <v>156.040579355698</v>
      </c>
      <c r="F30" s="364" t="n">
        <f aca="false">+B30*E30/100</f>
        <v>53.0379568640973</v>
      </c>
      <c r="G30" s="364" t="n">
        <f aca="false">+C30*E30/100</f>
        <v>30.1743470329082</v>
      </c>
      <c r="H30" s="365" t="n">
        <f aca="false">+D30*E30/100</f>
        <v>45.4167535870342</v>
      </c>
      <c r="I30" s="366" t="n">
        <f aca="false">+H30+$I$10</f>
        <v>48.9167535870342</v>
      </c>
    </row>
    <row r="31" customFormat="false" ht="13.5" hidden="false" customHeight="false" outlineLevel="0" collapsed="false">
      <c r="A31" s="367" t="n">
        <f aca="false">+A30+1</f>
        <v>2020</v>
      </c>
      <c r="B31" s="368" t="n">
        <v>34.7821060003189</v>
      </c>
      <c r="C31" s="368" t="n">
        <v>19.2287</v>
      </c>
      <c r="D31" s="368" t="n">
        <v>29.5976373335459</v>
      </c>
      <c r="E31" s="369" t="n">
        <f aca="false">+'PACE CPI (1998=100)'!G30</f>
        <v>159.707532970557</v>
      </c>
      <c r="F31" s="370" t="n">
        <f aca="false">+B31*E31/100</f>
        <v>55.5496434083135</v>
      </c>
      <c r="G31" s="370" t="n">
        <f aca="false">+C31*E31/100</f>
        <v>30.7096823923096</v>
      </c>
      <c r="H31" s="371" t="n">
        <f aca="false">+D31*E31/100</f>
        <v>47.2696564029788</v>
      </c>
      <c r="I31" s="372" t="n">
        <f aca="false">+H31+$I$10</f>
        <v>50.7696564029788</v>
      </c>
    </row>
    <row r="32" customFormat="false" ht="12.75" hidden="false" customHeight="false" outlineLevel="0" collapsed="false">
      <c r="A32" s="373"/>
      <c r="B32" s="374"/>
      <c r="C32" s="374"/>
      <c r="D32" s="374"/>
      <c r="J32" s="375"/>
      <c r="K32" s="375"/>
      <c r="L32" s="375"/>
      <c r="M32" s="375"/>
      <c r="N32" s="375"/>
      <c r="O32" s="375"/>
      <c r="P32" s="375"/>
      <c r="Q32" s="375"/>
      <c r="R32" s="375"/>
      <c r="S32" s="375"/>
      <c r="T32" s="375"/>
      <c r="U32" s="375"/>
      <c r="V32" s="375"/>
      <c r="W32" s="375"/>
      <c r="X32" s="375"/>
      <c r="Y32" s="375"/>
      <c r="Z32" s="375"/>
      <c r="AA32" s="375"/>
    </row>
    <row r="33" customFormat="false" ht="11.25" hidden="false" customHeight="false" outlineLevel="0" collapsed="false">
      <c r="B33" s="374"/>
      <c r="C33" s="374"/>
      <c r="D33" s="374"/>
    </row>
    <row r="34" customFormat="false" ht="11.25" hidden="false" customHeight="false" outlineLevel="0" collapsed="false">
      <c r="B34" s="374"/>
      <c r="C34" s="374"/>
      <c r="D34" s="374"/>
    </row>
    <row r="35" customFormat="false" ht="11.25" hidden="false" customHeight="false" outlineLevel="0" collapsed="false">
      <c r="B35" s="374"/>
      <c r="C35" s="374"/>
      <c r="D35" s="374"/>
    </row>
    <row r="36" customFormat="false" ht="11.25" hidden="false" customHeight="false" outlineLevel="0" collapsed="false">
      <c r="B36" s="374"/>
      <c r="C36" s="374"/>
      <c r="D36" s="374"/>
    </row>
  </sheetData>
  <printOptions headings="false" gridLines="false" gridLinesSet="true" horizontalCentered="true" verticalCentered="false"/>
  <pageMargins left="0.747916666666667" right="0.747916666666667" top="0.75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&amp;L&amp;F, &amp;A&amp;CPage &amp;P of 1&amp;R&amp;D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3" activeCellId="0" sqref="A3:IV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76" width="6.28"/>
    <col collapsed="false" customWidth="true" hidden="false" outlineLevel="0" max="13" min="2" style="376" width="6.85"/>
    <col collapsed="false" customWidth="true" hidden="false" outlineLevel="0" max="14" min="14" style="376" width="10.28"/>
    <col collapsed="false" customWidth="true" hidden="false" outlineLevel="0" max="26" min="15" style="376" width="6.85"/>
    <col collapsed="false" customWidth="true" hidden="false" outlineLevel="0" max="27" min="27" style="376" width="10.28"/>
    <col collapsed="false" customWidth="false" hidden="false" outlineLevel="0" max="257" min="28" style="376" width="9.14"/>
  </cols>
  <sheetData>
    <row r="1" customFormat="false" ht="18.75" hidden="false" customHeight="false" outlineLevel="0" collapsed="false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 t="s">
        <v>1</v>
      </c>
      <c r="AA1" s="4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</row>
    <row r="2" customFormat="false" ht="18.75" hidden="false" customHeight="true" outlineLevel="0" collapsed="false">
      <c r="A2" s="6" t="s">
        <v>328</v>
      </c>
      <c r="B2" s="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8" t="s">
        <v>3</v>
      </c>
      <c r="AA2" s="8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</row>
    <row r="3" customFormat="false" ht="12" hidden="false" customHeight="false" outlineLevel="0" collapsed="false">
      <c r="A3" s="339"/>
      <c r="B3" s="339"/>
      <c r="C3" s="339"/>
      <c r="D3" s="339"/>
      <c r="E3" s="339"/>
      <c r="F3" s="339"/>
      <c r="G3" s="339"/>
      <c r="H3" s="339"/>
      <c r="I3" s="339"/>
      <c r="J3" s="339"/>
      <c r="K3" s="339"/>
      <c r="L3" s="339"/>
      <c r="M3" s="339"/>
      <c r="N3" s="339"/>
      <c r="O3" s="339"/>
      <c r="P3" s="339"/>
      <c r="Q3" s="339"/>
      <c r="R3" s="339"/>
      <c r="S3" s="339"/>
      <c r="T3" s="339"/>
      <c r="U3" s="339"/>
      <c r="V3" s="339"/>
      <c r="W3" s="339"/>
      <c r="X3" s="339"/>
      <c r="Y3" s="339"/>
      <c r="Z3" s="339"/>
      <c r="AA3" s="339"/>
      <c r="AB3" s="339"/>
      <c r="AC3" s="339"/>
      <c r="AD3" s="339"/>
      <c r="AE3" s="339"/>
      <c r="AF3" s="339"/>
      <c r="AG3" s="339"/>
      <c r="AH3" s="339"/>
      <c r="AI3" s="339"/>
      <c r="AJ3" s="339"/>
      <c r="AK3" s="339"/>
      <c r="AL3" s="339"/>
      <c r="AM3" s="339"/>
      <c r="AN3" s="339"/>
      <c r="AO3" s="339"/>
      <c r="AP3" s="339"/>
      <c r="AQ3" s="339"/>
      <c r="AR3" s="339"/>
      <c r="AS3" s="339"/>
      <c r="AT3" s="339"/>
      <c r="AU3" s="339"/>
      <c r="AV3" s="339"/>
      <c r="AW3" s="339"/>
      <c r="AX3" s="339"/>
      <c r="AY3" s="339"/>
      <c r="AZ3" s="339"/>
      <c r="BA3" s="339"/>
      <c r="BB3" s="339"/>
      <c r="BC3" s="339"/>
      <c r="BD3" s="339"/>
      <c r="BE3" s="339"/>
      <c r="BF3" s="339"/>
      <c r="BG3" s="339"/>
      <c r="BH3" s="339"/>
      <c r="BI3" s="339"/>
      <c r="BJ3" s="339"/>
      <c r="BK3" s="339"/>
      <c r="BL3" s="339"/>
      <c r="BM3" s="339"/>
      <c r="BN3" s="339"/>
      <c r="BO3" s="339"/>
      <c r="BP3" s="339"/>
      <c r="BQ3" s="339"/>
      <c r="BR3" s="339"/>
      <c r="BS3" s="339"/>
      <c r="BT3" s="339"/>
      <c r="BU3" s="339"/>
      <c r="BV3" s="339"/>
      <c r="BW3" s="339"/>
      <c r="BX3" s="339"/>
      <c r="BY3" s="339"/>
      <c r="BZ3" s="339"/>
      <c r="CA3" s="339"/>
      <c r="CB3" s="339"/>
      <c r="CC3" s="339"/>
      <c r="CD3" s="339"/>
      <c r="CE3" s="339"/>
      <c r="CF3" s="339"/>
      <c r="CG3" s="339"/>
      <c r="CH3" s="339"/>
      <c r="CI3" s="339"/>
      <c r="CJ3" s="339"/>
      <c r="CK3" s="339"/>
      <c r="CL3" s="339"/>
      <c r="CM3" s="339"/>
      <c r="CN3" s="339"/>
      <c r="CO3" s="339"/>
      <c r="CP3" s="339"/>
      <c r="CQ3" s="339"/>
      <c r="CR3" s="339"/>
      <c r="CS3" s="339"/>
      <c r="CT3" s="339"/>
      <c r="CU3" s="339"/>
      <c r="CV3" s="339"/>
      <c r="CW3" s="339"/>
      <c r="CX3" s="339"/>
      <c r="CY3" s="339"/>
      <c r="CZ3" s="339"/>
      <c r="DA3" s="339"/>
      <c r="DB3" s="339"/>
      <c r="DC3" s="339"/>
      <c r="DD3" s="339"/>
      <c r="DE3" s="339"/>
      <c r="DF3" s="339"/>
      <c r="DG3" s="339"/>
      <c r="DH3" s="339"/>
      <c r="DI3" s="339"/>
      <c r="DJ3" s="339"/>
      <c r="DK3" s="339"/>
      <c r="DL3" s="339"/>
      <c r="DM3" s="339"/>
      <c r="DN3" s="339"/>
      <c r="DO3" s="339"/>
      <c r="DP3" s="339"/>
      <c r="DQ3" s="339"/>
      <c r="DR3" s="339"/>
      <c r="DS3" s="339"/>
      <c r="DT3" s="339"/>
      <c r="DU3" s="339"/>
      <c r="DV3" s="339"/>
      <c r="DW3" s="339"/>
      <c r="DX3" s="339"/>
      <c r="DY3" s="339"/>
      <c r="DZ3" s="339"/>
      <c r="EA3" s="339"/>
      <c r="EB3" s="339"/>
      <c r="EC3" s="339"/>
      <c r="ED3" s="339"/>
      <c r="EE3" s="339"/>
      <c r="EF3" s="339"/>
      <c r="EG3" s="339"/>
      <c r="EH3" s="339"/>
      <c r="EI3" s="339"/>
      <c r="EJ3" s="339"/>
      <c r="EK3" s="339"/>
      <c r="EL3" s="339"/>
      <c r="EM3" s="339"/>
      <c r="EN3" s="339"/>
      <c r="EO3" s="339"/>
      <c r="EP3" s="339"/>
      <c r="EQ3" s="339"/>
      <c r="ER3" s="339"/>
      <c r="ES3" s="339"/>
      <c r="ET3" s="339"/>
      <c r="EU3" s="339"/>
      <c r="EV3" s="339"/>
      <c r="EW3" s="339"/>
      <c r="EX3" s="339"/>
      <c r="EY3" s="339"/>
      <c r="EZ3" s="339"/>
      <c r="FA3" s="339"/>
      <c r="FB3" s="339"/>
      <c r="FC3" s="339"/>
      <c r="FD3" s="339"/>
      <c r="FE3" s="339"/>
      <c r="FF3" s="339"/>
      <c r="FG3" s="339"/>
      <c r="FH3" s="339"/>
      <c r="FI3" s="339"/>
      <c r="FJ3" s="339"/>
      <c r="FK3" s="339"/>
      <c r="FL3" s="339"/>
      <c r="FM3" s="339"/>
      <c r="FN3" s="339"/>
      <c r="FO3" s="339"/>
      <c r="FP3" s="339"/>
      <c r="FQ3" s="339"/>
      <c r="FR3" s="339"/>
      <c r="FS3" s="339"/>
      <c r="FT3" s="339"/>
      <c r="FU3" s="339"/>
      <c r="FV3" s="339"/>
      <c r="FW3" s="339"/>
      <c r="FX3" s="339"/>
      <c r="FY3" s="339"/>
      <c r="FZ3" s="339"/>
      <c r="GA3" s="339"/>
      <c r="GB3" s="339"/>
      <c r="GC3" s="339"/>
      <c r="GD3" s="339"/>
      <c r="GE3" s="339"/>
      <c r="GF3" s="339"/>
      <c r="GG3" s="339"/>
      <c r="GH3" s="339"/>
      <c r="GI3" s="339"/>
      <c r="GJ3" s="339"/>
      <c r="GK3" s="339"/>
      <c r="GL3" s="339"/>
      <c r="GM3" s="339"/>
      <c r="GN3" s="339"/>
      <c r="GO3" s="339"/>
      <c r="GP3" s="339"/>
      <c r="GQ3" s="339"/>
      <c r="GR3" s="339"/>
      <c r="GS3" s="339"/>
      <c r="GT3" s="339"/>
      <c r="GU3" s="339"/>
      <c r="GV3" s="339"/>
      <c r="GW3" s="339"/>
      <c r="GX3" s="339"/>
      <c r="GY3" s="339"/>
      <c r="GZ3" s="339"/>
      <c r="HA3" s="339"/>
      <c r="HB3" s="339"/>
      <c r="HC3" s="339"/>
      <c r="HD3" s="339"/>
      <c r="HE3" s="339"/>
      <c r="HF3" s="339"/>
      <c r="HG3" s="339"/>
      <c r="HH3" s="339"/>
      <c r="HI3" s="339"/>
      <c r="HJ3" s="339"/>
      <c r="HK3" s="339"/>
      <c r="HL3" s="339"/>
      <c r="HM3" s="339"/>
      <c r="HN3" s="339"/>
      <c r="HO3" s="339"/>
      <c r="HP3" s="339"/>
      <c r="HQ3" s="339"/>
      <c r="HR3" s="339"/>
      <c r="HS3" s="339"/>
      <c r="HT3" s="339"/>
      <c r="HU3" s="339"/>
      <c r="HV3" s="339"/>
      <c r="HW3" s="339"/>
      <c r="HX3" s="339"/>
      <c r="HY3" s="339"/>
      <c r="HZ3" s="339"/>
      <c r="IA3" s="339"/>
      <c r="IB3" s="339"/>
      <c r="IC3" s="339"/>
      <c r="ID3" s="339"/>
      <c r="IE3" s="339"/>
      <c r="IF3" s="339"/>
      <c r="IG3" s="339"/>
      <c r="IH3" s="339"/>
      <c r="II3" s="339"/>
      <c r="IJ3" s="339"/>
      <c r="IK3" s="339"/>
      <c r="IL3" s="339"/>
      <c r="IM3" s="339"/>
      <c r="IN3" s="339"/>
      <c r="IO3" s="339"/>
      <c r="IP3" s="339"/>
      <c r="IQ3" s="339"/>
      <c r="IR3" s="339"/>
      <c r="IS3" s="339"/>
      <c r="IT3" s="339"/>
      <c r="IU3" s="339"/>
      <c r="IV3" s="339"/>
      <c r="IW3" s="339"/>
    </row>
    <row r="4" customFormat="false" ht="12" hidden="false" customHeight="false" outlineLevel="0" collapsed="false">
      <c r="A4" s="377"/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  <c r="Z4" s="377"/>
      <c r="AA4" s="377"/>
      <c r="AB4" s="377"/>
      <c r="AC4" s="377"/>
      <c r="AD4" s="377"/>
      <c r="AE4" s="377"/>
      <c r="AF4" s="377"/>
      <c r="AG4" s="377"/>
      <c r="AH4" s="377"/>
      <c r="AI4" s="377"/>
      <c r="AJ4" s="377"/>
      <c r="AK4" s="377"/>
      <c r="AL4" s="377"/>
      <c r="AM4" s="377"/>
      <c r="AN4" s="377"/>
      <c r="AO4" s="377"/>
      <c r="AP4" s="377"/>
      <c r="AQ4" s="377"/>
      <c r="AR4" s="377"/>
      <c r="AS4" s="377"/>
      <c r="AT4" s="377"/>
      <c r="AU4" s="377"/>
      <c r="AV4" s="377"/>
      <c r="AW4" s="377"/>
      <c r="AX4" s="377"/>
      <c r="AY4" s="377"/>
      <c r="AZ4" s="377"/>
      <c r="BA4" s="377"/>
      <c r="BB4" s="377"/>
      <c r="BC4" s="377"/>
      <c r="BD4" s="377"/>
      <c r="BE4" s="377"/>
      <c r="BF4" s="377"/>
      <c r="BG4" s="377"/>
      <c r="BH4" s="377"/>
      <c r="BI4" s="377"/>
      <c r="BJ4" s="377"/>
      <c r="BK4" s="377"/>
      <c r="BL4" s="377"/>
      <c r="BM4" s="377"/>
      <c r="BN4" s="377"/>
      <c r="BO4" s="377"/>
      <c r="BP4" s="377"/>
      <c r="BQ4" s="377"/>
      <c r="BR4" s="377"/>
      <c r="BS4" s="377"/>
      <c r="BT4" s="377"/>
      <c r="BU4" s="377"/>
      <c r="BV4" s="377"/>
      <c r="BW4" s="377"/>
      <c r="BX4" s="377"/>
      <c r="BY4" s="377"/>
      <c r="BZ4" s="377"/>
      <c r="CA4" s="377"/>
      <c r="CB4" s="377"/>
      <c r="CC4" s="377"/>
      <c r="CD4" s="377"/>
      <c r="CE4" s="377"/>
      <c r="CF4" s="377"/>
      <c r="CG4" s="377"/>
      <c r="CH4" s="377"/>
      <c r="CI4" s="377"/>
      <c r="CJ4" s="377"/>
      <c r="CK4" s="377"/>
      <c r="CL4" s="377"/>
      <c r="CM4" s="377"/>
      <c r="CN4" s="377"/>
      <c r="CO4" s="377"/>
      <c r="CP4" s="377"/>
      <c r="CQ4" s="377"/>
      <c r="CR4" s="377"/>
      <c r="CS4" s="377"/>
      <c r="CT4" s="377"/>
      <c r="CU4" s="377"/>
      <c r="CV4" s="377"/>
      <c r="CW4" s="377"/>
      <c r="CX4" s="377"/>
      <c r="CY4" s="377"/>
      <c r="CZ4" s="377"/>
      <c r="DA4" s="377"/>
      <c r="DB4" s="377"/>
      <c r="DC4" s="377"/>
      <c r="DD4" s="377"/>
      <c r="DE4" s="377"/>
      <c r="DF4" s="377"/>
      <c r="DG4" s="377"/>
      <c r="DH4" s="377"/>
      <c r="DI4" s="377"/>
      <c r="DJ4" s="377"/>
      <c r="DK4" s="377"/>
      <c r="DL4" s="377"/>
      <c r="DM4" s="377"/>
      <c r="DN4" s="377"/>
      <c r="DO4" s="377"/>
      <c r="DP4" s="377"/>
      <c r="DQ4" s="377"/>
      <c r="DR4" s="377"/>
      <c r="DS4" s="377"/>
      <c r="DT4" s="377"/>
      <c r="DU4" s="377"/>
      <c r="DV4" s="377"/>
      <c r="DW4" s="377"/>
      <c r="DX4" s="377"/>
      <c r="DY4" s="377"/>
      <c r="DZ4" s="377"/>
      <c r="EA4" s="377"/>
      <c r="EB4" s="377"/>
      <c r="EC4" s="377"/>
      <c r="ED4" s="377"/>
      <c r="EE4" s="377"/>
      <c r="EF4" s="377"/>
      <c r="EG4" s="377"/>
      <c r="EH4" s="377"/>
      <c r="EI4" s="377"/>
      <c r="EJ4" s="377"/>
      <c r="EK4" s="377"/>
      <c r="EL4" s="377"/>
      <c r="EM4" s="377"/>
      <c r="EN4" s="377"/>
      <c r="EO4" s="377"/>
      <c r="EP4" s="377"/>
      <c r="EQ4" s="377"/>
      <c r="ER4" s="377"/>
      <c r="ES4" s="377"/>
      <c r="ET4" s="377"/>
      <c r="EU4" s="377"/>
      <c r="EV4" s="377"/>
      <c r="EW4" s="377"/>
      <c r="EX4" s="377"/>
      <c r="EY4" s="377"/>
      <c r="EZ4" s="377"/>
      <c r="FA4" s="377"/>
      <c r="FB4" s="377"/>
      <c r="FC4" s="377"/>
      <c r="FD4" s="377"/>
      <c r="FE4" s="377"/>
      <c r="FF4" s="377"/>
      <c r="FG4" s="377"/>
      <c r="FH4" s="377"/>
      <c r="FI4" s="377"/>
      <c r="FJ4" s="377"/>
      <c r="FK4" s="377"/>
      <c r="FL4" s="377"/>
      <c r="FM4" s="377"/>
      <c r="FN4" s="377"/>
      <c r="FO4" s="377"/>
      <c r="FP4" s="377"/>
      <c r="FQ4" s="377"/>
      <c r="FR4" s="377"/>
      <c r="FS4" s="377"/>
      <c r="FT4" s="377"/>
      <c r="FU4" s="377"/>
      <c r="FV4" s="377"/>
      <c r="FW4" s="377"/>
      <c r="FX4" s="377"/>
      <c r="FY4" s="377"/>
      <c r="FZ4" s="377"/>
      <c r="GA4" s="377"/>
      <c r="GB4" s="377"/>
      <c r="GC4" s="377"/>
      <c r="GD4" s="377"/>
      <c r="GE4" s="377"/>
      <c r="GF4" s="377"/>
      <c r="GG4" s="377"/>
      <c r="GH4" s="377"/>
      <c r="GI4" s="377"/>
      <c r="GJ4" s="377"/>
      <c r="GK4" s="377"/>
      <c r="GL4" s="377"/>
      <c r="GM4" s="377"/>
      <c r="GN4" s="377"/>
      <c r="GO4" s="377"/>
      <c r="GP4" s="377"/>
      <c r="GQ4" s="377"/>
      <c r="GR4" s="377"/>
      <c r="GS4" s="377"/>
      <c r="GT4" s="377"/>
      <c r="GU4" s="377"/>
      <c r="GV4" s="377"/>
      <c r="GW4" s="377"/>
      <c r="GX4" s="377"/>
      <c r="GY4" s="377"/>
      <c r="GZ4" s="377"/>
      <c r="HA4" s="377"/>
      <c r="HB4" s="377"/>
      <c r="HC4" s="377"/>
      <c r="HD4" s="377"/>
      <c r="HE4" s="377"/>
      <c r="HF4" s="377"/>
      <c r="HG4" s="377"/>
      <c r="HH4" s="377"/>
      <c r="HI4" s="377"/>
      <c r="HJ4" s="377"/>
      <c r="HK4" s="377"/>
      <c r="HL4" s="377"/>
      <c r="HM4" s="377"/>
      <c r="HN4" s="377"/>
      <c r="HO4" s="377"/>
      <c r="HP4" s="377"/>
      <c r="HQ4" s="377"/>
      <c r="HR4" s="377"/>
      <c r="HS4" s="377"/>
      <c r="HT4" s="377"/>
      <c r="HU4" s="377"/>
      <c r="HV4" s="377"/>
      <c r="HW4" s="377"/>
      <c r="HX4" s="377"/>
      <c r="HY4" s="377"/>
      <c r="HZ4" s="377"/>
      <c r="IA4" s="377"/>
      <c r="IB4" s="377"/>
      <c r="IC4" s="377"/>
      <c r="ID4" s="377"/>
      <c r="IE4" s="377"/>
      <c r="IF4" s="377"/>
      <c r="IG4" s="377"/>
      <c r="IH4" s="377"/>
      <c r="II4" s="377"/>
      <c r="IJ4" s="377"/>
      <c r="IK4" s="377"/>
      <c r="IL4" s="377"/>
      <c r="IM4" s="377"/>
      <c r="IN4" s="377"/>
      <c r="IO4" s="377"/>
      <c r="IP4" s="377"/>
      <c r="IQ4" s="377"/>
      <c r="IR4" s="377"/>
      <c r="IS4" s="377"/>
      <c r="IT4" s="377"/>
      <c r="IU4" s="377"/>
      <c r="IV4" s="377"/>
      <c r="IW4" s="377"/>
    </row>
    <row r="5" customFormat="false" ht="12" hidden="false" customHeight="false" outlineLevel="0" collapsed="false">
      <c r="A5" s="377"/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  <c r="Z5" s="377"/>
      <c r="AA5" s="377"/>
      <c r="AB5" s="377"/>
      <c r="AC5" s="377"/>
      <c r="AD5" s="377"/>
      <c r="AE5" s="377"/>
      <c r="AF5" s="377"/>
      <c r="AG5" s="377"/>
      <c r="AH5" s="377"/>
      <c r="AI5" s="377"/>
      <c r="AJ5" s="377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7"/>
      <c r="BD5" s="377"/>
      <c r="BE5" s="377"/>
      <c r="BF5" s="377"/>
      <c r="BG5" s="377"/>
      <c r="BH5" s="377"/>
      <c r="BI5" s="377"/>
      <c r="BJ5" s="377"/>
      <c r="BK5" s="377"/>
      <c r="BL5" s="377"/>
      <c r="BM5" s="377"/>
      <c r="BN5" s="377"/>
      <c r="BO5" s="377"/>
      <c r="BP5" s="377"/>
      <c r="BQ5" s="377"/>
      <c r="BR5" s="377"/>
      <c r="BS5" s="377"/>
      <c r="BT5" s="377"/>
      <c r="BU5" s="377"/>
      <c r="BV5" s="377"/>
      <c r="BW5" s="377"/>
      <c r="BX5" s="377"/>
      <c r="BY5" s="377"/>
      <c r="BZ5" s="377"/>
      <c r="CA5" s="377"/>
      <c r="CB5" s="377"/>
      <c r="CC5" s="377"/>
      <c r="CD5" s="377"/>
      <c r="CE5" s="377"/>
      <c r="CF5" s="377"/>
      <c r="CG5" s="377"/>
      <c r="CH5" s="377"/>
      <c r="CI5" s="377"/>
      <c r="CJ5" s="377"/>
      <c r="CK5" s="377"/>
      <c r="CL5" s="377"/>
      <c r="CM5" s="377"/>
      <c r="CN5" s="377"/>
      <c r="CO5" s="377"/>
      <c r="CP5" s="377"/>
      <c r="CQ5" s="377"/>
      <c r="CR5" s="377"/>
      <c r="CS5" s="377"/>
      <c r="CT5" s="377"/>
      <c r="CU5" s="377"/>
      <c r="CV5" s="377"/>
      <c r="CW5" s="377"/>
      <c r="CX5" s="377"/>
      <c r="CY5" s="377"/>
      <c r="CZ5" s="377"/>
      <c r="DA5" s="377"/>
      <c r="DB5" s="377"/>
      <c r="DC5" s="377"/>
      <c r="DD5" s="377"/>
      <c r="DE5" s="377"/>
      <c r="DF5" s="377"/>
      <c r="DG5" s="377"/>
      <c r="DH5" s="377"/>
      <c r="DI5" s="377"/>
      <c r="DJ5" s="377"/>
      <c r="DK5" s="377"/>
      <c r="DL5" s="377"/>
      <c r="DM5" s="377"/>
      <c r="DN5" s="377"/>
      <c r="DO5" s="377"/>
      <c r="DP5" s="377"/>
      <c r="DQ5" s="377"/>
      <c r="DR5" s="377"/>
      <c r="DS5" s="377"/>
      <c r="DT5" s="377"/>
      <c r="DU5" s="377"/>
      <c r="DV5" s="377"/>
      <c r="DW5" s="377"/>
      <c r="DX5" s="377"/>
      <c r="DY5" s="377"/>
      <c r="DZ5" s="377"/>
      <c r="EA5" s="377"/>
      <c r="EB5" s="377"/>
      <c r="EC5" s="377"/>
      <c r="ED5" s="377"/>
      <c r="EE5" s="377"/>
      <c r="EF5" s="377"/>
      <c r="EG5" s="377"/>
      <c r="EH5" s="377"/>
      <c r="EI5" s="377"/>
      <c r="EJ5" s="377"/>
      <c r="EK5" s="377"/>
      <c r="EL5" s="377"/>
      <c r="EM5" s="377"/>
      <c r="EN5" s="377"/>
      <c r="EO5" s="377"/>
      <c r="EP5" s="377"/>
      <c r="EQ5" s="377"/>
      <c r="ER5" s="377"/>
      <c r="ES5" s="377"/>
      <c r="ET5" s="377"/>
      <c r="EU5" s="377"/>
      <c r="EV5" s="377"/>
      <c r="EW5" s="377"/>
      <c r="EX5" s="377"/>
      <c r="EY5" s="377"/>
      <c r="EZ5" s="377"/>
      <c r="FA5" s="377"/>
      <c r="FB5" s="377"/>
      <c r="FC5" s="377"/>
      <c r="FD5" s="377"/>
      <c r="FE5" s="377"/>
      <c r="FF5" s="377"/>
      <c r="FG5" s="377"/>
      <c r="FH5" s="377"/>
      <c r="FI5" s="377"/>
      <c r="FJ5" s="377"/>
      <c r="FK5" s="377"/>
      <c r="FL5" s="377"/>
      <c r="FM5" s="377"/>
      <c r="FN5" s="377"/>
      <c r="FO5" s="377"/>
      <c r="FP5" s="377"/>
      <c r="FQ5" s="377"/>
      <c r="FR5" s="377"/>
      <c r="FS5" s="377"/>
      <c r="FT5" s="377"/>
      <c r="FU5" s="377"/>
      <c r="FV5" s="377"/>
      <c r="FW5" s="377"/>
      <c r="FX5" s="377"/>
      <c r="FY5" s="377"/>
      <c r="FZ5" s="377"/>
      <c r="GA5" s="377"/>
      <c r="GB5" s="377"/>
      <c r="GC5" s="377"/>
      <c r="GD5" s="377"/>
      <c r="GE5" s="377"/>
      <c r="GF5" s="377"/>
      <c r="GG5" s="377"/>
      <c r="GH5" s="377"/>
      <c r="GI5" s="377"/>
      <c r="GJ5" s="377"/>
      <c r="GK5" s="377"/>
      <c r="GL5" s="377"/>
      <c r="GM5" s="377"/>
      <c r="GN5" s="377"/>
      <c r="GO5" s="377"/>
      <c r="GP5" s="377"/>
      <c r="GQ5" s="377"/>
      <c r="GR5" s="377"/>
      <c r="GS5" s="377"/>
      <c r="GT5" s="377"/>
      <c r="GU5" s="377"/>
      <c r="GV5" s="377"/>
      <c r="GW5" s="377"/>
      <c r="GX5" s="377"/>
      <c r="GY5" s="377"/>
      <c r="GZ5" s="377"/>
      <c r="HA5" s="377"/>
      <c r="HB5" s="377"/>
      <c r="HC5" s="377"/>
      <c r="HD5" s="377"/>
      <c r="HE5" s="377"/>
      <c r="HF5" s="377"/>
      <c r="HG5" s="377"/>
      <c r="HH5" s="377"/>
      <c r="HI5" s="377"/>
      <c r="HJ5" s="377"/>
      <c r="HK5" s="377"/>
      <c r="HL5" s="377"/>
      <c r="HM5" s="377"/>
      <c r="HN5" s="377"/>
      <c r="HO5" s="377"/>
      <c r="HP5" s="377"/>
      <c r="HQ5" s="377"/>
      <c r="HR5" s="377"/>
      <c r="HS5" s="377"/>
      <c r="HT5" s="377"/>
      <c r="HU5" s="377"/>
      <c r="HV5" s="377"/>
      <c r="HW5" s="377"/>
      <c r="HX5" s="377"/>
      <c r="HY5" s="377"/>
      <c r="HZ5" s="377"/>
      <c r="IA5" s="377"/>
      <c r="IB5" s="377"/>
      <c r="IC5" s="377"/>
      <c r="ID5" s="377"/>
      <c r="IE5" s="377"/>
      <c r="IF5" s="377"/>
      <c r="IG5" s="377"/>
      <c r="IH5" s="377"/>
      <c r="II5" s="377"/>
      <c r="IJ5" s="377"/>
      <c r="IK5" s="377"/>
      <c r="IL5" s="377"/>
      <c r="IM5" s="377"/>
      <c r="IN5" s="377"/>
      <c r="IO5" s="377"/>
      <c r="IP5" s="377"/>
      <c r="IQ5" s="377"/>
      <c r="IR5" s="377"/>
      <c r="IS5" s="377"/>
      <c r="IT5" s="377"/>
      <c r="IU5" s="377"/>
      <c r="IV5" s="377"/>
      <c r="IW5" s="377"/>
    </row>
    <row r="6" customFormat="false" ht="13.5" hidden="false" customHeight="false" outlineLevel="0" collapsed="false">
      <c r="A6" s="378" t="s">
        <v>329</v>
      </c>
      <c r="B6" s="379" t="s">
        <v>339</v>
      </c>
      <c r="C6" s="379"/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80" t="s">
        <v>340</v>
      </c>
      <c r="O6" s="379" t="s">
        <v>341</v>
      </c>
      <c r="P6" s="379"/>
      <c r="Q6" s="379"/>
      <c r="R6" s="379"/>
      <c r="S6" s="379"/>
      <c r="T6" s="379"/>
      <c r="U6" s="379"/>
      <c r="V6" s="379"/>
      <c r="W6" s="379"/>
      <c r="X6" s="379"/>
      <c r="Y6" s="379"/>
      <c r="Z6" s="379"/>
      <c r="AA6" s="381" t="s">
        <v>342</v>
      </c>
      <c r="AB6" s="377"/>
      <c r="AC6" s="377"/>
      <c r="AD6" s="377"/>
      <c r="AE6" s="377"/>
      <c r="AF6" s="377"/>
      <c r="AG6" s="377"/>
      <c r="AH6" s="377"/>
      <c r="AI6" s="377"/>
      <c r="AJ6" s="377"/>
      <c r="AK6" s="377"/>
      <c r="AL6" s="377"/>
      <c r="AM6" s="377"/>
      <c r="AN6" s="377"/>
    </row>
    <row r="7" customFormat="false" ht="13.5" hidden="false" customHeight="false" outlineLevel="0" collapsed="false">
      <c r="A7" s="378"/>
      <c r="B7" s="382" t="s">
        <v>343</v>
      </c>
      <c r="C7" s="382" t="s">
        <v>344</v>
      </c>
      <c r="D7" s="382" t="s">
        <v>345</v>
      </c>
      <c r="E7" s="382" t="s">
        <v>346</v>
      </c>
      <c r="F7" s="382" t="s">
        <v>347</v>
      </c>
      <c r="G7" s="382" t="s">
        <v>348</v>
      </c>
      <c r="H7" s="382" t="s">
        <v>349</v>
      </c>
      <c r="I7" s="382" t="s">
        <v>350</v>
      </c>
      <c r="J7" s="382" t="s">
        <v>351</v>
      </c>
      <c r="K7" s="382" t="s">
        <v>352</v>
      </c>
      <c r="L7" s="382" t="s">
        <v>353</v>
      </c>
      <c r="M7" s="383" t="s">
        <v>354</v>
      </c>
      <c r="N7" s="384" t="s">
        <v>355</v>
      </c>
      <c r="O7" s="379" t="s">
        <v>343</v>
      </c>
      <c r="P7" s="379" t="s">
        <v>344</v>
      </c>
      <c r="Q7" s="379" t="s">
        <v>345</v>
      </c>
      <c r="R7" s="379" t="s">
        <v>346</v>
      </c>
      <c r="S7" s="379" t="s">
        <v>347</v>
      </c>
      <c r="T7" s="379" t="s">
        <v>348</v>
      </c>
      <c r="U7" s="379" t="s">
        <v>349</v>
      </c>
      <c r="V7" s="379" t="s">
        <v>350</v>
      </c>
      <c r="W7" s="379" t="s">
        <v>351</v>
      </c>
      <c r="X7" s="379" t="s">
        <v>352</v>
      </c>
      <c r="Y7" s="379" t="s">
        <v>353</v>
      </c>
      <c r="Z7" s="379" t="s">
        <v>354</v>
      </c>
      <c r="AA7" s="381" t="s">
        <v>356</v>
      </c>
      <c r="AB7" s="377"/>
      <c r="AC7" s="377"/>
      <c r="AD7" s="377"/>
      <c r="AE7" s="377"/>
      <c r="AF7" s="377"/>
      <c r="AG7" s="377"/>
      <c r="AH7" s="377"/>
      <c r="AI7" s="377"/>
      <c r="AJ7" s="377"/>
      <c r="AK7" s="377"/>
      <c r="AL7" s="377"/>
      <c r="AM7" s="377"/>
      <c r="AN7" s="377"/>
    </row>
    <row r="8" customFormat="false" ht="15" hidden="false" customHeight="false" outlineLevel="0" collapsed="false">
      <c r="A8" s="385"/>
      <c r="B8" s="309" t="s">
        <v>54</v>
      </c>
      <c r="C8" s="309"/>
      <c r="D8" s="309"/>
      <c r="E8" s="309"/>
      <c r="F8" s="309"/>
      <c r="G8" s="309"/>
      <c r="H8" s="309"/>
      <c r="I8" s="309"/>
      <c r="J8" s="309"/>
      <c r="K8" s="309"/>
      <c r="L8" s="309"/>
      <c r="M8" s="309"/>
      <c r="N8" s="386"/>
      <c r="O8" s="309" t="s">
        <v>54</v>
      </c>
      <c r="P8" s="309"/>
      <c r="Q8" s="309"/>
      <c r="R8" s="309"/>
      <c r="S8" s="309"/>
      <c r="T8" s="309"/>
      <c r="U8" s="309"/>
      <c r="V8" s="309"/>
      <c r="W8" s="309"/>
      <c r="X8" s="309"/>
      <c r="Y8" s="309"/>
      <c r="Z8" s="309"/>
      <c r="AA8" s="387" t="s">
        <v>54</v>
      </c>
      <c r="AB8" s="388"/>
      <c r="AC8" s="388"/>
      <c r="AD8" s="388"/>
      <c r="AE8" s="388"/>
      <c r="AF8" s="388"/>
      <c r="AG8" s="388"/>
      <c r="AH8" s="388"/>
      <c r="AI8" s="388"/>
      <c r="AJ8" s="388"/>
      <c r="AK8" s="388"/>
      <c r="AL8" s="388"/>
      <c r="AM8" s="388"/>
      <c r="AN8" s="388"/>
      <c r="AO8" s="388"/>
      <c r="AP8" s="388"/>
      <c r="AQ8" s="388"/>
      <c r="AR8" s="388"/>
      <c r="AS8" s="388"/>
      <c r="AT8" s="388"/>
      <c r="AU8" s="388"/>
      <c r="AV8" s="388"/>
      <c r="AW8" s="388"/>
      <c r="AX8" s="388"/>
      <c r="AY8" s="388"/>
      <c r="AZ8" s="388"/>
      <c r="BA8" s="388"/>
      <c r="BB8" s="388"/>
      <c r="BC8" s="388"/>
      <c r="BD8" s="388"/>
      <c r="BE8" s="388"/>
      <c r="BF8" s="388"/>
      <c r="BG8" s="388"/>
      <c r="BH8" s="388"/>
      <c r="BI8" s="388"/>
      <c r="BJ8" s="388"/>
      <c r="BK8" s="388"/>
      <c r="BL8" s="388"/>
      <c r="BM8" s="388"/>
      <c r="BN8" s="388"/>
      <c r="BO8" s="388"/>
      <c r="BP8" s="388"/>
      <c r="BQ8" s="388"/>
      <c r="BR8" s="388"/>
      <c r="BS8" s="388"/>
      <c r="BT8" s="388"/>
      <c r="BU8" s="388"/>
      <c r="BV8" s="388"/>
      <c r="BW8" s="388"/>
      <c r="BX8" s="388"/>
      <c r="BY8" s="388"/>
      <c r="BZ8" s="388"/>
      <c r="CA8" s="388"/>
      <c r="CB8" s="388"/>
      <c r="CC8" s="388"/>
      <c r="CD8" s="388"/>
      <c r="CE8" s="388"/>
      <c r="CF8" s="388"/>
      <c r="CG8" s="388"/>
      <c r="CH8" s="388"/>
      <c r="CI8" s="388"/>
      <c r="CJ8" s="388"/>
      <c r="CK8" s="388"/>
      <c r="CL8" s="388"/>
      <c r="CM8" s="388"/>
      <c r="CN8" s="388"/>
      <c r="CO8" s="388"/>
      <c r="CP8" s="388"/>
      <c r="CQ8" s="388"/>
      <c r="CR8" s="388"/>
      <c r="CS8" s="388"/>
      <c r="CT8" s="388"/>
      <c r="CU8" s="388"/>
      <c r="CV8" s="388"/>
      <c r="CW8" s="388"/>
      <c r="CX8" s="388"/>
      <c r="CY8" s="388"/>
      <c r="CZ8" s="388"/>
      <c r="DA8" s="388"/>
      <c r="DB8" s="388"/>
      <c r="DC8" s="388"/>
      <c r="DD8" s="388"/>
      <c r="DE8" s="388"/>
      <c r="DF8" s="388"/>
      <c r="DG8" s="388"/>
      <c r="DH8" s="388"/>
      <c r="DI8" s="388"/>
      <c r="DJ8" s="388"/>
      <c r="DK8" s="388"/>
      <c r="DL8" s="388"/>
      <c r="DM8" s="388"/>
      <c r="DN8" s="388"/>
      <c r="DO8" s="388"/>
      <c r="DP8" s="388"/>
      <c r="DQ8" s="388"/>
      <c r="DR8" s="388"/>
      <c r="DS8" s="388"/>
      <c r="DT8" s="388"/>
      <c r="DU8" s="388"/>
      <c r="DV8" s="388"/>
      <c r="DW8" s="388"/>
      <c r="DX8" s="388"/>
      <c r="DY8" s="388"/>
      <c r="DZ8" s="388"/>
      <c r="EA8" s="388"/>
      <c r="EB8" s="388"/>
      <c r="EC8" s="388"/>
      <c r="ED8" s="388"/>
      <c r="EE8" s="388"/>
      <c r="EF8" s="388"/>
      <c r="EG8" s="388"/>
      <c r="EH8" s="388"/>
      <c r="EI8" s="388"/>
      <c r="EJ8" s="388"/>
      <c r="EK8" s="388"/>
      <c r="EL8" s="388"/>
      <c r="EM8" s="388"/>
      <c r="EN8" s="388"/>
      <c r="EO8" s="388"/>
      <c r="EP8" s="388"/>
      <c r="EQ8" s="388"/>
      <c r="ER8" s="388"/>
      <c r="ES8" s="388"/>
      <c r="ET8" s="388"/>
      <c r="EU8" s="388"/>
      <c r="EV8" s="388"/>
      <c r="EW8" s="388"/>
      <c r="EX8" s="388"/>
      <c r="EY8" s="388"/>
      <c r="EZ8" s="388"/>
      <c r="FA8" s="388"/>
      <c r="FB8" s="388"/>
      <c r="FC8" s="388"/>
      <c r="FD8" s="388"/>
      <c r="FE8" s="388"/>
      <c r="FF8" s="388"/>
      <c r="FG8" s="388"/>
      <c r="FH8" s="388"/>
      <c r="FI8" s="388"/>
      <c r="FJ8" s="388"/>
      <c r="FK8" s="388"/>
      <c r="FL8" s="388"/>
      <c r="FM8" s="388"/>
      <c r="FN8" s="388"/>
      <c r="FO8" s="388"/>
      <c r="FP8" s="388"/>
      <c r="FQ8" s="388"/>
      <c r="FR8" s="388"/>
      <c r="FS8" s="388"/>
      <c r="FT8" s="388"/>
      <c r="FU8" s="388"/>
      <c r="FV8" s="388"/>
      <c r="FW8" s="388"/>
      <c r="FX8" s="388"/>
      <c r="FY8" s="388"/>
      <c r="FZ8" s="388"/>
      <c r="GA8" s="388"/>
      <c r="GB8" s="388"/>
      <c r="GC8" s="388"/>
      <c r="GD8" s="388"/>
      <c r="GE8" s="388"/>
      <c r="GF8" s="388"/>
      <c r="GG8" s="388"/>
      <c r="GH8" s="388"/>
      <c r="GI8" s="388"/>
      <c r="GJ8" s="388"/>
      <c r="GK8" s="388"/>
      <c r="GL8" s="388"/>
      <c r="GM8" s="388"/>
      <c r="GN8" s="388"/>
      <c r="GO8" s="388"/>
      <c r="GP8" s="388"/>
      <c r="GQ8" s="388"/>
      <c r="GR8" s="388"/>
      <c r="GS8" s="388"/>
      <c r="GT8" s="388"/>
      <c r="GU8" s="388"/>
      <c r="GV8" s="388"/>
      <c r="GW8" s="388"/>
      <c r="GX8" s="388"/>
      <c r="GY8" s="388"/>
      <c r="GZ8" s="388"/>
      <c r="HA8" s="388"/>
      <c r="HB8" s="388"/>
      <c r="HC8" s="388"/>
      <c r="HD8" s="388"/>
      <c r="HE8" s="388"/>
      <c r="HF8" s="388"/>
      <c r="HG8" s="388"/>
      <c r="HH8" s="388"/>
      <c r="HI8" s="388"/>
      <c r="HJ8" s="388"/>
      <c r="HK8" s="388"/>
      <c r="HL8" s="388"/>
      <c r="HM8" s="388"/>
      <c r="HN8" s="388"/>
      <c r="HO8" s="388"/>
      <c r="HP8" s="388"/>
      <c r="HQ8" s="388"/>
      <c r="HR8" s="388"/>
      <c r="HS8" s="388"/>
      <c r="HT8" s="388"/>
      <c r="HU8" s="388"/>
      <c r="HV8" s="388"/>
      <c r="HW8" s="388"/>
      <c r="HX8" s="388"/>
      <c r="HY8" s="388"/>
      <c r="HZ8" s="388"/>
      <c r="IA8" s="388"/>
      <c r="IB8" s="388"/>
      <c r="IC8" s="388"/>
      <c r="ID8" s="388"/>
      <c r="IE8" s="388"/>
      <c r="IF8" s="388"/>
      <c r="IG8" s="388"/>
      <c r="IH8" s="388"/>
      <c r="II8" s="388"/>
      <c r="IJ8" s="388"/>
      <c r="IK8" s="388"/>
      <c r="IL8" s="388"/>
      <c r="IM8" s="388"/>
      <c r="IN8" s="388"/>
      <c r="IO8" s="388"/>
      <c r="IP8" s="388"/>
      <c r="IQ8" s="388"/>
      <c r="IR8" s="388"/>
      <c r="IS8" s="388"/>
      <c r="IT8" s="388"/>
      <c r="IU8" s="388"/>
      <c r="IV8" s="388"/>
      <c r="IW8" s="388"/>
    </row>
    <row r="9" customFormat="false" ht="12.75" hidden="false" customHeight="false" outlineLevel="0" collapsed="false">
      <c r="A9" s="386" t="n">
        <v>1998</v>
      </c>
      <c r="B9" s="377"/>
      <c r="C9" s="377"/>
      <c r="D9" s="377"/>
      <c r="E9" s="377"/>
      <c r="F9" s="377"/>
      <c r="G9" s="377"/>
      <c r="H9" s="377"/>
      <c r="I9" s="377"/>
      <c r="J9" s="377"/>
      <c r="K9" s="377"/>
      <c r="L9" s="377"/>
      <c r="M9" s="377"/>
      <c r="N9" s="389" t="n">
        <f aca="false">+'PACE CPI (1998=100)'!G8</f>
        <v>100</v>
      </c>
      <c r="O9" s="377"/>
      <c r="P9" s="377"/>
      <c r="Q9" s="377"/>
      <c r="R9" s="377"/>
      <c r="S9" s="377"/>
      <c r="T9" s="377"/>
      <c r="U9" s="377"/>
      <c r="V9" s="377"/>
      <c r="W9" s="377"/>
      <c r="X9" s="377"/>
      <c r="Y9" s="377"/>
      <c r="Z9" s="377"/>
      <c r="AA9" s="390"/>
      <c r="AB9" s="377"/>
      <c r="AC9" s="377"/>
      <c r="AD9" s="377"/>
      <c r="AE9" s="377"/>
      <c r="AF9" s="377"/>
      <c r="AG9" s="377"/>
      <c r="AH9" s="377"/>
      <c r="AI9" s="377"/>
      <c r="AJ9" s="377"/>
      <c r="AK9" s="377"/>
      <c r="AL9" s="377"/>
      <c r="AM9" s="377"/>
      <c r="AN9" s="377"/>
    </row>
    <row r="10" customFormat="false" ht="12.75" hidden="false" customHeight="false" outlineLevel="0" collapsed="false">
      <c r="A10" s="386" t="n">
        <v>1999</v>
      </c>
      <c r="B10" s="391"/>
      <c r="C10" s="391"/>
      <c r="D10" s="391"/>
      <c r="E10" s="391"/>
      <c r="F10" s="391"/>
      <c r="G10" s="391"/>
      <c r="H10" s="391"/>
      <c r="I10" s="391"/>
      <c r="J10" s="391"/>
      <c r="K10" s="391"/>
      <c r="L10" s="391"/>
      <c r="M10" s="391"/>
      <c r="N10" s="389" t="n">
        <f aca="false">+'PACE CPI (1998=100)'!G9</f>
        <v>102.7</v>
      </c>
      <c r="O10" s="392"/>
      <c r="P10" s="392"/>
      <c r="Q10" s="392"/>
      <c r="R10" s="392"/>
      <c r="S10" s="392"/>
      <c r="T10" s="392"/>
      <c r="U10" s="392"/>
      <c r="V10" s="392"/>
      <c r="W10" s="392"/>
      <c r="X10" s="392"/>
      <c r="Y10" s="392"/>
      <c r="Z10" s="392"/>
      <c r="AA10" s="385"/>
      <c r="AB10" s="377"/>
      <c r="AC10" s="377"/>
      <c r="AD10" s="377"/>
      <c r="AE10" s="377"/>
      <c r="AF10" s="377"/>
      <c r="AG10" s="377"/>
      <c r="AH10" s="377"/>
      <c r="AI10" s="377"/>
      <c r="AJ10" s="377"/>
      <c r="AK10" s="377"/>
      <c r="AL10" s="377"/>
      <c r="AM10" s="377"/>
      <c r="AN10" s="377"/>
    </row>
    <row r="11" customFormat="false" ht="12.75" hidden="false" customHeight="false" outlineLevel="0" collapsed="false">
      <c r="A11" s="386" t="n">
        <v>2000</v>
      </c>
      <c r="B11" s="269" t="n">
        <v>3.7296</v>
      </c>
      <c r="C11" s="269" t="n">
        <v>3.5616</v>
      </c>
      <c r="D11" s="269" t="n">
        <v>3.3936</v>
      </c>
      <c r="E11" s="269" t="n">
        <v>3.2592</v>
      </c>
      <c r="F11" s="269" t="n">
        <v>3.192</v>
      </c>
      <c r="G11" s="269" t="n">
        <v>3.192</v>
      </c>
      <c r="H11" s="269" t="n">
        <v>3.192</v>
      </c>
      <c r="I11" s="269" t="n">
        <v>3.2256</v>
      </c>
      <c r="J11" s="269" t="n">
        <v>3.2256</v>
      </c>
      <c r="K11" s="269" t="n">
        <v>3.2592</v>
      </c>
      <c r="L11" s="269" t="n">
        <v>3.4272</v>
      </c>
      <c r="M11" s="269" t="n">
        <v>3.6288</v>
      </c>
      <c r="N11" s="389" t="n">
        <f aca="false">+'PACE CPI (1998=100)'!G10</f>
        <v>106.808</v>
      </c>
      <c r="O11" s="393" t="n">
        <f aca="false">+B11*$N11/100</f>
        <v>3.983511168</v>
      </c>
      <c r="P11" s="393" t="n">
        <f aca="false">+C11*$N11/100</f>
        <v>3.804073728</v>
      </c>
      <c r="Q11" s="393" t="n">
        <f aca="false">+D11*$N11/100</f>
        <v>3.624636288</v>
      </c>
      <c r="R11" s="393" t="n">
        <f aca="false">+E11*$N11/100</f>
        <v>3.481086336</v>
      </c>
      <c r="S11" s="393" t="n">
        <f aca="false">+F11*$N11/100</f>
        <v>3.40931136</v>
      </c>
      <c r="T11" s="393" t="n">
        <f aca="false">+G11*$N11/100</f>
        <v>3.40931136</v>
      </c>
      <c r="U11" s="393" t="n">
        <f aca="false">+H11*$N11/100</f>
        <v>3.40931136</v>
      </c>
      <c r="V11" s="393" t="n">
        <f aca="false">+I11*$N11/100</f>
        <v>3.445198848</v>
      </c>
      <c r="W11" s="393" t="n">
        <f aca="false">+J11*$N11/100</f>
        <v>3.445198848</v>
      </c>
      <c r="X11" s="393" t="n">
        <f aca="false">+K11*$N11/100</f>
        <v>3.481086336</v>
      </c>
      <c r="Y11" s="393" t="n">
        <f aca="false">+L11*$N11/100</f>
        <v>3.660523776</v>
      </c>
      <c r="Z11" s="393" t="n">
        <f aca="false">+M11*$N11/100</f>
        <v>3.875848704</v>
      </c>
      <c r="AA11" s="394" t="n">
        <f aca="false">AVERAGE(O11:Z11)</f>
        <v>3.585758176</v>
      </c>
      <c r="AB11" s="377"/>
      <c r="AC11" s="377"/>
      <c r="AD11" s="377"/>
      <c r="AE11" s="377"/>
      <c r="AF11" s="377"/>
      <c r="AG11" s="377"/>
      <c r="AH11" s="377"/>
      <c r="AI11" s="377"/>
      <c r="AJ11" s="377"/>
      <c r="AK11" s="377"/>
      <c r="AL11" s="377"/>
      <c r="AM11" s="377"/>
      <c r="AN11" s="377"/>
    </row>
    <row r="12" customFormat="false" ht="12.75" hidden="false" customHeight="false" outlineLevel="0" collapsed="false">
      <c r="A12" s="386" t="n">
        <v>2001</v>
      </c>
      <c r="B12" s="269" t="n">
        <v>3.219</v>
      </c>
      <c r="C12" s="269" t="n">
        <v>3.074</v>
      </c>
      <c r="D12" s="269" t="n">
        <v>2.929</v>
      </c>
      <c r="E12" s="269" t="n">
        <v>2.813</v>
      </c>
      <c r="F12" s="269" t="n">
        <v>2.755</v>
      </c>
      <c r="G12" s="269" t="n">
        <v>2.755</v>
      </c>
      <c r="H12" s="269" t="n">
        <v>2.755</v>
      </c>
      <c r="I12" s="269" t="n">
        <v>2.784</v>
      </c>
      <c r="J12" s="269" t="n">
        <v>2.784</v>
      </c>
      <c r="K12" s="269" t="n">
        <v>2.813</v>
      </c>
      <c r="L12" s="269" t="n">
        <v>2.958</v>
      </c>
      <c r="M12" s="269" t="n">
        <v>3.132</v>
      </c>
      <c r="N12" s="389" t="n">
        <f aca="false">+'PACE CPI (1998=100)'!G11</f>
        <v>109.74522</v>
      </c>
      <c r="O12" s="393" t="n">
        <f aca="false">+B12*$N12/100</f>
        <v>3.5326986318</v>
      </c>
      <c r="P12" s="393" t="n">
        <f aca="false">+C12*$N12/100</f>
        <v>3.3735680628</v>
      </c>
      <c r="Q12" s="393" t="n">
        <f aca="false">+D12*$N12/100</f>
        <v>3.2144374938</v>
      </c>
      <c r="R12" s="393" t="n">
        <f aca="false">+E12*$N12/100</f>
        <v>3.0871330386</v>
      </c>
      <c r="S12" s="393" t="n">
        <f aca="false">+F12*$N12/100</f>
        <v>3.023480811</v>
      </c>
      <c r="T12" s="393" t="n">
        <f aca="false">+G12*$N12/100</f>
        <v>3.023480811</v>
      </c>
      <c r="U12" s="393" t="n">
        <f aca="false">+H12*$N12/100</f>
        <v>3.023480811</v>
      </c>
      <c r="V12" s="393" t="n">
        <f aca="false">+I12*$N12/100</f>
        <v>3.0553069248</v>
      </c>
      <c r="W12" s="393" t="n">
        <f aca="false">+J12*$N12/100</f>
        <v>3.0553069248</v>
      </c>
      <c r="X12" s="393" t="n">
        <f aca="false">+K12*$N12/100</f>
        <v>3.0871330386</v>
      </c>
      <c r="Y12" s="393" t="n">
        <f aca="false">+L12*$N12/100</f>
        <v>3.2462636076</v>
      </c>
      <c r="Z12" s="393" t="n">
        <f aca="false">+M12*$N12/100</f>
        <v>3.4372202904</v>
      </c>
      <c r="AA12" s="394" t="n">
        <f aca="false">AVERAGE(O12:Z12)</f>
        <v>3.17995920385</v>
      </c>
      <c r="AB12" s="377"/>
      <c r="AC12" s="377"/>
      <c r="AD12" s="377"/>
      <c r="AE12" s="377"/>
      <c r="AF12" s="377"/>
      <c r="AG12" s="377"/>
      <c r="AH12" s="377"/>
      <c r="AI12" s="377"/>
      <c r="AJ12" s="377"/>
      <c r="AK12" s="377"/>
      <c r="AL12" s="377"/>
      <c r="AM12" s="377"/>
      <c r="AN12" s="377"/>
    </row>
    <row r="13" customFormat="false" ht="12.75" hidden="false" customHeight="false" outlineLevel="0" collapsed="false">
      <c r="A13" s="386" t="n">
        <v>2002</v>
      </c>
      <c r="B13" s="269" t="n">
        <v>2.6085</v>
      </c>
      <c r="C13" s="269" t="n">
        <v>2.491</v>
      </c>
      <c r="D13" s="269" t="n">
        <v>2.3735</v>
      </c>
      <c r="E13" s="269" t="n">
        <v>2.2795</v>
      </c>
      <c r="F13" s="269" t="n">
        <v>2.2325</v>
      </c>
      <c r="G13" s="269" t="n">
        <v>2.2325</v>
      </c>
      <c r="H13" s="269" t="n">
        <v>2.2325</v>
      </c>
      <c r="I13" s="269" t="n">
        <v>2.256</v>
      </c>
      <c r="J13" s="269" t="n">
        <v>2.256</v>
      </c>
      <c r="K13" s="269" t="n">
        <v>2.2795</v>
      </c>
      <c r="L13" s="269" t="n">
        <v>2.397</v>
      </c>
      <c r="M13" s="269" t="n">
        <v>2.538</v>
      </c>
      <c r="N13" s="389" t="n">
        <f aca="false">+'PACE CPI (1998=100)'!G12</f>
        <v>112.15961484</v>
      </c>
      <c r="O13" s="393" t="n">
        <f aca="false">+B13*$N13/100</f>
        <v>2.9256835531014</v>
      </c>
      <c r="P13" s="393" t="n">
        <f aca="false">+C13*$N13/100</f>
        <v>2.7938960056644</v>
      </c>
      <c r="Q13" s="393" t="n">
        <f aca="false">+D13*$N13/100</f>
        <v>2.6621084582274</v>
      </c>
      <c r="R13" s="393" t="n">
        <f aca="false">+E13*$N13/100</f>
        <v>2.5566784202778</v>
      </c>
      <c r="S13" s="393" t="n">
        <f aca="false">+F13*$N13/100</f>
        <v>2.503963401303</v>
      </c>
      <c r="T13" s="393" t="n">
        <f aca="false">+G13*$N13/100</f>
        <v>2.503963401303</v>
      </c>
      <c r="U13" s="393" t="n">
        <f aca="false">+H13*$N13/100</f>
        <v>2.503963401303</v>
      </c>
      <c r="V13" s="393" t="n">
        <f aca="false">+I13*$N13/100</f>
        <v>2.5303209107904</v>
      </c>
      <c r="W13" s="393" t="n">
        <f aca="false">+J13*$N13/100</f>
        <v>2.5303209107904</v>
      </c>
      <c r="X13" s="393" t="n">
        <f aca="false">+K13*$N13/100</f>
        <v>2.5566784202778</v>
      </c>
      <c r="Y13" s="393" t="n">
        <f aca="false">+L13*$N13/100</f>
        <v>2.6884659677148</v>
      </c>
      <c r="Z13" s="393" t="n">
        <f aca="false">+M13*$N13/100</f>
        <v>2.8466110246392</v>
      </c>
      <c r="AA13" s="394" t="n">
        <f aca="false">AVERAGE(O13:Z13)</f>
        <v>2.63355448961605</v>
      </c>
      <c r="AB13" s="377"/>
      <c r="AC13" s="377"/>
      <c r="AD13" s="377"/>
      <c r="AE13" s="377"/>
      <c r="AF13" s="377"/>
      <c r="AG13" s="377"/>
      <c r="AH13" s="377"/>
      <c r="AI13" s="377"/>
      <c r="AJ13" s="377"/>
      <c r="AK13" s="377"/>
      <c r="AL13" s="377"/>
      <c r="AM13" s="377"/>
      <c r="AN13" s="377"/>
    </row>
    <row r="14" customFormat="false" ht="12.75" hidden="false" customHeight="false" outlineLevel="0" collapsed="false">
      <c r="A14" s="386" t="n">
        <v>2003</v>
      </c>
      <c r="B14" s="269" t="n">
        <v>2.4309</v>
      </c>
      <c r="C14" s="269" t="n">
        <v>2.3214</v>
      </c>
      <c r="D14" s="269" t="n">
        <v>2.2119</v>
      </c>
      <c r="E14" s="269" t="n">
        <v>2.1243</v>
      </c>
      <c r="F14" s="269" t="n">
        <v>2.0805</v>
      </c>
      <c r="G14" s="269" t="n">
        <v>2.0805</v>
      </c>
      <c r="H14" s="269" t="n">
        <v>2.0805</v>
      </c>
      <c r="I14" s="269" t="n">
        <v>2.1024</v>
      </c>
      <c r="J14" s="269" t="n">
        <v>2.1024</v>
      </c>
      <c r="K14" s="269" t="n">
        <v>2.1243</v>
      </c>
      <c r="L14" s="269" t="n">
        <v>2.2338</v>
      </c>
      <c r="M14" s="269" t="n">
        <v>2.3652</v>
      </c>
      <c r="N14" s="389" t="n">
        <f aca="false">+'PACE CPI (1998=100)'!G13</f>
        <v>114.06632829228</v>
      </c>
      <c r="O14" s="393" t="n">
        <f aca="false">+B14*$N14/100</f>
        <v>2.77283837445704</v>
      </c>
      <c r="P14" s="393" t="n">
        <f aca="false">+C14*$N14/100</f>
        <v>2.64793574497699</v>
      </c>
      <c r="Q14" s="393" t="n">
        <f aca="false">+D14*$N14/100</f>
        <v>2.52303311549694</v>
      </c>
      <c r="R14" s="393" t="n">
        <f aca="false">+E14*$N14/100</f>
        <v>2.4231110119129</v>
      </c>
      <c r="S14" s="393" t="n">
        <f aca="false">+F14*$N14/100</f>
        <v>2.37314996012089</v>
      </c>
      <c r="T14" s="393" t="n">
        <f aca="false">+G14*$N14/100</f>
        <v>2.37314996012089</v>
      </c>
      <c r="U14" s="393" t="n">
        <f aca="false">+H14*$N14/100</f>
        <v>2.37314996012089</v>
      </c>
      <c r="V14" s="393" t="n">
        <f aca="false">+I14*$N14/100</f>
        <v>2.3981304860169</v>
      </c>
      <c r="W14" s="393" t="n">
        <f aca="false">+J14*$N14/100</f>
        <v>2.3981304860169</v>
      </c>
      <c r="X14" s="393" t="n">
        <f aca="false">+K14*$N14/100</f>
        <v>2.4231110119129</v>
      </c>
      <c r="Y14" s="393" t="n">
        <f aca="false">+L14*$N14/100</f>
        <v>2.54801364139295</v>
      </c>
      <c r="Z14" s="393" t="n">
        <f aca="false">+M14*$N14/100</f>
        <v>2.69789679676901</v>
      </c>
      <c r="AA14" s="394" t="n">
        <f aca="false">AVERAGE(O14:Z14)</f>
        <v>2.4959708791096</v>
      </c>
      <c r="AB14" s="377"/>
      <c r="AC14" s="377"/>
      <c r="AD14" s="377"/>
      <c r="AE14" s="377"/>
      <c r="AF14" s="377"/>
      <c r="AG14" s="377"/>
      <c r="AH14" s="377"/>
      <c r="AI14" s="377"/>
      <c r="AJ14" s="377"/>
      <c r="AK14" s="377"/>
      <c r="AL14" s="377"/>
      <c r="AM14" s="377"/>
      <c r="AN14" s="377"/>
    </row>
    <row r="15" customFormat="false" ht="12.75" hidden="false" customHeight="false" outlineLevel="0" collapsed="false">
      <c r="A15" s="386" t="n">
        <v>2004</v>
      </c>
      <c r="B15" s="269" t="n">
        <v>2.4198</v>
      </c>
      <c r="C15" s="269" t="n">
        <v>2.3108</v>
      </c>
      <c r="D15" s="269" t="n">
        <v>2.2018</v>
      </c>
      <c r="E15" s="269" t="n">
        <v>2.1146</v>
      </c>
      <c r="F15" s="269" t="n">
        <v>2.071</v>
      </c>
      <c r="G15" s="269" t="n">
        <v>2.071</v>
      </c>
      <c r="H15" s="269" t="n">
        <v>2.071</v>
      </c>
      <c r="I15" s="269" t="n">
        <v>2.0928</v>
      </c>
      <c r="J15" s="269" t="n">
        <v>2.0928</v>
      </c>
      <c r="K15" s="269" t="n">
        <v>2.1146</v>
      </c>
      <c r="L15" s="269" t="n">
        <v>2.2236</v>
      </c>
      <c r="M15" s="269" t="n">
        <v>2.3544</v>
      </c>
      <c r="N15" s="389" t="n">
        <f aca="false">+'PACE CPI (1998=100)'!G14</f>
        <v>115.777323216664</v>
      </c>
      <c r="O15" s="393" t="n">
        <f aca="false">+B15*$N15/100</f>
        <v>2.80157966719684</v>
      </c>
      <c r="P15" s="393" t="n">
        <f aca="false">+C15*$N15/100</f>
        <v>2.67538238489068</v>
      </c>
      <c r="Q15" s="393" t="n">
        <f aca="false">+D15*$N15/100</f>
        <v>2.54918510258451</v>
      </c>
      <c r="R15" s="393" t="n">
        <f aca="false">+E15*$N15/100</f>
        <v>2.44822727673958</v>
      </c>
      <c r="S15" s="393" t="n">
        <f aca="false">+F15*$N15/100</f>
        <v>2.39774836381712</v>
      </c>
      <c r="T15" s="393" t="n">
        <f aca="false">+G15*$N15/100</f>
        <v>2.39774836381712</v>
      </c>
      <c r="U15" s="393" t="n">
        <f aca="false">+H15*$N15/100</f>
        <v>2.39774836381712</v>
      </c>
      <c r="V15" s="393" t="n">
        <f aca="false">+I15*$N15/100</f>
        <v>2.42298782027835</v>
      </c>
      <c r="W15" s="393" t="n">
        <f aca="false">+J15*$N15/100</f>
        <v>2.42298782027835</v>
      </c>
      <c r="X15" s="393" t="n">
        <f aca="false">+K15*$N15/100</f>
        <v>2.44822727673958</v>
      </c>
      <c r="Y15" s="393" t="n">
        <f aca="false">+L15*$N15/100</f>
        <v>2.57442455904575</v>
      </c>
      <c r="Z15" s="393" t="n">
        <f aca="false">+M15*$N15/100</f>
        <v>2.72586129781314</v>
      </c>
      <c r="AA15" s="394" t="n">
        <f aca="false">AVERAGE(O15:Z15)</f>
        <v>2.52184235808484</v>
      </c>
      <c r="AB15" s="377"/>
      <c r="AC15" s="377"/>
      <c r="AD15" s="377"/>
      <c r="AE15" s="377"/>
      <c r="AF15" s="377"/>
      <c r="AG15" s="377"/>
      <c r="AH15" s="377"/>
      <c r="AI15" s="377"/>
      <c r="AJ15" s="377"/>
      <c r="AK15" s="377"/>
      <c r="AL15" s="377"/>
      <c r="AM15" s="377"/>
      <c r="AN15" s="377"/>
    </row>
    <row r="16" customFormat="false" ht="12.75" hidden="false" customHeight="false" outlineLevel="0" collapsed="false">
      <c r="A16" s="386" t="n">
        <v>2005</v>
      </c>
      <c r="B16" s="269" t="n">
        <v>2.4309</v>
      </c>
      <c r="C16" s="269" t="n">
        <v>2.3214</v>
      </c>
      <c r="D16" s="269" t="n">
        <v>2.2119</v>
      </c>
      <c r="E16" s="269" t="n">
        <v>2.1243</v>
      </c>
      <c r="F16" s="269" t="n">
        <v>2.0805</v>
      </c>
      <c r="G16" s="269" t="n">
        <v>2.0805</v>
      </c>
      <c r="H16" s="269" t="n">
        <v>2.0805</v>
      </c>
      <c r="I16" s="269" t="n">
        <v>2.1024</v>
      </c>
      <c r="J16" s="269" t="n">
        <v>2.1024</v>
      </c>
      <c r="K16" s="269" t="n">
        <v>2.1243</v>
      </c>
      <c r="L16" s="269" t="n">
        <v>2.2338</v>
      </c>
      <c r="M16" s="269" t="n">
        <v>2.3652</v>
      </c>
      <c r="N16" s="389" t="n">
        <f aca="false">+'PACE CPI (1998=100)'!G15</f>
        <v>117.513983064914</v>
      </c>
      <c r="O16" s="393" t="n">
        <f aca="false">+B16*$N16/100</f>
        <v>2.856647414325</v>
      </c>
      <c r="P16" s="393" t="n">
        <f aca="false">+C16*$N16/100</f>
        <v>2.72796960286892</v>
      </c>
      <c r="Q16" s="393" t="n">
        <f aca="false">+D16*$N16/100</f>
        <v>2.59929179141284</v>
      </c>
      <c r="R16" s="393" t="n">
        <f aca="false">+E16*$N16/100</f>
        <v>2.49634954224797</v>
      </c>
      <c r="S16" s="393" t="n">
        <f aca="false">+F16*$N16/100</f>
        <v>2.44487841766554</v>
      </c>
      <c r="T16" s="393" t="n">
        <f aca="false">+G16*$N16/100</f>
        <v>2.44487841766554</v>
      </c>
      <c r="U16" s="393" t="n">
        <f aca="false">+H16*$N16/100</f>
        <v>2.44487841766554</v>
      </c>
      <c r="V16" s="393" t="n">
        <f aca="false">+I16*$N16/100</f>
        <v>2.47061397995676</v>
      </c>
      <c r="W16" s="393" t="n">
        <f aca="false">+J16*$N16/100</f>
        <v>2.47061397995676</v>
      </c>
      <c r="X16" s="393" t="n">
        <f aca="false">+K16*$N16/100</f>
        <v>2.49634954224797</v>
      </c>
      <c r="Y16" s="393" t="n">
        <f aca="false">+L16*$N16/100</f>
        <v>2.62502735370405</v>
      </c>
      <c r="Z16" s="393" t="n">
        <f aca="false">+M16*$N16/100</f>
        <v>2.77944072745135</v>
      </c>
      <c r="AA16" s="394" t="n">
        <f aca="false">AVERAGE(O16:Z16)</f>
        <v>2.57141159893069</v>
      </c>
      <c r="AB16" s="377"/>
      <c r="AC16" s="377"/>
      <c r="AD16" s="377"/>
      <c r="AE16" s="377"/>
      <c r="AF16" s="377"/>
      <c r="AG16" s="377"/>
      <c r="AH16" s="377"/>
      <c r="AI16" s="377"/>
      <c r="AJ16" s="377"/>
      <c r="AK16" s="377"/>
      <c r="AL16" s="377"/>
      <c r="AM16" s="377"/>
      <c r="AN16" s="377"/>
    </row>
    <row r="17" customFormat="false" ht="12.75" hidden="false" customHeight="false" outlineLevel="0" collapsed="false">
      <c r="A17" s="386" t="n">
        <v>2006</v>
      </c>
      <c r="B17" s="269" t="n">
        <v>2.442</v>
      </c>
      <c r="C17" s="269" t="n">
        <v>2.332</v>
      </c>
      <c r="D17" s="269" t="n">
        <v>2.222</v>
      </c>
      <c r="E17" s="269" t="n">
        <v>2.134</v>
      </c>
      <c r="F17" s="269" t="n">
        <v>2.09</v>
      </c>
      <c r="G17" s="269" t="n">
        <v>2.09</v>
      </c>
      <c r="H17" s="269" t="n">
        <v>2.09</v>
      </c>
      <c r="I17" s="269" t="n">
        <v>2.112</v>
      </c>
      <c r="J17" s="269" t="n">
        <v>2.112</v>
      </c>
      <c r="K17" s="269" t="n">
        <v>2.134</v>
      </c>
      <c r="L17" s="269" t="n">
        <v>2.244</v>
      </c>
      <c r="M17" s="269" t="n">
        <v>2.376</v>
      </c>
      <c r="N17" s="389" t="n">
        <f aca="false">+'PACE CPI (1998=100)'!G16</f>
        <v>119.511720777018</v>
      </c>
      <c r="O17" s="393" t="n">
        <f aca="false">+B17*$N17/100</f>
        <v>2.91847622137477</v>
      </c>
      <c r="P17" s="393" t="n">
        <f aca="false">+C17*$N17/100</f>
        <v>2.78701332852005</v>
      </c>
      <c r="Q17" s="393" t="n">
        <f aca="false">+D17*$N17/100</f>
        <v>2.65555043566533</v>
      </c>
      <c r="R17" s="393" t="n">
        <f aca="false">+E17*$N17/100</f>
        <v>2.55038012138156</v>
      </c>
      <c r="S17" s="393" t="n">
        <f aca="false">+F17*$N17/100</f>
        <v>2.49779496423967</v>
      </c>
      <c r="T17" s="393" t="n">
        <f aca="false">+G17*$N17/100</f>
        <v>2.49779496423967</v>
      </c>
      <c r="U17" s="393" t="n">
        <f aca="false">+H17*$N17/100</f>
        <v>2.49779496423967</v>
      </c>
      <c r="V17" s="393" t="n">
        <f aca="false">+I17*$N17/100</f>
        <v>2.52408754281061</v>
      </c>
      <c r="W17" s="393" t="n">
        <f aca="false">+J17*$N17/100</f>
        <v>2.52408754281061</v>
      </c>
      <c r="X17" s="393" t="n">
        <f aca="false">+K17*$N17/100</f>
        <v>2.55038012138156</v>
      </c>
      <c r="Y17" s="393" t="n">
        <f aca="false">+L17*$N17/100</f>
        <v>2.68184301423628</v>
      </c>
      <c r="Z17" s="393" t="n">
        <f aca="false">+M17*$N17/100</f>
        <v>2.83959848566194</v>
      </c>
      <c r="AA17" s="394" t="n">
        <f aca="false">AVERAGE(O17:Z17)</f>
        <v>2.62706680888014</v>
      </c>
      <c r="AB17" s="377"/>
      <c r="AC17" s="377"/>
      <c r="AD17" s="377"/>
      <c r="AE17" s="377"/>
      <c r="AF17" s="377"/>
      <c r="AG17" s="377"/>
      <c r="AH17" s="377"/>
      <c r="AI17" s="377"/>
      <c r="AJ17" s="377"/>
      <c r="AK17" s="377"/>
      <c r="AL17" s="377"/>
      <c r="AM17" s="377"/>
      <c r="AN17" s="377"/>
    </row>
    <row r="18" customFormat="false" ht="12.75" hidden="false" customHeight="false" outlineLevel="0" collapsed="false">
      <c r="A18" s="386" t="n">
        <v>2007</v>
      </c>
      <c r="B18" s="269" t="n">
        <v>2.4531</v>
      </c>
      <c r="C18" s="269" t="n">
        <v>2.3426</v>
      </c>
      <c r="D18" s="269" t="n">
        <v>2.2321</v>
      </c>
      <c r="E18" s="269" t="n">
        <v>2.1437</v>
      </c>
      <c r="F18" s="269" t="n">
        <v>2.0995</v>
      </c>
      <c r="G18" s="269" t="n">
        <v>2.0995</v>
      </c>
      <c r="H18" s="269" t="n">
        <v>2.0995</v>
      </c>
      <c r="I18" s="269" t="n">
        <v>2.1216</v>
      </c>
      <c r="J18" s="269" t="n">
        <v>2.1216</v>
      </c>
      <c r="K18" s="269" t="n">
        <v>2.1437</v>
      </c>
      <c r="L18" s="269" t="n">
        <v>2.2542</v>
      </c>
      <c r="M18" s="269" t="n">
        <v>2.3868</v>
      </c>
      <c r="N18" s="389" t="n">
        <f aca="false">+'PACE CPI (1998=100)'!G17</f>
        <v>121.543420030227</v>
      </c>
      <c r="O18" s="393" t="n">
        <f aca="false">+B18*$N18/100</f>
        <v>2.9815816367615</v>
      </c>
      <c r="P18" s="393" t="n">
        <f aca="false">+C18*$N18/100</f>
        <v>2.8472761576281</v>
      </c>
      <c r="Q18" s="393" t="n">
        <f aca="false">+D18*$N18/100</f>
        <v>2.7129706784947</v>
      </c>
      <c r="R18" s="393" t="n">
        <f aca="false">+E18*$N18/100</f>
        <v>2.60552629518798</v>
      </c>
      <c r="S18" s="393" t="n">
        <f aca="false">+F18*$N18/100</f>
        <v>2.55180410353462</v>
      </c>
      <c r="T18" s="393" t="n">
        <f aca="false">+G18*$N18/100</f>
        <v>2.55180410353462</v>
      </c>
      <c r="U18" s="393" t="n">
        <f aca="false">+H18*$N18/100</f>
        <v>2.55180410353462</v>
      </c>
      <c r="V18" s="393" t="n">
        <f aca="false">+I18*$N18/100</f>
        <v>2.5786651993613</v>
      </c>
      <c r="W18" s="393" t="n">
        <f aca="false">+J18*$N18/100</f>
        <v>2.5786651993613</v>
      </c>
      <c r="X18" s="393" t="n">
        <f aca="false">+K18*$N18/100</f>
        <v>2.60552629518798</v>
      </c>
      <c r="Y18" s="393" t="n">
        <f aca="false">+L18*$N18/100</f>
        <v>2.73983177432138</v>
      </c>
      <c r="Z18" s="393" t="n">
        <f aca="false">+M18*$N18/100</f>
        <v>2.90099834928146</v>
      </c>
      <c r="AA18" s="394" t="n">
        <f aca="false">AVERAGE(O18:Z18)</f>
        <v>2.68387115801579</v>
      </c>
      <c r="AB18" s="377"/>
      <c r="AC18" s="377"/>
      <c r="AD18" s="377"/>
      <c r="AE18" s="377"/>
      <c r="AF18" s="377"/>
      <c r="AG18" s="377"/>
      <c r="AH18" s="377"/>
      <c r="AI18" s="377"/>
      <c r="AJ18" s="377"/>
      <c r="AK18" s="377"/>
      <c r="AL18" s="377"/>
      <c r="AM18" s="377"/>
      <c r="AN18" s="377"/>
    </row>
    <row r="19" customFormat="false" ht="12.75" hidden="false" customHeight="false" outlineLevel="0" collapsed="false">
      <c r="A19" s="386" t="n">
        <v>2008</v>
      </c>
      <c r="B19" s="269" t="n">
        <v>2.4753</v>
      </c>
      <c r="C19" s="269" t="n">
        <v>2.3638</v>
      </c>
      <c r="D19" s="269" t="n">
        <v>2.2523</v>
      </c>
      <c r="E19" s="269" t="n">
        <v>2.1631</v>
      </c>
      <c r="F19" s="269" t="n">
        <v>2.1185</v>
      </c>
      <c r="G19" s="269" t="n">
        <v>2.1185</v>
      </c>
      <c r="H19" s="269" t="n">
        <v>2.1185</v>
      </c>
      <c r="I19" s="269" t="n">
        <v>2.1408</v>
      </c>
      <c r="J19" s="269" t="n">
        <v>2.1408</v>
      </c>
      <c r="K19" s="269" t="n">
        <v>2.1631</v>
      </c>
      <c r="L19" s="269" t="n">
        <v>2.2746</v>
      </c>
      <c r="M19" s="269" t="n">
        <v>2.4084</v>
      </c>
      <c r="N19" s="389" t="n">
        <f aca="false">+'PACE CPI (1998=100)'!G18</f>
        <v>123.609658170741</v>
      </c>
      <c r="O19" s="393" t="n">
        <f aca="false">+B19*$N19/100</f>
        <v>3.05970986870035</v>
      </c>
      <c r="P19" s="393" t="n">
        <f aca="false">+C19*$N19/100</f>
        <v>2.92188509983997</v>
      </c>
      <c r="Q19" s="393" t="n">
        <f aca="false">+D19*$N19/100</f>
        <v>2.7840603309796</v>
      </c>
      <c r="R19" s="393" t="n">
        <f aca="false">+E19*$N19/100</f>
        <v>2.6738005158913</v>
      </c>
      <c r="S19" s="393" t="n">
        <f aca="false">+F19*$N19/100</f>
        <v>2.61867060834715</v>
      </c>
      <c r="T19" s="393" t="n">
        <f aca="false">+G19*$N19/100</f>
        <v>2.61867060834715</v>
      </c>
      <c r="U19" s="393" t="n">
        <f aca="false">+H19*$N19/100</f>
        <v>2.61867060834715</v>
      </c>
      <c r="V19" s="393" t="n">
        <f aca="false">+I19*$N19/100</f>
        <v>2.64623556211922</v>
      </c>
      <c r="W19" s="393" t="n">
        <f aca="false">+J19*$N19/100</f>
        <v>2.64623556211922</v>
      </c>
      <c r="X19" s="393" t="n">
        <f aca="false">+K19*$N19/100</f>
        <v>2.6738005158913</v>
      </c>
      <c r="Y19" s="393" t="n">
        <f aca="false">+L19*$N19/100</f>
        <v>2.81162528475167</v>
      </c>
      <c r="Z19" s="393" t="n">
        <f aca="false">+M19*$N19/100</f>
        <v>2.97701500738412</v>
      </c>
      <c r="AA19" s="394" t="n">
        <f aca="false">AVERAGE(O19:Z19)</f>
        <v>2.75419829772652</v>
      </c>
      <c r="AB19" s="377"/>
      <c r="AC19" s="377"/>
      <c r="AD19" s="377"/>
      <c r="AE19" s="377"/>
      <c r="AF19" s="377"/>
      <c r="AG19" s="377"/>
      <c r="AH19" s="377"/>
      <c r="AI19" s="377"/>
      <c r="AJ19" s="377"/>
      <c r="AK19" s="377"/>
      <c r="AL19" s="377"/>
      <c r="AM19" s="377"/>
      <c r="AN19" s="377"/>
    </row>
    <row r="20" customFormat="false" ht="12.75" hidden="false" customHeight="false" outlineLevel="0" collapsed="false">
      <c r="A20" s="386" t="n">
        <v>2009</v>
      </c>
      <c r="B20" s="269" t="n">
        <v>2.4864</v>
      </c>
      <c r="C20" s="269" t="n">
        <v>2.3744</v>
      </c>
      <c r="D20" s="269" t="n">
        <v>2.2624</v>
      </c>
      <c r="E20" s="269" t="n">
        <v>2.1728</v>
      </c>
      <c r="F20" s="269" t="n">
        <v>2.128</v>
      </c>
      <c r="G20" s="269" t="n">
        <v>2.128</v>
      </c>
      <c r="H20" s="269" t="n">
        <v>2.128</v>
      </c>
      <c r="I20" s="269" t="n">
        <v>2.1504</v>
      </c>
      <c r="J20" s="269" t="n">
        <v>2.1504</v>
      </c>
      <c r="K20" s="269" t="n">
        <v>2.1728</v>
      </c>
      <c r="L20" s="269" t="n">
        <v>2.2848</v>
      </c>
      <c r="M20" s="269" t="n">
        <v>2.4192</v>
      </c>
      <c r="N20" s="389" t="n">
        <f aca="false">+'PACE CPI (1998=100)'!G19</f>
        <v>125.711022359644</v>
      </c>
      <c r="O20" s="393" t="n">
        <f aca="false">+B20*$N20/100</f>
        <v>3.12567885995018</v>
      </c>
      <c r="P20" s="393" t="n">
        <f aca="false">+C20*$N20/100</f>
        <v>2.98488251490738</v>
      </c>
      <c r="Q20" s="393" t="n">
        <f aca="false">+D20*$N20/100</f>
        <v>2.84408616986458</v>
      </c>
      <c r="R20" s="393" t="n">
        <f aca="false">+E20*$N20/100</f>
        <v>2.73144909383033</v>
      </c>
      <c r="S20" s="393" t="n">
        <f aca="false">+F20*$N20/100</f>
        <v>2.67513055581321</v>
      </c>
      <c r="T20" s="393" t="n">
        <f aca="false">+G20*$N20/100</f>
        <v>2.67513055581321</v>
      </c>
      <c r="U20" s="393" t="n">
        <f aca="false">+H20*$N20/100</f>
        <v>2.67513055581321</v>
      </c>
      <c r="V20" s="393" t="n">
        <f aca="false">+I20*$N20/100</f>
        <v>2.70328982482177</v>
      </c>
      <c r="W20" s="393" t="n">
        <f aca="false">+J20*$N20/100</f>
        <v>2.70328982482177</v>
      </c>
      <c r="X20" s="393" t="n">
        <f aca="false">+K20*$N20/100</f>
        <v>2.73144909383033</v>
      </c>
      <c r="Y20" s="393" t="n">
        <f aca="false">+L20*$N20/100</f>
        <v>2.87224543887314</v>
      </c>
      <c r="Z20" s="393" t="n">
        <f aca="false">+M20*$N20/100</f>
        <v>3.0412010529245</v>
      </c>
      <c r="AA20" s="394" t="n">
        <f aca="false">AVERAGE(O20:Z20)</f>
        <v>2.8135802951053</v>
      </c>
      <c r="AB20" s="377"/>
      <c r="AC20" s="377"/>
      <c r="AD20" s="377"/>
      <c r="AE20" s="377"/>
      <c r="AF20" s="377"/>
      <c r="AG20" s="377"/>
      <c r="AH20" s="377"/>
      <c r="AI20" s="377"/>
      <c r="AJ20" s="377"/>
      <c r="AK20" s="377"/>
      <c r="AL20" s="377"/>
      <c r="AM20" s="377"/>
      <c r="AN20" s="377"/>
    </row>
    <row r="21" customFormat="false" ht="12.75" hidden="false" customHeight="false" outlineLevel="0" collapsed="false">
      <c r="A21" s="386" t="n">
        <v>2010</v>
      </c>
      <c r="B21" s="269" t="n">
        <v>2.4975</v>
      </c>
      <c r="C21" s="269" t="n">
        <v>2.385</v>
      </c>
      <c r="D21" s="269" t="n">
        <v>2.2725</v>
      </c>
      <c r="E21" s="269" t="n">
        <v>2.1825</v>
      </c>
      <c r="F21" s="269" t="n">
        <v>2.1375</v>
      </c>
      <c r="G21" s="269" t="n">
        <v>2.1375</v>
      </c>
      <c r="H21" s="269" t="n">
        <v>2.1375</v>
      </c>
      <c r="I21" s="269" t="n">
        <v>2.16</v>
      </c>
      <c r="J21" s="269" t="n">
        <v>2.16</v>
      </c>
      <c r="K21" s="269" t="n">
        <v>2.1825</v>
      </c>
      <c r="L21" s="269" t="n">
        <v>2.295</v>
      </c>
      <c r="M21" s="269" t="n">
        <v>2.43</v>
      </c>
      <c r="N21" s="389" t="n">
        <f aca="false">+'PACE CPI (1998=100)'!G20</f>
        <v>127.848109739757</v>
      </c>
      <c r="O21" s="393" t="n">
        <f aca="false">+B21*$N21/100</f>
        <v>3.19300654075044</v>
      </c>
      <c r="P21" s="393" t="n">
        <f aca="false">+C21*$N21/100</f>
        <v>3.04917741729322</v>
      </c>
      <c r="Q21" s="393" t="n">
        <f aca="false">+D21*$N21/100</f>
        <v>2.90534829383599</v>
      </c>
      <c r="R21" s="393" t="n">
        <f aca="false">+E21*$N21/100</f>
        <v>2.79028499507021</v>
      </c>
      <c r="S21" s="393" t="n">
        <f aca="false">+F21*$N21/100</f>
        <v>2.73275334568732</v>
      </c>
      <c r="T21" s="393" t="n">
        <f aca="false">+G21*$N21/100</f>
        <v>2.73275334568732</v>
      </c>
      <c r="U21" s="393" t="n">
        <f aca="false">+H21*$N21/100</f>
        <v>2.73275334568732</v>
      </c>
      <c r="V21" s="393" t="n">
        <f aca="false">+I21*$N21/100</f>
        <v>2.76151917037876</v>
      </c>
      <c r="W21" s="393" t="n">
        <f aca="false">+J21*$N21/100</f>
        <v>2.76151917037876</v>
      </c>
      <c r="X21" s="393" t="n">
        <f aca="false">+K21*$N21/100</f>
        <v>2.79028499507021</v>
      </c>
      <c r="Y21" s="393" t="n">
        <f aca="false">+L21*$N21/100</f>
        <v>2.93411411852743</v>
      </c>
      <c r="Z21" s="393" t="n">
        <f aca="false">+M21*$N21/100</f>
        <v>3.10670906667611</v>
      </c>
      <c r="AA21" s="394" t="n">
        <f aca="false">AVERAGE(O21:Z21)</f>
        <v>2.87418531708692</v>
      </c>
      <c r="AB21" s="377"/>
      <c r="AC21" s="377"/>
      <c r="AD21" s="377"/>
      <c r="AE21" s="377"/>
      <c r="AF21" s="377"/>
      <c r="AG21" s="377"/>
      <c r="AH21" s="377"/>
      <c r="AI21" s="377"/>
      <c r="AJ21" s="377"/>
      <c r="AK21" s="377"/>
      <c r="AL21" s="377"/>
      <c r="AM21" s="377"/>
      <c r="AN21" s="377"/>
    </row>
    <row r="22" customFormat="false" ht="12.75" hidden="false" customHeight="false" outlineLevel="0" collapsed="false">
      <c r="A22" s="386" t="n">
        <v>2011</v>
      </c>
      <c r="B22" s="269" t="n">
        <v>2.5086</v>
      </c>
      <c r="C22" s="269" t="n">
        <v>2.3956</v>
      </c>
      <c r="D22" s="269" t="n">
        <v>2.2826</v>
      </c>
      <c r="E22" s="269" t="n">
        <v>2.1922</v>
      </c>
      <c r="F22" s="269" t="n">
        <v>2.147</v>
      </c>
      <c r="G22" s="269" t="n">
        <v>2.147</v>
      </c>
      <c r="H22" s="269" t="n">
        <v>2.147</v>
      </c>
      <c r="I22" s="269" t="n">
        <v>2.1696</v>
      </c>
      <c r="J22" s="269" t="n">
        <v>2.1696</v>
      </c>
      <c r="K22" s="269" t="n">
        <v>2.1922</v>
      </c>
      <c r="L22" s="269" t="n">
        <v>2.3052</v>
      </c>
      <c r="M22" s="269" t="n">
        <v>2.4408</v>
      </c>
      <c r="N22" s="389" t="n">
        <f aca="false">+'PACE CPI (1998=100)'!G21</f>
        <v>130.596844099162</v>
      </c>
      <c r="O22" s="393" t="n">
        <f aca="false">+B22*$N22/100</f>
        <v>3.27615243107158</v>
      </c>
      <c r="P22" s="393" t="n">
        <f aca="false">+C22*$N22/100</f>
        <v>3.12857799723953</v>
      </c>
      <c r="Q22" s="393" t="n">
        <f aca="false">+D22*$N22/100</f>
        <v>2.98100356340748</v>
      </c>
      <c r="R22" s="393" t="n">
        <f aca="false">+E22*$N22/100</f>
        <v>2.86294401634183</v>
      </c>
      <c r="S22" s="393" t="n">
        <f aca="false">+F22*$N22/100</f>
        <v>2.80391424280901</v>
      </c>
      <c r="T22" s="393" t="n">
        <f aca="false">+G22*$N22/100</f>
        <v>2.80391424280901</v>
      </c>
      <c r="U22" s="393" t="n">
        <f aca="false">+H22*$N22/100</f>
        <v>2.80391424280901</v>
      </c>
      <c r="V22" s="393" t="n">
        <f aca="false">+I22*$N22/100</f>
        <v>2.83342912957542</v>
      </c>
      <c r="W22" s="393" t="n">
        <f aca="false">+J22*$N22/100</f>
        <v>2.83342912957542</v>
      </c>
      <c r="X22" s="393" t="n">
        <f aca="false">+K22*$N22/100</f>
        <v>2.86294401634183</v>
      </c>
      <c r="Y22" s="393" t="n">
        <f aca="false">+L22*$N22/100</f>
        <v>3.01051845017389</v>
      </c>
      <c r="Z22" s="393" t="n">
        <f aca="false">+M22*$N22/100</f>
        <v>3.18760777077235</v>
      </c>
      <c r="AA22" s="394" t="n">
        <f aca="false">AVERAGE(O22:Z22)</f>
        <v>2.94902910274387</v>
      </c>
      <c r="AB22" s="377"/>
      <c r="AC22" s="377"/>
      <c r="AD22" s="377"/>
      <c r="AE22" s="377"/>
      <c r="AF22" s="377"/>
      <c r="AG22" s="377"/>
      <c r="AH22" s="377"/>
      <c r="AI22" s="377"/>
      <c r="AJ22" s="377"/>
      <c r="AK22" s="377"/>
      <c r="AL22" s="377"/>
      <c r="AM22" s="377"/>
      <c r="AN22" s="377"/>
    </row>
    <row r="23" customFormat="false" ht="12.75" hidden="false" customHeight="false" outlineLevel="0" collapsed="false">
      <c r="A23" s="386" t="n">
        <v>2012</v>
      </c>
      <c r="B23" s="269" t="n">
        <v>2.5197</v>
      </c>
      <c r="C23" s="269" t="n">
        <v>2.4062</v>
      </c>
      <c r="D23" s="269" t="n">
        <v>2.2927</v>
      </c>
      <c r="E23" s="269" t="n">
        <v>2.2019</v>
      </c>
      <c r="F23" s="269" t="n">
        <v>2.1565</v>
      </c>
      <c r="G23" s="269" t="n">
        <v>2.1565</v>
      </c>
      <c r="H23" s="269" t="n">
        <v>2.1565</v>
      </c>
      <c r="I23" s="269" t="n">
        <v>2.1792</v>
      </c>
      <c r="J23" s="269" t="n">
        <v>2.1792</v>
      </c>
      <c r="K23" s="269" t="n">
        <v>2.2019</v>
      </c>
      <c r="L23" s="269" t="n">
        <v>2.3154</v>
      </c>
      <c r="M23" s="269" t="n">
        <v>2.4516</v>
      </c>
      <c r="N23" s="389" t="n">
        <f aca="false">+'PACE CPI (1998=100)'!G22</f>
        <v>133.404676247294</v>
      </c>
      <c r="O23" s="393" t="n">
        <f aca="false">+B23*$N23/100</f>
        <v>3.36139762740307</v>
      </c>
      <c r="P23" s="393" t="n">
        <f aca="false">+C23*$N23/100</f>
        <v>3.2099833198624</v>
      </c>
      <c r="Q23" s="393" t="n">
        <f aca="false">+D23*$N23/100</f>
        <v>3.05856901232172</v>
      </c>
      <c r="R23" s="393" t="n">
        <f aca="false">+E23*$N23/100</f>
        <v>2.93743756628917</v>
      </c>
      <c r="S23" s="393" t="n">
        <f aca="false">+F23*$N23/100</f>
        <v>2.8768718432729</v>
      </c>
      <c r="T23" s="393" t="n">
        <f aca="false">+G23*$N23/100</f>
        <v>2.8768718432729</v>
      </c>
      <c r="U23" s="393" t="n">
        <f aca="false">+H23*$N23/100</f>
        <v>2.8768718432729</v>
      </c>
      <c r="V23" s="393" t="n">
        <f aca="false">+I23*$N23/100</f>
        <v>2.90715470478104</v>
      </c>
      <c r="W23" s="393" t="n">
        <f aca="false">+J23*$N23/100</f>
        <v>2.90715470478104</v>
      </c>
      <c r="X23" s="393" t="n">
        <f aca="false">+K23*$N23/100</f>
        <v>2.93743756628917</v>
      </c>
      <c r="Y23" s="393" t="n">
        <f aca="false">+L23*$N23/100</f>
        <v>3.08885187382985</v>
      </c>
      <c r="Z23" s="393" t="n">
        <f aca="false">+M23*$N23/100</f>
        <v>3.27054904287867</v>
      </c>
      <c r="AA23" s="394" t="n">
        <f aca="false">AVERAGE(O23:Z23)</f>
        <v>3.02576257902124</v>
      </c>
      <c r="AB23" s="377"/>
      <c r="AC23" s="377"/>
      <c r="AD23" s="377"/>
      <c r="AE23" s="377"/>
      <c r="AF23" s="377"/>
      <c r="AG23" s="377"/>
      <c r="AH23" s="377"/>
      <c r="AI23" s="377"/>
      <c r="AJ23" s="377"/>
      <c r="AK23" s="377"/>
      <c r="AL23" s="377"/>
      <c r="AM23" s="377"/>
      <c r="AN23" s="377"/>
    </row>
    <row r="24" customFormat="false" ht="12.75" hidden="false" customHeight="false" outlineLevel="0" collapsed="false">
      <c r="A24" s="386" t="n">
        <v>2013</v>
      </c>
      <c r="B24" s="269" t="n">
        <v>2.5419</v>
      </c>
      <c r="C24" s="269" t="n">
        <v>2.4274</v>
      </c>
      <c r="D24" s="269" t="n">
        <v>2.3129</v>
      </c>
      <c r="E24" s="269" t="n">
        <v>2.2213</v>
      </c>
      <c r="F24" s="269" t="n">
        <v>2.1755</v>
      </c>
      <c r="G24" s="269" t="n">
        <v>2.1755</v>
      </c>
      <c r="H24" s="269" t="n">
        <v>2.1755</v>
      </c>
      <c r="I24" s="269" t="n">
        <v>2.1984</v>
      </c>
      <c r="J24" s="269" t="n">
        <v>2.1984</v>
      </c>
      <c r="K24" s="269" t="n">
        <v>2.2213</v>
      </c>
      <c r="L24" s="269" t="n">
        <v>2.3358</v>
      </c>
      <c r="M24" s="269" t="n">
        <v>2.4732</v>
      </c>
      <c r="N24" s="389" t="n">
        <f aca="false">+'PACE CPI (1998=100)'!G23</f>
        <v>136.272876786611</v>
      </c>
      <c r="O24" s="393" t="n">
        <f aca="false">+B24*$N24/100</f>
        <v>3.46392025503887</v>
      </c>
      <c r="P24" s="393" t="n">
        <f aca="false">+C24*$N24/100</f>
        <v>3.3078878111182</v>
      </c>
      <c r="Q24" s="393" t="n">
        <f aca="false">+D24*$N24/100</f>
        <v>3.15185536719753</v>
      </c>
      <c r="R24" s="393" t="n">
        <f aca="false">+E24*$N24/100</f>
        <v>3.02702941206099</v>
      </c>
      <c r="S24" s="393" t="n">
        <f aca="false">+F24*$N24/100</f>
        <v>2.96461643449272</v>
      </c>
      <c r="T24" s="393" t="n">
        <f aca="false">+G24*$N24/100</f>
        <v>2.96461643449272</v>
      </c>
      <c r="U24" s="393" t="n">
        <f aca="false">+H24*$N24/100</f>
        <v>2.96461643449272</v>
      </c>
      <c r="V24" s="393" t="n">
        <f aca="false">+I24*$N24/100</f>
        <v>2.99582292327686</v>
      </c>
      <c r="W24" s="393" t="n">
        <f aca="false">+J24*$N24/100</f>
        <v>2.99582292327686</v>
      </c>
      <c r="X24" s="393" t="n">
        <f aca="false">+K24*$N24/100</f>
        <v>3.02702941206099</v>
      </c>
      <c r="Y24" s="393" t="n">
        <f aca="false">+L24*$N24/100</f>
        <v>3.18306185598166</v>
      </c>
      <c r="Z24" s="393" t="n">
        <f aca="false">+M24*$N24/100</f>
        <v>3.37030078868647</v>
      </c>
      <c r="AA24" s="394" t="n">
        <f aca="false">AVERAGE(O24:Z24)</f>
        <v>3.11804833768138</v>
      </c>
      <c r="AB24" s="377"/>
      <c r="AC24" s="377"/>
      <c r="AD24" s="377"/>
      <c r="AE24" s="377"/>
      <c r="AF24" s="377"/>
      <c r="AG24" s="377"/>
      <c r="AH24" s="377"/>
      <c r="AI24" s="377"/>
      <c r="AJ24" s="377"/>
      <c r="AK24" s="377"/>
      <c r="AL24" s="377"/>
      <c r="AM24" s="377"/>
      <c r="AN24" s="377"/>
    </row>
    <row r="25" customFormat="false" ht="12.75" hidden="false" customHeight="false" outlineLevel="0" collapsed="false">
      <c r="A25" s="386" t="n">
        <v>2014</v>
      </c>
      <c r="B25" s="269" t="n">
        <v>2.553</v>
      </c>
      <c r="C25" s="269" t="n">
        <v>2.438</v>
      </c>
      <c r="D25" s="269" t="n">
        <v>2.323</v>
      </c>
      <c r="E25" s="269" t="n">
        <v>2.231</v>
      </c>
      <c r="F25" s="269" t="n">
        <v>2.185</v>
      </c>
      <c r="G25" s="269" t="n">
        <v>2.185</v>
      </c>
      <c r="H25" s="269" t="n">
        <v>2.185</v>
      </c>
      <c r="I25" s="269" t="n">
        <v>2.208</v>
      </c>
      <c r="J25" s="269" t="n">
        <v>2.208</v>
      </c>
      <c r="K25" s="269" t="n">
        <v>2.231</v>
      </c>
      <c r="L25" s="269" t="n">
        <v>2.346</v>
      </c>
      <c r="M25" s="269" t="n">
        <v>2.484</v>
      </c>
      <c r="N25" s="389" t="n">
        <f aca="false">+'PACE CPI (1998=100)'!G24</f>
        <v>139.202743637523</v>
      </c>
      <c r="O25" s="393" t="n">
        <f aca="false">+B25*$N25/100</f>
        <v>3.55384604506597</v>
      </c>
      <c r="P25" s="393" t="n">
        <f aca="false">+C25*$N25/100</f>
        <v>3.39376288988282</v>
      </c>
      <c r="Q25" s="393" t="n">
        <f aca="false">+D25*$N25/100</f>
        <v>3.23367973469967</v>
      </c>
      <c r="R25" s="393" t="n">
        <f aca="false">+E25*$N25/100</f>
        <v>3.10561321055314</v>
      </c>
      <c r="S25" s="393" t="n">
        <f aca="false">+F25*$N25/100</f>
        <v>3.04157994847988</v>
      </c>
      <c r="T25" s="393" t="n">
        <f aca="false">+G25*$N25/100</f>
        <v>3.04157994847988</v>
      </c>
      <c r="U25" s="393" t="n">
        <f aca="false">+H25*$N25/100</f>
        <v>3.04157994847988</v>
      </c>
      <c r="V25" s="393" t="n">
        <f aca="false">+I25*$N25/100</f>
        <v>3.07359657951651</v>
      </c>
      <c r="W25" s="393" t="n">
        <f aca="false">+J25*$N25/100</f>
        <v>3.07359657951651</v>
      </c>
      <c r="X25" s="393" t="n">
        <f aca="false">+K25*$N25/100</f>
        <v>3.10561321055314</v>
      </c>
      <c r="Y25" s="393" t="n">
        <f aca="false">+L25*$N25/100</f>
        <v>3.26569636573629</v>
      </c>
      <c r="Z25" s="393" t="n">
        <f aca="false">+M25*$N25/100</f>
        <v>3.45779615195608</v>
      </c>
      <c r="AA25" s="394" t="n">
        <f aca="false">AVERAGE(O25:Z25)</f>
        <v>3.19899505107665</v>
      </c>
      <c r="AB25" s="377"/>
      <c r="AC25" s="377"/>
      <c r="AD25" s="377"/>
      <c r="AE25" s="377"/>
      <c r="AF25" s="377"/>
      <c r="AG25" s="377"/>
      <c r="AH25" s="377"/>
      <c r="AI25" s="377"/>
      <c r="AJ25" s="377"/>
      <c r="AK25" s="377"/>
      <c r="AL25" s="377"/>
      <c r="AM25" s="377"/>
      <c r="AN25" s="377"/>
    </row>
    <row r="26" customFormat="false" ht="12.75" hidden="false" customHeight="false" outlineLevel="0" collapsed="false">
      <c r="A26" s="386" t="n">
        <v>2015</v>
      </c>
      <c r="B26" s="269" t="n">
        <v>2.5641</v>
      </c>
      <c r="C26" s="269" t="n">
        <v>2.4486</v>
      </c>
      <c r="D26" s="269" t="n">
        <v>2.3331</v>
      </c>
      <c r="E26" s="269" t="n">
        <v>2.2407</v>
      </c>
      <c r="F26" s="269" t="n">
        <v>2.1945</v>
      </c>
      <c r="G26" s="269" t="n">
        <v>2.1945</v>
      </c>
      <c r="H26" s="269" t="n">
        <v>2.1945</v>
      </c>
      <c r="I26" s="269" t="n">
        <v>2.2176</v>
      </c>
      <c r="J26" s="269" t="n">
        <v>2.2176</v>
      </c>
      <c r="K26" s="269" t="n">
        <v>2.2407</v>
      </c>
      <c r="L26" s="269" t="n">
        <v>2.3562</v>
      </c>
      <c r="M26" s="269" t="n">
        <v>2.4948</v>
      </c>
      <c r="N26" s="389" t="n">
        <f aca="false">+'PACE CPI (1998=100)'!G25</f>
        <v>142.19560262573</v>
      </c>
      <c r="O26" s="393" t="n">
        <f aca="false">+B26*$N26/100</f>
        <v>3.64603744692634</v>
      </c>
      <c r="P26" s="393" t="n">
        <f aca="false">+C26*$N26/100</f>
        <v>3.48180152589363</v>
      </c>
      <c r="Q26" s="393" t="n">
        <f aca="false">+D26*$N26/100</f>
        <v>3.31756560486091</v>
      </c>
      <c r="R26" s="393" t="n">
        <f aca="false">+E26*$N26/100</f>
        <v>3.18617686803473</v>
      </c>
      <c r="S26" s="393" t="n">
        <f aca="false">+F26*$N26/100</f>
        <v>3.12048249962165</v>
      </c>
      <c r="T26" s="393" t="n">
        <f aca="false">+G26*$N26/100</f>
        <v>3.12048249962165</v>
      </c>
      <c r="U26" s="393" t="n">
        <f aca="false">+H26*$N26/100</f>
        <v>3.12048249962165</v>
      </c>
      <c r="V26" s="393" t="n">
        <f aca="false">+I26*$N26/100</f>
        <v>3.15332968382819</v>
      </c>
      <c r="W26" s="393" t="n">
        <f aca="false">+J26*$N26/100</f>
        <v>3.15332968382819</v>
      </c>
      <c r="X26" s="393" t="n">
        <f aca="false">+K26*$N26/100</f>
        <v>3.18617686803473</v>
      </c>
      <c r="Y26" s="393" t="n">
        <f aca="false">+L26*$N26/100</f>
        <v>3.35041278906745</v>
      </c>
      <c r="Z26" s="393" t="n">
        <f aca="false">+M26*$N26/100</f>
        <v>3.54749589430671</v>
      </c>
      <c r="AA26" s="394" t="n">
        <f aca="false">AVERAGE(O26:Z26)</f>
        <v>3.28198115530382</v>
      </c>
      <c r="AB26" s="377"/>
      <c r="AC26" s="377"/>
      <c r="AD26" s="377"/>
      <c r="AE26" s="377"/>
      <c r="AF26" s="377"/>
      <c r="AG26" s="377"/>
      <c r="AH26" s="377"/>
      <c r="AI26" s="377"/>
      <c r="AJ26" s="377"/>
      <c r="AK26" s="377"/>
      <c r="AL26" s="377"/>
      <c r="AM26" s="377"/>
      <c r="AN26" s="377"/>
    </row>
    <row r="27" customFormat="false" ht="12.75" hidden="false" customHeight="false" outlineLevel="0" collapsed="false">
      <c r="A27" s="386" t="n">
        <v>2016</v>
      </c>
      <c r="B27" s="269" t="n">
        <v>2.5752</v>
      </c>
      <c r="C27" s="269" t="n">
        <v>2.4592</v>
      </c>
      <c r="D27" s="269" t="n">
        <v>2.3432</v>
      </c>
      <c r="E27" s="269" t="n">
        <v>2.2504</v>
      </c>
      <c r="F27" s="269" t="n">
        <v>2.204</v>
      </c>
      <c r="G27" s="269" t="n">
        <v>2.204</v>
      </c>
      <c r="H27" s="269" t="n">
        <v>2.204</v>
      </c>
      <c r="I27" s="269" t="n">
        <v>2.2272</v>
      </c>
      <c r="J27" s="269" t="n">
        <v>2.2272</v>
      </c>
      <c r="K27" s="269" t="n">
        <v>2.2504</v>
      </c>
      <c r="L27" s="269" t="n">
        <v>2.3664</v>
      </c>
      <c r="M27" s="269" t="n">
        <v>2.5056</v>
      </c>
      <c r="N27" s="389" t="n">
        <f aca="false">+'PACE CPI (1998=100)'!G26</f>
        <v>145.537199287435</v>
      </c>
      <c r="O27" s="393" t="n">
        <f aca="false">+B27*$N27/100</f>
        <v>3.74787395605002</v>
      </c>
      <c r="P27" s="393" t="n">
        <f aca="false">+C27*$N27/100</f>
        <v>3.57905080487659</v>
      </c>
      <c r="Q27" s="393" t="n">
        <f aca="false">+D27*$N27/100</f>
        <v>3.41022765370317</v>
      </c>
      <c r="R27" s="393" t="n">
        <f aca="false">+E27*$N27/100</f>
        <v>3.27516913276443</v>
      </c>
      <c r="S27" s="393" t="n">
        <f aca="false">+F27*$N27/100</f>
        <v>3.20763987229506</v>
      </c>
      <c r="T27" s="393" t="n">
        <f aca="false">+G27*$N27/100</f>
        <v>3.20763987229506</v>
      </c>
      <c r="U27" s="393" t="n">
        <f aca="false">+H27*$N27/100</f>
        <v>3.20763987229506</v>
      </c>
      <c r="V27" s="393" t="n">
        <f aca="false">+I27*$N27/100</f>
        <v>3.24140450252974</v>
      </c>
      <c r="W27" s="393" t="n">
        <f aca="false">+J27*$N27/100</f>
        <v>3.24140450252974</v>
      </c>
      <c r="X27" s="393" t="n">
        <f aca="false">+K27*$N27/100</f>
        <v>3.27516913276443</v>
      </c>
      <c r="Y27" s="393" t="n">
        <f aca="false">+L27*$N27/100</f>
        <v>3.44399228393785</v>
      </c>
      <c r="Z27" s="393" t="n">
        <f aca="false">+M27*$N27/100</f>
        <v>3.64658006534596</v>
      </c>
      <c r="AA27" s="394" t="n">
        <f aca="false">AVERAGE(O27:Z27)</f>
        <v>3.37364930428226</v>
      </c>
      <c r="AB27" s="377"/>
      <c r="AC27" s="377"/>
      <c r="AD27" s="377"/>
      <c r="AE27" s="377"/>
      <c r="AF27" s="377"/>
      <c r="AG27" s="377"/>
      <c r="AH27" s="377"/>
      <c r="AI27" s="377"/>
      <c r="AJ27" s="377"/>
      <c r="AK27" s="377"/>
      <c r="AL27" s="377"/>
      <c r="AM27" s="377"/>
      <c r="AN27" s="377"/>
    </row>
    <row r="28" customFormat="false" ht="12.75" hidden="false" customHeight="false" outlineLevel="0" collapsed="false">
      <c r="A28" s="386" t="n">
        <v>2017</v>
      </c>
      <c r="B28" s="269" t="n">
        <v>2.5974</v>
      </c>
      <c r="C28" s="269" t="n">
        <v>2.4804</v>
      </c>
      <c r="D28" s="269" t="n">
        <v>2.3634</v>
      </c>
      <c r="E28" s="269" t="n">
        <v>2.2698</v>
      </c>
      <c r="F28" s="269" t="n">
        <v>2.223</v>
      </c>
      <c r="G28" s="269" t="n">
        <v>2.223</v>
      </c>
      <c r="H28" s="269" t="n">
        <v>2.223</v>
      </c>
      <c r="I28" s="269" t="n">
        <v>2.2464</v>
      </c>
      <c r="J28" s="269" t="n">
        <v>2.2464</v>
      </c>
      <c r="K28" s="269" t="n">
        <v>2.2698</v>
      </c>
      <c r="L28" s="269" t="n">
        <v>2.3868</v>
      </c>
      <c r="M28" s="269" t="n">
        <v>2.5272</v>
      </c>
      <c r="N28" s="389" t="n">
        <f aca="false">+'PACE CPI (1998=100)'!G27</f>
        <v>148.957323470689</v>
      </c>
      <c r="O28" s="393" t="n">
        <f aca="false">+B28*$N28/100</f>
        <v>3.86901751982769</v>
      </c>
      <c r="P28" s="393" t="n">
        <f aca="false">+C28*$N28/100</f>
        <v>3.69473745136698</v>
      </c>
      <c r="Q28" s="393" t="n">
        <f aca="false">+D28*$N28/100</f>
        <v>3.52045738290627</v>
      </c>
      <c r="R28" s="393" t="n">
        <f aca="false">+E28*$N28/100</f>
        <v>3.38103332813771</v>
      </c>
      <c r="S28" s="393" t="n">
        <f aca="false">+F28*$N28/100</f>
        <v>3.31132130075342</v>
      </c>
      <c r="T28" s="393" t="n">
        <f aca="false">+G28*$N28/100</f>
        <v>3.31132130075342</v>
      </c>
      <c r="U28" s="393" t="n">
        <f aca="false">+H28*$N28/100</f>
        <v>3.31132130075342</v>
      </c>
      <c r="V28" s="393" t="n">
        <f aca="false">+I28*$N28/100</f>
        <v>3.34617731444557</v>
      </c>
      <c r="W28" s="393" t="n">
        <f aca="false">+J28*$N28/100</f>
        <v>3.34617731444557</v>
      </c>
      <c r="X28" s="393" t="n">
        <f aca="false">+K28*$N28/100</f>
        <v>3.38103332813771</v>
      </c>
      <c r="Y28" s="393" t="n">
        <f aca="false">+L28*$N28/100</f>
        <v>3.55531339659841</v>
      </c>
      <c r="Z28" s="393" t="n">
        <f aca="false">+M28*$N28/100</f>
        <v>3.76444947875126</v>
      </c>
      <c r="AA28" s="394" t="n">
        <f aca="false">AVERAGE(O28:Z28)</f>
        <v>3.48269670140645</v>
      </c>
      <c r="AB28" s="377"/>
      <c r="AC28" s="377"/>
      <c r="AD28" s="377"/>
      <c r="AE28" s="377"/>
      <c r="AF28" s="377"/>
      <c r="AG28" s="377"/>
      <c r="AH28" s="377"/>
      <c r="AI28" s="377"/>
      <c r="AJ28" s="377"/>
      <c r="AK28" s="377"/>
      <c r="AL28" s="377"/>
      <c r="AM28" s="377"/>
      <c r="AN28" s="377"/>
    </row>
    <row r="29" customFormat="false" ht="12.75" hidden="false" customHeight="false" outlineLevel="0" collapsed="false">
      <c r="A29" s="386" t="n">
        <v>2018</v>
      </c>
      <c r="B29" s="269" t="n">
        <v>2.6085</v>
      </c>
      <c r="C29" s="269" t="n">
        <v>2.491</v>
      </c>
      <c r="D29" s="269" t="n">
        <v>2.3735</v>
      </c>
      <c r="E29" s="269" t="n">
        <v>2.2795</v>
      </c>
      <c r="F29" s="269" t="n">
        <v>2.2325</v>
      </c>
      <c r="G29" s="269" t="n">
        <v>2.2325</v>
      </c>
      <c r="H29" s="269" t="n">
        <v>2.2325</v>
      </c>
      <c r="I29" s="269" t="n">
        <v>2.256</v>
      </c>
      <c r="J29" s="269" t="n">
        <v>2.256</v>
      </c>
      <c r="K29" s="269" t="n">
        <v>2.2795</v>
      </c>
      <c r="L29" s="269" t="n">
        <v>2.397</v>
      </c>
      <c r="M29" s="269" t="n">
        <v>2.538</v>
      </c>
      <c r="N29" s="389" t="n">
        <f aca="false">+'PACE CPI (1998=100)'!G28</f>
        <v>152.457820572251</v>
      </c>
      <c r="O29" s="393" t="n">
        <f aca="false">+B29*$N29/100</f>
        <v>3.97686224962716</v>
      </c>
      <c r="P29" s="393" t="n">
        <f aca="false">+C29*$N29/100</f>
        <v>3.79772431045476</v>
      </c>
      <c r="Q29" s="393" t="n">
        <f aca="false">+D29*$N29/100</f>
        <v>3.61858637128237</v>
      </c>
      <c r="R29" s="393" t="n">
        <f aca="false">+E29*$N29/100</f>
        <v>3.47527601994445</v>
      </c>
      <c r="S29" s="393" t="n">
        <f aca="false">+F29*$N29/100</f>
        <v>3.40362084427549</v>
      </c>
      <c r="T29" s="393" t="n">
        <f aca="false">+G29*$N29/100</f>
        <v>3.40362084427549</v>
      </c>
      <c r="U29" s="393" t="n">
        <f aca="false">+H29*$N29/100</f>
        <v>3.40362084427549</v>
      </c>
      <c r="V29" s="393" t="n">
        <f aca="false">+I29*$N29/100</f>
        <v>3.43944843210997</v>
      </c>
      <c r="W29" s="393" t="n">
        <f aca="false">+J29*$N29/100</f>
        <v>3.43944843210997</v>
      </c>
      <c r="X29" s="393" t="n">
        <f aca="false">+K29*$N29/100</f>
        <v>3.47527601994445</v>
      </c>
      <c r="Y29" s="393" t="n">
        <f aca="false">+L29*$N29/100</f>
        <v>3.65441395911685</v>
      </c>
      <c r="Z29" s="393" t="n">
        <f aca="false">+M29*$N29/100</f>
        <v>3.86937948612372</v>
      </c>
      <c r="AA29" s="394" t="n">
        <f aca="false">AVERAGE(O29:Z29)</f>
        <v>3.57977315112835</v>
      </c>
      <c r="AB29" s="377"/>
      <c r="AC29" s="377"/>
      <c r="AD29" s="377"/>
      <c r="AE29" s="377"/>
      <c r="AF29" s="377"/>
      <c r="AG29" s="377"/>
      <c r="AH29" s="377"/>
      <c r="AI29" s="377"/>
      <c r="AJ29" s="377"/>
      <c r="AK29" s="377"/>
      <c r="AL29" s="377"/>
      <c r="AM29" s="377"/>
      <c r="AN29" s="377"/>
    </row>
    <row r="30" customFormat="false" ht="12.75" hidden="false" customHeight="false" outlineLevel="0" collapsed="false">
      <c r="A30" s="386" t="n">
        <v>2019</v>
      </c>
      <c r="B30" s="269" t="n">
        <v>2.6196</v>
      </c>
      <c r="C30" s="269" t="n">
        <v>2.5016</v>
      </c>
      <c r="D30" s="269" t="n">
        <v>2.3836</v>
      </c>
      <c r="E30" s="269" t="n">
        <v>2.2892</v>
      </c>
      <c r="F30" s="269" t="n">
        <v>2.242</v>
      </c>
      <c r="G30" s="269" t="n">
        <v>2.242</v>
      </c>
      <c r="H30" s="269" t="n">
        <v>2.242</v>
      </c>
      <c r="I30" s="269" t="n">
        <v>2.2656</v>
      </c>
      <c r="J30" s="269" t="n">
        <v>2.2656</v>
      </c>
      <c r="K30" s="269" t="n">
        <v>2.2892</v>
      </c>
      <c r="L30" s="269" t="n">
        <v>2.4072</v>
      </c>
      <c r="M30" s="269" t="n">
        <v>2.5488</v>
      </c>
      <c r="N30" s="389" t="n">
        <f aca="false">+'PACE CPI (1998=100)'!G29</f>
        <v>156.040579355698</v>
      </c>
      <c r="O30" s="393" t="n">
        <f aca="false">+B30*$N30/100</f>
        <v>4.08763901680188</v>
      </c>
      <c r="P30" s="393" t="n">
        <f aca="false">+C30*$N30/100</f>
        <v>3.90351113316215</v>
      </c>
      <c r="Q30" s="393" t="n">
        <f aca="false">+D30*$N30/100</f>
        <v>3.71938324952243</v>
      </c>
      <c r="R30" s="393" t="n">
        <f aca="false">+E30*$N30/100</f>
        <v>3.57208094261065</v>
      </c>
      <c r="S30" s="393" t="n">
        <f aca="false">+F30*$N30/100</f>
        <v>3.49842978915476</v>
      </c>
      <c r="T30" s="393" t="n">
        <f aca="false">+G30*$N30/100</f>
        <v>3.49842978915476</v>
      </c>
      <c r="U30" s="393" t="n">
        <f aca="false">+H30*$N30/100</f>
        <v>3.49842978915476</v>
      </c>
      <c r="V30" s="393" t="n">
        <f aca="false">+I30*$N30/100</f>
        <v>3.5352553658827</v>
      </c>
      <c r="W30" s="393" t="n">
        <f aca="false">+J30*$N30/100</f>
        <v>3.5352553658827</v>
      </c>
      <c r="X30" s="393" t="n">
        <f aca="false">+K30*$N30/100</f>
        <v>3.57208094261065</v>
      </c>
      <c r="Y30" s="393" t="n">
        <f aca="false">+L30*$N30/100</f>
        <v>3.75620882625037</v>
      </c>
      <c r="Z30" s="393" t="n">
        <f aca="false">+M30*$N30/100</f>
        <v>3.97716228661804</v>
      </c>
      <c r="AA30" s="394" t="n">
        <f aca="false">AVERAGE(O30:Z30)</f>
        <v>3.67948887473382</v>
      </c>
      <c r="AB30" s="377"/>
      <c r="AC30" s="377"/>
      <c r="AD30" s="377"/>
      <c r="AE30" s="377"/>
      <c r="AF30" s="377"/>
      <c r="AG30" s="377"/>
      <c r="AH30" s="377"/>
      <c r="AI30" s="377"/>
      <c r="AJ30" s="377"/>
      <c r="AK30" s="377"/>
      <c r="AL30" s="377"/>
      <c r="AM30" s="377"/>
      <c r="AN30" s="377"/>
    </row>
    <row r="31" customFormat="false" ht="13.5" hidden="false" customHeight="false" outlineLevel="0" collapsed="false">
      <c r="A31" s="395" t="n">
        <v>2020</v>
      </c>
      <c r="B31" s="78" t="n">
        <v>2.6307</v>
      </c>
      <c r="C31" s="78" t="n">
        <v>2.5122</v>
      </c>
      <c r="D31" s="78" t="n">
        <v>2.3937</v>
      </c>
      <c r="E31" s="78" t="n">
        <v>2.2989</v>
      </c>
      <c r="F31" s="78" t="n">
        <v>2.2515</v>
      </c>
      <c r="G31" s="78" t="n">
        <v>2.2515</v>
      </c>
      <c r="H31" s="78" t="n">
        <v>2.2515</v>
      </c>
      <c r="I31" s="78" t="n">
        <v>2.2752</v>
      </c>
      <c r="J31" s="78" t="n">
        <v>2.2752</v>
      </c>
      <c r="K31" s="78" t="n">
        <v>2.2989</v>
      </c>
      <c r="L31" s="78" t="n">
        <v>2.4174</v>
      </c>
      <c r="M31" s="78" t="n">
        <v>2.5596</v>
      </c>
      <c r="N31" s="396" t="n">
        <f aca="false">+'PACE CPI (1998=100)'!G30</f>
        <v>159.707532970557</v>
      </c>
      <c r="O31" s="397" t="n">
        <f aca="false">+B31*$N31/100</f>
        <v>4.20142606985645</v>
      </c>
      <c r="P31" s="397" t="n">
        <f aca="false">+C31*$N31/100</f>
        <v>4.01217264328634</v>
      </c>
      <c r="Q31" s="397" t="n">
        <f aca="false">+D31*$N31/100</f>
        <v>3.82291921671623</v>
      </c>
      <c r="R31" s="397" t="n">
        <f aca="false">+E31*$N31/100</f>
        <v>3.67151647546014</v>
      </c>
      <c r="S31" s="397" t="n">
        <f aca="false">+F31*$N31/100</f>
        <v>3.5958151048321</v>
      </c>
      <c r="T31" s="397" t="n">
        <f aca="false">+G31*$N31/100</f>
        <v>3.5958151048321</v>
      </c>
      <c r="U31" s="397" t="n">
        <f aca="false">+H31*$N31/100</f>
        <v>3.5958151048321</v>
      </c>
      <c r="V31" s="397" t="n">
        <f aca="false">+I31*$N31/100</f>
        <v>3.63366579014612</v>
      </c>
      <c r="W31" s="397" t="n">
        <f aca="false">+J31*$N31/100</f>
        <v>3.63366579014612</v>
      </c>
      <c r="X31" s="397" t="n">
        <f aca="false">+K31*$N31/100</f>
        <v>3.67151647546014</v>
      </c>
      <c r="Y31" s="397" t="n">
        <f aca="false">+L31*$N31/100</f>
        <v>3.86076990203025</v>
      </c>
      <c r="Z31" s="397" t="n">
        <f aca="false">+M31*$N31/100</f>
        <v>4.08787401391439</v>
      </c>
      <c r="AA31" s="398" t="n">
        <f aca="false">AVERAGE(O31:Z31)</f>
        <v>3.78191430762604</v>
      </c>
      <c r="AB31" s="377"/>
      <c r="AD31" s="377"/>
      <c r="AE31" s="377"/>
      <c r="AF31" s="377"/>
      <c r="AG31" s="377"/>
      <c r="AH31" s="377"/>
      <c r="AI31" s="377"/>
      <c r="AJ31" s="377"/>
      <c r="AK31" s="377"/>
      <c r="AL31" s="377"/>
      <c r="AM31" s="377"/>
      <c r="AN31" s="377"/>
    </row>
    <row r="32" customFormat="false" ht="11.25" hidden="false" customHeight="false" outlineLevel="0" collapsed="false">
      <c r="A32" s="377"/>
      <c r="B32" s="377"/>
      <c r="C32" s="377"/>
      <c r="D32" s="377"/>
      <c r="E32" s="377"/>
      <c r="F32" s="377"/>
      <c r="G32" s="377"/>
      <c r="H32" s="377"/>
      <c r="I32" s="377"/>
      <c r="J32" s="377"/>
      <c r="K32" s="377"/>
      <c r="L32" s="377"/>
      <c r="M32" s="377"/>
      <c r="N32" s="377"/>
      <c r="O32" s="377"/>
      <c r="P32" s="377"/>
      <c r="Q32" s="377"/>
      <c r="R32" s="377"/>
      <c r="S32" s="377"/>
      <c r="T32" s="377"/>
      <c r="U32" s="377"/>
      <c r="V32" s="377"/>
      <c r="W32" s="377"/>
      <c r="X32" s="377"/>
      <c r="Y32" s="377"/>
      <c r="Z32" s="377"/>
      <c r="AA32" s="377"/>
      <c r="AB32" s="377"/>
      <c r="AC32" s="377"/>
      <c r="AD32" s="377"/>
      <c r="AE32" s="377"/>
      <c r="AF32" s="377"/>
      <c r="AG32" s="377"/>
      <c r="AH32" s="377"/>
      <c r="AI32" s="377"/>
      <c r="AJ32" s="377"/>
      <c r="AK32" s="377"/>
      <c r="AL32" s="377"/>
      <c r="AM32" s="377"/>
      <c r="AN32" s="377"/>
    </row>
    <row r="33" customFormat="false" ht="11.25" hidden="false" customHeight="false" outlineLevel="0" collapsed="false">
      <c r="A33" s="377"/>
      <c r="B33" s="377"/>
      <c r="C33" s="377"/>
      <c r="D33" s="377"/>
      <c r="E33" s="377"/>
      <c r="F33" s="377"/>
      <c r="G33" s="377"/>
      <c r="H33" s="377"/>
      <c r="I33" s="377"/>
      <c r="J33" s="377"/>
      <c r="K33" s="377"/>
      <c r="L33" s="377"/>
      <c r="M33" s="377"/>
      <c r="N33" s="377"/>
      <c r="O33" s="377"/>
      <c r="P33" s="377"/>
      <c r="Q33" s="377"/>
      <c r="R33" s="377"/>
      <c r="S33" s="377"/>
      <c r="T33" s="377"/>
      <c r="U33" s="377"/>
      <c r="V33" s="377"/>
      <c r="W33" s="377"/>
      <c r="X33" s="377"/>
      <c r="Y33" s="377"/>
      <c r="Z33" s="377"/>
      <c r="AA33" s="377"/>
      <c r="AB33" s="377"/>
      <c r="AC33" s="377"/>
      <c r="AD33" s="377"/>
      <c r="AE33" s="377"/>
      <c r="AF33" s="377"/>
      <c r="AG33" s="377"/>
      <c r="AH33" s="377"/>
      <c r="AI33" s="377"/>
      <c r="AJ33" s="377"/>
      <c r="AK33" s="377"/>
      <c r="AL33" s="377"/>
      <c r="AM33" s="377"/>
      <c r="AN33" s="377"/>
    </row>
    <row r="34" customFormat="false" ht="11.25" hidden="false" customHeight="false" outlineLevel="0" collapsed="false">
      <c r="A34" s="377"/>
      <c r="B34" s="377"/>
      <c r="C34" s="377"/>
      <c r="D34" s="377"/>
      <c r="E34" s="377"/>
      <c r="F34" s="377"/>
      <c r="G34" s="377"/>
      <c r="H34" s="377"/>
      <c r="I34" s="377"/>
      <c r="J34" s="377"/>
      <c r="K34" s="377"/>
      <c r="L34" s="377"/>
      <c r="M34" s="377"/>
      <c r="N34" s="377"/>
      <c r="O34" s="377"/>
      <c r="P34" s="377"/>
      <c r="Q34" s="377"/>
      <c r="R34" s="377"/>
      <c r="S34" s="377"/>
      <c r="T34" s="377"/>
      <c r="U34" s="377"/>
      <c r="V34" s="377"/>
      <c r="W34" s="377"/>
      <c r="X34" s="377"/>
      <c r="Y34" s="377"/>
      <c r="Z34" s="377"/>
      <c r="AA34" s="377"/>
      <c r="AB34" s="377"/>
      <c r="AC34" s="377"/>
      <c r="AD34" s="377"/>
      <c r="AE34" s="377"/>
      <c r="AF34" s="377"/>
      <c r="AG34" s="377"/>
      <c r="AH34" s="377"/>
      <c r="AI34" s="377"/>
      <c r="AJ34" s="377"/>
      <c r="AK34" s="377"/>
      <c r="AL34" s="377"/>
      <c r="AM34" s="377"/>
      <c r="AN34" s="377"/>
    </row>
    <row r="35" customFormat="false" ht="11.25" hidden="false" customHeight="false" outlineLevel="0" collapsed="false">
      <c r="A35" s="377"/>
      <c r="B35" s="377"/>
      <c r="C35" s="377"/>
      <c r="D35" s="377"/>
      <c r="E35" s="377"/>
      <c r="F35" s="377"/>
      <c r="G35" s="377"/>
      <c r="H35" s="377"/>
      <c r="I35" s="377"/>
      <c r="J35" s="377"/>
      <c r="K35" s="377"/>
      <c r="L35" s="377"/>
      <c r="M35" s="377"/>
      <c r="N35" s="377"/>
      <c r="O35" s="377"/>
      <c r="P35" s="377"/>
      <c r="Q35" s="377"/>
      <c r="R35" s="377"/>
      <c r="S35" s="377"/>
      <c r="T35" s="377"/>
      <c r="U35" s="377"/>
      <c r="V35" s="377"/>
      <c r="W35" s="377"/>
      <c r="X35" s="377"/>
      <c r="Y35" s="377"/>
      <c r="Z35" s="377"/>
      <c r="AA35" s="377"/>
      <c r="AB35" s="377"/>
      <c r="AC35" s="377"/>
      <c r="AD35" s="377"/>
      <c r="AE35" s="377"/>
      <c r="AF35" s="377"/>
      <c r="AG35" s="377"/>
      <c r="AH35" s="377"/>
      <c r="AI35" s="377"/>
      <c r="AJ35" s="377"/>
      <c r="AK35" s="377"/>
      <c r="AL35" s="377"/>
      <c r="AM35" s="377"/>
      <c r="AN35" s="377"/>
    </row>
    <row r="36" customFormat="false" ht="11.25" hidden="false" customHeight="false" outlineLevel="0" collapsed="false">
      <c r="A36" s="377"/>
      <c r="B36" s="377"/>
      <c r="C36" s="377"/>
      <c r="D36" s="377"/>
      <c r="E36" s="377"/>
      <c r="F36" s="377"/>
      <c r="G36" s="377"/>
      <c r="H36" s="377"/>
      <c r="I36" s="377"/>
      <c r="J36" s="377"/>
      <c r="K36" s="377"/>
      <c r="L36" s="377"/>
      <c r="M36" s="377"/>
      <c r="N36" s="377"/>
      <c r="O36" s="377"/>
      <c r="P36" s="377"/>
      <c r="Q36" s="377"/>
      <c r="R36" s="377"/>
      <c r="S36" s="377"/>
      <c r="T36" s="377"/>
      <c r="U36" s="377"/>
      <c r="V36" s="377"/>
      <c r="W36" s="377"/>
      <c r="X36" s="377"/>
      <c r="Y36" s="377"/>
      <c r="Z36" s="377"/>
      <c r="AA36" s="377"/>
      <c r="AB36" s="377"/>
      <c r="AC36" s="377"/>
      <c r="AD36" s="377"/>
      <c r="AE36" s="377"/>
      <c r="AF36" s="377"/>
      <c r="AG36" s="377"/>
      <c r="AH36" s="377"/>
      <c r="AI36" s="377"/>
      <c r="AJ36" s="377"/>
      <c r="AK36" s="377"/>
      <c r="AL36" s="377"/>
      <c r="AM36" s="377"/>
      <c r="AN36" s="377"/>
    </row>
    <row r="37" customFormat="false" ht="11.25" hidden="false" customHeight="false" outlineLevel="0" collapsed="false">
      <c r="A37" s="377"/>
      <c r="B37" s="377"/>
      <c r="C37" s="377"/>
      <c r="D37" s="377"/>
      <c r="E37" s="377"/>
      <c r="F37" s="377"/>
      <c r="G37" s="377"/>
      <c r="H37" s="377"/>
      <c r="I37" s="377"/>
      <c r="J37" s="377"/>
      <c r="K37" s="377"/>
      <c r="L37" s="377"/>
      <c r="M37" s="377"/>
      <c r="N37" s="377"/>
      <c r="O37" s="377"/>
      <c r="P37" s="377"/>
      <c r="Q37" s="377"/>
      <c r="R37" s="377"/>
      <c r="S37" s="377"/>
      <c r="T37" s="377"/>
      <c r="U37" s="377"/>
      <c r="V37" s="377"/>
      <c r="W37" s="377"/>
      <c r="X37" s="377"/>
      <c r="Y37" s="377"/>
      <c r="Z37" s="377"/>
      <c r="AA37" s="377"/>
      <c r="AB37" s="377"/>
      <c r="AC37" s="377"/>
      <c r="AD37" s="377"/>
      <c r="AE37" s="377"/>
      <c r="AF37" s="377"/>
      <c r="AG37" s="377"/>
      <c r="AH37" s="377"/>
      <c r="AI37" s="377"/>
      <c r="AJ37" s="377"/>
      <c r="AK37" s="377"/>
      <c r="AL37" s="377"/>
      <c r="AM37" s="377"/>
      <c r="AN37" s="377"/>
    </row>
    <row r="38" customFormat="false" ht="11.25" hidden="false" customHeight="false" outlineLevel="0" collapsed="false">
      <c r="A38" s="377"/>
      <c r="B38" s="377"/>
      <c r="C38" s="377"/>
      <c r="D38" s="377"/>
      <c r="E38" s="377"/>
      <c r="F38" s="377"/>
      <c r="G38" s="377"/>
      <c r="H38" s="377"/>
      <c r="I38" s="377"/>
      <c r="J38" s="377"/>
      <c r="K38" s="377"/>
      <c r="L38" s="377"/>
      <c r="M38" s="377"/>
      <c r="N38" s="377"/>
      <c r="O38" s="377"/>
      <c r="P38" s="377"/>
      <c r="Q38" s="377"/>
      <c r="R38" s="377"/>
      <c r="S38" s="377"/>
      <c r="T38" s="377"/>
      <c r="U38" s="377"/>
      <c r="V38" s="377"/>
      <c r="W38" s="377"/>
      <c r="X38" s="377"/>
      <c r="Y38" s="377"/>
      <c r="Z38" s="377"/>
      <c r="AA38" s="377"/>
      <c r="AB38" s="377"/>
      <c r="AC38" s="377"/>
      <c r="AD38" s="377"/>
      <c r="AE38" s="377"/>
      <c r="AF38" s="377"/>
      <c r="AG38" s="377"/>
      <c r="AH38" s="377"/>
      <c r="AI38" s="377"/>
      <c r="AJ38" s="377"/>
      <c r="AK38" s="377"/>
      <c r="AL38" s="377"/>
      <c r="AM38" s="377"/>
      <c r="AN38" s="377"/>
    </row>
    <row r="39" customFormat="false" ht="11.25" hidden="false" customHeight="false" outlineLevel="0" collapsed="false">
      <c r="A39" s="377"/>
      <c r="B39" s="377"/>
      <c r="C39" s="377"/>
      <c r="D39" s="377"/>
      <c r="E39" s="377"/>
      <c r="F39" s="377"/>
      <c r="G39" s="377"/>
      <c r="H39" s="377"/>
      <c r="I39" s="377"/>
      <c r="J39" s="377"/>
      <c r="K39" s="377"/>
      <c r="L39" s="377"/>
      <c r="M39" s="377"/>
      <c r="N39" s="377"/>
      <c r="O39" s="377"/>
      <c r="P39" s="377"/>
      <c r="Q39" s="377"/>
      <c r="R39" s="377"/>
      <c r="S39" s="377"/>
      <c r="T39" s="377"/>
      <c r="U39" s="377"/>
      <c r="V39" s="377"/>
      <c r="W39" s="377"/>
      <c r="X39" s="377"/>
      <c r="Y39" s="377"/>
      <c r="Z39" s="377"/>
      <c r="AA39" s="377"/>
      <c r="AB39" s="377"/>
      <c r="AC39" s="377"/>
      <c r="AD39" s="377"/>
      <c r="AE39" s="377"/>
      <c r="AF39" s="377"/>
      <c r="AG39" s="377"/>
      <c r="AH39" s="377"/>
      <c r="AI39" s="377"/>
      <c r="AJ39" s="377"/>
      <c r="AK39" s="377"/>
      <c r="AL39" s="377"/>
      <c r="AM39" s="377"/>
      <c r="AN39" s="377"/>
    </row>
    <row r="40" customFormat="false" ht="11.25" hidden="false" customHeight="false" outlineLevel="0" collapsed="false">
      <c r="A40" s="377"/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Z40" s="377"/>
      <c r="AA40" s="377"/>
      <c r="AB40" s="377"/>
      <c r="AC40" s="377"/>
      <c r="AD40" s="377"/>
      <c r="AE40" s="377"/>
      <c r="AF40" s="377"/>
      <c r="AG40" s="377"/>
      <c r="AH40" s="377"/>
      <c r="AI40" s="377"/>
      <c r="AJ40" s="377"/>
      <c r="AK40" s="377"/>
      <c r="AL40" s="377"/>
      <c r="AM40" s="377"/>
      <c r="AN40" s="377"/>
    </row>
    <row r="41" customFormat="false" ht="11.25" hidden="false" customHeight="false" outlineLevel="0" collapsed="false">
      <c r="A41" s="377"/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Z41" s="377"/>
      <c r="AA41" s="377"/>
      <c r="AB41" s="377"/>
      <c r="AC41" s="377"/>
      <c r="AD41" s="377"/>
      <c r="AE41" s="377"/>
      <c r="AF41" s="377"/>
      <c r="AG41" s="377"/>
      <c r="AH41" s="377"/>
      <c r="AI41" s="377"/>
      <c r="AJ41" s="377"/>
      <c r="AK41" s="377"/>
      <c r="AL41" s="377"/>
      <c r="AM41" s="377"/>
      <c r="AN41" s="377"/>
    </row>
    <row r="42" customFormat="false" ht="11.25" hidden="false" customHeight="false" outlineLevel="0" collapsed="false">
      <c r="A42" s="377"/>
      <c r="B42" s="377"/>
      <c r="C42" s="377"/>
      <c r="D42" s="377"/>
      <c r="E42" s="377"/>
      <c r="F42" s="377"/>
      <c r="G42" s="377"/>
      <c r="H42" s="377"/>
      <c r="I42" s="377"/>
      <c r="J42" s="377"/>
      <c r="K42" s="377"/>
      <c r="L42" s="377"/>
      <c r="M42" s="377"/>
      <c r="N42" s="377"/>
      <c r="O42" s="377"/>
      <c r="P42" s="377"/>
      <c r="Q42" s="377"/>
      <c r="R42" s="377"/>
      <c r="S42" s="377"/>
      <c r="T42" s="377"/>
      <c r="U42" s="377"/>
      <c r="V42" s="377"/>
      <c r="W42" s="377"/>
      <c r="X42" s="377"/>
      <c r="Y42" s="377"/>
      <c r="Z42" s="377"/>
      <c r="AA42" s="377"/>
      <c r="AB42" s="377"/>
      <c r="AC42" s="377"/>
      <c r="AD42" s="377"/>
      <c r="AE42" s="377"/>
      <c r="AF42" s="377"/>
      <c r="AG42" s="377"/>
      <c r="AH42" s="377"/>
      <c r="AI42" s="377"/>
      <c r="AJ42" s="377"/>
      <c r="AK42" s="377"/>
      <c r="AL42" s="377"/>
      <c r="AM42" s="377"/>
      <c r="AN42" s="377"/>
    </row>
    <row r="43" customFormat="false" ht="11.25" hidden="false" customHeight="false" outlineLevel="0" collapsed="false">
      <c r="A43" s="377"/>
      <c r="B43" s="377"/>
      <c r="C43" s="377"/>
      <c r="D43" s="377"/>
      <c r="E43" s="377"/>
      <c r="F43" s="377"/>
      <c r="G43" s="377"/>
      <c r="H43" s="377"/>
      <c r="I43" s="377"/>
      <c r="J43" s="377"/>
      <c r="K43" s="377"/>
      <c r="L43" s="377"/>
      <c r="M43" s="377"/>
      <c r="N43" s="377"/>
      <c r="O43" s="377"/>
      <c r="P43" s="377"/>
      <c r="Q43" s="377"/>
      <c r="R43" s="377"/>
      <c r="S43" s="377"/>
      <c r="T43" s="377"/>
      <c r="U43" s="377"/>
      <c r="V43" s="377"/>
      <c r="W43" s="377"/>
      <c r="X43" s="377"/>
      <c r="Y43" s="377"/>
      <c r="Z43" s="377"/>
      <c r="AA43" s="377"/>
      <c r="AB43" s="377"/>
      <c r="AC43" s="377"/>
      <c r="AD43" s="377"/>
      <c r="AE43" s="377"/>
      <c r="AF43" s="377"/>
      <c r="AG43" s="377"/>
      <c r="AH43" s="377"/>
      <c r="AI43" s="377"/>
      <c r="AJ43" s="377"/>
      <c r="AK43" s="377"/>
      <c r="AL43" s="377"/>
      <c r="AM43" s="377"/>
      <c r="AN43" s="377"/>
    </row>
    <row r="44" customFormat="false" ht="11.25" hidden="false" customHeight="false" outlineLevel="0" collapsed="false">
      <c r="A44" s="377"/>
      <c r="B44" s="377"/>
      <c r="C44" s="377"/>
      <c r="D44" s="377"/>
      <c r="E44" s="377"/>
      <c r="F44" s="377"/>
      <c r="G44" s="377"/>
      <c r="H44" s="377"/>
      <c r="I44" s="377"/>
      <c r="J44" s="377"/>
      <c r="K44" s="377"/>
      <c r="L44" s="377"/>
      <c r="M44" s="377"/>
      <c r="N44" s="377"/>
      <c r="O44" s="377"/>
      <c r="P44" s="377"/>
      <c r="Q44" s="377"/>
      <c r="R44" s="377"/>
      <c r="S44" s="377"/>
      <c r="T44" s="377"/>
      <c r="U44" s="377"/>
      <c r="V44" s="377"/>
      <c r="W44" s="377"/>
      <c r="X44" s="377"/>
      <c r="Y44" s="377"/>
      <c r="Z44" s="377"/>
      <c r="AA44" s="377"/>
      <c r="AB44" s="377"/>
      <c r="AC44" s="377"/>
      <c r="AD44" s="377"/>
      <c r="AE44" s="377"/>
      <c r="AF44" s="377"/>
      <c r="AG44" s="377"/>
      <c r="AH44" s="377"/>
      <c r="AI44" s="377"/>
      <c r="AJ44" s="377"/>
      <c r="AK44" s="377"/>
      <c r="AL44" s="377"/>
      <c r="AM44" s="377"/>
      <c r="AN44" s="377"/>
    </row>
    <row r="45" customFormat="false" ht="11.25" hidden="false" customHeight="false" outlineLevel="0" collapsed="false">
      <c r="A45" s="377"/>
      <c r="B45" s="377"/>
      <c r="C45" s="377"/>
      <c r="D45" s="377"/>
      <c r="E45" s="377"/>
      <c r="F45" s="377"/>
      <c r="G45" s="377"/>
      <c r="H45" s="377"/>
      <c r="I45" s="377"/>
      <c r="J45" s="377"/>
      <c r="K45" s="377"/>
      <c r="L45" s="377"/>
      <c r="M45" s="377"/>
      <c r="N45" s="377"/>
      <c r="O45" s="377"/>
      <c r="P45" s="377"/>
      <c r="Q45" s="377"/>
      <c r="R45" s="377"/>
      <c r="S45" s="377"/>
      <c r="T45" s="377"/>
      <c r="U45" s="377"/>
      <c r="V45" s="377"/>
      <c r="W45" s="377"/>
      <c r="X45" s="377"/>
      <c r="Y45" s="377"/>
      <c r="Z45" s="377"/>
      <c r="AA45" s="377"/>
      <c r="AB45" s="377"/>
      <c r="AC45" s="377"/>
      <c r="AD45" s="377"/>
      <c r="AE45" s="377"/>
      <c r="AF45" s="377"/>
      <c r="AG45" s="377"/>
      <c r="AH45" s="377"/>
      <c r="AI45" s="377"/>
      <c r="AJ45" s="377"/>
      <c r="AK45" s="377"/>
      <c r="AL45" s="377"/>
      <c r="AM45" s="377"/>
      <c r="AN45" s="377"/>
    </row>
    <row r="46" customFormat="false" ht="11.25" hidden="false" customHeight="false" outlineLevel="0" collapsed="false">
      <c r="A46" s="377"/>
      <c r="B46" s="377"/>
      <c r="C46" s="377"/>
      <c r="D46" s="377"/>
      <c r="E46" s="377"/>
      <c r="F46" s="377"/>
      <c r="G46" s="377"/>
      <c r="H46" s="377"/>
      <c r="I46" s="377"/>
      <c r="J46" s="377"/>
      <c r="K46" s="377"/>
      <c r="L46" s="377"/>
      <c r="M46" s="377"/>
      <c r="N46" s="377"/>
      <c r="O46" s="377"/>
      <c r="P46" s="377"/>
      <c r="Q46" s="377"/>
      <c r="R46" s="377"/>
      <c r="S46" s="377"/>
      <c r="T46" s="377"/>
      <c r="U46" s="377"/>
      <c r="V46" s="377"/>
      <c r="W46" s="377"/>
      <c r="X46" s="377"/>
      <c r="Y46" s="377"/>
      <c r="Z46" s="377"/>
      <c r="AA46" s="377"/>
      <c r="AB46" s="377"/>
      <c r="AC46" s="377"/>
      <c r="AD46" s="377"/>
      <c r="AE46" s="377"/>
      <c r="AF46" s="377"/>
      <c r="AG46" s="377"/>
      <c r="AH46" s="377"/>
      <c r="AI46" s="377"/>
      <c r="AJ46" s="377"/>
      <c r="AK46" s="377"/>
      <c r="AL46" s="377"/>
      <c r="AM46" s="377"/>
      <c r="AN46" s="377"/>
    </row>
    <row r="47" customFormat="false" ht="11.25" hidden="false" customHeight="false" outlineLevel="0" collapsed="false">
      <c r="A47" s="377"/>
      <c r="B47" s="377"/>
      <c r="C47" s="377"/>
      <c r="D47" s="377"/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77"/>
      <c r="P47" s="377"/>
      <c r="Q47" s="377"/>
      <c r="R47" s="377"/>
      <c r="S47" s="377"/>
      <c r="T47" s="377"/>
      <c r="U47" s="377"/>
      <c r="V47" s="377"/>
      <c r="W47" s="377"/>
      <c r="X47" s="377"/>
      <c r="Y47" s="377"/>
      <c r="Z47" s="377"/>
      <c r="AA47" s="377"/>
      <c r="AB47" s="377"/>
      <c r="AC47" s="377"/>
      <c r="AD47" s="377"/>
      <c r="AE47" s="377"/>
      <c r="AF47" s="377"/>
      <c r="AG47" s="377"/>
      <c r="AH47" s="377"/>
      <c r="AI47" s="377"/>
      <c r="AJ47" s="377"/>
      <c r="AK47" s="377"/>
      <c r="AL47" s="377"/>
      <c r="AM47" s="377"/>
      <c r="AN47" s="377"/>
    </row>
    <row r="48" customFormat="false" ht="11.25" hidden="false" customHeight="false" outlineLevel="0" collapsed="false">
      <c r="A48" s="377"/>
      <c r="B48" s="377"/>
      <c r="C48" s="377"/>
      <c r="D48" s="377"/>
      <c r="E48" s="377"/>
      <c r="F48" s="377"/>
      <c r="G48" s="377"/>
      <c r="H48" s="377"/>
      <c r="I48" s="377"/>
      <c r="J48" s="377"/>
      <c r="K48" s="377"/>
      <c r="L48" s="377"/>
      <c r="M48" s="377"/>
      <c r="N48" s="377"/>
      <c r="O48" s="377"/>
      <c r="P48" s="377"/>
      <c r="Q48" s="377"/>
      <c r="R48" s="377"/>
      <c r="S48" s="377"/>
      <c r="T48" s="377"/>
      <c r="U48" s="377"/>
      <c r="V48" s="377"/>
      <c r="W48" s="377"/>
      <c r="X48" s="377"/>
      <c r="Y48" s="377"/>
      <c r="Z48" s="377"/>
      <c r="AA48" s="377"/>
      <c r="AB48" s="377"/>
      <c r="AC48" s="377"/>
      <c r="AD48" s="377"/>
      <c r="AE48" s="377"/>
      <c r="AF48" s="377"/>
      <c r="AG48" s="377"/>
      <c r="AH48" s="377"/>
      <c r="AI48" s="377"/>
      <c r="AJ48" s="377"/>
      <c r="AK48" s="377"/>
      <c r="AL48" s="377"/>
      <c r="AM48" s="377"/>
      <c r="AN48" s="377"/>
    </row>
    <row r="49" customFormat="false" ht="11.25" hidden="false" customHeight="false" outlineLevel="0" collapsed="false">
      <c r="A49" s="377"/>
      <c r="B49" s="377"/>
      <c r="C49" s="377"/>
      <c r="D49" s="377"/>
      <c r="E49" s="377"/>
      <c r="F49" s="377"/>
      <c r="G49" s="377"/>
      <c r="H49" s="377"/>
      <c r="I49" s="377"/>
      <c r="J49" s="377"/>
      <c r="K49" s="377"/>
      <c r="L49" s="377"/>
      <c r="M49" s="377"/>
      <c r="N49" s="377"/>
      <c r="O49" s="377"/>
      <c r="P49" s="377"/>
      <c r="Q49" s="377"/>
      <c r="R49" s="377"/>
      <c r="S49" s="377"/>
      <c r="T49" s="377"/>
      <c r="U49" s="377"/>
      <c r="V49" s="377"/>
      <c r="W49" s="377"/>
      <c r="X49" s="377"/>
      <c r="Y49" s="377"/>
      <c r="Z49" s="377"/>
      <c r="AA49" s="377"/>
      <c r="AB49" s="377"/>
      <c r="AC49" s="377"/>
      <c r="AD49" s="377"/>
      <c r="AE49" s="377"/>
      <c r="AF49" s="377"/>
      <c r="AG49" s="377"/>
      <c r="AH49" s="377"/>
      <c r="AI49" s="377"/>
      <c r="AJ49" s="377"/>
      <c r="AK49" s="377"/>
      <c r="AL49" s="377"/>
      <c r="AM49" s="377"/>
      <c r="AN49" s="377"/>
    </row>
    <row r="50" customFormat="false" ht="11.25" hidden="false" customHeight="false" outlineLevel="0" collapsed="false">
      <c r="A50" s="377"/>
      <c r="B50" s="377"/>
      <c r="C50" s="377"/>
      <c r="D50" s="377"/>
      <c r="E50" s="377"/>
      <c r="F50" s="377"/>
      <c r="G50" s="377"/>
      <c r="H50" s="377"/>
      <c r="I50" s="377"/>
      <c r="J50" s="377"/>
      <c r="K50" s="377"/>
      <c r="L50" s="377"/>
      <c r="M50" s="377"/>
      <c r="N50" s="377"/>
      <c r="O50" s="377"/>
      <c r="P50" s="377"/>
      <c r="Q50" s="377"/>
      <c r="R50" s="377"/>
      <c r="S50" s="377"/>
      <c r="T50" s="377"/>
      <c r="U50" s="377"/>
      <c r="V50" s="377"/>
      <c r="W50" s="377"/>
      <c r="X50" s="377"/>
      <c r="Y50" s="377"/>
      <c r="Z50" s="377"/>
      <c r="AA50" s="377"/>
      <c r="AB50" s="377"/>
      <c r="AC50" s="377"/>
      <c r="AD50" s="377"/>
      <c r="AE50" s="377"/>
      <c r="AF50" s="377"/>
      <c r="AG50" s="377"/>
      <c r="AH50" s="377"/>
      <c r="AI50" s="377"/>
      <c r="AJ50" s="377"/>
      <c r="AK50" s="377"/>
      <c r="AL50" s="377"/>
      <c r="AM50" s="377"/>
      <c r="AN50" s="377"/>
    </row>
    <row r="51" customFormat="false" ht="11.25" hidden="false" customHeight="false" outlineLevel="0" collapsed="false">
      <c r="A51" s="377"/>
      <c r="B51" s="377"/>
      <c r="C51" s="377"/>
      <c r="D51" s="377"/>
      <c r="E51" s="377"/>
      <c r="F51" s="377"/>
      <c r="G51" s="377"/>
      <c r="H51" s="377"/>
      <c r="I51" s="377"/>
      <c r="J51" s="377"/>
      <c r="K51" s="377"/>
      <c r="L51" s="377"/>
      <c r="M51" s="377"/>
      <c r="N51" s="377"/>
      <c r="O51" s="377"/>
      <c r="P51" s="377"/>
      <c r="Q51" s="377"/>
      <c r="R51" s="377"/>
      <c r="S51" s="377"/>
      <c r="T51" s="377"/>
      <c r="U51" s="377"/>
      <c r="V51" s="377"/>
      <c r="W51" s="377"/>
      <c r="X51" s="377"/>
      <c r="Y51" s="377"/>
      <c r="Z51" s="377"/>
      <c r="AA51" s="377"/>
      <c r="AB51" s="377"/>
      <c r="AC51" s="377"/>
      <c r="AD51" s="377"/>
      <c r="AE51" s="377"/>
      <c r="AF51" s="377"/>
      <c r="AG51" s="377"/>
      <c r="AH51" s="377"/>
      <c r="AI51" s="377"/>
      <c r="AJ51" s="377"/>
      <c r="AK51" s="377"/>
      <c r="AL51" s="377"/>
      <c r="AM51" s="377"/>
      <c r="AN51" s="377"/>
    </row>
    <row r="52" customFormat="false" ht="11.25" hidden="false" customHeight="false" outlineLevel="0" collapsed="false">
      <c r="A52" s="377"/>
      <c r="B52" s="377"/>
      <c r="C52" s="377"/>
      <c r="D52" s="377"/>
      <c r="E52" s="377"/>
      <c r="F52" s="377"/>
      <c r="G52" s="377"/>
      <c r="H52" s="377"/>
      <c r="I52" s="377"/>
      <c r="J52" s="377"/>
      <c r="K52" s="377"/>
      <c r="L52" s="377"/>
      <c r="M52" s="377"/>
      <c r="N52" s="377"/>
      <c r="O52" s="377"/>
      <c r="P52" s="377"/>
      <c r="Q52" s="377"/>
      <c r="R52" s="377"/>
      <c r="S52" s="377"/>
      <c r="T52" s="377"/>
      <c r="U52" s="377"/>
      <c r="V52" s="377"/>
      <c r="W52" s="377"/>
      <c r="X52" s="377"/>
      <c r="Y52" s="377"/>
      <c r="Z52" s="377"/>
      <c r="AA52" s="377"/>
      <c r="AB52" s="377"/>
      <c r="AC52" s="377"/>
      <c r="AD52" s="377"/>
      <c r="AE52" s="377"/>
      <c r="AF52" s="377"/>
      <c r="AG52" s="377"/>
      <c r="AH52" s="377"/>
      <c r="AI52" s="377"/>
      <c r="AJ52" s="377"/>
      <c r="AK52" s="377"/>
      <c r="AL52" s="377"/>
      <c r="AM52" s="377"/>
      <c r="AN52" s="377"/>
    </row>
    <row r="53" customFormat="false" ht="11.25" hidden="false" customHeight="false" outlineLevel="0" collapsed="false">
      <c r="A53" s="377"/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Z53" s="377"/>
      <c r="AA53" s="377"/>
      <c r="AB53" s="377"/>
      <c r="AC53" s="377"/>
      <c r="AD53" s="377"/>
      <c r="AE53" s="377"/>
      <c r="AF53" s="377"/>
      <c r="AG53" s="377"/>
      <c r="AH53" s="377"/>
      <c r="AI53" s="377"/>
      <c r="AJ53" s="377"/>
      <c r="AK53" s="377"/>
      <c r="AL53" s="377"/>
      <c r="AM53" s="377"/>
      <c r="AN53" s="377"/>
    </row>
    <row r="54" customFormat="false" ht="11.25" hidden="false" customHeight="false" outlineLevel="0" collapsed="false">
      <c r="A54" s="377"/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Z54" s="377"/>
      <c r="AA54" s="377"/>
      <c r="AB54" s="377"/>
      <c r="AC54" s="377"/>
      <c r="AD54" s="377"/>
      <c r="AE54" s="377"/>
      <c r="AF54" s="377"/>
      <c r="AG54" s="377"/>
      <c r="AH54" s="377"/>
      <c r="AI54" s="377"/>
      <c r="AJ54" s="377"/>
      <c r="AK54" s="377"/>
      <c r="AL54" s="377"/>
      <c r="AM54" s="377"/>
      <c r="AN54" s="377"/>
    </row>
    <row r="55" customFormat="false" ht="11.25" hidden="false" customHeight="false" outlineLevel="0" collapsed="false">
      <c r="A55" s="377"/>
      <c r="B55" s="377"/>
      <c r="C55" s="377"/>
      <c r="D55" s="377"/>
      <c r="E55" s="377"/>
      <c r="F55" s="377"/>
      <c r="G55" s="377"/>
      <c r="H55" s="377"/>
      <c r="I55" s="377"/>
      <c r="J55" s="377"/>
      <c r="K55" s="377"/>
      <c r="L55" s="377"/>
      <c r="M55" s="377"/>
      <c r="N55" s="377"/>
      <c r="O55" s="377"/>
      <c r="P55" s="377"/>
      <c r="Q55" s="377"/>
      <c r="R55" s="377"/>
      <c r="S55" s="377"/>
      <c r="T55" s="377"/>
      <c r="U55" s="377"/>
      <c r="V55" s="377"/>
      <c r="W55" s="377"/>
      <c r="X55" s="377"/>
      <c r="Y55" s="377"/>
      <c r="Z55" s="377"/>
      <c r="AA55" s="377"/>
      <c r="AB55" s="377"/>
      <c r="AC55" s="377"/>
      <c r="AD55" s="377"/>
      <c r="AE55" s="377"/>
      <c r="AF55" s="377"/>
      <c r="AG55" s="377"/>
      <c r="AH55" s="377"/>
      <c r="AI55" s="377"/>
      <c r="AJ55" s="377"/>
      <c r="AK55" s="377"/>
      <c r="AL55" s="377"/>
      <c r="AM55" s="377"/>
      <c r="AN55" s="377"/>
    </row>
    <row r="56" customFormat="false" ht="11.25" hidden="false" customHeight="false" outlineLevel="0" collapsed="false">
      <c r="A56" s="377"/>
      <c r="B56" s="377"/>
      <c r="C56" s="377"/>
      <c r="D56" s="377"/>
      <c r="E56" s="377"/>
      <c r="F56" s="377"/>
      <c r="G56" s="377"/>
      <c r="H56" s="377"/>
      <c r="I56" s="377"/>
      <c r="J56" s="377"/>
      <c r="K56" s="377"/>
      <c r="L56" s="377"/>
      <c r="M56" s="377"/>
      <c r="N56" s="377"/>
      <c r="O56" s="377"/>
      <c r="P56" s="377"/>
      <c r="Q56" s="377"/>
      <c r="R56" s="377"/>
      <c r="S56" s="377"/>
      <c r="T56" s="377"/>
      <c r="U56" s="377"/>
      <c r="V56" s="377"/>
      <c r="W56" s="377"/>
      <c r="X56" s="377"/>
      <c r="Y56" s="377"/>
      <c r="Z56" s="377"/>
      <c r="AA56" s="377"/>
      <c r="AB56" s="377"/>
      <c r="AC56" s="377"/>
      <c r="AD56" s="377"/>
      <c r="AE56" s="377"/>
      <c r="AF56" s="377"/>
      <c r="AG56" s="377"/>
      <c r="AH56" s="377"/>
      <c r="AI56" s="377"/>
      <c r="AJ56" s="377"/>
      <c r="AK56" s="377"/>
      <c r="AL56" s="377"/>
      <c r="AM56" s="377"/>
      <c r="AN56" s="377"/>
    </row>
    <row r="57" customFormat="false" ht="11.25" hidden="false" customHeight="false" outlineLevel="0" collapsed="false">
      <c r="O57" s="377"/>
      <c r="P57" s="377"/>
      <c r="Q57" s="377"/>
      <c r="R57" s="377"/>
      <c r="S57" s="377"/>
      <c r="T57" s="377"/>
      <c r="U57" s="377"/>
      <c r="V57" s="377"/>
      <c r="W57" s="377"/>
      <c r="X57" s="377"/>
      <c r="Y57" s="377"/>
      <c r="Z57" s="377"/>
      <c r="AA57" s="377"/>
      <c r="AB57" s="377"/>
      <c r="AC57" s="377"/>
      <c r="AD57" s="377"/>
      <c r="AE57" s="377"/>
      <c r="AF57" s="377"/>
      <c r="AG57" s="377"/>
      <c r="AH57" s="377"/>
      <c r="AI57" s="377"/>
      <c r="AJ57" s="377"/>
      <c r="AK57" s="377"/>
      <c r="AL57" s="377"/>
      <c r="AM57" s="377"/>
      <c r="AN57" s="377"/>
    </row>
  </sheetData>
  <mergeCells count="7">
    <mergeCell ref="Z1:AA1"/>
    <mergeCell ref="Z2:AA2"/>
    <mergeCell ref="A6:A7"/>
    <mergeCell ref="B6:M6"/>
    <mergeCell ref="O6:Z6"/>
    <mergeCell ref="B8:M8"/>
    <mergeCell ref="O8:Z8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&amp;L&amp;F, &amp;A&amp;CPage &amp;P of 1&amp;R&amp;D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38" activeCellId="0" sqref="G3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99" width="12.7"/>
    <col collapsed="false" customWidth="true" hidden="false" outlineLevel="0" max="3" min="2" style="400" width="12.7"/>
    <col collapsed="false" customWidth="false" hidden="false" outlineLevel="0" max="4" min="4" style="400" width="9.14"/>
    <col collapsed="false" customWidth="true" hidden="false" outlineLevel="0" max="5" min="5" style="399" width="12.7"/>
    <col collapsed="false" customWidth="true" hidden="false" outlineLevel="0" max="7" min="6" style="400" width="12.7"/>
    <col collapsed="false" customWidth="false" hidden="false" outlineLevel="0" max="257" min="8" style="400" width="9.14"/>
  </cols>
  <sheetData>
    <row r="1" customFormat="false" ht="18.75" hidden="false" customHeight="false" outlineLevel="0" collapsed="false">
      <c r="A1" s="1" t="s">
        <v>0</v>
      </c>
      <c r="B1" s="2"/>
      <c r="C1" s="3"/>
      <c r="D1" s="3"/>
      <c r="E1" s="3"/>
      <c r="F1" s="3"/>
      <c r="G1" s="4" t="s">
        <v>1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</row>
    <row r="2" customFormat="false" ht="18.75" hidden="false" customHeight="true" outlineLevel="0" collapsed="false">
      <c r="A2" s="6" t="s">
        <v>328</v>
      </c>
      <c r="B2" s="6"/>
      <c r="C2" s="7"/>
      <c r="D2" s="7"/>
      <c r="E2" s="7"/>
      <c r="F2" s="7"/>
      <c r="G2" s="8" t="s">
        <v>3</v>
      </c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</row>
    <row r="3" customFormat="false" ht="12" hidden="false" customHeight="false" outlineLevel="0" collapsed="false">
      <c r="A3" s="339"/>
      <c r="B3" s="339"/>
      <c r="C3" s="339"/>
      <c r="D3" s="339"/>
      <c r="E3" s="339"/>
      <c r="F3" s="339"/>
      <c r="G3" s="339"/>
      <c r="H3" s="339"/>
      <c r="I3" s="339"/>
      <c r="J3" s="339"/>
      <c r="K3" s="339"/>
      <c r="L3" s="339"/>
      <c r="M3" s="339"/>
      <c r="N3" s="339"/>
      <c r="O3" s="339"/>
      <c r="P3" s="339"/>
      <c r="Q3" s="339"/>
      <c r="R3" s="339"/>
      <c r="S3" s="339"/>
      <c r="T3" s="339"/>
      <c r="U3" s="339"/>
      <c r="V3" s="339"/>
      <c r="W3" s="339"/>
      <c r="X3" s="339"/>
      <c r="Y3" s="339"/>
      <c r="Z3" s="339"/>
      <c r="AA3" s="339"/>
      <c r="AB3" s="339"/>
      <c r="AC3" s="339"/>
      <c r="AD3" s="339"/>
      <c r="AE3" s="339"/>
      <c r="AF3" s="339"/>
      <c r="AG3" s="339"/>
      <c r="AH3" s="339"/>
      <c r="AI3" s="339"/>
      <c r="AJ3" s="339"/>
      <c r="AK3" s="339"/>
      <c r="AL3" s="339"/>
      <c r="AM3" s="339"/>
      <c r="AN3" s="339"/>
      <c r="AO3" s="339"/>
      <c r="AP3" s="339"/>
      <c r="AQ3" s="339"/>
      <c r="AR3" s="339"/>
      <c r="AS3" s="339"/>
      <c r="AT3" s="339"/>
      <c r="AU3" s="339"/>
      <c r="AV3" s="339"/>
      <c r="AW3" s="339"/>
      <c r="AX3" s="339"/>
      <c r="AY3" s="339"/>
      <c r="AZ3" s="339"/>
      <c r="BA3" s="339"/>
      <c r="BB3" s="339"/>
      <c r="BC3" s="339"/>
      <c r="BD3" s="339"/>
      <c r="BE3" s="339"/>
      <c r="BF3" s="339"/>
      <c r="BG3" s="339"/>
      <c r="BH3" s="339"/>
      <c r="BI3" s="339"/>
      <c r="BJ3" s="339"/>
      <c r="BK3" s="339"/>
      <c r="BL3" s="339"/>
      <c r="BM3" s="339"/>
      <c r="BN3" s="339"/>
      <c r="BO3" s="339"/>
      <c r="BP3" s="339"/>
      <c r="BQ3" s="339"/>
      <c r="BR3" s="339"/>
      <c r="BS3" s="339"/>
      <c r="BT3" s="339"/>
      <c r="BU3" s="339"/>
      <c r="BV3" s="339"/>
      <c r="BW3" s="339"/>
      <c r="BX3" s="339"/>
      <c r="BY3" s="339"/>
      <c r="BZ3" s="339"/>
      <c r="CA3" s="339"/>
      <c r="CB3" s="339"/>
      <c r="CC3" s="339"/>
      <c r="CD3" s="339"/>
      <c r="CE3" s="339"/>
      <c r="CF3" s="339"/>
      <c r="CG3" s="339"/>
      <c r="CH3" s="339"/>
      <c r="CI3" s="339"/>
      <c r="CJ3" s="339"/>
      <c r="CK3" s="339"/>
      <c r="CL3" s="339"/>
      <c r="CM3" s="339"/>
      <c r="CN3" s="339"/>
      <c r="CO3" s="339"/>
      <c r="CP3" s="339"/>
      <c r="CQ3" s="339"/>
      <c r="CR3" s="339"/>
      <c r="CS3" s="339"/>
      <c r="CT3" s="339"/>
      <c r="CU3" s="339"/>
      <c r="CV3" s="339"/>
      <c r="CW3" s="339"/>
      <c r="CX3" s="339"/>
      <c r="CY3" s="339"/>
      <c r="CZ3" s="339"/>
      <c r="DA3" s="339"/>
      <c r="DB3" s="339"/>
      <c r="DC3" s="339"/>
      <c r="DD3" s="339"/>
      <c r="DE3" s="339"/>
      <c r="DF3" s="339"/>
      <c r="DG3" s="339"/>
      <c r="DH3" s="339"/>
      <c r="DI3" s="339"/>
      <c r="DJ3" s="339"/>
      <c r="DK3" s="339"/>
      <c r="DL3" s="339"/>
      <c r="DM3" s="339"/>
      <c r="DN3" s="339"/>
      <c r="DO3" s="339"/>
      <c r="DP3" s="339"/>
      <c r="DQ3" s="339"/>
      <c r="DR3" s="339"/>
      <c r="DS3" s="339"/>
      <c r="DT3" s="339"/>
      <c r="DU3" s="339"/>
      <c r="DV3" s="339"/>
      <c r="DW3" s="339"/>
      <c r="DX3" s="339"/>
      <c r="DY3" s="339"/>
      <c r="DZ3" s="339"/>
      <c r="EA3" s="339"/>
      <c r="EB3" s="339"/>
      <c r="EC3" s="339"/>
      <c r="ED3" s="339"/>
      <c r="EE3" s="339"/>
      <c r="EF3" s="339"/>
      <c r="EG3" s="339"/>
      <c r="EH3" s="339"/>
      <c r="EI3" s="339"/>
      <c r="EJ3" s="339"/>
      <c r="EK3" s="339"/>
      <c r="EL3" s="339"/>
      <c r="EM3" s="339"/>
      <c r="EN3" s="339"/>
      <c r="EO3" s="339"/>
      <c r="EP3" s="339"/>
      <c r="EQ3" s="339"/>
      <c r="ER3" s="339"/>
      <c r="ES3" s="339"/>
      <c r="ET3" s="339"/>
      <c r="EU3" s="339"/>
      <c r="EV3" s="339"/>
      <c r="EW3" s="339"/>
      <c r="EX3" s="339"/>
      <c r="EY3" s="339"/>
      <c r="EZ3" s="339"/>
      <c r="FA3" s="339"/>
      <c r="FB3" s="339"/>
      <c r="FC3" s="339"/>
      <c r="FD3" s="339"/>
      <c r="FE3" s="339"/>
      <c r="FF3" s="339"/>
      <c r="FG3" s="339"/>
      <c r="FH3" s="339"/>
      <c r="FI3" s="339"/>
      <c r="FJ3" s="339"/>
      <c r="FK3" s="339"/>
      <c r="FL3" s="339"/>
      <c r="FM3" s="339"/>
      <c r="FN3" s="339"/>
      <c r="FO3" s="339"/>
      <c r="FP3" s="339"/>
      <c r="FQ3" s="339"/>
      <c r="FR3" s="339"/>
      <c r="FS3" s="339"/>
      <c r="FT3" s="339"/>
      <c r="FU3" s="339"/>
      <c r="FV3" s="339"/>
      <c r="FW3" s="339"/>
      <c r="FX3" s="339"/>
      <c r="FY3" s="339"/>
      <c r="FZ3" s="339"/>
      <c r="GA3" s="339"/>
      <c r="GB3" s="339"/>
      <c r="GC3" s="339"/>
      <c r="GD3" s="339"/>
      <c r="GE3" s="339"/>
      <c r="GF3" s="339"/>
      <c r="GG3" s="339"/>
      <c r="GH3" s="339"/>
      <c r="GI3" s="339"/>
      <c r="GJ3" s="339"/>
      <c r="GK3" s="339"/>
      <c r="GL3" s="339"/>
      <c r="GM3" s="339"/>
      <c r="GN3" s="339"/>
      <c r="GO3" s="339"/>
      <c r="GP3" s="339"/>
      <c r="GQ3" s="339"/>
      <c r="GR3" s="339"/>
      <c r="GS3" s="339"/>
      <c r="GT3" s="339"/>
      <c r="GU3" s="339"/>
      <c r="GV3" s="339"/>
      <c r="GW3" s="339"/>
      <c r="GX3" s="339"/>
      <c r="GY3" s="339"/>
      <c r="GZ3" s="339"/>
      <c r="HA3" s="339"/>
      <c r="HB3" s="339"/>
      <c r="HC3" s="339"/>
      <c r="HD3" s="339"/>
      <c r="HE3" s="339"/>
      <c r="HF3" s="339"/>
      <c r="HG3" s="339"/>
      <c r="HH3" s="339"/>
      <c r="HI3" s="339"/>
      <c r="HJ3" s="339"/>
      <c r="HK3" s="339"/>
      <c r="HL3" s="339"/>
      <c r="HM3" s="339"/>
      <c r="HN3" s="339"/>
      <c r="HO3" s="339"/>
      <c r="HP3" s="339"/>
      <c r="HQ3" s="339"/>
      <c r="HR3" s="339"/>
      <c r="HS3" s="339"/>
      <c r="HT3" s="339"/>
      <c r="HU3" s="339"/>
      <c r="HV3" s="339"/>
      <c r="HW3" s="339"/>
      <c r="HX3" s="339"/>
      <c r="HY3" s="339"/>
      <c r="HZ3" s="339"/>
      <c r="IA3" s="339"/>
      <c r="IB3" s="339"/>
      <c r="IC3" s="339"/>
      <c r="ID3" s="339"/>
      <c r="IE3" s="339"/>
      <c r="IF3" s="339"/>
      <c r="IG3" s="339"/>
      <c r="IH3" s="339"/>
      <c r="II3" s="339"/>
      <c r="IJ3" s="339"/>
      <c r="IK3" s="339"/>
      <c r="IL3" s="339"/>
      <c r="IM3" s="339"/>
      <c r="IN3" s="339"/>
      <c r="IO3" s="339"/>
      <c r="IP3" s="339"/>
      <c r="IQ3" s="339"/>
      <c r="IR3" s="339"/>
      <c r="IS3" s="339"/>
      <c r="IT3" s="339"/>
      <c r="IU3" s="339"/>
      <c r="IV3" s="339"/>
      <c r="IW3" s="339"/>
    </row>
    <row r="4" customFormat="false" ht="12.75" hidden="false" customHeight="false" outlineLevel="0" collapsed="false">
      <c r="A4" s="388"/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388"/>
      <c r="AH4" s="388"/>
      <c r="AI4" s="388"/>
      <c r="AJ4" s="388"/>
      <c r="AK4" s="388"/>
      <c r="AL4" s="388"/>
      <c r="AM4" s="388"/>
      <c r="AN4" s="388"/>
      <c r="AO4" s="388"/>
      <c r="AP4" s="388"/>
      <c r="AQ4" s="388"/>
      <c r="AR4" s="388"/>
      <c r="AS4" s="388"/>
      <c r="AT4" s="388"/>
      <c r="AU4" s="388"/>
      <c r="AV4" s="388"/>
      <c r="AW4" s="388"/>
      <c r="AX4" s="388"/>
      <c r="AY4" s="388"/>
      <c r="AZ4" s="388"/>
      <c r="BA4" s="388"/>
      <c r="BB4" s="388"/>
      <c r="BC4" s="388"/>
      <c r="BD4" s="388"/>
      <c r="BE4" s="388"/>
      <c r="BF4" s="388"/>
      <c r="BG4" s="388"/>
      <c r="BH4" s="388"/>
      <c r="BI4" s="388"/>
      <c r="BJ4" s="388"/>
      <c r="BK4" s="388"/>
      <c r="BL4" s="388"/>
      <c r="BM4" s="388"/>
      <c r="BN4" s="388"/>
      <c r="BO4" s="388"/>
      <c r="BP4" s="388"/>
      <c r="BQ4" s="388"/>
      <c r="BR4" s="388"/>
      <c r="BS4" s="388"/>
      <c r="BT4" s="388"/>
      <c r="BU4" s="388"/>
      <c r="BV4" s="388"/>
      <c r="BW4" s="388"/>
      <c r="BX4" s="388"/>
      <c r="BY4" s="388"/>
      <c r="BZ4" s="388"/>
      <c r="CA4" s="388"/>
      <c r="CB4" s="388"/>
      <c r="CC4" s="388"/>
      <c r="CD4" s="388"/>
      <c r="CE4" s="388"/>
      <c r="CF4" s="388"/>
      <c r="CG4" s="388"/>
      <c r="CH4" s="388"/>
      <c r="CI4" s="388"/>
      <c r="CJ4" s="388"/>
      <c r="CK4" s="388"/>
      <c r="CL4" s="388"/>
      <c r="CM4" s="388"/>
      <c r="CN4" s="388"/>
      <c r="CO4" s="388"/>
      <c r="CP4" s="388"/>
      <c r="CQ4" s="388"/>
      <c r="CR4" s="388"/>
      <c r="CS4" s="388"/>
      <c r="CT4" s="388"/>
      <c r="CU4" s="388"/>
      <c r="CV4" s="388"/>
      <c r="CW4" s="388"/>
      <c r="CX4" s="388"/>
      <c r="CY4" s="388"/>
      <c r="CZ4" s="388"/>
      <c r="DA4" s="388"/>
      <c r="DB4" s="388"/>
      <c r="DC4" s="388"/>
      <c r="DD4" s="388"/>
      <c r="DE4" s="388"/>
      <c r="DF4" s="388"/>
      <c r="DG4" s="388"/>
      <c r="DH4" s="388"/>
      <c r="DI4" s="388"/>
      <c r="DJ4" s="388"/>
      <c r="DK4" s="388"/>
      <c r="DL4" s="388"/>
      <c r="DM4" s="388"/>
      <c r="DN4" s="388"/>
      <c r="DO4" s="388"/>
      <c r="DP4" s="388"/>
      <c r="DQ4" s="388"/>
      <c r="DR4" s="388"/>
      <c r="DS4" s="388"/>
      <c r="DT4" s="388"/>
      <c r="DU4" s="388"/>
      <c r="DV4" s="388"/>
      <c r="DW4" s="388"/>
      <c r="DX4" s="388"/>
      <c r="DY4" s="388"/>
      <c r="DZ4" s="388"/>
      <c r="EA4" s="388"/>
      <c r="EB4" s="388"/>
      <c r="EC4" s="388"/>
      <c r="ED4" s="388"/>
      <c r="EE4" s="388"/>
      <c r="EF4" s="388"/>
      <c r="EG4" s="388"/>
      <c r="EH4" s="388"/>
      <c r="EI4" s="388"/>
      <c r="EJ4" s="388"/>
      <c r="EK4" s="388"/>
      <c r="EL4" s="388"/>
      <c r="EM4" s="388"/>
      <c r="EN4" s="388"/>
      <c r="EO4" s="388"/>
      <c r="EP4" s="388"/>
      <c r="EQ4" s="388"/>
      <c r="ER4" s="388"/>
      <c r="ES4" s="388"/>
      <c r="ET4" s="388"/>
      <c r="EU4" s="388"/>
      <c r="EV4" s="388"/>
      <c r="EW4" s="388"/>
      <c r="EX4" s="388"/>
      <c r="EY4" s="388"/>
      <c r="EZ4" s="388"/>
      <c r="FA4" s="388"/>
      <c r="FB4" s="388"/>
      <c r="FC4" s="388"/>
      <c r="FD4" s="388"/>
      <c r="FE4" s="388"/>
      <c r="FF4" s="388"/>
      <c r="FG4" s="388"/>
      <c r="FH4" s="388"/>
      <c r="FI4" s="388"/>
      <c r="FJ4" s="388"/>
      <c r="FK4" s="388"/>
      <c r="FL4" s="388"/>
      <c r="FM4" s="388"/>
      <c r="FN4" s="388"/>
      <c r="FO4" s="388"/>
      <c r="FP4" s="388"/>
      <c r="FQ4" s="388"/>
      <c r="FR4" s="388"/>
      <c r="FS4" s="388"/>
      <c r="FT4" s="388"/>
      <c r="FU4" s="388"/>
      <c r="FV4" s="388"/>
      <c r="FW4" s="388"/>
      <c r="FX4" s="388"/>
      <c r="FY4" s="388"/>
      <c r="FZ4" s="388"/>
      <c r="GA4" s="388"/>
      <c r="GB4" s="388"/>
      <c r="GC4" s="388"/>
      <c r="GD4" s="388"/>
      <c r="GE4" s="388"/>
      <c r="GF4" s="388"/>
      <c r="GG4" s="388"/>
      <c r="GH4" s="388"/>
      <c r="GI4" s="388"/>
      <c r="GJ4" s="388"/>
      <c r="GK4" s="388"/>
      <c r="GL4" s="388"/>
      <c r="GM4" s="388"/>
      <c r="GN4" s="388"/>
      <c r="GO4" s="388"/>
      <c r="GP4" s="388"/>
      <c r="GQ4" s="388"/>
      <c r="GR4" s="388"/>
      <c r="GS4" s="388"/>
      <c r="GT4" s="388"/>
      <c r="GU4" s="388"/>
      <c r="GV4" s="388"/>
      <c r="GW4" s="388"/>
      <c r="GX4" s="388"/>
      <c r="GY4" s="388"/>
      <c r="GZ4" s="388"/>
      <c r="HA4" s="388"/>
      <c r="HB4" s="388"/>
      <c r="HC4" s="388"/>
      <c r="HD4" s="388"/>
      <c r="HE4" s="388"/>
      <c r="HF4" s="388"/>
      <c r="HG4" s="388"/>
      <c r="HH4" s="388"/>
      <c r="HI4" s="388"/>
      <c r="HJ4" s="388"/>
      <c r="HK4" s="388"/>
      <c r="HL4" s="388"/>
      <c r="HM4" s="388"/>
      <c r="HN4" s="388"/>
      <c r="HO4" s="388"/>
      <c r="HP4" s="388"/>
      <c r="HQ4" s="388"/>
      <c r="HR4" s="388"/>
      <c r="HS4" s="388"/>
      <c r="HT4" s="388"/>
      <c r="HU4" s="388"/>
      <c r="HV4" s="388"/>
      <c r="HW4" s="388"/>
      <c r="HX4" s="388"/>
      <c r="HY4" s="388"/>
      <c r="HZ4" s="388"/>
      <c r="IA4" s="388"/>
      <c r="IB4" s="388"/>
      <c r="IC4" s="388"/>
      <c r="ID4" s="388"/>
      <c r="IE4" s="388"/>
      <c r="IF4" s="388"/>
      <c r="IG4" s="388"/>
      <c r="IH4" s="388"/>
      <c r="II4" s="388"/>
      <c r="IJ4" s="388"/>
      <c r="IK4" s="388"/>
      <c r="IL4" s="388"/>
      <c r="IM4" s="388"/>
      <c r="IN4" s="388"/>
      <c r="IO4" s="388"/>
      <c r="IP4" s="388"/>
      <c r="IQ4" s="388"/>
      <c r="IR4" s="388"/>
      <c r="IS4" s="388"/>
      <c r="IT4" s="388"/>
      <c r="IU4" s="388"/>
      <c r="IV4" s="388"/>
      <c r="IW4" s="388"/>
    </row>
    <row r="5" customFormat="false" ht="12.75" hidden="false" customHeight="false" outlineLevel="0" collapsed="false">
      <c r="A5" s="401" t="s">
        <v>357</v>
      </c>
      <c r="B5" s="401"/>
      <c r="C5" s="401"/>
      <c r="D5" s="402"/>
      <c r="E5" s="401" t="s">
        <v>358</v>
      </c>
      <c r="F5" s="401"/>
      <c r="G5" s="401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3"/>
      <c r="U5" s="403"/>
      <c r="V5" s="403"/>
      <c r="W5" s="403"/>
      <c r="X5" s="403"/>
      <c r="Y5" s="403"/>
      <c r="Z5" s="403"/>
      <c r="AA5" s="403"/>
      <c r="AB5" s="403"/>
      <c r="AC5" s="403"/>
      <c r="AD5" s="403"/>
      <c r="AE5" s="403"/>
      <c r="AF5" s="403"/>
      <c r="AG5" s="403"/>
      <c r="AH5" s="403"/>
      <c r="AI5" s="403"/>
      <c r="AJ5" s="403"/>
      <c r="AK5" s="403"/>
      <c r="AL5" s="403"/>
      <c r="AM5" s="403"/>
      <c r="AN5" s="403"/>
      <c r="AO5" s="403"/>
      <c r="AP5" s="403"/>
      <c r="AQ5" s="403"/>
      <c r="AR5" s="403"/>
      <c r="AS5" s="403"/>
      <c r="AT5" s="403"/>
      <c r="AU5" s="403"/>
      <c r="AV5" s="403"/>
      <c r="AW5" s="403"/>
      <c r="AX5" s="403"/>
      <c r="AY5" s="403"/>
      <c r="AZ5" s="403"/>
      <c r="BA5" s="403"/>
      <c r="BB5" s="403"/>
      <c r="BC5" s="403"/>
      <c r="BD5" s="403"/>
      <c r="BE5" s="403"/>
      <c r="BF5" s="403"/>
      <c r="BG5" s="403"/>
      <c r="BH5" s="403"/>
      <c r="BI5" s="403"/>
      <c r="BJ5" s="403"/>
      <c r="BK5" s="403"/>
      <c r="BL5" s="403"/>
      <c r="BM5" s="403"/>
      <c r="BN5" s="403"/>
      <c r="BO5" s="403"/>
      <c r="BP5" s="403"/>
      <c r="BQ5" s="403"/>
      <c r="BR5" s="403"/>
      <c r="BS5" s="403"/>
      <c r="BT5" s="403"/>
      <c r="BU5" s="403"/>
      <c r="BV5" s="403"/>
      <c r="BW5" s="403"/>
      <c r="BX5" s="403"/>
      <c r="BY5" s="403"/>
      <c r="BZ5" s="403"/>
      <c r="CA5" s="403"/>
      <c r="CB5" s="403"/>
      <c r="CC5" s="403"/>
      <c r="CD5" s="403"/>
      <c r="CE5" s="403"/>
      <c r="CF5" s="403"/>
      <c r="CG5" s="403"/>
      <c r="CH5" s="403"/>
      <c r="CI5" s="403"/>
      <c r="CJ5" s="403"/>
      <c r="CK5" s="403"/>
      <c r="CL5" s="403"/>
      <c r="CM5" s="403"/>
      <c r="CN5" s="403"/>
      <c r="CO5" s="403"/>
      <c r="CP5" s="403"/>
      <c r="CQ5" s="403"/>
      <c r="CR5" s="403"/>
      <c r="CS5" s="403"/>
      <c r="CT5" s="403"/>
      <c r="CU5" s="403"/>
      <c r="CV5" s="403"/>
      <c r="CW5" s="403"/>
      <c r="CX5" s="403"/>
      <c r="CY5" s="403"/>
      <c r="CZ5" s="403"/>
      <c r="DA5" s="403"/>
      <c r="DB5" s="403"/>
      <c r="DC5" s="403"/>
      <c r="DD5" s="403"/>
      <c r="DE5" s="403"/>
      <c r="DF5" s="403"/>
      <c r="DG5" s="403"/>
      <c r="DH5" s="403"/>
      <c r="DI5" s="403"/>
      <c r="DJ5" s="403"/>
      <c r="DK5" s="403"/>
      <c r="DL5" s="403"/>
      <c r="DM5" s="403"/>
      <c r="DN5" s="403"/>
      <c r="DO5" s="403"/>
      <c r="DP5" s="403"/>
      <c r="DQ5" s="403"/>
      <c r="DR5" s="403"/>
      <c r="DS5" s="403"/>
      <c r="DT5" s="403"/>
      <c r="DU5" s="403"/>
      <c r="DV5" s="403"/>
      <c r="DW5" s="403"/>
      <c r="DX5" s="403"/>
      <c r="DY5" s="403"/>
      <c r="DZ5" s="403"/>
      <c r="EA5" s="403"/>
      <c r="EB5" s="403"/>
      <c r="EC5" s="403"/>
      <c r="ED5" s="403"/>
      <c r="EE5" s="403"/>
      <c r="EF5" s="403"/>
      <c r="EG5" s="403"/>
      <c r="EH5" s="403"/>
      <c r="EI5" s="403"/>
      <c r="EJ5" s="403"/>
      <c r="EK5" s="403"/>
      <c r="EL5" s="403"/>
      <c r="EM5" s="403"/>
      <c r="EN5" s="403"/>
      <c r="EO5" s="403"/>
      <c r="EP5" s="403"/>
      <c r="EQ5" s="403"/>
      <c r="ER5" s="403"/>
      <c r="ES5" s="403"/>
      <c r="ET5" s="403"/>
      <c r="EU5" s="403"/>
      <c r="EV5" s="403"/>
      <c r="EW5" s="403"/>
      <c r="EX5" s="403"/>
      <c r="EY5" s="403"/>
      <c r="EZ5" s="403"/>
      <c r="FA5" s="403"/>
      <c r="FB5" s="403"/>
      <c r="FC5" s="403"/>
      <c r="FD5" s="403"/>
      <c r="FE5" s="403"/>
      <c r="FF5" s="403"/>
      <c r="FG5" s="403"/>
      <c r="FH5" s="403"/>
      <c r="FI5" s="403"/>
      <c r="FJ5" s="403"/>
      <c r="FK5" s="403"/>
      <c r="FL5" s="403"/>
      <c r="FM5" s="403"/>
      <c r="FN5" s="403"/>
      <c r="FO5" s="403"/>
      <c r="FP5" s="403"/>
      <c r="FQ5" s="403"/>
      <c r="FR5" s="403"/>
      <c r="FS5" s="403"/>
      <c r="FT5" s="403"/>
      <c r="FU5" s="403"/>
      <c r="FV5" s="403"/>
      <c r="FW5" s="403"/>
      <c r="FX5" s="403"/>
      <c r="FY5" s="403"/>
      <c r="FZ5" s="403"/>
      <c r="GA5" s="403"/>
      <c r="GB5" s="403"/>
      <c r="GC5" s="403"/>
      <c r="GD5" s="403"/>
      <c r="GE5" s="403"/>
      <c r="GF5" s="403"/>
      <c r="GG5" s="403"/>
      <c r="GH5" s="403"/>
      <c r="GI5" s="403"/>
      <c r="GJ5" s="403"/>
      <c r="GK5" s="403"/>
      <c r="GL5" s="403"/>
      <c r="GM5" s="403"/>
      <c r="GN5" s="403"/>
      <c r="GO5" s="403"/>
      <c r="GP5" s="403"/>
      <c r="GQ5" s="403"/>
      <c r="GR5" s="403"/>
      <c r="GS5" s="403"/>
      <c r="GT5" s="403"/>
      <c r="GU5" s="403"/>
      <c r="GV5" s="403"/>
      <c r="GW5" s="403"/>
      <c r="GX5" s="403"/>
      <c r="GY5" s="403"/>
      <c r="GZ5" s="403"/>
      <c r="HA5" s="403"/>
      <c r="HB5" s="403"/>
      <c r="HC5" s="403"/>
      <c r="HD5" s="403"/>
      <c r="HE5" s="403"/>
      <c r="HF5" s="403"/>
      <c r="HG5" s="403"/>
      <c r="HH5" s="403"/>
      <c r="HI5" s="403"/>
      <c r="HJ5" s="403"/>
      <c r="HK5" s="403"/>
      <c r="HL5" s="403"/>
      <c r="HM5" s="403"/>
      <c r="HN5" s="403"/>
      <c r="HO5" s="403"/>
      <c r="HP5" s="403"/>
      <c r="HQ5" s="403"/>
      <c r="HR5" s="403"/>
      <c r="HS5" s="403"/>
      <c r="HT5" s="403"/>
      <c r="HU5" s="403"/>
      <c r="HV5" s="403"/>
      <c r="HW5" s="403"/>
      <c r="HX5" s="403"/>
      <c r="HY5" s="403"/>
      <c r="HZ5" s="403"/>
      <c r="IA5" s="403"/>
      <c r="IB5" s="403"/>
      <c r="IC5" s="403"/>
      <c r="ID5" s="403"/>
      <c r="IE5" s="403"/>
      <c r="IF5" s="403"/>
      <c r="IG5" s="403"/>
      <c r="IH5" s="403"/>
      <c r="II5" s="403"/>
      <c r="IJ5" s="403"/>
      <c r="IK5" s="403"/>
      <c r="IL5" s="403"/>
      <c r="IM5" s="403"/>
      <c r="IN5" s="403"/>
      <c r="IO5" s="403"/>
      <c r="IP5" s="403"/>
      <c r="IQ5" s="403"/>
      <c r="IR5" s="403"/>
      <c r="IS5" s="403"/>
      <c r="IT5" s="403"/>
      <c r="IU5" s="403"/>
      <c r="IV5" s="403"/>
      <c r="IW5" s="403"/>
    </row>
    <row r="6" customFormat="false" ht="12.75" hidden="false" customHeight="false" outlineLevel="0" collapsed="false">
      <c r="A6" s="404" t="s">
        <v>359</v>
      </c>
      <c r="B6" s="405" t="s">
        <v>360</v>
      </c>
      <c r="C6" s="406" t="n">
        <f aca="false">+((C30/C8)^(1/21))-1</f>
        <v>0.0272579719900865</v>
      </c>
      <c r="D6" s="402"/>
      <c r="E6" s="404" t="s">
        <v>359</v>
      </c>
      <c r="F6" s="405" t="s">
        <v>360</v>
      </c>
      <c r="G6" s="406" t="n">
        <f aca="false">+((G30/G8)^(1/21))-1</f>
        <v>0.0225443701589996</v>
      </c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3"/>
      <c r="AD6" s="403"/>
      <c r="AE6" s="403"/>
      <c r="AF6" s="403"/>
      <c r="AG6" s="403"/>
      <c r="AH6" s="403"/>
      <c r="AI6" s="403"/>
      <c r="AJ6" s="403"/>
      <c r="AK6" s="403"/>
      <c r="AL6" s="403"/>
      <c r="AM6" s="403"/>
      <c r="AN6" s="403"/>
      <c r="AO6" s="403"/>
      <c r="AP6" s="403"/>
      <c r="AQ6" s="403"/>
      <c r="AR6" s="403"/>
      <c r="AS6" s="403"/>
      <c r="AT6" s="403"/>
      <c r="AU6" s="403"/>
      <c r="AV6" s="403"/>
      <c r="AW6" s="403"/>
      <c r="AX6" s="403"/>
      <c r="AY6" s="403"/>
      <c r="AZ6" s="403"/>
      <c r="BA6" s="403"/>
      <c r="BB6" s="403"/>
      <c r="BC6" s="403"/>
      <c r="BD6" s="403"/>
      <c r="BE6" s="403"/>
      <c r="BF6" s="403"/>
      <c r="BG6" s="403"/>
      <c r="BH6" s="403"/>
      <c r="BI6" s="403"/>
      <c r="BJ6" s="403"/>
      <c r="BK6" s="403"/>
      <c r="BL6" s="403"/>
      <c r="BM6" s="403"/>
      <c r="BN6" s="403"/>
      <c r="BO6" s="403"/>
      <c r="BP6" s="403"/>
      <c r="BQ6" s="403"/>
      <c r="BR6" s="403"/>
      <c r="BS6" s="403"/>
      <c r="BT6" s="403"/>
      <c r="BU6" s="403"/>
      <c r="BV6" s="403"/>
      <c r="BW6" s="403"/>
      <c r="BX6" s="403"/>
      <c r="BY6" s="403"/>
      <c r="BZ6" s="403"/>
      <c r="CA6" s="403"/>
      <c r="CB6" s="403"/>
      <c r="CC6" s="403"/>
      <c r="CD6" s="403"/>
      <c r="CE6" s="403"/>
      <c r="CF6" s="403"/>
      <c r="CG6" s="403"/>
      <c r="CH6" s="403"/>
      <c r="CI6" s="403"/>
      <c r="CJ6" s="403"/>
      <c r="CK6" s="403"/>
      <c r="CL6" s="403"/>
      <c r="CM6" s="403"/>
      <c r="CN6" s="403"/>
      <c r="CO6" s="403"/>
      <c r="CP6" s="403"/>
      <c r="CQ6" s="403"/>
      <c r="CR6" s="403"/>
      <c r="CS6" s="403"/>
      <c r="CT6" s="403"/>
      <c r="CU6" s="403"/>
      <c r="CV6" s="403"/>
      <c r="CW6" s="403"/>
      <c r="CX6" s="403"/>
      <c r="CY6" s="403"/>
      <c r="CZ6" s="403"/>
      <c r="DA6" s="403"/>
      <c r="DB6" s="403"/>
      <c r="DC6" s="403"/>
      <c r="DD6" s="403"/>
      <c r="DE6" s="403"/>
      <c r="DF6" s="403"/>
      <c r="DG6" s="403"/>
      <c r="DH6" s="403"/>
      <c r="DI6" s="403"/>
      <c r="DJ6" s="403"/>
      <c r="DK6" s="403"/>
      <c r="DL6" s="403"/>
      <c r="DM6" s="403"/>
      <c r="DN6" s="403"/>
      <c r="DO6" s="403"/>
      <c r="DP6" s="403"/>
      <c r="DQ6" s="403"/>
      <c r="DR6" s="403"/>
      <c r="DS6" s="403"/>
      <c r="DT6" s="403"/>
      <c r="DU6" s="403"/>
      <c r="DV6" s="403"/>
      <c r="DW6" s="403"/>
      <c r="DX6" s="403"/>
      <c r="DY6" s="403"/>
      <c r="DZ6" s="403"/>
      <c r="EA6" s="403"/>
      <c r="EB6" s="403"/>
      <c r="EC6" s="403"/>
      <c r="ED6" s="403"/>
      <c r="EE6" s="403"/>
      <c r="EF6" s="403"/>
      <c r="EG6" s="403"/>
      <c r="EH6" s="403"/>
      <c r="EI6" s="403"/>
      <c r="EJ6" s="403"/>
      <c r="EK6" s="403"/>
      <c r="EL6" s="403"/>
      <c r="EM6" s="403"/>
      <c r="EN6" s="403"/>
      <c r="EO6" s="403"/>
      <c r="EP6" s="403"/>
      <c r="EQ6" s="403"/>
      <c r="ER6" s="403"/>
      <c r="ES6" s="403"/>
      <c r="ET6" s="403"/>
      <c r="EU6" s="403"/>
      <c r="EV6" s="403"/>
      <c r="EW6" s="403"/>
      <c r="EX6" s="403"/>
      <c r="EY6" s="403"/>
      <c r="EZ6" s="403"/>
      <c r="FA6" s="403"/>
      <c r="FB6" s="403"/>
      <c r="FC6" s="403"/>
      <c r="FD6" s="403"/>
      <c r="FE6" s="403"/>
      <c r="FF6" s="403"/>
      <c r="FG6" s="403"/>
      <c r="FH6" s="403"/>
      <c r="FI6" s="403"/>
      <c r="FJ6" s="403"/>
      <c r="FK6" s="403"/>
      <c r="FL6" s="403"/>
      <c r="FM6" s="403"/>
      <c r="FN6" s="403"/>
      <c r="FO6" s="403"/>
      <c r="FP6" s="403"/>
      <c r="FQ6" s="403"/>
      <c r="FR6" s="403"/>
      <c r="FS6" s="403"/>
      <c r="FT6" s="403"/>
      <c r="FU6" s="403"/>
      <c r="FV6" s="403"/>
      <c r="FW6" s="403"/>
      <c r="FX6" s="403"/>
      <c r="FY6" s="403"/>
      <c r="FZ6" s="403"/>
      <c r="GA6" s="403"/>
      <c r="GB6" s="403"/>
      <c r="GC6" s="403"/>
      <c r="GD6" s="403"/>
      <c r="GE6" s="403"/>
      <c r="GF6" s="403"/>
      <c r="GG6" s="403"/>
      <c r="GH6" s="403"/>
      <c r="GI6" s="403"/>
      <c r="GJ6" s="403"/>
      <c r="GK6" s="403"/>
      <c r="GL6" s="403"/>
      <c r="GM6" s="403"/>
      <c r="GN6" s="403"/>
      <c r="GO6" s="403"/>
      <c r="GP6" s="403"/>
      <c r="GQ6" s="403"/>
      <c r="GR6" s="403"/>
      <c r="GS6" s="403"/>
      <c r="GT6" s="403"/>
      <c r="GU6" s="403"/>
      <c r="GV6" s="403"/>
      <c r="GW6" s="403"/>
      <c r="GX6" s="403"/>
      <c r="GY6" s="403"/>
      <c r="GZ6" s="403"/>
      <c r="HA6" s="403"/>
      <c r="HB6" s="403"/>
      <c r="HC6" s="403"/>
      <c r="HD6" s="403"/>
      <c r="HE6" s="403"/>
      <c r="HF6" s="403"/>
      <c r="HG6" s="403"/>
      <c r="HH6" s="403"/>
      <c r="HI6" s="403"/>
      <c r="HJ6" s="403"/>
      <c r="HK6" s="403"/>
      <c r="HL6" s="403"/>
      <c r="HM6" s="403"/>
      <c r="HN6" s="403"/>
      <c r="HO6" s="403"/>
      <c r="HP6" s="403"/>
      <c r="HQ6" s="403"/>
      <c r="HR6" s="403"/>
      <c r="HS6" s="403"/>
      <c r="HT6" s="403"/>
      <c r="HU6" s="403"/>
      <c r="HV6" s="403"/>
      <c r="HW6" s="403"/>
      <c r="HX6" s="403"/>
      <c r="HY6" s="403"/>
      <c r="HZ6" s="403"/>
      <c r="IA6" s="403"/>
      <c r="IB6" s="403"/>
      <c r="IC6" s="403"/>
      <c r="ID6" s="403"/>
      <c r="IE6" s="403"/>
      <c r="IF6" s="403"/>
      <c r="IG6" s="403"/>
      <c r="IH6" s="403"/>
      <c r="II6" s="403"/>
      <c r="IJ6" s="403"/>
      <c r="IK6" s="403"/>
      <c r="IL6" s="403"/>
      <c r="IM6" s="403"/>
      <c r="IN6" s="403"/>
      <c r="IO6" s="403"/>
      <c r="IP6" s="403"/>
      <c r="IQ6" s="403"/>
      <c r="IR6" s="403"/>
      <c r="IS6" s="403"/>
      <c r="IT6" s="403"/>
      <c r="IU6" s="403"/>
      <c r="IV6" s="403"/>
      <c r="IW6" s="403"/>
    </row>
    <row r="7" customFormat="false" ht="25.5" hidden="false" customHeight="false" outlineLevel="0" collapsed="false">
      <c r="A7" s="407" t="s">
        <v>329</v>
      </c>
      <c r="B7" s="408" t="s">
        <v>361</v>
      </c>
      <c r="C7" s="409" t="s">
        <v>362</v>
      </c>
      <c r="D7" s="410"/>
      <c r="E7" s="407" t="s">
        <v>329</v>
      </c>
      <c r="F7" s="408" t="s">
        <v>361</v>
      </c>
      <c r="G7" s="409" t="s">
        <v>362</v>
      </c>
      <c r="H7" s="403"/>
      <c r="I7" s="403"/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  <c r="U7" s="403"/>
      <c r="V7" s="403"/>
      <c r="W7" s="403"/>
      <c r="X7" s="403"/>
      <c r="Y7" s="403"/>
      <c r="Z7" s="403"/>
      <c r="AA7" s="403"/>
      <c r="AB7" s="403"/>
      <c r="AC7" s="403"/>
      <c r="AD7" s="403"/>
      <c r="AE7" s="403"/>
      <c r="AF7" s="403"/>
      <c r="AG7" s="403"/>
      <c r="AH7" s="403"/>
      <c r="AI7" s="403"/>
      <c r="AJ7" s="403"/>
      <c r="AK7" s="403"/>
      <c r="AL7" s="403"/>
      <c r="AM7" s="403"/>
      <c r="AN7" s="403"/>
      <c r="AO7" s="403"/>
      <c r="AP7" s="403"/>
      <c r="AQ7" s="403"/>
      <c r="AR7" s="403"/>
      <c r="AS7" s="403"/>
      <c r="AT7" s="403"/>
      <c r="AU7" s="403"/>
      <c r="AV7" s="403"/>
      <c r="AW7" s="403"/>
      <c r="AX7" s="403"/>
      <c r="AY7" s="403"/>
      <c r="AZ7" s="403"/>
      <c r="BA7" s="403"/>
      <c r="BB7" s="403"/>
      <c r="BC7" s="403"/>
      <c r="BD7" s="403"/>
      <c r="BE7" s="403"/>
      <c r="BF7" s="403"/>
      <c r="BG7" s="403"/>
      <c r="BH7" s="403"/>
      <c r="BI7" s="403"/>
      <c r="BJ7" s="403"/>
      <c r="BK7" s="403"/>
      <c r="BL7" s="403"/>
      <c r="BM7" s="403"/>
      <c r="BN7" s="403"/>
      <c r="BO7" s="403"/>
      <c r="BP7" s="403"/>
      <c r="BQ7" s="403"/>
      <c r="BR7" s="403"/>
      <c r="BS7" s="403"/>
      <c r="BT7" s="403"/>
      <c r="BU7" s="403"/>
      <c r="BV7" s="403"/>
      <c r="BW7" s="403"/>
      <c r="BX7" s="403"/>
      <c r="BY7" s="403"/>
      <c r="BZ7" s="403"/>
      <c r="CA7" s="403"/>
      <c r="CB7" s="403"/>
      <c r="CC7" s="403"/>
      <c r="CD7" s="403"/>
      <c r="CE7" s="403"/>
      <c r="CF7" s="403"/>
      <c r="CG7" s="403"/>
      <c r="CH7" s="403"/>
      <c r="CI7" s="403"/>
      <c r="CJ7" s="403"/>
      <c r="CK7" s="403"/>
      <c r="CL7" s="403"/>
      <c r="CM7" s="403"/>
      <c r="CN7" s="403"/>
      <c r="CO7" s="403"/>
      <c r="CP7" s="403"/>
      <c r="CQ7" s="403"/>
      <c r="CR7" s="403"/>
      <c r="CS7" s="403"/>
      <c r="CT7" s="403"/>
      <c r="CU7" s="403"/>
      <c r="CV7" s="403"/>
      <c r="CW7" s="403"/>
      <c r="CX7" s="403"/>
      <c r="CY7" s="403"/>
      <c r="CZ7" s="403"/>
      <c r="DA7" s="403"/>
      <c r="DB7" s="403"/>
      <c r="DC7" s="403"/>
      <c r="DD7" s="403"/>
      <c r="DE7" s="403"/>
      <c r="DF7" s="403"/>
      <c r="DG7" s="403"/>
      <c r="DH7" s="403"/>
      <c r="DI7" s="403"/>
      <c r="DJ7" s="403"/>
      <c r="DK7" s="403"/>
      <c r="DL7" s="403"/>
      <c r="DM7" s="403"/>
      <c r="DN7" s="403"/>
      <c r="DO7" s="403"/>
      <c r="DP7" s="403"/>
      <c r="DQ7" s="403"/>
      <c r="DR7" s="403"/>
      <c r="DS7" s="403"/>
      <c r="DT7" s="403"/>
      <c r="DU7" s="403"/>
      <c r="DV7" s="403"/>
      <c r="DW7" s="403"/>
      <c r="DX7" s="403"/>
      <c r="DY7" s="403"/>
      <c r="DZ7" s="403"/>
      <c r="EA7" s="403"/>
      <c r="EB7" s="403"/>
      <c r="EC7" s="403"/>
      <c r="ED7" s="403"/>
      <c r="EE7" s="403"/>
      <c r="EF7" s="403"/>
      <c r="EG7" s="403"/>
      <c r="EH7" s="403"/>
      <c r="EI7" s="403"/>
      <c r="EJ7" s="403"/>
      <c r="EK7" s="403"/>
      <c r="EL7" s="403"/>
      <c r="EM7" s="403"/>
      <c r="EN7" s="403"/>
      <c r="EO7" s="403"/>
      <c r="EP7" s="403"/>
      <c r="EQ7" s="403"/>
      <c r="ER7" s="403"/>
      <c r="ES7" s="403"/>
      <c r="ET7" s="403"/>
      <c r="EU7" s="403"/>
      <c r="EV7" s="403"/>
      <c r="EW7" s="403"/>
      <c r="EX7" s="403"/>
      <c r="EY7" s="403"/>
      <c r="EZ7" s="403"/>
      <c r="FA7" s="403"/>
      <c r="FB7" s="403"/>
      <c r="FC7" s="403"/>
      <c r="FD7" s="403"/>
      <c r="FE7" s="403"/>
      <c r="FF7" s="403"/>
      <c r="FG7" s="403"/>
      <c r="FH7" s="403"/>
      <c r="FI7" s="403"/>
      <c r="FJ7" s="403"/>
      <c r="FK7" s="403"/>
      <c r="FL7" s="403"/>
      <c r="FM7" s="403"/>
      <c r="FN7" s="403"/>
      <c r="FO7" s="403"/>
      <c r="FP7" s="403"/>
      <c r="FQ7" s="403"/>
      <c r="FR7" s="403"/>
      <c r="FS7" s="403"/>
      <c r="FT7" s="403"/>
      <c r="FU7" s="403"/>
      <c r="FV7" s="403"/>
      <c r="FW7" s="403"/>
      <c r="FX7" s="403"/>
      <c r="FY7" s="403"/>
      <c r="FZ7" s="403"/>
      <c r="GA7" s="403"/>
      <c r="GB7" s="403"/>
      <c r="GC7" s="403"/>
      <c r="GD7" s="403"/>
      <c r="GE7" s="403"/>
      <c r="GF7" s="403"/>
      <c r="GG7" s="403"/>
      <c r="GH7" s="403"/>
      <c r="GI7" s="403"/>
      <c r="GJ7" s="403"/>
      <c r="GK7" s="403"/>
      <c r="GL7" s="403"/>
      <c r="GM7" s="403"/>
      <c r="GN7" s="403"/>
      <c r="GO7" s="403"/>
      <c r="GP7" s="403"/>
      <c r="GQ7" s="403"/>
      <c r="GR7" s="403"/>
      <c r="GS7" s="403"/>
      <c r="GT7" s="403"/>
      <c r="GU7" s="403"/>
      <c r="GV7" s="403"/>
      <c r="GW7" s="403"/>
      <c r="GX7" s="403"/>
      <c r="GY7" s="403"/>
      <c r="GZ7" s="403"/>
      <c r="HA7" s="403"/>
      <c r="HB7" s="403"/>
      <c r="HC7" s="403"/>
      <c r="HD7" s="403"/>
      <c r="HE7" s="403"/>
      <c r="HF7" s="403"/>
      <c r="HG7" s="403"/>
      <c r="HH7" s="403"/>
      <c r="HI7" s="403"/>
      <c r="HJ7" s="403"/>
      <c r="HK7" s="403"/>
      <c r="HL7" s="403"/>
      <c r="HM7" s="403"/>
      <c r="HN7" s="403"/>
      <c r="HO7" s="403"/>
      <c r="HP7" s="403"/>
      <c r="HQ7" s="403"/>
      <c r="HR7" s="403"/>
      <c r="HS7" s="403"/>
      <c r="HT7" s="403"/>
      <c r="HU7" s="403"/>
      <c r="HV7" s="403"/>
      <c r="HW7" s="403"/>
      <c r="HX7" s="403"/>
      <c r="HY7" s="403"/>
      <c r="HZ7" s="403"/>
      <c r="IA7" s="403"/>
      <c r="IB7" s="403"/>
      <c r="IC7" s="403"/>
      <c r="ID7" s="403"/>
      <c r="IE7" s="403"/>
      <c r="IF7" s="403"/>
      <c r="IG7" s="403"/>
      <c r="IH7" s="403"/>
      <c r="II7" s="403"/>
      <c r="IJ7" s="403"/>
      <c r="IK7" s="403"/>
      <c r="IL7" s="403"/>
      <c r="IM7" s="403"/>
      <c r="IN7" s="403"/>
      <c r="IO7" s="403"/>
      <c r="IP7" s="403"/>
      <c r="IQ7" s="403"/>
      <c r="IR7" s="403"/>
      <c r="IS7" s="403"/>
      <c r="IT7" s="403"/>
      <c r="IU7" s="403"/>
      <c r="IV7" s="403"/>
      <c r="IW7" s="403"/>
    </row>
    <row r="8" customFormat="false" ht="12.75" hidden="false" customHeight="false" outlineLevel="0" collapsed="false">
      <c r="A8" s="411" t="n">
        <v>1998</v>
      </c>
      <c r="B8" s="412" t="n">
        <v>0</v>
      </c>
      <c r="C8" s="413" t="n">
        <v>100</v>
      </c>
      <c r="D8" s="410"/>
      <c r="E8" s="411" t="n">
        <v>1998</v>
      </c>
      <c r="F8" s="412" t="n">
        <v>0</v>
      </c>
      <c r="G8" s="413" t="n">
        <v>100</v>
      </c>
      <c r="H8" s="403"/>
      <c r="I8" s="403"/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  <c r="U8" s="403"/>
      <c r="V8" s="403"/>
      <c r="W8" s="403"/>
      <c r="X8" s="403"/>
      <c r="Y8" s="403"/>
      <c r="Z8" s="403"/>
      <c r="AA8" s="403"/>
      <c r="AB8" s="403"/>
      <c r="AC8" s="403"/>
      <c r="AD8" s="403"/>
      <c r="AE8" s="403"/>
      <c r="AF8" s="403"/>
      <c r="AG8" s="403"/>
      <c r="AH8" s="403"/>
      <c r="AI8" s="403"/>
      <c r="AJ8" s="403"/>
      <c r="AK8" s="403"/>
      <c r="AL8" s="403"/>
      <c r="AM8" s="403"/>
      <c r="AN8" s="403"/>
      <c r="AO8" s="403"/>
      <c r="AP8" s="403"/>
      <c r="AQ8" s="403"/>
      <c r="AR8" s="403"/>
      <c r="AS8" s="403"/>
      <c r="AT8" s="403"/>
      <c r="AU8" s="403"/>
      <c r="AV8" s="403"/>
      <c r="AW8" s="403"/>
      <c r="AX8" s="403"/>
      <c r="AY8" s="403"/>
      <c r="AZ8" s="403"/>
      <c r="BA8" s="403"/>
      <c r="BB8" s="403"/>
      <c r="BC8" s="403"/>
      <c r="BD8" s="403"/>
      <c r="BE8" s="403"/>
      <c r="BF8" s="403"/>
      <c r="BG8" s="403"/>
      <c r="BH8" s="403"/>
      <c r="BI8" s="403"/>
      <c r="BJ8" s="403"/>
      <c r="BK8" s="403"/>
      <c r="BL8" s="403"/>
      <c r="BM8" s="403"/>
      <c r="BN8" s="403"/>
      <c r="BO8" s="403"/>
      <c r="BP8" s="403"/>
      <c r="BQ8" s="403"/>
      <c r="BR8" s="403"/>
      <c r="BS8" s="403"/>
      <c r="BT8" s="403"/>
      <c r="BU8" s="403"/>
      <c r="BV8" s="403"/>
      <c r="BW8" s="403"/>
      <c r="BX8" s="403"/>
      <c r="BY8" s="403"/>
      <c r="BZ8" s="403"/>
      <c r="CA8" s="403"/>
      <c r="CB8" s="403"/>
      <c r="CC8" s="403"/>
      <c r="CD8" s="403"/>
      <c r="CE8" s="403"/>
      <c r="CF8" s="403"/>
      <c r="CG8" s="403"/>
      <c r="CH8" s="403"/>
      <c r="CI8" s="403"/>
      <c r="CJ8" s="403"/>
      <c r="CK8" s="403"/>
      <c r="CL8" s="403"/>
      <c r="CM8" s="403"/>
      <c r="CN8" s="403"/>
      <c r="CO8" s="403"/>
      <c r="CP8" s="403"/>
      <c r="CQ8" s="403"/>
      <c r="CR8" s="403"/>
      <c r="CS8" s="403"/>
      <c r="CT8" s="403"/>
      <c r="CU8" s="403"/>
      <c r="CV8" s="403"/>
      <c r="CW8" s="403"/>
      <c r="CX8" s="403"/>
      <c r="CY8" s="403"/>
      <c r="CZ8" s="403"/>
      <c r="DA8" s="403"/>
      <c r="DB8" s="403"/>
      <c r="DC8" s="403"/>
      <c r="DD8" s="403"/>
      <c r="DE8" s="403"/>
      <c r="DF8" s="403"/>
      <c r="DG8" s="403"/>
      <c r="DH8" s="403"/>
      <c r="DI8" s="403"/>
      <c r="DJ8" s="403"/>
      <c r="DK8" s="403"/>
      <c r="DL8" s="403"/>
      <c r="DM8" s="403"/>
      <c r="DN8" s="403"/>
      <c r="DO8" s="403"/>
      <c r="DP8" s="403"/>
      <c r="DQ8" s="403"/>
      <c r="DR8" s="403"/>
      <c r="DS8" s="403"/>
      <c r="DT8" s="403"/>
      <c r="DU8" s="403"/>
      <c r="DV8" s="403"/>
      <c r="DW8" s="403"/>
      <c r="DX8" s="403"/>
      <c r="DY8" s="403"/>
      <c r="DZ8" s="403"/>
      <c r="EA8" s="403"/>
      <c r="EB8" s="403"/>
      <c r="EC8" s="403"/>
      <c r="ED8" s="403"/>
      <c r="EE8" s="403"/>
      <c r="EF8" s="403"/>
      <c r="EG8" s="403"/>
      <c r="EH8" s="403"/>
      <c r="EI8" s="403"/>
      <c r="EJ8" s="403"/>
      <c r="EK8" s="403"/>
      <c r="EL8" s="403"/>
      <c r="EM8" s="403"/>
      <c r="EN8" s="403"/>
      <c r="EO8" s="403"/>
      <c r="EP8" s="403"/>
      <c r="EQ8" s="403"/>
      <c r="ER8" s="403"/>
      <c r="ES8" s="403"/>
      <c r="ET8" s="403"/>
      <c r="EU8" s="403"/>
      <c r="EV8" s="403"/>
      <c r="EW8" s="403"/>
      <c r="EX8" s="403"/>
      <c r="EY8" s="403"/>
      <c r="EZ8" s="403"/>
      <c r="FA8" s="403"/>
      <c r="FB8" s="403"/>
      <c r="FC8" s="403"/>
      <c r="FD8" s="403"/>
      <c r="FE8" s="403"/>
      <c r="FF8" s="403"/>
      <c r="FG8" s="403"/>
      <c r="FH8" s="403"/>
      <c r="FI8" s="403"/>
      <c r="FJ8" s="403"/>
      <c r="FK8" s="403"/>
      <c r="FL8" s="403"/>
      <c r="FM8" s="403"/>
      <c r="FN8" s="403"/>
      <c r="FO8" s="403"/>
      <c r="FP8" s="403"/>
      <c r="FQ8" s="403"/>
      <c r="FR8" s="403"/>
      <c r="FS8" s="403"/>
      <c r="FT8" s="403"/>
      <c r="FU8" s="403"/>
      <c r="FV8" s="403"/>
      <c r="FW8" s="403"/>
      <c r="FX8" s="403"/>
      <c r="FY8" s="403"/>
      <c r="FZ8" s="403"/>
      <c r="GA8" s="403"/>
      <c r="GB8" s="403"/>
      <c r="GC8" s="403"/>
      <c r="GD8" s="403"/>
      <c r="GE8" s="403"/>
      <c r="GF8" s="403"/>
      <c r="GG8" s="403"/>
      <c r="GH8" s="403"/>
      <c r="GI8" s="403"/>
      <c r="GJ8" s="403"/>
      <c r="GK8" s="403"/>
      <c r="GL8" s="403"/>
      <c r="GM8" s="403"/>
      <c r="GN8" s="403"/>
      <c r="GO8" s="403"/>
      <c r="GP8" s="403"/>
      <c r="GQ8" s="403"/>
      <c r="GR8" s="403"/>
      <c r="GS8" s="403"/>
      <c r="GT8" s="403"/>
      <c r="GU8" s="403"/>
      <c r="GV8" s="403"/>
      <c r="GW8" s="403"/>
      <c r="GX8" s="403"/>
      <c r="GY8" s="403"/>
      <c r="GZ8" s="403"/>
      <c r="HA8" s="403"/>
      <c r="HB8" s="403"/>
      <c r="HC8" s="403"/>
      <c r="HD8" s="403"/>
      <c r="HE8" s="403"/>
      <c r="HF8" s="403"/>
      <c r="HG8" s="403"/>
      <c r="HH8" s="403"/>
      <c r="HI8" s="403"/>
      <c r="HJ8" s="403"/>
      <c r="HK8" s="403"/>
      <c r="HL8" s="403"/>
      <c r="HM8" s="403"/>
      <c r="HN8" s="403"/>
      <c r="HO8" s="403"/>
      <c r="HP8" s="403"/>
      <c r="HQ8" s="403"/>
      <c r="HR8" s="403"/>
      <c r="HS8" s="403"/>
      <c r="HT8" s="403"/>
      <c r="HU8" s="403"/>
      <c r="HV8" s="403"/>
      <c r="HW8" s="403"/>
      <c r="HX8" s="403"/>
      <c r="HY8" s="403"/>
      <c r="HZ8" s="403"/>
      <c r="IA8" s="403"/>
      <c r="IB8" s="403"/>
      <c r="IC8" s="403"/>
      <c r="ID8" s="403"/>
      <c r="IE8" s="403"/>
      <c r="IF8" s="403"/>
      <c r="IG8" s="403"/>
      <c r="IH8" s="403"/>
      <c r="II8" s="403"/>
      <c r="IJ8" s="403"/>
      <c r="IK8" s="403"/>
      <c r="IL8" s="403"/>
      <c r="IM8" s="403"/>
      <c r="IN8" s="403"/>
      <c r="IO8" s="403"/>
      <c r="IP8" s="403"/>
      <c r="IQ8" s="403"/>
      <c r="IR8" s="403"/>
      <c r="IS8" s="403"/>
      <c r="IT8" s="403"/>
      <c r="IU8" s="403"/>
      <c r="IV8" s="403"/>
      <c r="IW8" s="403"/>
    </row>
    <row r="9" customFormat="false" ht="12.75" hidden="false" customHeight="false" outlineLevel="0" collapsed="false">
      <c r="A9" s="414" t="n">
        <f aca="false">+A8+1</f>
        <v>1999</v>
      </c>
      <c r="B9" s="412" t="n">
        <v>2.7</v>
      </c>
      <c r="C9" s="413" t="n">
        <v>102.7</v>
      </c>
      <c r="D9" s="402"/>
      <c r="E9" s="414" t="n">
        <f aca="false">+E8+1</f>
        <v>1999</v>
      </c>
      <c r="F9" s="412" t="n">
        <v>2.7</v>
      </c>
      <c r="G9" s="413" t="n">
        <v>102.7</v>
      </c>
      <c r="H9" s="403"/>
      <c r="I9" s="403"/>
      <c r="J9" s="403"/>
      <c r="K9" s="403"/>
      <c r="L9" s="403"/>
      <c r="M9" s="403"/>
      <c r="N9" s="403"/>
      <c r="O9" s="403"/>
      <c r="P9" s="403"/>
      <c r="Q9" s="403"/>
      <c r="R9" s="403"/>
      <c r="S9" s="403"/>
      <c r="T9" s="403"/>
      <c r="U9" s="403"/>
      <c r="V9" s="403"/>
      <c r="W9" s="403"/>
      <c r="X9" s="403"/>
      <c r="Y9" s="403"/>
      <c r="Z9" s="403"/>
      <c r="AA9" s="403"/>
      <c r="AB9" s="403"/>
      <c r="AC9" s="403"/>
      <c r="AD9" s="403"/>
      <c r="AE9" s="403"/>
      <c r="AF9" s="403"/>
      <c r="AG9" s="403"/>
      <c r="AH9" s="403"/>
      <c r="AI9" s="403"/>
      <c r="AJ9" s="403"/>
      <c r="AK9" s="403"/>
      <c r="AL9" s="403"/>
      <c r="AM9" s="403"/>
      <c r="AN9" s="403"/>
      <c r="AO9" s="403"/>
      <c r="AP9" s="403"/>
      <c r="AQ9" s="403"/>
      <c r="AR9" s="403"/>
      <c r="AS9" s="403"/>
      <c r="AT9" s="403"/>
      <c r="AU9" s="403"/>
      <c r="AV9" s="403"/>
      <c r="AW9" s="403"/>
      <c r="AX9" s="403"/>
      <c r="AY9" s="403"/>
      <c r="AZ9" s="403"/>
      <c r="BA9" s="403"/>
      <c r="BB9" s="403"/>
      <c r="BC9" s="403"/>
      <c r="BD9" s="403"/>
      <c r="BE9" s="403"/>
      <c r="BF9" s="403"/>
      <c r="BG9" s="403"/>
      <c r="BH9" s="403"/>
      <c r="BI9" s="403"/>
      <c r="BJ9" s="403"/>
      <c r="BK9" s="403"/>
      <c r="BL9" s="403"/>
      <c r="BM9" s="403"/>
      <c r="BN9" s="403"/>
      <c r="BO9" s="403"/>
      <c r="BP9" s="403"/>
      <c r="BQ9" s="403"/>
      <c r="BR9" s="403"/>
      <c r="BS9" s="403"/>
      <c r="BT9" s="403"/>
      <c r="BU9" s="403"/>
      <c r="BV9" s="403"/>
      <c r="BW9" s="403"/>
      <c r="BX9" s="403"/>
      <c r="BY9" s="403"/>
      <c r="BZ9" s="403"/>
      <c r="CA9" s="403"/>
      <c r="CB9" s="403"/>
      <c r="CC9" s="403"/>
      <c r="CD9" s="403"/>
      <c r="CE9" s="403"/>
      <c r="CF9" s="403"/>
      <c r="CG9" s="403"/>
      <c r="CH9" s="403"/>
      <c r="CI9" s="403"/>
      <c r="CJ9" s="403"/>
      <c r="CK9" s="403"/>
      <c r="CL9" s="403"/>
      <c r="CM9" s="403"/>
      <c r="CN9" s="403"/>
      <c r="CO9" s="403"/>
      <c r="CP9" s="403"/>
      <c r="CQ9" s="403"/>
      <c r="CR9" s="403"/>
      <c r="CS9" s="403"/>
      <c r="CT9" s="403"/>
      <c r="CU9" s="403"/>
      <c r="CV9" s="403"/>
      <c r="CW9" s="403"/>
      <c r="CX9" s="403"/>
      <c r="CY9" s="403"/>
      <c r="CZ9" s="403"/>
      <c r="DA9" s="403"/>
      <c r="DB9" s="403"/>
      <c r="DC9" s="403"/>
      <c r="DD9" s="403"/>
      <c r="DE9" s="403"/>
      <c r="DF9" s="403"/>
      <c r="DG9" s="403"/>
      <c r="DH9" s="403"/>
      <c r="DI9" s="403"/>
      <c r="DJ9" s="403"/>
      <c r="DK9" s="403"/>
      <c r="DL9" s="403"/>
      <c r="DM9" s="403"/>
      <c r="DN9" s="403"/>
      <c r="DO9" s="403"/>
      <c r="DP9" s="403"/>
      <c r="DQ9" s="403"/>
      <c r="DR9" s="403"/>
      <c r="DS9" s="403"/>
      <c r="DT9" s="403"/>
      <c r="DU9" s="403"/>
      <c r="DV9" s="403"/>
      <c r="DW9" s="403"/>
      <c r="DX9" s="403"/>
      <c r="DY9" s="403"/>
      <c r="DZ9" s="403"/>
      <c r="EA9" s="403"/>
      <c r="EB9" s="403"/>
      <c r="EC9" s="403"/>
      <c r="ED9" s="403"/>
      <c r="EE9" s="403"/>
      <c r="EF9" s="403"/>
      <c r="EG9" s="403"/>
      <c r="EH9" s="403"/>
      <c r="EI9" s="403"/>
      <c r="EJ9" s="403"/>
      <c r="EK9" s="403"/>
      <c r="EL9" s="403"/>
      <c r="EM9" s="403"/>
      <c r="EN9" s="403"/>
      <c r="EO9" s="403"/>
      <c r="EP9" s="403"/>
      <c r="EQ9" s="403"/>
      <c r="ER9" s="403"/>
      <c r="ES9" s="403"/>
      <c r="ET9" s="403"/>
      <c r="EU9" s="403"/>
      <c r="EV9" s="403"/>
      <c r="EW9" s="403"/>
      <c r="EX9" s="403"/>
      <c r="EY9" s="403"/>
      <c r="EZ9" s="403"/>
      <c r="FA9" s="403"/>
      <c r="FB9" s="403"/>
      <c r="FC9" s="403"/>
      <c r="FD9" s="403"/>
      <c r="FE9" s="403"/>
      <c r="FF9" s="403"/>
      <c r="FG9" s="403"/>
      <c r="FH9" s="403"/>
      <c r="FI9" s="403"/>
      <c r="FJ9" s="403"/>
      <c r="FK9" s="403"/>
      <c r="FL9" s="403"/>
      <c r="FM9" s="403"/>
      <c r="FN9" s="403"/>
      <c r="FO9" s="403"/>
      <c r="FP9" s="403"/>
      <c r="FQ9" s="403"/>
      <c r="FR9" s="403"/>
      <c r="FS9" s="403"/>
      <c r="FT9" s="403"/>
      <c r="FU9" s="403"/>
      <c r="FV9" s="403"/>
      <c r="FW9" s="403"/>
      <c r="FX9" s="403"/>
      <c r="FY9" s="403"/>
      <c r="FZ9" s="403"/>
      <c r="GA9" s="403"/>
      <c r="GB9" s="403"/>
      <c r="GC9" s="403"/>
      <c r="GD9" s="403"/>
      <c r="GE9" s="403"/>
      <c r="GF9" s="403"/>
      <c r="GG9" s="403"/>
      <c r="GH9" s="403"/>
      <c r="GI9" s="403"/>
      <c r="GJ9" s="403"/>
      <c r="GK9" s="403"/>
      <c r="GL9" s="403"/>
      <c r="GM9" s="403"/>
      <c r="GN9" s="403"/>
      <c r="GO9" s="403"/>
      <c r="GP9" s="403"/>
      <c r="GQ9" s="403"/>
      <c r="GR9" s="403"/>
      <c r="GS9" s="403"/>
      <c r="GT9" s="403"/>
      <c r="GU9" s="403"/>
      <c r="GV9" s="403"/>
      <c r="GW9" s="403"/>
      <c r="GX9" s="403"/>
      <c r="GY9" s="403"/>
      <c r="GZ9" s="403"/>
      <c r="HA9" s="403"/>
      <c r="HB9" s="403"/>
      <c r="HC9" s="403"/>
      <c r="HD9" s="403"/>
      <c r="HE9" s="403"/>
      <c r="HF9" s="403"/>
      <c r="HG9" s="403"/>
      <c r="HH9" s="403"/>
      <c r="HI9" s="403"/>
      <c r="HJ9" s="403"/>
      <c r="HK9" s="403"/>
      <c r="HL9" s="403"/>
      <c r="HM9" s="403"/>
      <c r="HN9" s="403"/>
      <c r="HO9" s="403"/>
      <c r="HP9" s="403"/>
      <c r="HQ9" s="403"/>
      <c r="HR9" s="403"/>
      <c r="HS9" s="403"/>
      <c r="HT9" s="403"/>
      <c r="HU9" s="403"/>
      <c r="HV9" s="403"/>
      <c r="HW9" s="403"/>
      <c r="HX9" s="403"/>
      <c r="HY9" s="403"/>
      <c r="HZ9" s="403"/>
      <c r="IA9" s="403"/>
      <c r="IB9" s="403"/>
      <c r="IC9" s="403"/>
      <c r="ID9" s="403"/>
      <c r="IE9" s="403"/>
      <c r="IF9" s="403"/>
      <c r="IG9" s="403"/>
      <c r="IH9" s="403"/>
      <c r="II9" s="403"/>
      <c r="IJ9" s="403"/>
      <c r="IK9" s="403"/>
      <c r="IL9" s="403"/>
      <c r="IM9" s="403"/>
      <c r="IN9" s="403"/>
      <c r="IO9" s="403"/>
      <c r="IP9" s="403"/>
      <c r="IQ9" s="403"/>
      <c r="IR9" s="403"/>
      <c r="IS9" s="403"/>
      <c r="IT9" s="403"/>
      <c r="IU9" s="403"/>
      <c r="IV9" s="403"/>
      <c r="IW9" s="403"/>
    </row>
    <row r="10" customFormat="false" ht="12.75" hidden="false" customHeight="false" outlineLevel="0" collapsed="false">
      <c r="A10" s="414" t="n">
        <f aca="false">+A9+1</f>
        <v>2000</v>
      </c>
      <c r="B10" s="415" t="n">
        <v>4.5</v>
      </c>
      <c r="C10" s="413" t="n">
        <v>107.3215</v>
      </c>
      <c r="D10" s="402"/>
      <c r="E10" s="414" t="n">
        <f aca="false">+E9+1</f>
        <v>2000</v>
      </c>
      <c r="F10" s="412" t="n">
        <v>4</v>
      </c>
      <c r="G10" s="413" t="n">
        <v>106.808</v>
      </c>
      <c r="H10" s="403"/>
      <c r="I10" s="403"/>
      <c r="J10" s="403"/>
      <c r="K10" s="403"/>
      <c r="L10" s="403"/>
      <c r="M10" s="403"/>
      <c r="N10" s="403"/>
      <c r="O10" s="403"/>
      <c r="P10" s="403"/>
      <c r="Q10" s="403"/>
      <c r="R10" s="403"/>
      <c r="S10" s="403"/>
      <c r="T10" s="403"/>
      <c r="U10" s="403"/>
      <c r="V10" s="403"/>
      <c r="W10" s="403"/>
      <c r="X10" s="403"/>
      <c r="Y10" s="403"/>
      <c r="Z10" s="403"/>
      <c r="AA10" s="403"/>
      <c r="AB10" s="403"/>
      <c r="AC10" s="403"/>
      <c r="AD10" s="403"/>
      <c r="AE10" s="403"/>
      <c r="AF10" s="403"/>
      <c r="AG10" s="403"/>
      <c r="AH10" s="403"/>
      <c r="AI10" s="403"/>
      <c r="AJ10" s="403"/>
      <c r="AK10" s="403"/>
      <c r="AL10" s="403"/>
      <c r="AM10" s="403"/>
      <c r="AN10" s="403"/>
      <c r="AO10" s="403"/>
      <c r="AP10" s="403"/>
      <c r="AQ10" s="403"/>
      <c r="AR10" s="403"/>
      <c r="AS10" s="403"/>
      <c r="AT10" s="403"/>
      <c r="AU10" s="403"/>
      <c r="AV10" s="403"/>
      <c r="AW10" s="403"/>
      <c r="AX10" s="403"/>
      <c r="AY10" s="403"/>
      <c r="AZ10" s="403"/>
      <c r="BA10" s="403"/>
      <c r="BB10" s="403"/>
      <c r="BC10" s="403"/>
      <c r="BD10" s="403"/>
      <c r="BE10" s="403"/>
      <c r="BF10" s="403"/>
      <c r="BG10" s="403"/>
      <c r="BH10" s="403"/>
      <c r="BI10" s="403"/>
      <c r="BJ10" s="403"/>
      <c r="BK10" s="403"/>
      <c r="BL10" s="403"/>
      <c r="BM10" s="403"/>
      <c r="BN10" s="403"/>
      <c r="BO10" s="403"/>
      <c r="BP10" s="403"/>
      <c r="BQ10" s="403"/>
      <c r="BR10" s="403"/>
      <c r="BS10" s="403"/>
      <c r="BT10" s="403"/>
      <c r="BU10" s="403"/>
      <c r="BV10" s="403"/>
      <c r="BW10" s="403"/>
      <c r="BX10" s="403"/>
      <c r="BY10" s="403"/>
      <c r="BZ10" s="403"/>
      <c r="CA10" s="403"/>
      <c r="CB10" s="403"/>
      <c r="CC10" s="403"/>
      <c r="CD10" s="403"/>
      <c r="CE10" s="403"/>
      <c r="CF10" s="403"/>
      <c r="CG10" s="403"/>
      <c r="CH10" s="403"/>
      <c r="CI10" s="403"/>
      <c r="CJ10" s="403"/>
      <c r="CK10" s="403"/>
      <c r="CL10" s="403"/>
      <c r="CM10" s="403"/>
      <c r="CN10" s="403"/>
      <c r="CO10" s="403"/>
      <c r="CP10" s="403"/>
      <c r="CQ10" s="403"/>
      <c r="CR10" s="403"/>
      <c r="CS10" s="403"/>
      <c r="CT10" s="403"/>
      <c r="CU10" s="403"/>
      <c r="CV10" s="403"/>
      <c r="CW10" s="403"/>
      <c r="CX10" s="403"/>
      <c r="CY10" s="403"/>
      <c r="CZ10" s="403"/>
      <c r="DA10" s="403"/>
      <c r="DB10" s="403"/>
      <c r="DC10" s="403"/>
      <c r="DD10" s="403"/>
      <c r="DE10" s="403"/>
      <c r="DF10" s="403"/>
      <c r="DG10" s="403"/>
      <c r="DH10" s="403"/>
      <c r="DI10" s="403"/>
      <c r="DJ10" s="403"/>
      <c r="DK10" s="403"/>
      <c r="DL10" s="403"/>
      <c r="DM10" s="403"/>
      <c r="DN10" s="403"/>
      <c r="DO10" s="403"/>
      <c r="DP10" s="403"/>
      <c r="DQ10" s="403"/>
      <c r="DR10" s="403"/>
      <c r="DS10" s="403"/>
      <c r="DT10" s="403"/>
      <c r="DU10" s="403"/>
      <c r="DV10" s="403"/>
      <c r="DW10" s="403"/>
      <c r="DX10" s="403"/>
      <c r="DY10" s="403"/>
      <c r="DZ10" s="403"/>
      <c r="EA10" s="403"/>
      <c r="EB10" s="403"/>
      <c r="EC10" s="403"/>
      <c r="ED10" s="403"/>
      <c r="EE10" s="403"/>
      <c r="EF10" s="403"/>
      <c r="EG10" s="403"/>
      <c r="EH10" s="403"/>
      <c r="EI10" s="403"/>
      <c r="EJ10" s="403"/>
      <c r="EK10" s="403"/>
      <c r="EL10" s="403"/>
      <c r="EM10" s="403"/>
      <c r="EN10" s="403"/>
      <c r="EO10" s="403"/>
      <c r="EP10" s="403"/>
      <c r="EQ10" s="403"/>
      <c r="ER10" s="403"/>
      <c r="ES10" s="403"/>
      <c r="ET10" s="403"/>
      <c r="EU10" s="403"/>
      <c r="EV10" s="403"/>
      <c r="EW10" s="403"/>
      <c r="EX10" s="403"/>
      <c r="EY10" s="403"/>
      <c r="EZ10" s="403"/>
      <c r="FA10" s="403"/>
      <c r="FB10" s="403"/>
      <c r="FC10" s="403"/>
      <c r="FD10" s="403"/>
      <c r="FE10" s="403"/>
      <c r="FF10" s="403"/>
      <c r="FG10" s="403"/>
      <c r="FH10" s="403"/>
      <c r="FI10" s="403"/>
      <c r="FJ10" s="403"/>
      <c r="FK10" s="403"/>
      <c r="FL10" s="403"/>
      <c r="FM10" s="403"/>
      <c r="FN10" s="403"/>
      <c r="FO10" s="403"/>
      <c r="FP10" s="403"/>
      <c r="FQ10" s="403"/>
      <c r="FR10" s="403"/>
      <c r="FS10" s="403"/>
      <c r="FT10" s="403"/>
      <c r="FU10" s="403"/>
      <c r="FV10" s="403"/>
      <c r="FW10" s="403"/>
      <c r="FX10" s="403"/>
      <c r="FY10" s="403"/>
      <c r="FZ10" s="403"/>
      <c r="GA10" s="403"/>
      <c r="GB10" s="403"/>
      <c r="GC10" s="403"/>
      <c r="GD10" s="403"/>
      <c r="GE10" s="403"/>
      <c r="GF10" s="403"/>
      <c r="GG10" s="403"/>
      <c r="GH10" s="403"/>
      <c r="GI10" s="403"/>
      <c r="GJ10" s="403"/>
      <c r="GK10" s="403"/>
      <c r="GL10" s="403"/>
      <c r="GM10" s="403"/>
      <c r="GN10" s="403"/>
      <c r="GO10" s="403"/>
      <c r="GP10" s="403"/>
      <c r="GQ10" s="403"/>
      <c r="GR10" s="403"/>
      <c r="GS10" s="403"/>
      <c r="GT10" s="403"/>
      <c r="GU10" s="403"/>
      <c r="GV10" s="403"/>
      <c r="GW10" s="403"/>
      <c r="GX10" s="403"/>
      <c r="GY10" s="403"/>
      <c r="GZ10" s="403"/>
      <c r="HA10" s="403"/>
      <c r="HB10" s="403"/>
      <c r="HC10" s="403"/>
      <c r="HD10" s="403"/>
      <c r="HE10" s="403"/>
      <c r="HF10" s="403"/>
      <c r="HG10" s="403"/>
      <c r="HH10" s="403"/>
      <c r="HI10" s="403"/>
      <c r="HJ10" s="403"/>
      <c r="HK10" s="403"/>
      <c r="HL10" s="403"/>
      <c r="HM10" s="403"/>
      <c r="HN10" s="403"/>
      <c r="HO10" s="403"/>
      <c r="HP10" s="403"/>
      <c r="HQ10" s="403"/>
      <c r="HR10" s="403"/>
      <c r="HS10" s="403"/>
      <c r="HT10" s="403"/>
      <c r="HU10" s="403"/>
      <c r="HV10" s="403"/>
      <c r="HW10" s="403"/>
      <c r="HX10" s="403"/>
      <c r="HY10" s="403"/>
      <c r="HZ10" s="403"/>
      <c r="IA10" s="403"/>
      <c r="IB10" s="403"/>
      <c r="IC10" s="403"/>
      <c r="ID10" s="403"/>
      <c r="IE10" s="403"/>
      <c r="IF10" s="403"/>
      <c r="IG10" s="403"/>
      <c r="IH10" s="403"/>
      <c r="II10" s="403"/>
      <c r="IJ10" s="403"/>
      <c r="IK10" s="403"/>
      <c r="IL10" s="403"/>
      <c r="IM10" s="403"/>
      <c r="IN10" s="403"/>
      <c r="IO10" s="403"/>
      <c r="IP10" s="403"/>
      <c r="IQ10" s="403"/>
      <c r="IR10" s="403"/>
      <c r="IS10" s="403"/>
      <c r="IT10" s="403"/>
      <c r="IU10" s="403"/>
      <c r="IV10" s="403"/>
      <c r="IW10" s="403"/>
    </row>
    <row r="11" customFormat="false" ht="12.75" hidden="false" customHeight="false" outlineLevel="0" collapsed="false">
      <c r="A11" s="414" t="n">
        <f aca="false">+A10+1</f>
        <v>2001</v>
      </c>
      <c r="B11" s="412" t="n">
        <v>3.1</v>
      </c>
      <c r="C11" s="413" t="n">
        <v>110.6484665</v>
      </c>
      <c r="D11" s="402"/>
      <c r="E11" s="414" t="n">
        <f aca="false">+E10+1</f>
        <v>2001</v>
      </c>
      <c r="F11" s="412" t="n">
        <v>2.75</v>
      </c>
      <c r="G11" s="413" t="n">
        <v>109.74522</v>
      </c>
      <c r="H11" s="403"/>
      <c r="I11" s="403"/>
      <c r="J11" s="403"/>
      <c r="K11" s="403"/>
      <c r="L11" s="403"/>
      <c r="M11" s="403"/>
      <c r="N11" s="403"/>
      <c r="O11" s="403"/>
      <c r="P11" s="403"/>
      <c r="Q11" s="403"/>
      <c r="R11" s="403"/>
      <c r="S11" s="403"/>
      <c r="T11" s="403"/>
      <c r="U11" s="403"/>
      <c r="V11" s="403"/>
      <c r="W11" s="403"/>
      <c r="X11" s="403"/>
      <c r="Y11" s="403"/>
      <c r="Z11" s="403"/>
      <c r="AA11" s="403"/>
      <c r="AB11" s="403"/>
      <c r="AC11" s="403"/>
      <c r="AD11" s="403"/>
      <c r="AE11" s="403"/>
      <c r="AF11" s="403"/>
      <c r="AG11" s="403"/>
      <c r="AH11" s="403"/>
      <c r="AI11" s="403"/>
      <c r="AJ11" s="403"/>
      <c r="AK11" s="403"/>
      <c r="AL11" s="403"/>
      <c r="AM11" s="403"/>
      <c r="AN11" s="403"/>
      <c r="AO11" s="403"/>
      <c r="AP11" s="403"/>
      <c r="AQ11" s="403"/>
      <c r="AR11" s="403"/>
      <c r="AS11" s="403"/>
      <c r="AT11" s="403"/>
      <c r="AU11" s="403"/>
      <c r="AV11" s="403"/>
      <c r="AW11" s="403"/>
      <c r="AX11" s="403"/>
      <c r="AY11" s="403"/>
      <c r="AZ11" s="403"/>
      <c r="BA11" s="403"/>
      <c r="BB11" s="403"/>
      <c r="BC11" s="403"/>
      <c r="BD11" s="403"/>
      <c r="BE11" s="403"/>
      <c r="BF11" s="403"/>
      <c r="BG11" s="403"/>
      <c r="BH11" s="403"/>
      <c r="BI11" s="403"/>
      <c r="BJ11" s="403"/>
      <c r="BK11" s="403"/>
      <c r="BL11" s="403"/>
      <c r="BM11" s="403"/>
      <c r="BN11" s="403"/>
      <c r="BO11" s="403"/>
      <c r="BP11" s="403"/>
      <c r="BQ11" s="403"/>
      <c r="BR11" s="403"/>
      <c r="BS11" s="403"/>
      <c r="BT11" s="403"/>
      <c r="BU11" s="403"/>
      <c r="BV11" s="403"/>
      <c r="BW11" s="403"/>
      <c r="BX11" s="403"/>
      <c r="BY11" s="403"/>
      <c r="BZ11" s="403"/>
      <c r="CA11" s="403"/>
      <c r="CB11" s="403"/>
      <c r="CC11" s="403"/>
      <c r="CD11" s="403"/>
      <c r="CE11" s="403"/>
      <c r="CF11" s="403"/>
      <c r="CG11" s="403"/>
      <c r="CH11" s="403"/>
      <c r="CI11" s="403"/>
      <c r="CJ11" s="403"/>
      <c r="CK11" s="403"/>
      <c r="CL11" s="403"/>
      <c r="CM11" s="403"/>
      <c r="CN11" s="403"/>
      <c r="CO11" s="403"/>
      <c r="CP11" s="403"/>
      <c r="CQ11" s="403"/>
      <c r="CR11" s="403"/>
      <c r="CS11" s="403"/>
      <c r="CT11" s="403"/>
      <c r="CU11" s="403"/>
      <c r="CV11" s="403"/>
      <c r="CW11" s="403"/>
      <c r="CX11" s="403"/>
      <c r="CY11" s="403"/>
      <c r="CZ11" s="403"/>
      <c r="DA11" s="403"/>
      <c r="DB11" s="403"/>
      <c r="DC11" s="403"/>
      <c r="DD11" s="403"/>
      <c r="DE11" s="403"/>
      <c r="DF11" s="403"/>
      <c r="DG11" s="403"/>
      <c r="DH11" s="403"/>
      <c r="DI11" s="403"/>
      <c r="DJ11" s="403"/>
      <c r="DK11" s="403"/>
      <c r="DL11" s="403"/>
      <c r="DM11" s="403"/>
      <c r="DN11" s="403"/>
      <c r="DO11" s="403"/>
      <c r="DP11" s="403"/>
      <c r="DQ11" s="403"/>
      <c r="DR11" s="403"/>
      <c r="DS11" s="403"/>
      <c r="DT11" s="403"/>
      <c r="DU11" s="403"/>
      <c r="DV11" s="403"/>
      <c r="DW11" s="403"/>
      <c r="DX11" s="403"/>
      <c r="DY11" s="403"/>
      <c r="DZ11" s="403"/>
      <c r="EA11" s="403"/>
      <c r="EB11" s="403"/>
      <c r="EC11" s="403"/>
      <c r="ED11" s="403"/>
      <c r="EE11" s="403"/>
      <c r="EF11" s="403"/>
      <c r="EG11" s="403"/>
      <c r="EH11" s="403"/>
      <c r="EI11" s="403"/>
      <c r="EJ11" s="403"/>
      <c r="EK11" s="403"/>
      <c r="EL11" s="403"/>
      <c r="EM11" s="403"/>
      <c r="EN11" s="403"/>
      <c r="EO11" s="403"/>
      <c r="EP11" s="403"/>
      <c r="EQ11" s="403"/>
      <c r="ER11" s="403"/>
      <c r="ES11" s="403"/>
      <c r="ET11" s="403"/>
      <c r="EU11" s="403"/>
      <c r="EV11" s="403"/>
      <c r="EW11" s="403"/>
      <c r="EX11" s="403"/>
      <c r="EY11" s="403"/>
      <c r="EZ11" s="403"/>
      <c r="FA11" s="403"/>
      <c r="FB11" s="403"/>
      <c r="FC11" s="403"/>
      <c r="FD11" s="403"/>
      <c r="FE11" s="403"/>
      <c r="FF11" s="403"/>
      <c r="FG11" s="403"/>
      <c r="FH11" s="403"/>
      <c r="FI11" s="403"/>
      <c r="FJ11" s="403"/>
      <c r="FK11" s="403"/>
      <c r="FL11" s="403"/>
      <c r="FM11" s="403"/>
      <c r="FN11" s="403"/>
      <c r="FO11" s="403"/>
      <c r="FP11" s="403"/>
      <c r="FQ11" s="403"/>
      <c r="FR11" s="403"/>
      <c r="FS11" s="403"/>
      <c r="FT11" s="403"/>
      <c r="FU11" s="403"/>
      <c r="FV11" s="403"/>
      <c r="FW11" s="403"/>
      <c r="FX11" s="403"/>
      <c r="FY11" s="403"/>
      <c r="FZ11" s="403"/>
      <c r="GA11" s="403"/>
      <c r="GB11" s="403"/>
      <c r="GC11" s="403"/>
      <c r="GD11" s="403"/>
      <c r="GE11" s="403"/>
      <c r="GF11" s="403"/>
      <c r="GG11" s="403"/>
      <c r="GH11" s="403"/>
      <c r="GI11" s="403"/>
      <c r="GJ11" s="403"/>
      <c r="GK11" s="403"/>
      <c r="GL11" s="403"/>
      <c r="GM11" s="403"/>
      <c r="GN11" s="403"/>
      <c r="GO11" s="403"/>
      <c r="GP11" s="403"/>
      <c r="GQ11" s="403"/>
      <c r="GR11" s="403"/>
      <c r="GS11" s="403"/>
      <c r="GT11" s="403"/>
      <c r="GU11" s="403"/>
      <c r="GV11" s="403"/>
      <c r="GW11" s="403"/>
      <c r="GX11" s="403"/>
      <c r="GY11" s="403"/>
      <c r="GZ11" s="403"/>
      <c r="HA11" s="403"/>
      <c r="HB11" s="403"/>
      <c r="HC11" s="403"/>
      <c r="HD11" s="403"/>
      <c r="HE11" s="403"/>
      <c r="HF11" s="403"/>
      <c r="HG11" s="403"/>
      <c r="HH11" s="403"/>
      <c r="HI11" s="403"/>
      <c r="HJ11" s="403"/>
      <c r="HK11" s="403"/>
      <c r="HL11" s="403"/>
      <c r="HM11" s="403"/>
      <c r="HN11" s="403"/>
      <c r="HO11" s="403"/>
      <c r="HP11" s="403"/>
      <c r="HQ11" s="403"/>
      <c r="HR11" s="403"/>
      <c r="HS11" s="403"/>
      <c r="HT11" s="403"/>
      <c r="HU11" s="403"/>
      <c r="HV11" s="403"/>
      <c r="HW11" s="403"/>
      <c r="HX11" s="403"/>
      <c r="HY11" s="403"/>
      <c r="HZ11" s="403"/>
      <c r="IA11" s="403"/>
      <c r="IB11" s="403"/>
      <c r="IC11" s="403"/>
      <c r="ID11" s="403"/>
      <c r="IE11" s="403"/>
      <c r="IF11" s="403"/>
      <c r="IG11" s="403"/>
      <c r="IH11" s="403"/>
      <c r="II11" s="403"/>
      <c r="IJ11" s="403"/>
      <c r="IK11" s="403"/>
      <c r="IL11" s="403"/>
      <c r="IM11" s="403"/>
      <c r="IN11" s="403"/>
      <c r="IO11" s="403"/>
      <c r="IP11" s="403"/>
      <c r="IQ11" s="403"/>
      <c r="IR11" s="403"/>
      <c r="IS11" s="403"/>
      <c r="IT11" s="403"/>
      <c r="IU11" s="403"/>
      <c r="IV11" s="403"/>
      <c r="IW11" s="403"/>
    </row>
    <row r="12" customFormat="false" ht="12.75" hidden="false" customHeight="false" outlineLevel="0" collapsed="false">
      <c r="A12" s="414" t="n">
        <f aca="false">+A11+1</f>
        <v>2002</v>
      </c>
      <c r="B12" s="412" t="n">
        <v>2.25</v>
      </c>
      <c r="C12" s="413" t="n">
        <v>113.13805699625</v>
      </c>
      <c r="D12" s="402"/>
      <c r="E12" s="414" t="n">
        <f aca="false">+E11+1</f>
        <v>2002</v>
      </c>
      <c r="F12" s="412" t="n">
        <v>2.2</v>
      </c>
      <c r="G12" s="413" t="n">
        <v>112.15961484</v>
      </c>
      <c r="H12" s="403"/>
      <c r="I12" s="403"/>
      <c r="J12" s="403"/>
      <c r="K12" s="403"/>
      <c r="L12" s="403"/>
      <c r="M12" s="403"/>
      <c r="N12" s="403"/>
      <c r="O12" s="403"/>
      <c r="P12" s="403"/>
      <c r="Q12" s="403"/>
      <c r="R12" s="403"/>
      <c r="S12" s="403"/>
      <c r="T12" s="403"/>
      <c r="U12" s="403"/>
      <c r="V12" s="403"/>
      <c r="W12" s="403"/>
      <c r="X12" s="403"/>
      <c r="Y12" s="403"/>
      <c r="Z12" s="403"/>
      <c r="AA12" s="403"/>
      <c r="AB12" s="403"/>
      <c r="AC12" s="403"/>
      <c r="AD12" s="403"/>
      <c r="AE12" s="403"/>
      <c r="AF12" s="403"/>
      <c r="AG12" s="403"/>
      <c r="AH12" s="403"/>
      <c r="AI12" s="403"/>
      <c r="AJ12" s="403"/>
      <c r="AK12" s="403"/>
      <c r="AL12" s="403"/>
      <c r="AM12" s="403"/>
      <c r="AN12" s="403"/>
      <c r="AO12" s="403"/>
      <c r="AP12" s="403"/>
      <c r="AQ12" s="403"/>
      <c r="AR12" s="403"/>
      <c r="AS12" s="403"/>
      <c r="AT12" s="403"/>
      <c r="AU12" s="403"/>
      <c r="AV12" s="403"/>
      <c r="AW12" s="403"/>
      <c r="AX12" s="403"/>
      <c r="AY12" s="403"/>
      <c r="AZ12" s="403"/>
      <c r="BA12" s="403"/>
      <c r="BB12" s="403"/>
      <c r="BC12" s="403"/>
      <c r="BD12" s="403"/>
      <c r="BE12" s="403"/>
      <c r="BF12" s="403"/>
      <c r="BG12" s="403"/>
      <c r="BH12" s="403"/>
      <c r="BI12" s="403"/>
      <c r="BJ12" s="403"/>
      <c r="BK12" s="403"/>
      <c r="BL12" s="403"/>
      <c r="BM12" s="403"/>
      <c r="BN12" s="403"/>
      <c r="BO12" s="403"/>
      <c r="BP12" s="403"/>
      <c r="BQ12" s="403"/>
      <c r="BR12" s="403"/>
      <c r="BS12" s="403"/>
      <c r="BT12" s="403"/>
      <c r="BU12" s="403"/>
      <c r="BV12" s="403"/>
      <c r="BW12" s="403"/>
      <c r="BX12" s="403"/>
      <c r="BY12" s="403"/>
      <c r="BZ12" s="403"/>
      <c r="CA12" s="403"/>
      <c r="CB12" s="403"/>
      <c r="CC12" s="403"/>
      <c r="CD12" s="403"/>
      <c r="CE12" s="403"/>
      <c r="CF12" s="403"/>
      <c r="CG12" s="403"/>
      <c r="CH12" s="403"/>
      <c r="CI12" s="403"/>
      <c r="CJ12" s="403"/>
      <c r="CK12" s="403"/>
      <c r="CL12" s="403"/>
      <c r="CM12" s="403"/>
      <c r="CN12" s="403"/>
      <c r="CO12" s="403"/>
      <c r="CP12" s="403"/>
      <c r="CQ12" s="403"/>
      <c r="CR12" s="403"/>
      <c r="CS12" s="403"/>
      <c r="CT12" s="403"/>
      <c r="CU12" s="403"/>
      <c r="CV12" s="403"/>
      <c r="CW12" s="403"/>
      <c r="CX12" s="403"/>
      <c r="CY12" s="403"/>
      <c r="CZ12" s="403"/>
      <c r="DA12" s="403"/>
      <c r="DB12" s="403"/>
      <c r="DC12" s="403"/>
      <c r="DD12" s="403"/>
      <c r="DE12" s="403"/>
      <c r="DF12" s="403"/>
      <c r="DG12" s="403"/>
      <c r="DH12" s="403"/>
      <c r="DI12" s="403"/>
      <c r="DJ12" s="403"/>
      <c r="DK12" s="403"/>
      <c r="DL12" s="403"/>
      <c r="DM12" s="403"/>
      <c r="DN12" s="403"/>
      <c r="DO12" s="403"/>
      <c r="DP12" s="403"/>
      <c r="DQ12" s="403"/>
      <c r="DR12" s="403"/>
      <c r="DS12" s="403"/>
      <c r="DT12" s="403"/>
      <c r="DU12" s="403"/>
      <c r="DV12" s="403"/>
      <c r="DW12" s="403"/>
      <c r="DX12" s="403"/>
      <c r="DY12" s="403"/>
      <c r="DZ12" s="403"/>
      <c r="EA12" s="403"/>
      <c r="EB12" s="403"/>
      <c r="EC12" s="403"/>
      <c r="ED12" s="403"/>
      <c r="EE12" s="403"/>
      <c r="EF12" s="403"/>
      <c r="EG12" s="403"/>
      <c r="EH12" s="403"/>
      <c r="EI12" s="403"/>
      <c r="EJ12" s="403"/>
      <c r="EK12" s="403"/>
      <c r="EL12" s="403"/>
      <c r="EM12" s="403"/>
      <c r="EN12" s="403"/>
      <c r="EO12" s="403"/>
      <c r="EP12" s="403"/>
      <c r="EQ12" s="403"/>
      <c r="ER12" s="403"/>
      <c r="ES12" s="403"/>
      <c r="ET12" s="403"/>
      <c r="EU12" s="403"/>
      <c r="EV12" s="403"/>
      <c r="EW12" s="403"/>
      <c r="EX12" s="403"/>
      <c r="EY12" s="403"/>
      <c r="EZ12" s="403"/>
      <c r="FA12" s="403"/>
      <c r="FB12" s="403"/>
      <c r="FC12" s="403"/>
      <c r="FD12" s="403"/>
      <c r="FE12" s="403"/>
      <c r="FF12" s="403"/>
      <c r="FG12" s="403"/>
      <c r="FH12" s="403"/>
      <c r="FI12" s="403"/>
      <c r="FJ12" s="403"/>
      <c r="FK12" s="403"/>
      <c r="FL12" s="403"/>
      <c r="FM12" s="403"/>
      <c r="FN12" s="403"/>
      <c r="FO12" s="403"/>
      <c r="FP12" s="403"/>
      <c r="FQ12" s="403"/>
      <c r="FR12" s="403"/>
      <c r="FS12" s="403"/>
      <c r="FT12" s="403"/>
      <c r="FU12" s="403"/>
      <c r="FV12" s="403"/>
      <c r="FW12" s="403"/>
      <c r="FX12" s="403"/>
      <c r="FY12" s="403"/>
      <c r="FZ12" s="403"/>
      <c r="GA12" s="403"/>
      <c r="GB12" s="403"/>
      <c r="GC12" s="403"/>
      <c r="GD12" s="403"/>
      <c r="GE12" s="403"/>
      <c r="GF12" s="403"/>
      <c r="GG12" s="403"/>
      <c r="GH12" s="403"/>
      <c r="GI12" s="403"/>
      <c r="GJ12" s="403"/>
      <c r="GK12" s="403"/>
      <c r="GL12" s="403"/>
      <c r="GM12" s="403"/>
      <c r="GN12" s="403"/>
      <c r="GO12" s="403"/>
      <c r="GP12" s="403"/>
      <c r="GQ12" s="403"/>
      <c r="GR12" s="403"/>
      <c r="GS12" s="403"/>
      <c r="GT12" s="403"/>
      <c r="GU12" s="403"/>
      <c r="GV12" s="403"/>
      <c r="GW12" s="403"/>
      <c r="GX12" s="403"/>
      <c r="GY12" s="403"/>
      <c r="GZ12" s="403"/>
      <c r="HA12" s="403"/>
      <c r="HB12" s="403"/>
      <c r="HC12" s="403"/>
      <c r="HD12" s="403"/>
      <c r="HE12" s="403"/>
      <c r="HF12" s="403"/>
      <c r="HG12" s="403"/>
      <c r="HH12" s="403"/>
      <c r="HI12" s="403"/>
      <c r="HJ12" s="403"/>
      <c r="HK12" s="403"/>
      <c r="HL12" s="403"/>
      <c r="HM12" s="403"/>
      <c r="HN12" s="403"/>
      <c r="HO12" s="403"/>
      <c r="HP12" s="403"/>
      <c r="HQ12" s="403"/>
      <c r="HR12" s="403"/>
      <c r="HS12" s="403"/>
      <c r="HT12" s="403"/>
      <c r="HU12" s="403"/>
      <c r="HV12" s="403"/>
      <c r="HW12" s="403"/>
      <c r="HX12" s="403"/>
      <c r="HY12" s="403"/>
      <c r="HZ12" s="403"/>
      <c r="IA12" s="403"/>
      <c r="IB12" s="403"/>
      <c r="IC12" s="403"/>
      <c r="ID12" s="403"/>
      <c r="IE12" s="403"/>
      <c r="IF12" s="403"/>
      <c r="IG12" s="403"/>
      <c r="IH12" s="403"/>
      <c r="II12" s="403"/>
      <c r="IJ12" s="403"/>
      <c r="IK12" s="403"/>
      <c r="IL12" s="403"/>
      <c r="IM12" s="403"/>
      <c r="IN12" s="403"/>
      <c r="IO12" s="403"/>
      <c r="IP12" s="403"/>
      <c r="IQ12" s="403"/>
      <c r="IR12" s="403"/>
      <c r="IS12" s="403"/>
      <c r="IT12" s="403"/>
      <c r="IU12" s="403"/>
      <c r="IV12" s="403"/>
      <c r="IW12" s="403"/>
    </row>
    <row r="13" customFormat="false" ht="12.75" hidden="false" customHeight="false" outlineLevel="0" collapsed="false">
      <c r="A13" s="414" t="n">
        <f aca="false">+A12+1</f>
        <v>2003</v>
      </c>
      <c r="B13" s="412" t="n">
        <v>1.85</v>
      </c>
      <c r="C13" s="413" t="n">
        <v>115.231111050681</v>
      </c>
      <c r="D13" s="402"/>
      <c r="E13" s="414" t="n">
        <f aca="false">+E12+1</f>
        <v>2003</v>
      </c>
      <c r="F13" s="412" t="n">
        <v>1.7</v>
      </c>
      <c r="G13" s="413" t="n">
        <v>114.06632829228</v>
      </c>
      <c r="H13" s="403"/>
      <c r="I13" s="403"/>
      <c r="J13" s="403"/>
      <c r="K13" s="403"/>
      <c r="L13" s="403"/>
      <c r="M13" s="403"/>
      <c r="N13" s="403"/>
      <c r="O13" s="403"/>
      <c r="P13" s="403"/>
      <c r="Q13" s="403"/>
      <c r="R13" s="403"/>
      <c r="S13" s="403"/>
      <c r="T13" s="403"/>
      <c r="U13" s="403"/>
      <c r="V13" s="403"/>
      <c r="W13" s="403"/>
      <c r="X13" s="403"/>
      <c r="Y13" s="403"/>
      <c r="Z13" s="403"/>
      <c r="AA13" s="403"/>
      <c r="AB13" s="403"/>
      <c r="AC13" s="403"/>
      <c r="AD13" s="403"/>
      <c r="AE13" s="403"/>
      <c r="AF13" s="403"/>
      <c r="AG13" s="403"/>
      <c r="AH13" s="403"/>
      <c r="AI13" s="403"/>
      <c r="AJ13" s="403"/>
      <c r="AK13" s="403"/>
      <c r="AL13" s="403"/>
      <c r="AM13" s="403"/>
      <c r="AN13" s="403"/>
      <c r="AO13" s="403"/>
      <c r="AP13" s="403"/>
      <c r="AQ13" s="403"/>
      <c r="AR13" s="403"/>
      <c r="AS13" s="403"/>
      <c r="AT13" s="403"/>
      <c r="AU13" s="403"/>
      <c r="AV13" s="403"/>
      <c r="AW13" s="403"/>
      <c r="AX13" s="403"/>
      <c r="AY13" s="403"/>
      <c r="AZ13" s="403"/>
      <c r="BA13" s="403"/>
      <c r="BB13" s="403"/>
      <c r="BC13" s="403"/>
      <c r="BD13" s="403"/>
      <c r="BE13" s="403"/>
      <c r="BF13" s="403"/>
      <c r="BG13" s="403"/>
      <c r="BH13" s="403"/>
      <c r="BI13" s="403"/>
      <c r="BJ13" s="403"/>
      <c r="BK13" s="403"/>
      <c r="BL13" s="403"/>
      <c r="BM13" s="403"/>
      <c r="BN13" s="403"/>
      <c r="BO13" s="403"/>
      <c r="BP13" s="403"/>
      <c r="BQ13" s="403"/>
      <c r="BR13" s="403"/>
      <c r="BS13" s="403"/>
      <c r="BT13" s="403"/>
      <c r="BU13" s="403"/>
      <c r="BV13" s="403"/>
      <c r="BW13" s="403"/>
      <c r="BX13" s="403"/>
      <c r="BY13" s="403"/>
      <c r="BZ13" s="403"/>
      <c r="CA13" s="403"/>
      <c r="CB13" s="403"/>
      <c r="CC13" s="403"/>
      <c r="CD13" s="403"/>
      <c r="CE13" s="403"/>
      <c r="CF13" s="403"/>
      <c r="CG13" s="403"/>
      <c r="CH13" s="403"/>
      <c r="CI13" s="403"/>
      <c r="CJ13" s="403"/>
      <c r="CK13" s="403"/>
      <c r="CL13" s="403"/>
      <c r="CM13" s="403"/>
      <c r="CN13" s="403"/>
      <c r="CO13" s="403"/>
      <c r="CP13" s="403"/>
      <c r="CQ13" s="403"/>
      <c r="CR13" s="403"/>
      <c r="CS13" s="403"/>
      <c r="CT13" s="403"/>
      <c r="CU13" s="403"/>
      <c r="CV13" s="403"/>
      <c r="CW13" s="403"/>
      <c r="CX13" s="403"/>
      <c r="CY13" s="403"/>
      <c r="CZ13" s="403"/>
      <c r="DA13" s="403"/>
      <c r="DB13" s="403"/>
      <c r="DC13" s="403"/>
      <c r="DD13" s="403"/>
      <c r="DE13" s="403"/>
      <c r="DF13" s="403"/>
      <c r="DG13" s="403"/>
      <c r="DH13" s="403"/>
      <c r="DI13" s="403"/>
      <c r="DJ13" s="403"/>
      <c r="DK13" s="403"/>
      <c r="DL13" s="403"/>
      <c r="DM13" s="403"/>
      <c r="DN13" s="403"/>
      <c r="DO13" s="403"/>
      <c r="DP13" s="403"/>
      <c r="DQ13" s="403"/>
      <c r="DR13" s="403"/>
      <c r="DS13" s="403"/>
      <c r="DT13" s="403"/>
      <c r="DU13" s="403"/>
      <c r="DV13" s="403"/>
      <c r="DW13" s="403"/>
      <c r="DX13" s="403"/>
      <c r="DY13" s="403"/>
      <c r="DZ13" s="403"/>
      <c r="EA13" s="403"/>
      <c r="EB13" s="403"/>
      <c r="EC13" s="403"/>
      <c r="ED13" s="403"/>
      <c r="EE13" s="403"/>
      <c r="EF13" s="403"/>
      <c r="EG13" s="403"/>
      <c r="EH13" s="403"/>
      <c r="EI13" s="403"/>
      <c r="EJ13" s="403"/>
      <c r="EK13" s="403"/>
      <c r="EL13" s="403"/>
      <c r="EM13" s="403"/>
      <c r="EN13" s="403"/>
      <c r="EO13" s="403"/>
      <c r="EP13" s="403"/>
      <c r="EQ13" s="403"/>
      <c r="ER13" s="403"/>
      <c r="ES13" s="403"/>
      <c r="ET13" s="403"/>
      <c r="EU13" s="403"/>
      <c r="EV13" s="403"/>
      <c r="EW13" s="403"/>
      <c r="EX13" s="403"/>
      <c r="EY13" s="403"/>
      <c r="EZ13" s="403"/>
      <c r="FA13" s="403"/>
      <c r="FB13" s="403"/>
      <c r="FC13" s="403"/>
      <c r="FD13" s="403"/>
      <c r="FE13" s="403"/>
      <c r="FF13" s="403"/>
      <c r="FG13" s="403"/>
      <c r="FH13" s="403"/>
      <c r="FI13" s="403"/>
      <c r="FJ13" s="403"/>
      <c r="FK13" s="403"/>
      <c r="FL13" s="403"/>
      <c r="FM13" s="403"/>
      <c r="FN13" s="403"/>
      <c r="FO13" s="403"/>
      <c r="FP13" s="403"/>
      <c r="FQ13" s="403"/>
      <c r="FR13" s="403"/>
      <c r="FS13" s="403"/>
      <c r="FT13" s="403"/>
      <c r="FU13" s="403"/>
      <c r="FV13" s="403"/>
      <c r="FW13" s="403"/>
      <c r="FX13" s="403"/>
      <c r="FY13" s="403"/>
      <c r="FZ13" s="403"/>
      <c r="GA13" s="403"/>
      <c r="GB13" s="403"/>
      <c r="GC13" s="403"/>
      <c r="GD13" s="403"/>
      <c r="GE13" s="403"/>
      <c r="GF13" s="403"/>
      <c r="GG13" s="403"/>
      <c r="GH13" s="403"/>
      <c r="GI13" s="403"/>
      <c r="GJ13" s="403"/>
      <c r="GK13" s="403"/>
      <c r="GL13" s="403"/>
      <c r="GM13" s="403"/>
      <c r="GN13" s="403"/>
      <c r="GO13" s="403"/>
      <c r="GP13" s="403"/>
      <c r="GQ13" s="403"/>
      <c r="GR13" s="403"/>
      <c r="GS13" s="403"/>
      <c r="GT13" s="403"/>
      <c r="GU13" s="403"/>
      <c r="GV13" s="403"/>
      <c r="GW13" s="403"/>
      <c r="GX13" s="403"/>
      <c r="GY13" s="403"/>
      <c r="GZ13" s="403"/>
      <c r="HA13" s="403"/>
      <c r="HB13" s="403"/>
      <c r="HC13" s="403"/>
      <c r="HD13" s="403"/>
      <c r="HE13" s="403"/>
      <c r="HF13" s="403"/>
      <c r="HG13" s="403"/>
      <c r="HH13" s="403"/>
      <c r="HI13" s="403"/>
      <c r="HJ13" s="403"/>
      <c r="HK13" s="403"/>
      <c r="HL13" s="403"/>
      <c r="HM13" s="403"/>
      <c r="HN13" s="403"/>
      <c r="HO13" s="403"/>
      <c r="HP13" s="403"/>
      <c r="HQ13" s="403"/>
      <c r="HR13" s="403"/>
      <c r="HS13" s="403"/>
      <c r="HT13" s="403"/>
      <c r="HU13" s="403"/>
      <c r="HV13" s="403"/>
      <c r="HW13" s="403"/>
      <c r="HX13" s="403"/>
      <c r="HY13" s="403"/>
      <c r="HZ13" s="403"/>
      <c r="IA13" s="403"/>
      <c r="IB13" s="403"/>
      <c r="IC13" s="403"/>
      <c r="ID13" s="403"/>
      <c r="IE13" s="403"/>
      <c r="IF13" s="403"/>
      <c r="IG13" s="403"/>
      <c r="IH13" s="403"/>
      <c r="II13" s="403"/>
      <c r="IJ13" s="403"/>
      <c r="IK13" s="403"/>
      <c r="IL13" s="403"/>
      <c r="IM13" s="403"/>
      <c r="IN13" s="403"/>
      <c r="IO13" s="403"/>
      <c r="IP13" s="403"/>
      <c r="IQ13" s="403"/>
      <c r="IR13" s="403"/>
      <c r="IS13" s="403"/>
      <c r="IT13" s="403"/>
      <c r="IU13" s="403"/>
      <c r="IV13" s="403"/>
      <c r="IW13" s="403"/>
    </row>
    <row r="14" customFormat="false" ht="12.75" hidden="false" customHeight="false" outlineLevel="0" collapsed="false">
      <c r="A14" s="414" t="n">
        <f aca="false">+A13+1</f>
        <v>2004</v>
      </c>
      <c r="B14" s="412" t="n">
        <v>1.85</v>
      </c>
      <c r="C14" s="413" t="n">
        <v>117.362886605118</v>
      </c>
      <c r="D14" s="402"/>
      <c r="E14" s="414" t="n">
        <f aca="false">+E13+1</f>
        <v>2004</v>
      </c>
      <c r="F14" s="412" t="n">
        <v>1.5</v>
      </c>
      <c r="G14" s="413" t="n">
        <v>115.777323216664</v>
      </c>
      <c r="H14" s="403"/>
      <c r="I14" s="403"/>
      <c r="J14" s="403"/>
      <c r="K14" s="403"/>
      <c r="L14" s="403"/>
      <c r="M14" s="403"/>
      <c r="N14" s="403"/>
      <c r="O14" s="403"/>
      <c r="P14" s="403"/>
      <c r="Q14" s="403"/>
      <c r="R14" s="403"/>
      <c r="S14" s="403"/>
      <c r="T14" s="403"/>
      <c r="U14" s="403"/>
      <c r="V14" s="403"/>
      <c r="W14" s="403"/>
      <c r="X14" s="403"/>
      <c r="Y14" s="403"/>
      <c r="Z14" s="403"/>
      <c r="AA14" s="403"/>
      <c r="AB14" s="403"/>
      <c r="AC14" s="403"/>
      <c r="AD14" s="403"/>
      <c r="AE14" s="403"/>
      <c r="AF14" s="403"/>
      <c r="AG14" s="403"/>
      <c r="AH14" s="403"/>
      <c r="AI14" s="403"/>
      <c r="AJ14" s="403"/>
      <c r="AK14" s="403"/>
      <c r="AL14" s="403"/>
      <c r="AM14" s="403"/>
      <c r="AN14" s="403"/>
      <c r="AO14" s="403"/>
      <c r="AP14" s="403"/>
      <c r="AQ14" s="403"/>
      <c r="AR14" s="403"/>
      <c r="AS14" s="403"/>
      <c r="AT14" s="403"/>
      <c r="AU14" s="403"/>
      <c r="AV14" s="403"/>
      <c r="AW14" s="403"/>
      <c r="AX14" s="403"/>
      <c r="AY14" s="403"/>
      <c r="AZ14" s="403"/>
      <c r="BA14" s="403"/>
      <c r="BB14" s="403"/>
      <c r="BC14" s="403"/>
      <c r="BD14" s="403"/>
      <c r="BE14" s="403"/>
      <c r="BF14" s="403"/>
      <c r="BG14" s="403"/>
      <c r="BH14" s="403"/>
      <c r="BI14" s="403"/>
      <c r="BJ14" s="403"/>
      <c r="BK14" s="403"/>
      <c r="BL14" s="403"/>
      <c r="BM14" s="403"/>
      <c r="BN14" s="403"/>
      <c r="BO14" s="403"/>
      <c r="BP14" s="403"/>
      <c r="BQ14" s="403"/>
      <c r="BR14" s="403"/>
      <c r="BS14" s="403"/>
      <c r="BT14" s="403"/>
      <c r="BU14" s="403"/>
      <c r="BV14" s="403"/>
      <c r="BW14" s="403"/>
      <c r="BX14" s="403"/>
      <c r="BY14" s="403"/>
      <c r="BZ14" s="403"/>
      <c r="CA14" s="403"/>
      <c r="CB14" s="403"/>
      <c r="CC14" s="403"/>
      <c r="CD14" s="403"/>
      <c r="CE14" s="403"/>
      <c r="CF14" s="403"/>
      <c r="CG14" s="403"/>
      <c r="CH14" s="403"/>
      <c r="CI14" s="403"/>
      <c r="CJ14" s="403"/>
      <c r="CK14" s="403"/>
      <c r="CL14" s="403"/>
      <c r="CM14" s="403"/>
      <c r="CN14" s="403"/>
      <c r="CO14" s="403"/>
      <c r="CP14" s="403"/>
      <c r="CQ14" s="403"/>
      <c r="CR14" s="403"/>
      <c r="CS14" s="403"/>
      <c r="CT14" s="403"/>
      <c r="CU14" s="403"/>
      <c r="CV14" s="403"/>
      <c r="CW14" s="403"/>
      <c r="CX14" s="403"/>
      <c r="CY14" s="403"/>
      <c r="CZ14" s="403"/>
      <c r="DA14" s="403"/>
      <c r="DB14" s="403"/>
      <c r="DC14" s="403"/>
      <c r="DD14" s="403"/>
      <c r="DE14" s="403"/>
      <c r="DF14" s="403"/>
      <c r="DG14" s="403"/>
      <c r="DH14" s="403"/>
      <c r="DI14" s="403"/>
      <c r="DJ14" s="403"/>
      <c r="DK14" s="403"/>
      <c r="DL14" s="403"/>
      <c r="DM14" s="403"/>
      <c r="DN14" s="403"/>
      <c r="DO14" s="403"/>
      <c r="DP14" s="403"/>
      <c r="DQ14" s="403"/>
      <c r="DR14" s="403"/>
      <c r="DS14" s="403"/>
      <c r="DT14" s="403"/>
      <c r="DU14" s="403"/>
      <c r="DV14" s="403"/>
      <c r="DW14" s="403"/>
      <c r="DX14" s="403"/>
      <c r="DY14" s="403"/>
      <c r="DZ14" s="403"/>
      <c r="EA14" s="403"/>
      <c r="EB14" s="403"/>
      <c r="EC14" s="403"/>
      <c r="ED14" s="403"/>
      <c r="EE14" s="403"/>
      <c r="EF14" s="403"/>
      <c r="EG14" s="403"/>
      <c r="EH14" s="403"/>
      <c r="EI14" s="403"/>
      <c r="EJ14" s="403"/>
      <c r="EK14" s="403"/>
      <c r="EL14" s="403"/>
      <c r="EM14" s="403"/>
      <c r="EN14" s="403"/>
      <c r="EO14" s="403"/>
      <c r="EP14" s="403"/>
      <c r="EQ14" s="403"/>
      <c r="ER14" s="403"/>
      <c r="ES14" s="403"/>
      <c r="ET14" s="403"/>
      <c r="EU14" s="403"/>
      <c r="EV14" s="403"/>
      <c r="EW14" s="403"/>
      <c r="EX14" s="403"/>
      <c r="EY14" s="403"/>
      <c r="EZ14" s="403"/>
      <c r="FA14" s="403"/>
      <c r="FB14" s="403"/>
      <c r="FC14" s="403"/>
      <c r="FD14" s="403"/>
      <c r="FE14" s="403"/>
      <c r="FF14" s="403"/>
      <c r="FG14" s="403"/>
      <c r="FH14" s="403"/>
      <c r="FI14" s="403"/>
      <c r="FJ14" s="403"/>
      <c r="FK14" s="403"/>
      <c r="FL14" s="403"/>
      <c r="FM14" s="403"/>
      <c r="FN14" s="403"/>
      <c r="FO14" s="403"/>
      <c r="FP14" s="403"/>
      <c r="FQ14" s="403"/>
      <c r="FR14" s="403"/>
      <c r="FS14" s="403"/>
      <c r="FT14" s="403"/>
      <c r="FU14" s="403"/>
      <c r="FV14" s="403"/>
      <c r="FW14" s="403"/>
      <c r="FX14" s="403"/>
      <c r="FY14" s="403"/>
      <c r="FZ14" s="403"/>
      <c r="GA14" s="403"/>
      <c r="GB14" s="403"/>
      <c r="GC14" s="403"/>
      <c r="GD14" s="403"/>
      <c r="GE14" s="403"/>
      <c r="GF14" s="403"/>
      <c r="GG14" s="403"/>
      <c r="GH14" s="403"/>
      <c r="GI14" s="403"/>
      <c r="GJ14" s="403"/>
      <c r="GK14" s="403"/>
      <c r="GL14" s="403"/>
      <c r="GM14" s="403"/>
      <c r="GN14" s="403"/>
      <c r="GO14" s="403"/>
      <c r="GP14" s="403"/>
      <c r="GQ14" s="403"/>
      <c r="GR14" s="403"/>
      <c r="GS14" s="403"/>
      <c r="GT14" s="403"/>
      <c r="GU14" s="403"/>
      <c r="GV14" s="403"/>
      <c r="GW14" s="403"/>
      <c r="GX14" s="403"/>
      <c r="GY14" s="403"/>
      <c r="GZ14" s="403"/>
      <c r="HA14" s="403"/>
      <c r="HB14" s="403"/>
      <c r="HC14" s="403"/>
      <c r="HD14" s="403"/>
      <c r="HE14" s="403"/>
      <c r="HF14" s="403"/>
      <c r="HG14" s="403"/>
      <c r="HH14" s="403"/>
      <c r="HI14" s="403"/>
      <c r="HJ14" s="403"/>
      <c r="HK14" s="403"/>
      <c r="HL14" s="403"/>
      <c r="HM14" s="403"/>
      <c r="HN14" s="403"/>
      <c r="HO14" s="403"/>
      <c r="HP14" s="403"/>
      <c r="HQ14" s="403"/>
      <c r="HR14" s="403"/>
      <c r="HS14" s="403"/>
      <c r="HT14" s="403"/>
      <c r="HU14" s="403"/>
      <c r="HV14" s="403"/>
      <c r="HW14" s="403"/>
      <c r="HX14" s="403"/>
      <c r="HY14" s="403"/>
      <c r="HZ14" s="403"/>
      <c r="IA14" s="403"/>
      <c r="IB14" s="403"/>
      <c r="IC14" s="403"/>
      <c r="ID14" s="403"/>
      <c r="IE14" s="403"/>
      <c r="IF14" s="403"/>
      <c r="IG14" s="403"/>
      <c r="IH14" s="403"/>
      <c r="II14" s="403"/>
      <c r="IJ14" s="403"/>
      <c r="IK14" s="403"/>
      <c r="IL14" s="403"/>
      <c r="IM14" s="403"/>
      <c r="IN14" s="403"/>
      <c r="IO14" s="403"/>
      <c r="IP14" s="403"/>
      <c r="IQ14" s="403"/>
      <c r="IR14" s="403"/>
      <c r="IS14" s="403"/>
      <c r="IT14" s="403"/>
      <c r="IU14" s="403"/>
      <c r="IV14" s="403"/>
      <c r="IW14" s="403"/>
    </row>
    <row r="15" customFormat="false" ht="12.75" hidden="false" customHeight="false" outlineLevel="0" collapsed="false">
      <c r="A15" s="414" t="n">
        <f aca="false">+A14+1</f>
        <v>2005</v>
      </c>
      <c r="B15" s="412" t="n">
        <v>1.85</v>
      </c>
      <c r="C15" s="413" t="n">
        <v>119.534100007313</v>
      </c>
      <c r="D15" s="402"/>
      <c r="E15" s="414" t="n">
        <f aca="false">+E14+1</f>
        <v>2005</v>
      </c>
      <c r="F15" s="412" t="n">
        <v>1.5</v>
      </c>
      <c r="G15" s="413" t="n">
        <v>117.513983064914</v>
      </c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3"/>
      <c r="Z15" s="403"/>
      <c r="AA15" s="403"/>
      <c r="AB15" s="403"/>
      <c r="AC15" s="403"/>
      <c r="AD15" s="403"/>
      <c r="AE15" s="403"/>
      <c r="AF15" s="403"/>
      <c r="AG15" s="403"/>
      <c r="AH15" s="403"/>
      <c r="AI15" s="403"/>
      <c r="AJ15" s="403"/>
      <c r="AK15" s="403"/>
      <c r="AL15" s="403"/>
      <c r="AM15" s="403"/>
      <c r="AN15" s="403"/>
      <c r="AO15" s="403"/>
      <c r="AP15" s="403"/>
      <c r="AQ15" s="403"/>
      <c r="AR15" s="403"/>
      <c r="AS15" s="403"/>
      <c r="AT15" s="403"/>
      <c r="AU15" s="403"/>
      <c r="AV15" s="403"/>
      <c r="AW15" s="403"/>
      <c r="AX15" s="403"/>
      <c r="AY15" s="403"/>
      <c r="AZ15" s="403"/>
      <c r="BA15" s="403"/>
      <c r="BB15" s="403"/>
      <c r="BC15" s="403"/>
      <c r="BD15" s="403"/>
      <c r="BE15" s="403"/>
      <c r="BF15" s="403"/>
      <c r="BG15" s="403"/>
      <c r="BH15" s="403"/>
      <c r="BI15" s="403"/>
      <c r="BJ15" s="403"/>
      <c r="BK15" s="403"/>
      <c r="BL15" s="403"/>
      <c r="BM15" s="403"/>
      <c r="BN15" s="403"/>
      <c r="BO15" s="403"/>
      <c r="BP15" s="403"/>
      <c r="BQ15" s="403"/>
      <c r="BR15" s="403"/>
      <c r="BS15" s="403"/>
      <c r="BT15" s="403"/>
      <c r="BU15" s="403"/>
      <c r="BV15" s="403"/>
      <c r="BW15" s="403"/>
      <c r="BX15" s="403"/>
      <c r="BY15" s="403"/>
      <c r="BZ15" s="403"/>
      <c r="CA15" s="403"/>
      <c r="CB15" s="403"/>
      <c r="CC15" s="403"/>
      <c r="CD15" s="403"/>
      <c r="CE15" s="403"/>
      <c r="CF15" s="403"/>
      <c r="CG15" s="403"/>
      <c r="CH15" s="403"/>
      <c r="CI15" s="403"/>
      <c r="CJ15" s="403"/>
      <c r="CK15" s="403"/>
      <c r="CL15" s="403"/>
      <c r="CM15" s="403"/>
      <c r="CN15" s="403"/>
      <c r="CO15" s="403"/>
      <c r="CP15" s="403"/>
      <c r="CQ15" s="403"/>
      <c r="CR15" s="403"/>
      <c r="CS15" s="403"/>
      <c r="CT15" s="403"/>
      <c r="CU15" s="403"/>
      <c r="CV15" s="403"/>
      <c r="CW15" s="403"/>
      <c r="CX15" s="403"/>
      <c r="CY15" s="403"/>
      <c r="CZ15" s="403"/>
      <c r="DA15" s="403"/>
      <c r="DB15" s="403"/>
      <c r="DC15" s="403"/>
      <c r="DD15" s="403"/>
      <c r="DE15" s="403"/>
      <c r="DF15" s="403"/>
      <c r="DG15" s="403"/>
      <c r="DH15" s="403"/>
      <c r="DI15" s="403"/>
      <c r="DJ15" s="403"/>
      <c r="DK15" s="403"/>
      <c r="DL15" s="403"/>
      <c r="DM15" s="403"/>
      <c r="DN15" s="403"/>
      <c r="DO15" s="403"/>
      <c r="DP15" s="403"/>
      <c r="DQ15" s="403"/>
      <c r="DR15" s="403"/>
      <c r="DS15" s="403"/>
      <c r="DT15" s="403"/>
      <c r="DU15" s="403"/>
      <c r="DV15" s="403"/>
      <c r="DW15" s="403"/>
      <c r="DX15" s="403"/>
      <c r="DY15" s="403"/>
      <c r="DZ15" s="403"/>
      <c r="EA15" s="403"/>
      <c r="EB15" s="403"/>
      <c r="EC15" s="403"/>
      <c r="ED15" s="403"/>
      <c r="EE15" s="403"/>
      <c r="EF15" s="403"/>
      <c r="EG15" s="403"/>
      <c r="EH15" s="403"/>
      <c r="EI15" s="403"/>
      <c r="EJ15" s="403"/>
      <c r="EK15" s="403"/>
      <c r="EL15" s="403"/>
      <c r="EM15" s="403"/>
      <c r="EN15" s="403"/>
      <c r="EO15" s="403"/>
      <c r="EP15" s="403"/>
      <c r="EQ15" s="403"/>
      <c r="ER15" s="403"/>
      <c r="ES15" s="403"/>
      <c r="ET15" s="403"/>
      <c r="EU15" s="403"/>
      <c r="EV15" s="403"/>
      <c r="EW15" s="403"/>
      <c r="EX15" s="403"/>
      <c r="EY15" s="403"/>
      <c r="EZ15" s="403"/>
      <c r="FA15" s="403"/>
      <c r="FB15" s="403"/>
      <c r="FC15" s="403"/>
      <c r="FD15" s="403"/>
      <c r="FE15" s="403"/>
      <c r="FF15" s="403"/>
      <c r="FG15" s="403"/>
      <c r="FH15" s="403"/>
      <c r="FI15" s="403"/>
      <c r="FJ15" s="403"/>
      <c r="FK15" s="403"/>
      <c r="FL15" s="403"/>
      <c r="FM15" s="403"/>
      <c r="FN15" s="403"/>
      <c r="FO15" s="403"/>
      <c r="FP15" s="403"/>
      <c r="FQ15" s="403"/>
      <c r="FR15" s="403"/>
      <c r="FS15" s="403"/>
      <c r="FT15" s="403"/>
      <c r="FU15" s="403"/>
      <c r="FV15" s="403"/>
      <c r="FW15" s="403"/>
      <c r="FX15" s="403"/>
      <c r="FY15" s="403"/>
      <c r="FZ15" s="403"/>
      <c r="GA15" s="403"/>
      <c r="GB15" s="403"/>
      <c r="GC15" s="403"/>
      <c r="GD15" s="403"/>
      <c r="GE15" s="403"/>
      <c r="GF15" s="403"/>
      <c r="GG15" s="403"/>
      <c r="GH15" s="403"/>
      <c r="GI15" s="403"/>
      <c r="GJ15" s="403"/>
      <c r="GK15" s="403"/>
      <c r="GL15" s="403"/>
      <c r="GM15" s="403"/>
      <c r="GN15" s="403"/>
      <c r="GO15" s="403"/>
      <c r="GP15" s="403"/>
      <c r="GQ15" s="403"/>
      <c r="GR15" s="403"/>
      <c r="GS15" s="403"/>
      <c r="GT15" s="403"/>
      <c r="GU15" s="403"/>
      <c r="GV15" s="403"/>
      <c r="GW15" s="403"/>
      <c r="GX15" s="403"/>
      <c r="GY15" s="403"/>
      <c r="GZ15" s="403"/>
      <c r="HA15" s="403"/>
      <c r="HB15" s="403"/>
      <c r="HC15" s="403"/>
      <c r="HD15" s="403"/>
      <c r="HE15" s="403"/>
      <c r="HF15" s="403"/>
      <c r="HG15" s="403"/>
      <c r="HH15" s="403"/>
      <c r="HI15" s="403"/>
      <c r="HJ15" s="403"/>
      <c r="HK15" s="403"/>
      <c r="HL15" s="403"/>
      <c r="HM15" s="403"/>
      <c r="HN15" s="403"/>
      <c r="HO15" s="403"/>
      <c r="HP15" s="403"/>
      <c r="HQ15" s="403"/>
      <c r="HR15" s="403"/>
      <c r="HS15" s="403"/>
      <c r="HT15" s="403"/>
      <c r="HU15" s="403"/>
      <c r="HV15" s="403"/>
      <c r="HW15" s="403"/>
      <c r="HX15" s="403"/>
      <c r="HY15" s="403"/>
      <c r="HZ15" s="403"/>
      <c r="IA15" s="403"/>
      <c r="IB15" s="403"/>
      <c r="IC15" s="403"/>
      <c r="ID15" s="403"/>
      <c r="IE15" s="403"/>
      <c r="IF15" s="403"/>
      <c r="IG15" s="403"/>
      <c r="IH15" s="403"/>
      <c r="II15" s="403"/>
      <c r="IJ15" s="403"/>
      <c r="IK15" s="403"/>
      <c r="IL15" s="403"/>
      <c r="IM15" s="403"/>
      <c r="IN15" s="403"/>
      <c r="IO15" s="403"/>
      <c r="IP15" s="403"/>
      <c r="IQ15" s="403"/>
      <c r="IR15" s="403"/>
      <c r="IS15" s="403"/>
      <c r="IT15" s="403"/>
      <c r="IU15" s="403"/>
      <c r="IV15" s="403"/>
      <c r="IW15" s="403"/>
    </row>
    <row r="16" customFormat="false" ht="12.75" hidden="false" customHeight="false" outlineLevel="0" collapsed="false">
      <c r="A16" s="414" t="n">
        <f aca="false">+A15+1</f>
        <v>2006</v>
      </c>
      <c r="B16" s="412" t="n">
        <v>1.85</v>
      </c>
      <c r="C16" s="413" t="n">
        <v>121.745480857448</v>
      </c>
      <c r="D16" s="402"/>
      <c r="E16" s="414" t="n">
        <f aca="false">+E15+1</f>
        <v>2006</v>
      </c>
      <c r="F16" s="412" t="n">
        <v>1.7</v>
      </c>
      <c r="G16" s="413" t="n">
        <v>119.511720777018</v>
      </c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3"/>
      <c r="AC16" s="403"/>
      <c r="AD16" s="403"/>
      <c r="AE16" s="403"/>
      <c r="AF16" s="403"/>
      <c r="AG16" s="403"/>
      <c r="AH16" s="403"/>
      <c r="AI16" s="403"/>
      <c r="AJ16" s="403"/>
      <c r="AK16" s="403"/>
      <c r="AL16" s="403"/>
      <c r="AM16" s="403"/>
      <c r="AN16" s="403"/>
      <c r="AO16" s="403"/>
      <c r="AP16" s="403"/>
      <c r="AQ16" s="403"/>
      <c r="AR16" s="403"/>
      <c r="AS16" s="403"/>
      <c r="AT16" s="403"/>
      <c r="AU16" s="403"/>
      <c r="AV16" s="403"/>
      <c r="AW16" s="403"/>
      <c r="AX16" s="403"/>
      <c r="AY16" s="403"/>
      <c r="AZ16" s="403"/>
      <c r="BA16" s="403"/>
      <c r="BB16" s="403"/>
      <c r="BC16" s="403"/>
      <c r="BD16" s="403"/>
      <c r="BE16" s="403"/>
      <c r="BF16" s="403"/>
      <c r="BG16" s="403"/>
      <c r="BH16" s="403"/>
      <c r="BI16" s="403"/>
      <c r="BJ16" s="403"/>
      <c r="BK16" s="403"/>
      <c r="BL16" s="403"/>
      <c r="BM16" s="403"/>
      <c r="BN16" s="403"/>
      <c r="BO16" s="403"/>
      <c r="BP16" s="403"/>
      <c r="BQ16" s="403"/>
      <c r="BR16" s="403"/>
      <c r="BS16" s="403"/>
      <c r="BT16" s="403"/>
      <c r="BU16" s="403"/>
      <c r="BV16" s="403"/>
      <c r="BW16" s="403"/>
      <c r="BX16" s="403"/>
      <c r="BY16" s="403"/>
      <c r="BZ16" s="403"/>
      <c r="CA16" s="403"/>
      <c r="CB16" s="403"/>
      <c r="CC16" s="403"/>
      <c r="CD16" s="403"/>
      <c r="CE16" s="403"/>
      <c r="CF16" s="403"/>
      <c r="CG16" s="403"/>
      <c r="CH16" s="403"/>
      <c r="CI16" s="403"/>
      <c r="CJ16" s="403"/>
      <c r="CK16" s="403"/>
      <c r="CL16" s="403"/>
      <c r="CM16" s="403"/>
      <c r="CN16" s="403"/>
      <c r="CO16" s="403"/>
      <c r="CP16" s="403"/>
      <c r="CQ16" s="403"/>
      <c r="CR16" s="403"/>
      <c r="CS16" s="403"/>
      <c r="CT16" s="403"/>
      <c r="CU16" s="403"/>
      <c r="CV16" s="403"/>
      <c r="CW16" s="403"/>
      <c r="CX16" s="403"/>
      <c r="CY16" s="403"/>
      <c r="CZ16" s="403"/>
      <c r="DA16" s="403"/>
      <c r="DB16" s="403"/>
      <c r="DC16" s="403"/>
      <c r="DD16" s="403"/>
      <c r="DE16" s="403"/>
      <c r="DF16" s="403"/>
      <c r="DG16" s="403"/>
      <c r="DH16" s="403"/>
      <c r="DI16" s="403"/>
      <c r="DJ16" s="403"/>
      <c r="DK16" s="403"/>
      <c r="DL16" s="403"/>
      <c r="DM16" s="403"/>
      <c r="DN16" s="403"/>
      <c r="DO16" s="403"/>
      <c r="DP16" s="403"/>
      <c r="DQ16" s="403"/>
      <c r="DR16" s="403"/>
      <c r="DS16" s="403"/>
      <c r="DT16" s="403"/>
      <c r="DU16" s="403"/>
      <c r="DV16" s="403"/>
      <c r="DW16" s="403"/>
      <c r="DX16" s="403"/>
      <c r="DY16" s="403"/>
      <c r="DZ16" s="403"/>
      <c r="EA16" s="403"/>
      <c r="EB16" s="403"/>
      <c r="EC16" s="403"/>
      <c r="ED16" s="403"/>
      <c r="EE16" s="403"/>
      <c r="EF16" s="403"/>
      <c r="EG16" s="403"/>
      <c r="EH16" s="403"/>
      <c r="EI16" s="403"/>
      <c r="EJ16" s="403"/>
      <c r="EK16" s="403"/>
      <c r="EL16" s="403"/>
      <c r="EM16" s="403"/>
      <c r="EN16" s="403"/>
      <c r="EO16" s="403"/>
      <c r="EP16" s="403"/>
      <c r="EQ16" s="403"/>
      <c r="ER16" s="403"/>
      <c r="ES16" s="403"/>
      <c r="ET16" s="403"/>
      <c r="EU16" s="403"/>
      <c r="EV16" s="403"/>
      <c r="EW16" s="403"/>
      <c r="EX16" s="403"/>
      <c r="EY16" s="403"/>
      <c r="EZ16" s="403"/>
      <c r="FA16" s="403"/>
      <c r="FB16" s="403"/>
      <c r="FC16" s="403"/>
      <c r="FD16" s="403"/>
      <c r="FE16" s="403"/>
      <c r="FF16" s="403"/>
      <c r="FG16" s="403"/>
      <c r="FH16" s="403"/>
      <c r="FI16" s="403"/>
      <c r="FJ16" s="403"/>
      <c r="FK16" s="403"/>
      <c r="FL16" s="403"/>
      <c r="FM16" s="403"/>
      <c r="FN16" s="403"/>
      <c r="FO16" s="403"/>
      <c r="FP16" s="403"/>
      <c r="FQ16" s="403"/>
      <c r="FR16" s="403"/>
      <c r="FS16" s="403"/>
      <c r="FT16" s="403"/>
      <c r="FU16" s="403"/>
      <c r="FV16" s="403"/>
      <c r="FW16" s="403"/>
      <c r="FX16" s="403"/>
      <c r="FY16" s="403"/>
      <c r="FZ16" s="403"/>
      <c r="GA16" s="403"/>
      <c r="GB16" s="403"/>
      <c r="GC16" s="403"/>
      <c r="GD16" s="403"/>
      <c r="GE16" s="403"/>
      <c r="GF16" s="403"/>
      <c r="GG16" s="403"/>
      <c r="GH16" s="403"/>
      <c r="GI16" s="403"/>
      <c r="GJ16" s="403"/>
      <c r="GK16" s="403"/>
      <c r="GL16" s="403"/>
      <c r="GM16" s="403"/>
      <c r="GN16" s="403"/>
      <c r="GO16" s="403"/>
      <c r="GP16" s="403"/>
      <c r="GQ16" s="403"/>
      <c r="GR16" s="403"/>
      <c r="GS16" s="403"/>
      <c r="GT16" s="403"/>
      <c r="GU16" s="403"/>
      <c r="GV16" s="403"/>
      <c r="GW16" s="403"/>
      <c r="GX16" s="403"/>
      <c r="GY16" s="403"/>
      <c r="GZ16" s="403"/>
      <c r="HA16" s="403"/>
      <c r="HB16" s="403"/>
      <c r="HC16" s="403"/>
      <c r="HD16" s="403"/>
      <c r="HE16" s="403"/>
      <c r="HF16" s="403"/>
      <c r="HG16" s="403"/>
      <c r="HH16" s="403"/>
      <c r="HI16" s="403"/>
      <c r="HJ16" s="403"/>
      <c r="HK16" s="403"/>
      <c r="HL16" s="403"/>
      <c r="HM16" s="403"/>
      <c r="HN16" s="403"/>
      <c r="HO16" s="403"/>
      <c r="HP16" s="403"/>
      <c r="HQ16" s="403"/>
      <c r="HR16" s="403"/>
      <c r="HS16" s="403"/>
      <c r="HT16" s="403"/>
      <c r="HU16" s="403"/>
      <c r="HV16" s="403"/>
      <c r="HW16" s="403"/>
      <c r="HX16" s="403"/>
      <c r="HY16" s="403"/>
      <c r="HZ16" s="403"/>
      <c r="IA16" s="403"/>
      <c r="IB16" s="403"/>
      <c r="IC16" s="403"/>
      <c r="ID16" s="403"/>
      <c r="IE16" s="403"/>
      <c r="IF16" s="403"/>
      <c r="IG16" s="403"/>
      <c r="IH16" s="403"/>
      <c r="II16" s="403"/>
      <c r="IJ16" s="403"/>
      <c r="IK16" s="403"/>
      <c r="IL16" s="403"/>
      <c r="IM16" s="403"/>
      <c r="IN16" s="403"/>
      <c r="IO16" s="403"/>
      <c r="IP16" s="403"/>
      <c r="IQ16" s="403"/>
      <c r="IR16" s="403"/>
      <c r="IS16" s="403"/>
      <c r="IT16" s="403"/>
      <c r="IU16" s="403"/>
      <c r="IV16" s="403"/>
      <c r="IW16" s="403"/>
    </row>
    <row r="17" customFormat="false" ht="12.75" hidden="false" customHeight="false" outlineLevel="0" collapsed="false">
      <c r="A17" s="414" t="n">
        <f aca="false">+A16+1</f>
        <v>2007</v>
      </c>
      <c r="B17" s="412" t="n">
        <v>1.85</v>
      </c>
      <c r="C17" s="413" t="n">
        <v>123.997772253311</v>
      </c>
      <c r="D17" s="402"/>
      <c r="E17" s="414" t="n">
        <f aca="false">+E16+1</f>
        <v>2007</v>
      </c>
      <c r="F17" s="412" t="n">
        <v>1.7</v>
      </c>
      <c r="G17" s="413" t="n">
        <v>121.543420030227</v>
      </c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3"/>
      <c r="AC17" s="403"/>
      <c r="AD17" s="403"/>
      <c r="AE17" s="403"/>
      <c r="AF17" s="403"/>
      <c r="AG17" s="403"/>
      <c r="AH17" s="403"/>
      <c r="AI17" s="403"/>
      <c r="AJ17" s="403"/>
      <c r="AK17" s="403"/>
      <c r="AL17" s="403"/>
      <c r="AM17" s="403"/>
      <c r="AN17" s="403"/>
      <c r="AO17" s="403"/>
      <c r="AP17" s="403"/>
      <c r="AQ17" s="403"/>
      <c r="AR17" s="403"/>
      <c r="AS17" s="403"/>
      <c r="AT17" s="403"/>
      <c r="AU17" s="403"/>
      <c r="AV17" s="403"/>
      <c r="AW17" s="403"/>
      <c r="AX17" s="403"/>
      <c r="AY17" s="403"/>
      <c r="AZ17" s="403"/>
      <c r="BA17" s="403"/>
      <c r="BB17" s="403"/>
      <c r="BC17" s="403"/>
      <c r="BD17" s="403"/>
      <c r="BE17" s="403"/>
      <c r="BF17" s="403"/>
      <c r="BG17" s="403"/>
      <c r="BH17" s="403"/>
      <c r="BI17" s="403"/>
      <c r="BJ17" s="403"/>
      <c r="BK17" s="403"/>
      <c r="BL17" s="403"/>
      <c r="BM17" s="403"/>
      <c r="BN17" s="403"/>
      <c r="BO17" s="403"/>
      <c r="BP17" s="403"/>
      <c r="BQ17" s="403"/>
      <c r="BR17" s="403"/>
      <c r="BS17" s="403"/>
      <c r="BT17" s="403"/>
      <c r="BU17" s="403"/>
      <c r="BV17" s="403"/>
      <c r="BW17" s="403"/>
      <c r="BX17" s="403"/>
      <c r="BY17" s="403"/>
      <c r="BZ17" s="403"/>
      <c r="CA17" s="403"/>
      <c r="CB17" s="403"/>
      <c r="CC17" s="403"/>
      <c r="CD17" s="403"/>
      <c r="CE17" s="403"/>
      <c r="CF17" s="403"/>
      <c r="CG17" s="403"/>
      <c r="CH17" s="403"/>
      <c r="CI17" s="403"/>
      <c r="CJ17" s="403"/>
      <c r="CK17" s="403"/>
      <c r="CL17" s="403"/>
      <c r="CM17" s="403"/>
      <c r="CN17" s="403"/>
      <c r="CO17" s="403"/>
      <c r="CP17" s="403"/>
      <c r="CQ17" s="403"/>
      <c r="CR17" s="403"/>
      <c r="CS17" s="403"/>
      <c r="CT17" s="403"/>
      <c r="CU17" s="403"/>
      <c r="CV17" s="403"/>
      <c r="CW17" s="403"/>
      <c r="CX17" s="403"/>
      <c r="CY17" s="403"/>
      <c r="CZ17" s="403"/>
      <c r="DA17" s="403"/>
      <c r="DB17" s="403"/>
      <c r="DC17" s="403"/>
      <c r="DD17" s="403"/>
      <c r="DE17" s="403"/>
      <c r="DF17" s="403"/>
      <c r="DG17" s="403"/>
      <c r="DH17" s="403"/>
      <c r="DI17" s="403"/>
      <c r="DJ17" s="403"/>
      <c r="DK17" s="403"/>
      <c r="DL17" s="403"/>
      <c r="DM17" s="403"/>
      <c r="DN17" s="403"/>
      <c r="DO17" s="403"/>
      <c r="DP17" s="403"/>
      <c r="DQ17" s="403"/>
      <c r="DR17" s="403"/>
      <c r="DS17" s="403"/>
      <c r="DT17" s="403"/>
      <c r="DU17" s="403"/>
      <c r="DV17" s="403"/>
      <c r="DW17" s="403"/>
      <c r="DX17" s="403"/>
      <c r="DY17" s="403"/>
      <c r="DZ17" s="403"/>
      <c r="EA17" s="403"/>
      <c r="EB17" s="403"/>
      <c r="EC17" s="403"/>
      <c r="ED17" s="403"/>
      <c r="EE17" s="403"/>
      <c r="EF17" s="403"/>
      <c r="EG17" s="403"/>
      <c r="EH17" s="403"/>
      <c r="EI17" s="403"/>
      <c r="EJ17" s="403"/>
      <c r="EK17" s="403"/>
      <c r="EL17" s="403"/>
      <c r="EM17" s="403"/>
      <c r="EN17" s="403"/>
      <c r="EO17" s="403"/>
      <c r="EP17" s="403"/>
      <c r="EQ17" s="403"/>
      <c r="ER17" s="403"/>
      <c r="ES17" s="403"/>
      <c r="ET17" s="403"/>
      <c r="EU17" s="403"/>
      <c r="EV17" s="403"/>
      <c r="EW17" s="403"/>
      <c r="EX17" s="403"/>
      <c r="EY17" s="403"/>
      <c r="EZ17" s="403"/>
      <c r="FA17" s="403"/>
      <c r="FB17" s="403"/>
      <c r="FC17" s="403"/>
      <c r="FD17" s="403"/>
      <c r="FE17" s="403"/>
      <c r="FF17" s="403"/>
      <c r="FG17" s="403"/>
      <c r="FH17" s="403"/>
      <c r="FI17" s="403"/>
      <c r="FJ17" s="403"/>
      <c r="FK17" s="403"/>
      <c r="FL17" s="403"/>
      <c r="FM17" s="403"/>
      <c r="FN17" s="403"/>
      <c r="FO17" s="403"/>
      <c r="FP17" s="403"/>
      <c r="FQ17" s="403"/>
      <c r="FR17" s="403"/>
      <c r="FS17" s="403"/>
      <c r="FT17" s="403"/>
      <c r="FU17" s="403"/>
      <c r="FV17" s="403"/>
      <c r="FW17" s="403"/>
      <c r="FX17" s="403"/>
      <c r="FY17" s="403"/>
      <c r="FZ17" s="403"/>
      <c r="GA17" s="403"/>
      <c r="GB17" s="403"/>
      <c r="GC17" s="403"/>
      <c r="GD17" s="403"/>
      <c r="GE17" s="403"/>
      <c r="GF17" s="403"/>
      <c r="GG17" s="403"/>
      <c r="GH17" s="403"/>
      <c r="GI17" s="403"/>
      <c r="GJ17" s="403"/>
      <c r="GK17" s="403"/>
      <c r="GL17" s="403"/>
      <c r="GM17" s="403"/>
      <c r="GN17" s="403"/>
      <c r="GO17" s="403"/>
      <c r="GP17" s="403"/>
      <c r="GQ17" s="403"/>
      <c r="GR17" s="403"/>
      <c r="GS17" s="403"/>
      <c r="GT17" s="403"/>
      <c r="GU17" s="403"/>
      <c r="GV17" s="403"/>
      <c r="GW17" s="403"/>
      <c r="GX17" s="403"/>
      <c r="GY17" s="403"/>
      <c r="GZ17" s="403"/>
      <c r="HA17" s="403"/>
      <c r="HB17" s="403"/>
      <c r="HC17" s="403"/>
      <c r="HD17" s="403"/>
      <c r="HE17" s="403"/>
      <c r="HF17" s="403"/>
      <c r="HG17" s="403"/>
      <c r="HH17" s="403"/>
      <c r="HI17" s="403"/>
      <c r="HJ17" s="403"/>
      <c r="HK17" s="403"/>
      <c r="HL17" s="403"/>
      <c r="HM17" s="403"/>
      <c r="HN17" s="403"/>
      <c r="HO17" s="403"/>
      <c r="HP17" s="403"/>
      <c r="HQ17" s="403"/>
      <c r="HR17" s="403"/>
      <c r="HS17" s="403"/>
      <c r="HT17" s="403"/>
      <c r="HU17" s="403"/>
      <c r="HV17" s="403"/>
      <c r="HW17" s="403"/>
      <c r="HX17" s="403"/>
      <c r="HY17" s="403"/>
      <c r="HZ17" s="403"/>
      <c r="IA17" s="403"/>
      <c r="IB17" s="403"/>
      <c r="IC17" s="403"/>
      <c r="ID17" s="403"/>
      <c r="IE17" s="403"/>
      <c r="IF17" s="403"/>
      <c r="IG17" s="403"/>
      <c r="IH17" s="403"/>
      <c r="II17" s="403"/>
      <c r="IJ17" s="403"/>
      <c r="IK17" s="403"/>
      <c r="IL17" s="403"/>
      <c r="IM17" s="403"/>
      <c r="IN17" s="403"/>
      <c r="IO17" s="403"/>
      <c r="IP17" s="403"/>
      <c r="IQ17" s="403"/>
      <c r="IR17" s="403"/>
      <c r="IS17" s="403"/>
      <c r="IT17" s="403"/>
      <c r="IU17" s="403"/>
      <c r="IV17" s="403"/>
      <c r="IW17" s="403"/>
    </row>
    <row r="18" customFormat="false" ht="12.75" hidden="false" customHeight="false" outlineLevel="0" collapsed="false">
      <c r="A18" s="414" t="n">
        <f aca="false">+A17+1</f>
        <v>2008</v>
      </c>
      <c r="B18" s="412" t="n">
        <v>2.15</v>
      </c>
      <c r="C18" s="413" t="n">
        <v>126.663724356757</v>
      </c>
      <c r="D18" s="402"/>
      <c r="E18" s="414" t="n">
        <f aca="false">+E17+1</f>
        <v>2008</v>
      </c>
      <c r="F18" s="412" t="n">
        <v>1.7</v>
      </c>
      <c r="G18" s="413" t="n">
        <v>123.609658170741</v>
      </c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403"/>
      <c r="Z18" s="403"/>
      <c r="AA18" s="403"/>
      <c r="AB18" s="403"/>
      <c r="AC18" s="403"/>
      <c r="AD18" s="403"/>
      <c r="AE18" s="403"/>
      <c r="AF18" s="403"/>
      <c r="AG18" s="403"/>
      <c r="AH18" s="403"/>
      <c r="AI18" s="403"/>
      <c r="AJ18" s="403"/>
      <c r="AK18" s="403"/>
      <c r="AL18" s="403"/>
      <c r="AM18" s="403"/>
      <c r="AN18" s="403"/>
      <c r="AO18" s="403"/>
      <c r="AP18" s="403"/>
      <c r="AQ18" s="403"/>
      <c r="AR18" s="403"/>
      <c r="AS18" s="403"/>
      <c r="AT18" s="403"/>
      <c r="AU18" s="403"/>
      <c r="AV18" s="403"/>
      <c r="AW18" s="403"/>
      <c r="AX18" s="403"/>
      <c r="AY18" s="403"/>
      <c r="AZ18" s="403"/>
      <c r="BA18" s="403"/>
      <c r="BB18" s="403"/>
      <c r="BC18" s="403"/>
      <c r="BD18" s="403"/>
      <c r="BE18" s="403"/>
      <c r="BF18" s="403"/>
      <c r="BG18" s="403"/>
      <c r="BH18" s="403"/>
      <c r="BI18" s="403"/>
      <c r="BJ18" s="403"/>
      <c r="BK18" s="403"/>
      <c r="BL18" s="403"/>
      <c r="BM18" s="403"/>
      <c r="BN18" s="403"/>
      <c r="BO18" s="403"/>
      <c r="BP18" s="403"/>
      <c r="BQ18" s="403"/>
      <c r="BR18" s="403"/>
      <c r="BS18" s="403"/>
      <c r="BT18" s="403"/>
      <c r="BU18" s="403"/>
      <c r="BV18" s="403"/>
      <c r="BW18" s="403"/>
      <c r="BX18" s="403"/>
      <c r="BY18" s="403"/>
      <c r="BZ18" s="403"/>
      <c r="CA18" s="403"/>
      <c r="CB18" s="403"/>
      <c r="CC18" s="403"/>
      <c r="CD18" s="403"/>
      <c r="CE18" s="403"/>
      <c r="CF18" s="403"/>
      <c r="CG18" s="403"/>
      <c r="CH18" s="403"/>
      <c r="CI18" s="403"/>
      <c r="CJ18" s="403"/>
      <c r="CK18" s="403"/>
      <c r="CL18" s="403"/>
      <c r="CM18" s="403"/>
      <c r="CN18" s="403"/>
      <c r="CO18" s="403"/>
      <c r="CP18" s="403"/>
      <c r="CQ18" s="403"/>
      <c r="CR18" s="403"/>
      <c r="CS18" s="403"/>
      <c r="CT18" s="403"/>
      <c r="CU18" s="403"/>
      <c r="CV18" s="403"/>
      <c r="CW18" s="403"/>
      <c r="CX18" s="403"/>
      <c r="CY18" s="403"/>
      <c r="CZ18" s="403"/>
      <c r="DA18" s="403"/>
      <c r="DB18" s="403"/>
      <c r="DC18" s="403"/>
      <c r="DD18" s="403"/>
      <c r="DE18" s="403"/>
      <c r="DF18" s="403"/>
      <c r="DG18" s="403"/>
      <c r="DH18" s="403"/>
      <c r="DI18" s="403"/>
      <c r="DJ18" s="403"/>
      <c r="DK18" s="403"/>
      <c r="DL18" s="403"/>
      <c r="DM18" s="403"/>
      <c r="DN18" s="403"/>
      <c r="DO18" s="403"/>
      <c r="DP18" s="403"/>
      <c r="DQ18" s="403"/>
      <c r="DR18" s="403"/>
      <c r="DS18" s="403"/>
      <c r="DT18" s="403"/>
      <c r="DU18" s="403"/>
      <c r="DV18" s="403"/>
      <c r="DW18" s="403"/>
      <c r="DX18" s="403"/>
      <c r="DY18" s="403"/>
      <c r="DZ18" s="403"/>
      <c r="EA18" s="403"/>
      <c r="EB18" s="403"/>
      <c r="EC18" s="403"/>
      <c r="ED18" s="403"/>
      <c r="EE18" s="403"/>
      <c r="EF18" s="403"/>
      <c r="EG18" s="403"/>
      <c r="EH18" s="403"/>
      <c r="EI18" s="403"/>
      <c r="EJ18" s="403"/>
      <c r="EK18" s="403"/>
      <c r="EL18" s="403"/>
      <c r="EM18" s="403"/>
      <c r="EN18" s="403"/>
      <c r="EO18" s="403"/>
      <c r="EP18" s="403"/>
      <c r="EQ18" s="403"/>
      <c r="ER18" s="403"/>
      <c r="ES18" s="403"/>
      <c r="ET18" s="403"/>
      <c r="EU18" s="403"/>
      <c r="EV18" s="403"/>
      <c r="EW18" s="403"/>
      <c r="EX18" s="403"/>
      <c r="EY18" s="403"/>
      <c r="EZ18" s="403"/>
      <c r="FA18" s="403"/>
      <c r="FB18" s="403"/>
      <c r="FC18" s="403"/>
      <c r="FD18" s="403"/>
      <c r="FE18" s="403"/>
      <c r="FF18" s="403"/>
      <c r="FG18" s="403"/>
      <c r="FH18" s="403"/>
      <c r="FI18" s="403"/>
      <c r="FJ18" s="403"/>
      <c r="FK18" s="403"/>
      <c r="FL18" s="403"/>
      <c r="FM18" s="403"/>
      <c r="FN18" s="403"/>
      <c r="FO18" s="403"/>
      <c r="FP18" s="403"/>
      <c r="FQ18" s="403"/>
      <c r="FR18" s="403"/>
      <c r="FS18" s="403"/>
      <c r="FT18" s="403"/>
      <c r="FU18" s="403"/>
      <c r="FV18" s="403"/>
      <c r="FW18" s="403"/>
      <c r="FX18" s="403"/>
      <c r="FY18" s="403"/>
      <c r="FZ18" s="403"/>
      <c r="GA18" s="403"/>
      <c r="GB18" s="403"/>
      <c r="GC18" s="403"/>
      <c r="GD18" s="403"/>
      <c r="GE18" s="403"/>
      <c r="GF18" s="403"/>
      <c r="GG18" s="403"/>
      <c r="GH18" s="403"/>
      <c r="GI18" s="403"/>
      <c r="GJ18" s="403"/>
      <c r="GK18" s="403"/>
      <c r="GL18" s="403"/>
      <c r="GM18" s="403"/>
      <c r="GN18" s="403"/>
      <c r="GO18" s="403"/>
      <c r="GP18" s="403"/>
      <c r="GQ18" s="403"/>
      <c r="GR18" s="403"/>
      <c r="GS18" s="403"/>
      <c r="GT18" s="403"/>
      <c r="GU18" s="403"/>
      <c r="GV18" s="403"/>
      <c r="GW18" s="403"/>
      <c r="GX18" s="403"/>
      <c r="GY18" s="403"/>
      <c r="GZ18" s="403"/>
      <c r="HA18" s="403"/>
      <c r="HB18" s="403"/>
      <c r="HC18" s="403"/>
      <c r="HD18" s="403"/>
      <c r="HE18" s="403"/>
      <c r="HF18" s="403"/>
      <c r="HG18" s="403"/>
      <c r="HH18" s="403"/>
      <c r="HI18" s="403"/>
      <c r="HJ18" s="403"/>
      <c r="HK18" s="403"/>
      <c r="HL18" s="403"/>
      <c r="HM18" s="403"/>
      <c r="HN18" s="403"/>
      <c r="HO18" s="403"/>
      <c r="HP18" s="403"/>
      <c r="HQ18" s="403"/>
      <c r="HR18" s="403"/>
      <c r="HS18" s="403"/>
      <c r="HT18" s="403"/>
      <c r="HU18" s="403"/>
      <c r="HV18" s="403"/>
      <c r="HW18" s="403"/>
      <c r="HX18" s="403"/>
      <c r="HY18" s="403"/>
      <c r="HZ18" s="403"/>
      <c r="IA18" s="403"/>
      <c r="IB18" s="403"/>
      <c r="IC18" s="403"/>
      <c r="ID18" s="403"/>
      <c r="IE18" s="403"/>
      <c r="IF18" s="403"/>
      <c r="IG18" s="403"/>
      <c r="IH18" s="403"/>
      <c r="II18" s="403"/>
      <c r="IJ18" s="403"/>
      <c r="IK18" s="403"/>
      <c r="IL18" s="403"/>
      <c r="IM18" s="403"/>
      <c r="IN18" s="403"/>
      <c r="IO18" s="403"/>
      <c r="IP18" s="403"/>
      <c r="IQ18" s="403"/>
      <c r="IR18" s="403"/>
      <c r="IS18" s="403"/>
      <c r="IT18" s="403"/>
      <c r="IU18" s="403"/>
      <c r="IV18" s="403"/>
      <c r="IW18" s="403"/>
    </row>
    <row r="19" customFormat="false" ht="12.75" hidden="false" customHeight="false" outlineLevel="0" collapsed="false">
      <c r="A19" s="414" t="n">
        <f aca="false">+A18+1</f>
        <v>2009</v>
      </c>
      <c r="B19" s="412" t="n">
        <v>2.15</v>
      </c>
      <c r="C19" s="413" t="n">
        <v>129.386994430427</v>
      </c>
      <c r="D19" s="402"/>
      <c r="E19" s="414" t="n">
        <f aca="false">+E18+1</f>
        <v>2009</v>
      </c>
      <c r="F19" s="412" t="n">
        <v>1.7</v>
      </c>
      <c r="G19" s="413" t="n">
        <v>125.711022359644</v>
      </c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3"/>
      <c r="S19" s="403"/>
      <c r="T19" s="403"/>
      <c r="U19" s="403"/>
      <c r="V19" s="403"/>
      <c r="W19" s="403"/>
      <c r="X19" s="403"/>
      <c r="Y19" s="403"/>
      <c r="Z19" s="403"/>
      <c r="AA19" s="403"/>
      <c r="AB19" s="403"/>
      <c r="AC19" s="403"/>
      <c r="AD19" s="403"/>
      <c r="AE19" s="403"/>
      <c r="AF19" s="403"/>
      <c r="AG19" s="403"/>
      <c r="AH19" s="403"/>
      <c r="AI19" s="403"/>
      <c r="AJ19" s="403"/>
      <c r="AK19" s="403"/>
      <c r="AL19" s="403"/>
      <c r="AM19" s="403"/>
      <c r="AN19" s="403"/>
      <c r="AO19" s="403"/>
      <c r="AP19" s="403"/>
      <c r="AQ19" s="403"/>
      <c r="AR19" s="403"/>
      <c r="AS19" s="403"/>
      <c r="AT19" s="403"/>
      <c r="AU19" s="403"/>
      <c r="AV19" s="403"/>
      <c r="AW19" s="403"/>
      <c r="AX19" s="403"/>
      <c r="AY19" s="403"/>
      <c r="AZ19" s="403"/>
      <c r="BA19" s="403"/>
      <c r="BB19" s="403"/>
      <c r="BC19" s="403"/>
      <c r="BD19" s="403"/>
      <c r="BE19" s="403"/>
      <c r="BF19" s="403"/>
      <c r="BG19" s="403"/>
      <c r="BH19" s="403"/>
      <c r="BI19" s="403"/>
      <c r="BJ19" s="403"/>
      <c r="BK19" s="403"/>
      <c r="BL19" s="403"/>
      <c r="BM19" s="403"/>
      <c r="BN19" s="403"/>
      <c r="BO19" s="403"/>
      <c r="BP19" s="403"/>
      <c r="BQ19" s="403"/>
      <c r="BR19" s="403"/>
      <c r="BS19" s="403"/>
      <c r="BT19" s="403"/>
      <c r="BU19" s="403"/>
      <c r="BV19" s="403"/>
      <c r="BW19" s="403"/>
      <c r="BX19" s="403"/>
      <c r="BY19" s="403"/>
      <c r="BZ19" s="403"/>
      <c r="CA19" s="403"/>
      <c r="CB19" s="403"/>
      <c r="CC19" s="403"/>
      <c r="CD19" s="403"/>
      <c r="CE19" s="403"/>
      <c r="CF19" s="403"/>
      <c r="CG19" s="403"/>
      <c r="CH19" s="403"/>
      <c r="CI19" s="403"/>
      <c r="CJ19" s="403"/>
      <c r="CK19" s="403"/>
      <c r="CL19" s="403"/>
      <c r="CM19" s="403"/>
      <c r="CN19" s="403"/>
      <c r="CO19" s="403"/>
      <c r="CP19" s="403"/>
      <c r="CQ19" s="403"/>
      <c r="CR19" s="403"/>
      <c r="CS19" s="403"/>
      <c r="CT19" s="403"/>
      <c r="CU19" s="403"/>
      <c r="CV19" s="403"/>
      <c r="CW19" s="403"/>
      <c r="CX19" s="403"/>
      <c r="CY19" s="403"/>
      <c r="CZ19" s="403"/>
      <c r="DA19" s="403"/>
      <c r="DB19" s="403"/>
      <c r="DC19" s="403"/>
      <c r="DD19" s="403"/>
      <c r="DE19" s="403"/>
      <c r="DF19" s="403"/>
      <c r="DG19" s="403"/>
      <c r="DH19" s="403"/>
      <c r="DI19" s="403"/>
      <c r="DJ19" s="403"/>
      <c r="DK19" s="403"/>
      <c r="DL19" s="403"/>
      <c r="DM19" s="403"/>
      <c r="DN19" s="403"/>
      <c r="DO19" s="403"/>
      <c r="DP19" s="403"/>
      <c r="DQ19" s="403"/>
      <c r="DR19" s="403"/>
      <c r="DS19" s="403"/>
      <c r="DT19" s="403"/>
      <c r="DU19" s="403"/>
      <c r="DV19" s="403"/>
      <c r="DW19" s="403"/>
      <c r="DX19" s="403"/>
      <c r="DY19" s="403"/>
      <c r="DZ19" s="403"/>
      <c r="EA19" s="403"/>
      <c r="EB19" s="403"/>
      <c r="EC19" s="403"/>
      <c r="ED19" s="403"/>
      <c r="EE19" s="403"/>
      <c r="EF19" s="403"/>
      <c r="EG19" s="403"/>
      <c r="EH19" s="403"/>
      <c r="EI19" s="403"/>
      <c r="EJ19" s="403"/>
      <c r="EK19" s="403"/>
      <c r="EL19" s="403"/>
      <c r="EM19" s="403"/>
      <c r="EN19" s="403"/>
      <c r="EO19" s="403"/>
      <c r="EP19" s="403"/>
      <c r="EQ19" s="403"/>
      <c r="ER19" s="403"/>
      <c r="ES19" s="403"/>
      <c r="ET19" s="403"/>
      <c r="EU19" s="403"/>
      <c r="EV19" s="403"/>
      <c r="EW19" s="403"/>
      <c r="EX19" s="403"/>
      <c r="EY19" s="403"/>
      <c r="EZ19" s="403"/>
      <c r="FA19" s="403"/>
      <c r="FB19" s="403"/>
      <c r="FC19" s="403"/>
      <c r="FD19" s="403"/>
      <c r="FE19" s="403"/>
      <c r="FF19" s="403"/>
      <c r="FG19" s="403"/>
      <c r="FH19" s="403"/>
      <c r="FI19" s="403"/>
      <c r="FJ19" s="403"/>
      <c r="FK19" s="403"/>
      <c r="FL19" s="403"/>
      <c r="FM19" s="403"/>
      <c r="FN19" s="403"/>
      <c r="FO19" s="403"/>
      <c r="FP19" s="403"/>
      <c r="FQ19" s="403"/>
      <c r="FR19" s="403"/>
      <c r="FS19" s="403"/>
      <c r="FT19" s="403"/>
      <c r="FU19" s="403"/>
      <c r="FV19" s="403"/>
      <c r="FW19" s="403"/>
      <c r="FX19" s="403"/>
      <c r="FY19" s="403"/>
      <c r="FZ19" s="403"/>
      <c r="GA19" s="403"/>
      <c r="GB19" s="403"/>
      <c r="GC19" s="403"/>
      <c r="GD19" s="403"/>
      <c r="GE19" s="403"/>
      <c r="GF19" s="403"/>
      <c r="GG19" s="403"/>
      <c r="GH19" s="403"/>
      <c r="GI19" s="403"/>
      <c r="GJ19" s="403"/>
      <c r="GK19" s="403"/>
      <c r="GL19" s="403"/>
      <c r="GM19" s="403"/>
      <c r="GN19" s="403"/>
      <c r="GO19" s="403"/>
      <c r="GP19" s="403"/>
      <c r="GQ19" s="403"/>
      <c r="GR19" s="403"/>
      <c r="GS19" s="403"/>
      <c r="GT19" s="403"/>
      <c r="GU19" s="403"/>
      <c r="GV19" s="403"/>
      <c r="GW19" s="403"/>
      <c r="GX19" s="403"/>
      <c r="GY19" s="403"/>
      <c r="GZ19" s="403"/>
      <c r="HA19" s="403"/>
      <c r="HB19" s="403"/>
      <c r="HC19" s="403"/>
      <c r="HD19" s="403"/>
      <c r="HE19" s="403"/>
      <c r="HF19" s="403"/>
      <c r="HG19" s="403"/>
      <c r="HH19" s="403"/>
      <c r="HI19" s="403"/>
      <c r="HJ19" s="403"/>
      <c r="HK19" s="403"/>
      <c r="HL19" s="403"/>
      <c r="HM19" s="403"/>
      <c r="HN19" s="403"/>
      <c r="HO19" s="403"/>
      <c r="HP19" s="403"/>
      <c r="HQ19" s="403"/>
      <c r="HR19" s="403"/>
      <c r="HS19" s="403"/>
      <c r="HT19" s="403"/>
      <c r="HU19" s="403"/>
      <c r="HV19" s="403"/>
      <c r="HW19" s="403"/>
      <c r="HX19" s="403"/>
      <c r="HY19" s="403"/>
      <c r="HZ19" s="403"/>
      <c r="IA19" s="403"/>
      <c r="IB19" s="403"/>
      <c r="IC19" s="403"/>
      <c r="ID19" s="403"/>
      <c r="IE19" s="403"/>
      <c r="IF19" s="403"/>
      <c r="IG19" s="403"/>
      <c r="IH19" s="403"/>
      <c r="II19" s="403"/>
      <c r="IJ19" s="403"/>
      <c r="IK19" s="403"/>
      <c r="IL19" s="403"/>
      <c r="IM19" s="403"/>
      <c r="IN19" s="403"/>
      <c r="IO19" s="403"/>
      <c r="IP19" s="403"/>
      <c r="IQ19" s="403"/>
      <c r="IR19" s="403"/>
      <c r="IS19" s="403"/>
      <c r="IT19" s="403"/>
      <c r="IU19" s="403"/>
      <c r="IV19" s="403"/>
      <c r="IW19" s="403"/>
    </row>
    <row r="20" customFormat="false" ht="12.75" hidden="false" customHeight="false" outlineLevel="0" collapsed="false">
      <c r="A20" s="414" t="n">
        <f aca="false">+A19+1</f>
        <v>2010</v>
      </c>
      <c r="B20" s="412" t="n">
        <v>2.15</v>
      </c>
      <c r="C20" s="413" t="n">
        <v>132.168814810682</v>
      </c>
      <c r="D20" s="402"/>
      <c r="E20" s="414" t="n">
        <f aca="false">+E19+1</f>
        <v>2010</v>
      </c>
      <c r="F20" s="412" t="n">
        <v>1.7</v>
      </c>
      <c r="G20" s="413" t="n">
        <v>127.848109739757</v>
      </c>
      <c r="H20" s="403"/>
      <c r="I20" s="403"/>
      <c r="J20" s="403"/>
      <c r="K20" s="403"/>
      <c r="L20" s="403"/>
      <c r="M20" s="403"/>
      <c r="N20" s="403"/>
      <c r="O20" s="403"/>
      <c r="P20" s="403"/>
      <c r="Q20" s="403"/>
      <c r="R20" s="403"/>
      <c r="S20" s="403"/>
      <c r="T20" s="403"/>
      <c r="U20" s="403"/>
      <c r="V20" s="403"/>
      <c r="W20" s="403"/>
      <c r="X20" s="403"/>
      <c r="Y20" s="403"/>
      <c r="Z20" s="403"/>
      <c r="AA20" s="403"/>
      <c r="AB20" s="403"/>
      <c r="AC20" s="403"/>
      <c r="AD20" s="403"/>
      <c r="AE20" s="403"/>
      <c r="AF20" s="403"/>
      <c r="AG20" s="403"/>
      <c r="AH20" s="403"/>
      <c r="AI20" s="403"/>
      <c r="AJ20" s="403"/>
      <c r="AK20" s="403"/>
      <c r="AL20" s="403"/>
      <c r="AM20" s="403"/>
      <c r="AN20" s="403"/>
      <c r="AO20" s="403"/>
      <c r="AP20" s="403"/>
      <c r="AQ20" s="403"/>
      <c r="AR20" s="403"/>
      <c r="AS20" s="403"/>
      <c r="AT20" s="403"/>
      <c r="AU20" s="403"/>
      <c r="AV20" s="403"/>
      <c r="AW20" s="403"/>
      <c r="AX20" s="403"/>
      <c r="AY20" s="403"/>
      <c r="AZ20" s="403"/>
      <c r="BA20" s="403"/>
      <c r="BB20" s="403"/>
      <c r="BC20" s="403"/>
      <c r="BD20" s="403"/>
      <c r="BE20" s="403"/>
      <c r="BF20" s="403"/>
      <c r="BG20" s="403"/>
      <c r="BH20" s="403"/>
      <c r="BI20" s="403"/>
      <c r="BJ20" s="403"/>
      <c r="BK20" s="403"/>
      <c r="BL20" s="403"/>
      <c r="BM20" s="403"/>
      <c r="BN20" s="403"/>
      <c r="BO20" s="403"/>
      <c r="BP20" s="403"/>
      <c r="BQ20" s="403"/>
      <c r="BR20" s="403"/>
      <c r="BS20" s="403"/>
      <c r="BT20" s="403"/>
      <c r="BU20" s="403"/>
      <c r="BV20" s="403"/>
      <c r="BW20" s="403"/>
      <c r="BX20" s="403"/>
      <c r="BY20" s="403"/>
      <c r="BZ20" s="403"/>
      <c r="CA20" s="403"/>
      <c r="CB20" s="403"/>
      <c r="CC20" s="403"/>
      <c r="CD20" s="403"/>
      <c r="CE20" s="403"/>
      <c r="CF20" s="403"/>
      <c r="CG20" s="403"/>
      <c r="CH20" s="403"/>
      <c r="CI20" s="403"/>
      <c r="CJ20" s="403"/>
      <c r="CK20" s="403"/>
      <c r="CL20" s="403"/>
      <c r="CM20" s="403"/>
      <c r="CN20" s="403"/>
      <c r="CO20" s="403"/>
      <c r="CP20" s="403"/>
      <c r="CQ20" s="403"/>
      <c r="CR20" s="403"/>
      <c r="CS20" s="403"/>
      <c r="CT20" s="403"/>
      <c r="CU20" s="403"/>
      <c r="CV20" s="403"/>
      <c r="CW20" s="403"/>
      <c r="CX20" s="403"/>
      <c r="CY20" s="403"/>
      <c r="CZ20" s="403"/>
      <c r="DA20" s="403"/>
      <c r="DB20" s="403"/>
      <c r="DC20" s="403"/>
      <c r="DD20" s="403"/>
      <c r="DE20" s="403"/>
      <c r="DF20" s="403"/>
      <c r="DG20" s="403"/>
      <c r="DH20" s="403"/>
      <c r="DI20" s="403"/>
      <c r="DJ20" s="403"/>
      <c r="DK20" s="403"/>
      <c r="DL20" s="403"/>
      <c r="DM20" s="403"/>
      <c r="DN20" s="403"/>
      <c r="DO20" s="403"/>
      <c r="DP20" s="403"/>
      <c r="DQ20" s="403"/>
      <c r="DR20" s="403"/>
      <c r="DS20" s="403"/>
      <c r="DT20" s="403"/>
      <c r="DU20" s="403"/>
      <c r="DV20" s="403"/>
      <c r="DW20" s="403"/>
      <c r="DX20" s="403"/>
      <c r="DY20" s="403"/>
      <c r="DZ20" s="403"/>
      <c r="EA20" s="403"/>
      <c r="EB20" s="403"/>
      <c r="EC20" s="403"/>
      <c r="ED20" s="403"/>
      <c r="EE20" s="403"/>
      <c r="EF20" s="403"/>
      <c r="EG20" s="403"/>
      <c r="EH20" s="403"/>
      <c r="EI20" s="403"/>
      <c r="EJ20" s="403"/>
      <c r="EK20" s="403"/>
      <c r="EL20" s="403"/>
      <c r="EM20" s="403"/>
      <c r="EN20" s="403"/>
      <c r="EO20" s="403"/>
      <c r="EP20" s="403"/>
      <c r="EQ20" s="403"/>
      <c r="ER20" s="403"/>
      <c r="ES20" s="403"/>
      <c r="ET20" s="403"/>
      <c r="EU20" s="403"/>
      <c r="EV20" s="403"/>
      <c r="EW20" s="403"/>
      <c r="EX20" s="403"/>
      <c r="EY20" s="403"/>
      <c r="EZ20" s="403"/>
      <c r="FA20" s="403"/>
      <c r="FB20" s="403"/>
      <c r="FC20" s="403"/>
      <c r="FD20" s="403"/>
      <c r="FE20" s="403"/>
      <c r="FF20" s="403"/>
      <c r="FG20" s="403"/>
      <c r="FH20" s="403"/>
      <c r="FI20" s="403"/>
      <c r="FJ20" s="403"/>
      <c r="FK20" s="403"/>
      <c r="FL20" s="403"/>
      <c r="FM20" s="403"/>
      <c r="FN20" s="403"/>
      <c r="FO20" s="403"/>
      <c r="FP20" s="403"/>
      <c r="FQ20" s="403"/>
      <c r="FR20" s="403"/>
      <c r="FS20" s="403"/>
      <c r="FT20" s="403"/>
      <c r="FU20" s="403"/>
      <c r="FV20" s="403"/>
      <c r="FW20" s="403"/>
      <c r="FX20" s="403"/>
      <c r="FY20" s="403"/>
      <c r="FZ20" s="403"/>
      <c r="GA20" s="403"/>
      <c r="GB20" s="403"/>
      <c r="GC20" s="403"/>
      <c r="GD20" s="403"/>
      <c r="GE20" s="403"/>
      <c r="GF20" s="403"/>
      <c r="GG20" s="403"/>
      <c r="GH20" s="403"/>
      <c r="GI20" s="403"/>
      <c r="GJ20" s="403"/>
      <c r="GK20" s="403"/>
      <c r="GL20" s="403"/>
      <c r="GM20" s="403"/>
      <c r="GN20" s="403"/>
      <c r="GO20" s="403"/>
      <c r="GP20" s="403"/>
      <c r="GQ20" s="403"/>
      <c r="GR20" s="403"/>
      <c r="GS20" s="403"/>
      <c r="GT20" s="403"/>
      <c r="GU20" s="403"/>
      <c r="GV20" s="403"/>
      <c r="GW20" s="403"/>
      <c r="GX20" s="403"/>
      <c r="GY20" s="403"/>
      <c r="GZ20" s="403"/>
      <c r="HA20" s="403"/>
      <c r="HB20" s="403"/>
      <c r="HC20" s="403"/>
      <c r="HD20" s="403"/>
      <c r="HE20" s="403"/>
      <c r="HF20" s="403"/>
      <c r="HG20" s="403"/>
      <c r="HH20" s="403"/>
      <c r="HI20" s="403"/>
      <c r="HJ20" s="403"/>
      <c r="HK20" s="403"/>
      <c r="HL20" s="403"/>
      <c r="HM20" s="403"/>
      <c r="HN20" s="403"/>
      <c r="HO20" s="403"/>
      <c r="HP20" s="403"/>
      <c r="HQ20" s="403"/>
      <c r="HR20" s="403"/>
      <c r="HS20" s="403"/>
      <c r="HT20" s="403"/>
      <c r="HU20" s="403"/>
      <c r="HV20" s="403"/>
      <c r="HW20" s="403"/>
      <c r="HX20" s="403"/>
      <c r="HY20" s="403"/>
      <c r="HZ20" s="403"/>
      <c r="IA20" s="403"/>
      <c r="IB20" s="403"/>
      <c r="IC20" s="403"/>
      <c r="ID20" s="403"/>
      <c r="IE20" s="403"/>
      <c r="IF20" s="403"/>
      <c r="IG20" s="403"/>
      <c r="IH20" s="403"/>
      <c r="II20" s="403"/>
      <c r="IJ20" s="403"/>
      <c r="IK20" s="403"/>
      <c r="IL20" s="403"/>
      <c r="IM20" s="403"/>
      <c r="IN20" s="403"/>
      <c r="IO20" s="403"/>
      <c r="IP20" s="403"/>
      <c r="IQ20" s="403"/>
      <c r="IR20" s="403"/>
      <c r="IS20" s="403"/>
      <c r="IT20" s="403"/>
      <c r="IU20" s="403"/>
      <c r="IV20" s="403"/>
      <c r="IW20" s="403"/>
    </row>
    <row r="21" customFormat="false" ht="12.75" hidden="false" customHeight="false" outlineLevel="0" collapsed="false">
      <c r="A21" s="414" t="n">
        <f aca="false">+A20+1</f>
        <v>2011</v>
      </c>
      <c r="B21" s="412" t="n">
        <v>2.65</v>
      </c>
      <c r="C21" s="413" t="n">
        <v>135.671288403165</v>
      </c>
      <c r="D21" s="402"/>
      <c r="E21" s="414" t="n">
        <f aca="false">+E20+1</f>
        <v>2011</v>
      </c>
      <c r="F21" s="412" t="n">
        <v>2.15</v>
      </c>
      <c r="G21" s="413" t="n">
        <v>130.596844099162</v>
      </c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3"/>
      <c r="X21" s="403"/>
      <c r="Y21" s="403"/>
      <c r="Z21" s="403"/>
      <c r="AA21" s="403"/>
      <c r="AB21" s="403"/>
      <c r="AC21" s="403"/>
      <c r="AD21" s="403"/>
      <c r="AE21" s="403"/>
      <c r="AF21" s="403"/>
      <c r="AG21" s="403"/>
      <c r="AH21" s="403"/>
      <c r="AI21" s="403"/>
      <c r="AJ21" s="403"/>
      <c r="AK21" s="403"/>
      <c r="AL21" s="403"/>
      <c r="AM21" s="403"/>
      <c r="AN21" s="403"/>
      <c r="AO21" s="403"/>
      <c r="AP21" s="403"/>
      <c r="AQ21" s="403"/>
      <c r="AR21" s="403"/>
      <c r="AS21" s="403"/>
      <c r="AT21" s="403"/>
      <c r="AU21" s="403"/>
      <c r="AV21" s="403"/>
      <c r="AW21" s="403"/>
      <c r="AX21" s="403"/>
      <c r="AY21" s="403"/>
      <c r="AZ21" s="403"/>
      <c r="BA21" s="403"/>
      <c r="BB21" s="403"/>
      <c r="BC21" s="403"/>
      <c r="BD21" s="403"/>
      <c r="BE21" s="403"/>
      <c r="BF21" s="403"/>
      <c r="BG21" s="403"/>
      <c r="BH21" s="403"/>
      <c r="BI21" s="403"/>
      <c r="BJ21" s="403"/>
      <c r="BK21" s="403"/>
      <c r="BL21" s="403"/>
      <c r="BM21" s="403"/>
      <c r="BN21" s="403"/>
      <c r="BO21" s="403"/>
      <c r="BP21" s="403"/>
      <c r="BQ21" s="403"/>
      <c r="BR21" s="403"/>
      <c r="BS21" s="403"/>
      <c r="BT21" s="403"/>
      <c r="BU21" s="403"/>
      <c r="BV21" s="403"/>
      <c r="BW21" s="403"/>
      <c r="BX21" s="403"/>
      <c r="BY21" s="403"/>
      <c r="BZ21" s="403"/>
      <c r="CA21" s="403"/>
      <c r="CB21" s="403"/>
      <c r="CC21" s="403"/>
      <c r="CD21" s="403"/>
      <c r="CE21" s="403"/>
      <c r="CF21" s="403"/>
      <c r="CG21" s="403"/>
      <c r="CH21" s="403"/>
      <c r="CI21" s="403"/>
      <c r="CJ21" s="403"/>
      <c r="CK21" s="403"/>
      <c r="CL21" s="403"/>
      <c r="CM21" s="403"/>
      <c r="CN21" s="403"/>
      <c r="CO21" s="403"/>
      <c r="CP21" s="403"/>
      <c r="CQ21" s="403"/>
      <c r="CR21" s="403"/>
      <c r="CS21" s="403"/>
      <c r="CT21" s="403"/>
      <c r="CU21" s="403"/>
      <c r="CV21" s="403"/>
      <c r="CW21" s="403"/>
      <c r="CX21" s="403"/>
      <c r="CY21" s="403"/>
      <c r="CZ21" s="403"/>
      <c r="DA21" s="403"/>
      <c r="DB21" s="403"/>
      <c r="DC21" s="403"/>
      <c r="DD21" s="403"/>
      <c r="DE21" s="403"/>
      <c r="DF21" s="403"/>
      <c r="DG21" s="403"/>
      <c r="DH21" s="403"/>
      <c r="DI21" s="403"/>
      <c r="DJ21" s="403"/>
      <c r="DK21" s="403"/>
      <c r="DL21" s="403"/>
      <c r="DM21" s="403"/>
      <c r="DN21" s="403"/>
      <c r="DO21" s="403"/>
      <c r="DP21" s="403"/>
      <c r="DQ21" s="403"/>
      <c r="DR21" s="403"/>
      <c r="DS21" s="403"/>
      <c r="DT21" s="403"/>
      <c r="DU21" s="403"/>
      <c r="DV21" s="403"/>
      <c r="DW21" s="403"/>
      <c r="DX21" s="403"/>
      <c r="DY21" s="403"/>
      <c r="DZ21" s="403"/>
      <c r="EA21" s="403"/>
      <c r="EB21" s="403"/>
      <c r="EC21" s="403"/>
      <c r="ED21" s="403"/>
      <c r="EE21" s="403"/>
      <c r="EF21" s="403"/>
      <c r="EG21" s="403"/>
      <c r="EH21" s="403"/>
      <c r="EI21" s="403"/>
      <c r="EJ21" s="403"/>
      <c r="EK21" s="403"/>
      <c r="EL21" s="403"/>
      <c r="EM21" s="403"/>
      <c r="EN21" s="403"/>
      <c r="EO21" s="403"/>
      <c r="EP21" s="403"/>
      <c r="EQ21" s="403"/>
      <c r="ER21" s="403"/>
      <c r="ES21" s="403"/>
      <c r="ET21" s="403"/>
      <c r="EU21" s="403"/>
      <c r="EV21" s="403"/>
      <c r="EW21" s="403"/>
      <c r="EX21" s="403"/>
      <c r="EY21" s="403"/>
      <c r="EZ21" s="403"/>
      <c r="FA21" s="403"/>
      <c r="FB21" s="403"/>
      <c r="FC21" s="403"/>
      <c r="FD21" s="403"/>
      <c r="FE21" s="403"/>
      <c r="FF21" s="403"/>
      <c r="FG21" s="403"/>
      <c r="FH21" s="403"/>
      <c r="FI21" s="403"/>
      <c r="FJ21" s="403"/>
      <c r="FK21" s="403"/>
      <c r="FL21" s="403"/>
      <c r="FM21" s="403"/>
      <c r="FN21" s="403"/>
      <c r="FO21" s="403"/>
      <c r="FP21" s="403"/>
      <c r="FQ21" s="403"/>
      <c r="FR21" s="403"/>
      <c r="FS21" s="403"/>
      <c r="FT21" s="403"/>
      <c r="FU21" s="403"/>
      <c r="FV21" s="403"/>
      <c r="FW21" s="403"/>
      <c r="FX21" s="403"/>
      <c r="FY21" s="403"/>
      <c r="FZ21" s="403"/>
      <c r="GA21" s="403"/>
      <c r="GB21" s="403"/>
      <c r="GC21" s="403"/>
      <c r="GD21" s="403"/>
      <c r="GE21" s="403"/>
      <c r="GF21" s="403"/>
      <c r="GG21" s="403"/>
      <c r="GH21" s="403"/>
      <c r="GI21" s="403"/>
      <c r="GJ21" s="403"/>
      <c r="GK21" s="403"/>
      <c r="GL21" s="403"/>
      <c r="GM21" s="403"/>
      <c r="GN21" s="403"/>
      <c r="GO21" s="403"/>
      <c r="GP21" s="403"/>
      <c r="GQ21" s="403"/>
      <c r="GR21" s="403"/>
      <c r="GS21" s="403"/>
      <c r="GT21" s="403"/>
      <c r="GU21" s="403"/>
      <c r="GV21" s="403"/>
      <c r="GW21" s="403"/>
      <c r="GX21" s="403"/>
      <c r="GY21" s="403"/>
      <c r="GZ21" s="403"/>
      <c r="HA21" s="403"/>
      <c r="HB21" s="403"/>
      <c r="HC21" s="403"/>
      <c r="HD21" s="403"/>
      <c r="HE21" s="403"/>
      <c r="HF21" s="403"/>
      <c r="HG21" s="403"/>
      <c r="HH21" s="403"/>
      <c r="HI21" s="403"/>
      <c r="HJ21" s="403"/>
      <c r="HK21" s="403"/>
      <c r="HL21" s="403"/>
      <c r="HM21" s="403"/>
      <c r="HN21" s="403"/>
      <c r="HO21" s="403"/>
      <c r="HP21" s="403"/>
      <c r="HQ21" s="403"/>
      <c r="HR21" s="403"/>
      <c r="HS21" s="403"/>
      <c r="HT21" s="403"/>
      <c r="HU21" s="403"/>
      <c r="HV21" s="403"/>
      <c r="HW21" s="403"/>
      <c r="HX21" s="403"/>
      <c r="HY21" s="403"/>
      <c r="HZ21" s="403"/>
      <c r="IA21" s="403"/>
      <c r="IB21" s="403"/>
      <c r="IC21" s="403"/>
      <c r="ID21" s="403"/>
      <c r="IE21" s="403"/>
      <c r="IF21" s="403"/>
      <c r="IG21" s="403"/>
      <c r="IH21" s="403"/>
      <c r="II21" s="403"/>
      <c r="IJ21" s="403"/>
      <c r="IK21" s="403"/>
      <c r="IL21" s="403"/>
      <c r="IM21" s="403"/>
      <c r="IN21" s="403"/>
      <c r="IO21" s="403"/>
      <c r="IP21" s="403"/>
      <c r="IQ21" s="403"/>
      <c r="IR21" s="403"/>
      <c r="IS21" s="403"/>
      <c r="IT21" s="403"/>
      <c r="IU21" s="403"/>
      <c r="IV21" s="403"/>
      <c r="IW21" s="403"/>
    </row>
    <row r="22" customFormat="false" ht="12.75" hidden="false" customHeight="false" outlineLevel="0" collapsed="false">
      <c r="A22" s="414" t="n">
        <f aca="false">+A21+1</f>
        <v>2012</v>
      </c>
      <c r="B22" s="412" t="n">
        <v>2.65</v>
      </c>
      <c r="C22" s="413" t="n">
        <v>139.266577545849</v>
      </c>
      <c r="D22" s="402"/>
      <c r="E22" s="414" t="n">
        <f aca="false">+E21+1</f>
        <v>2012</v>
      </c>
      <c r="F22" s="412" t="n">
        <v>2.15</v>
      </c>
      <c r="G22" s="413" t="n">
        <v>133.404676247294</v>
      </c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3"/>
      <c r="X22" s="403"/>
      <c r="Y22" s="403"/>
      <c r="Z22" s="403"/>
      <c r="AA22" s="403"/>
      <c r="AB22" s="403"/>
      <c r="AC22" s="403"/>
      <c r="AD22" s="403"/>
      <c r="AE22" s="403"/>
      <c r="AF22" s="403"/>
      <c r="AG22" s="403"/>
      <c r="AH22" s="403"/>
      <c r="AI22" s="403"/>
      <c r="AJ22" s="403"/>
      <c r="AK22" s="403"/>
      <c r="AL22" s="403"/>
      <c r="AM22" s="403"/>
      <c r="AN22" s="403"/>
      <c r="AO22" s="403"/>
      <c r="AP22" s="403"/>
      <c r="AQ22" s="403"/>
      <c r="AR22" s="403"/>
      <c r="AS22" s="403"/>
      <c r="AT22" s="403"/>
      <c r="AU22" s="403"/>
      <c r="AV22" s="403"/>
      <c r="AW22" s="403"/>
      <c r="AX22" s="403"/>
      <c r="AY22" s="403"/>
      <c r="AZ22" s="403"/>
      <c r="BA22" s="403"/>
      <c r="BB22" s="403"/>
      <c r="BC22" s="403"/>
      <c r="BD22" s="403"/>
      <c r="BE22" s="403"/>
      <c r="BF22" s="403"/>
      <c r="BG22" s="403"/>
      <c r="BH22" s="403"/>
      <c r="BI22" s="403"/>
      <c r="BJ22" s="403"/>
      <c r="BK22" s="403"/>
      <c r="BL22" s="403"/>
      <c r="BM22" s="403"/>
      <c r="BN22" s="403"/>
      <c r="BO22" s="403"/>
      <c r="BP22" s="403"/>
      <c r="BQ22" s="403"/>
      <c r="BR22" s="403"/>
      <c r="BS22" s="403"/>
      <c r="BT22" s="403"/>
      <c r="BU22" s="403"/>
      <c r="BV22" s="403"/>
      <c r="BW22" s="403"/>
      <c r="BX22" s="403"/>
      <c r="BY22" s="403"/>
      <c r="BZ22" s="403"/>
      <c r="CA22" s="403"/>
      <c r="CB22" s="403"/>
      <c r="CC22" s="403"/>
      <c r="CD22" s="403"/>
      <c r="CE22" s="403"/>
      <c r="CF22" s="403"/>
      <c r="CG22" s="403"/>
      <c r="CH22" s="403"/>
      <c r="CI22" s="403"/>
      <c r="CJ22" s="403"/>
      <c r="CK22" s="403"/>
      <c r="CL22" s="403"/>
      <c r="CM22" s="403"/>
      <c r="CN22" s="403"/>
      <c r="CO22" s="403"/>
      <c r="CP22" s="403"/>
      <c r="CQ22" s="403"/>
      <c r="CR22" s="403"/>
      <c r="CS22" s="403"/>
      <c r="CT22" s="403"/>
      <c r="CU22" s="403"/>
      <c r="CV22" s="403"/>
      <c r="CW22" s="403"/>
      <c r="CX22" s="403"/>
      <c r="CY22" s="403"/>
      <c r="CZ22" s="403"/>
      <c r="DA22" s="403"/>
      <c r="DB22" s="403"/>
      <c r="DC22" s="403"/>
      <c r="DD22" s="403"/>
      <c r="DE22" s="403"/>
      <c r="DF22" s="403"/>
      <c r="DG22" s="403"/>
      <c r="DH22" s="403"/>
      <c r="DI22" s="403"/>
      <c r="DJ22" s="403"/>
      <c r="DK22" s="403"/>
      <c r="DL22" s="403"/>
      <c r="DM22" s="403"/>
      <c r="DN22" s="403"/>
      <c r="DO22" s="403"/>
      <c r="DP22" s="403"/>
      <c r="DQ22" s="403"/>
      <c r="DR22" s="403"/>
      <c r="DS22" s="403"/>
      <c r="DT22" s="403"/>
      <c r="DU22" s="403"/>
      <c r="DV22" s="403"/>
      <c r="DW22" s="403"/>
      <c r="DX22" s="403"/>
      <c r="DY22" s="403"/>
      <c r="DZ22" s="403"/>
      <c r="EA22" s="403"/>
      <c r="EB22" s="403"/>
      <c r="EC22" s="403"/>
      <c r="ED22" s="403"/>
      <c r="EE22" s="403"/>
      <c r="EF22" s="403"/>
      <c r="EG22" s="403"/>
      <c r="EH22" s="403"/>
      <c r="EI22" s="403"/>
      <c r="EJ22" s="403"/>
      <c r="EK22" s="403"/>
      <c r="EL22" s="403"/>
      <c r="EM22" s="403"/>
      <c r="EN22" s="403"/>
      <c r="EO22" s="403"/>
      <c r="EP22" s="403"/>
      <c r="EQ22" s="403"/>
      <c r="ER22" s="403"/>
      <c r="ES22" s="403"/>
      <c r="ET22" s="403"/>
      <c r="EU22" s="403"/>
      <c r="EV22" s="403"/>
      <c r="EW22" s="403"/>
      <c r="EX22" s="403"/>
      <c r="EY22" s="403"/>
      <c r="EZ22" s="403"/>
      <c r="FA22" s="403"/>
      <c r="FB22" s="403"/>
      <c r="FC22" s="403"/>
      <c r="FD22" s="403"/>
      <c r="FE22" s="403"/>
      <c r="FF22" s="403"/>
      <c r="FG22" s="403"/>
      <c r="FH22" s="403"/>
      <c r="FI22" s="403"/>
      <c r="FJ22" s="403"/>
      <c r="FK22" s="403"/>
      <c r="FL22" s="403"/>
      <c r="FM22" s="403"/>
      <c r="FN22" s="403"/>
      <c r="FO22" s="403"/>
      <c r="FP22" s="403"/>
      <c r="FQ22" s="403"/>
      <c r="FR22" s="403"/>
      <c r="FS22" s="403"/>
      <c r="FT22" s="403"/>
      <c r="FU22" s="403"/>
      <c r="FV22" s="403"/>
      <c r="FW22" s="403"/>
      <c r="FX22" s="403"/>
      <c r="FY22" s="403"/>
      <c r="FZ22" s="403"/>
      <c r="GA22" s="403"/>
      <c r="GB22" s="403"/>
      <c r="GC22" s="403"/>
      <c r="GD22" s="403"/>
      <c r="GE22" s="403"/>
      <c r="GF22" s="403"/>
      <c r="GG22" s="403"/>
      <c r="GH22" s="403"/>
      <c r="GI22" s="403"/>
      <c r="GJ22" s="403"/>
      <c r="GK22" s="403"/>
      <c r="GL22" s="403"/>
      <c r="GM22" s="403"/>
      <c r="GN22" s="403"/>
      <c r="GO22" s="403"/>
      <c r="GP22" s="403"/>
      <c r="GQ22" s="403"/>
      <c r="GR22" s="403"/>
      <c r="GS22" s="403"/>
      <c r="GT22" s="403"/>
      <c r="GU22" s="403"/>
      <c r="GV22" s="403"/>
      <c r="GW22" s="403"/>
      <c r="GX22" s="403"/>
      <c r="GY22" s="403"/>
      <c r="GZ22" s="403"/>
      <c r="HA22" s="403"/>
      <c r="HB22" s="403"/>
      <c r="HC22" s="403"/>
      <c r="HD22" s="403"/>
      <c r="HE22" s="403"/>
      <c r="HF22" s="403"/>
      <c r="HG22" s="403"/>
      <c r="HH22" s="403"/>
      <c r="HI22" s="403"/>
      <c r="HJ22" s="403"/>
      <c r="HK22" s="403"/>
      <c r="HL22" s="403"/>
      <c r="HM22" s="403"/>
      <c r="HN22" s="403"/>
      <c r="HO22" s="403"/>
      <c r="HP22" s="403"/>
      <c r="HQ22" s="403"/>
      <c r="HR22" s="403"/>
      <c r="HS22" s="403"/>
      <c r="HT22" s="403"/>
      <c r="HU22" s="403"/>
      <c r="HV22" s="403"/>
      <c r="HW22" s="403"/>
      <c r="HX22" s="403"/>
      <c r="HY22" s="403"/>
      <c r="HZ22" s="403"/>
      <c r="IA22" s="403"/>
      <c r="IB22" s="403"/>
      <c r="IC22" s="403"/>
      <c r="ID22" s="403"/>
      <c r="IE22" s="403"/>
      <c r="IF22" s="403"/>
      <c r="IG22" s="403"/>
      <c r="IH22" s="403"/>
      <c r="II22" s="403"/>
      <c r="IJ22" s="403"/>
      <c r="IK22" s="403"/>
      <c r="IL22" s="403"/>
      <c r="IM22" s="403"/>
      <c r="IN22" s="403"/>
      <c r="IO22" s="403"/>
      <c r="IP22" s="403"/>
      <c r="IQ22" s="403"/>
      <c r="IR22" s="403"/>
      <c r="IS22" s="403"/>
      <c r="IT22" s="403"/>
      <c r="IU22" s="403"/>
      <c r="IV22" s="403"/>
      <c r="IW22" s="403"/>
    </row>
    <row r="23" customFormat="false" ht="12.75" hidden="false" customHeight="false" outlineLevel="0" collapsed="false">
      <c r="A23" s="414" t="n">
        <f aca="false">+A22+1</f>
        <v>2013</v>
      </c>
      <c r="B23" s="412" t="n">
        <v>2.65</v>
      </c>
      <c r="C23" s="413" t="n">
        <v>142.957141850814</v>
      </c>
      <c r="D23" s="402"/>
      <c r="E23" s="414" t="n">
        <f aca="false">+E22+1</f>
        <v>2013</v>
      </c>
      <c r="F23" s="412" t="n">
        <v>2.15</v>
      </c>
      <c r="G23" s="413" t="n">
        <v>136.272876786611</v>
      </c>
      <c r="H23" s="403"/>
      <c r="I23" s="403"/>
      <c r="J23" s="403"/>
      <c r="K23" s="403"/>
      <c r="L23" s="403"/>
      <c r="M23" s="403"/>
      <c r="N23" s="403"/>
      <c r="O23" s="403"/>
      <c r="P23" s="403"/>
      <c r="Q23" s="403"/>
      <c r="R23" s="403"/>
      <c r="S23" s="403"/>
      <c r="T23" s="403"/>
      <c r="U23" s="403"/>
      <c r="V23" s="403"/>
      <c r="W23" s="403"/>
      <c r="X23" s="403"/>
      <c r="Y23" s="403"/>
      <c r="Z23" s="403"/>
      <c r="AA23" s="403"/>
      <c r="AB23" s="403"/>
      <c r="AC23" s="403"/>
      <c r="AD23" s="403"/>
      <c r="AE23" s="403"/>
      <c r="AF23" s="403"/>
      <c r="AG23" s="403"/>
      <c r="AH23" s="403"/>
      <c r="AI23" s="403"/>
      <c r="AJ23" s="403"/>
      <c r="AK23" s="403"/>
      <c r="AL23" s="403"/>
      <c r="AM23" s="403"/>
      <c r="AN23" s="403"/>
      <c r="AO23" s="403"/>
      <c r="AP23" s="403"/>
      <c r="AQ23" s="403"/>
      <c r="AR23" s="403"/>
      <c r="AS23" s="403"/>
      <c r="AT23" s="403"/>
      <c r="AU23" s="403"/>
      <c r="AV23" s="403"/>
      <c r="AW23" s="403"/>
      <c r="AX23" s="403"/>
      <c r="AY23" s="403"/>
      <c r="AZ23" s="403"/>
      <c r="BA23" s="403"/>
      <c r="BB23" s="403"/>
      <c r="BC23" s="403"/>
      <c r="BD23" s="403"/>
      <c r="BE23" s="403"/>
      <c r="BF23" s="403"/>
      <c r="BG23" s="403"/>
      <c r="BH23" s="403"/>
      <c r="BI23" s="403"/>
      <c r="BJ23" s="403"/>
      <c r="BK23" s="403"/>
      <c r="BL23" s="403"/>
      <c r="BM23" s="403"/>
      <c r="BN23" s="403"/>
      <c r="BO23" s="403"/>
      <c r="BP23" s="403"/>
      <c r="BQ23" s="403"/>
      <c r="BR23" s="403"/>
      <c r="BS23" s="403"/>
      <c r="BT23" s="403"/>
      <c r="BU23" s="403"/>
      <c r="BV23" s="403"/>
      <c r="BW23" s="403"/>
      <c r="BX23" s="403"/>
      <c r="BY23" s="403"/>
      <c r="BZ23" s="403"/>
      <c r="CA23" s="403"/>
      <c r="CB23" s="403"/>
      <c r="CC23" s="403"/>
      <c r="CD23" s="403"/>
      <c r="CE23" s="403"/>
      <c r="CF23" s="403"/>
      <c r="CG23" s="403"/>
      <c r="CH23" s="403"/>
      <c r="CI23" s="403"/>
      <c r="CJ23" s="403"/>
      <c r="CK23" s="403"/>
      <c r="CL23" s="403"/>
      <c r="CM23" s="403"/>
      <c r="CN23" s="403"/>
      <c r="CO23" s="403"/>
      <c r="CP23" s="403"/>
      <c r="CQ23" s="403"/>
      <c r="CR23" s="403"/>
      <c r="CS23" s="403"/>
      <c r="CT23" s="403"/>
      <c r="CU23" s="403"/>
      <c r="CV23" s="403"/>
      <c r="CW23" s="403"/>
      <c r="CX23" s="403"/>
      <c r="CY23" s="403"/>
      <c r="CZ23" s="403"/>
      <c r="DA23" s="403"/>
      <c r="DB23" s="403"/>
      <c r="DC23" s="403"/>
      <c r="DD23" s="403"/>
      <c r="DE23" s="403"/>
      <c r="DF23" s="403"/>
      <c r="DG23" s="403"/>
      <c r="DH23" s="403"/>
      <c r="DI23" s="403"/>
      <c r="DJ23" s="403"/>
      <c r="DK23" s="403"/>
      <c r="DL23" s="403"/>
      <c r="DM23" s="403"/>
      <c r="DN23" s="403"/>
      <c r="DO23" s="403"/>
      <c r="DP23" s="403"/>
      <c r="DQ23" s="403"/>
      <c r="DR23" s="403"/>
      <c r="DS23" s="403"/>
      <c r="DT23" s="403"/>
      <c r="DU23" s="403"/>
      <c r="DV23" s="403"/>
      <c r="DW23" s="403"/>
      <c r="DX23" s="403"/>
      <c r="DY23" s="403"/>
      <c r="DZ23" s="403"/>
      <c r="EA23" s="403"/>
      <c r="EB23" s="403"/>
      <c r="EC23" s="403"/>
      <c r="ED23" s="403"/>
      <c r="EE23" s="403"/>
      <c r="EF23" s="403"/>
      <c r="EG23" s="403"/>
      <c r="EH23" s="403"/>
      <c r="EI23" s="403"/>
      <c r="EJ23" s="403"/>
      <c r="EK23" s="403"/>
      <c r="EL23" s="403"/>
      <c r="EM23" s="403"/>
      <c r="EN23" s="403"/>
      <c r="EO23" s="403"/>
      <c r="EP23" s="403"/>
      <c r="EQ23" s="403"/>
      <c r="ER23" s="403"/>
      <c r="ES23" s="403"/>
      <c r="ET23" s="403"/>
      <c r="EU23" s="403"/>
      <c r="EV23" s="403"/>
      <c r="EW23" s="403"/>
      <c r="EX23" s="403"/>
      <c r="EY23" s="403"/>
      <c r="EZ23" s="403"/>
      <c r="FA23" s="403"/>
      <c r="FB23" s="403"/>
      <c r="FC23" s="403"/>
      <c r="FD23" s="403"/>
      <c r="FE23" s="403"/>
      <c r="FF23" s="403"/>
      <c r="FG23" s="403"/>
      <c r="FH23" s="403"/>
      <c r="FI23" s="403"/>
      <c r="FJ23" s="403"/>
      <c r="FK23" s="403"/>
      <c r="FL23" s="403"/>
      <c r="FM23" s="403"/>
      <c r="FN23" s="403"/>
      <c r="FO23" s="403"/>
      <c r="FP23" s="403"/>
      <c r="FQ23" s="403"/>
      <c r="FR23" s="403"/>
      <c r="FS23" s="403"/>
      <c r="FT23" s="403"/>
      <c r="FU23" s="403"/>
      <c r="FV23" s="403"/>
      <c r="FW23" s="403"/>
      <c r="FX23" s="403"/>
      <c r="FY23" s="403"/>
      <c r="FZ23" s="403"/>
      <c r="GA23" s="403"/>
      <c r="GB23" s="403"/>
      <c r="GC23" s="403"/>
      <c r="GD23" s="403"/>
      <c r="GE23" s="403"/>
      <c r="GF23" s="403"/>
      <c r="GG23" s="403"/>
      <c r="GH23" s="403"/>
      <c r="GI23" s="403"/>
      <c r="GJ23" s="403"/>
      <c r="GK23" s="403"/>
      <c r="GL23" s="403"/>
      <c r="GM23" s="403"/>
      <c r="GN23" s="403"/>
      <c r="GO23" s="403"/>
      <c r="GP23" s="403"/>
      <c r="GQ23" s="403"/>
      <c r="GR23" s="403"/>
      <c r="GS23" s="403"/>
      <c r="GT23" s="403"/>
      <c r="GU23" s="403"/>
      <c r="GV23" s="403"/>
      <c r="GW23" s="403"/>
      <c r="GX23" s="403"/>
      <c r="GY23" s="403"/>
      <c r="GZ23" s="403"/>
      <c r="HA23" s="403"/>
      <c r="HB23" s="403"/>
      <c r="HC23" s="403"/>
      <c r="HD23" s="403"/>
      <c r="HE23" s="403"/>
      <c r="HF23" s="403"/>
      <c r="HG23" s="403"/>
      <c r="HH23" s="403"/>
      <c r="HI23" s="403"/>
      <c r="HJ23" s="403"/>
      <c r="HK23" s="403"/>
      <c r="HL23" s="403"/>
      <c r="HM23" s="403"/>
      <c r="HN23" s="403"/>
      <c r="HO23" s="403"/>
      <c r="HP23" s="403"/>
      <c r="HQ23" s="403"/>
      <c r="HR23" s="403"/>
      <c r="HS23" s="403"/>
      <c r="HT23" s="403"/>
      <c r="HU23" s="403"/>
      <c r="HV23" s="403"/>
      <c r="HW23" s="403"/>
      <c r="HX23" s="403"/>
      <c r="HY23" s="403"/>
      <c r="HZ23" s="403"/>
      <c r="IA23" s="403"/>
      <c r="IB23" s="403"/>
      <c r="IC23" s="403"/>
      <c r="ID23" s="403"/>
      <c r="IE23" s="403"/>
      <c r="IF23" s="403"/>
      <c r="IG23" s="403"/>
      <c r="IH23" s="403"/>
      <c r="II23" s="403"/>
      <c r="IJ23" s="403"/>
      <c r="IK23" s="403"/>
      <c r="IL23" s="403"/>
      <c r="IM23" s="403"/>
      <c r="IN23" s="403"/>
      <c r="IO23" s="403"/>
      <c r="IP23" s="403"/>
      <c r="IQ23" s="403"/>
      <c r="IR23" s="403"/>
      <c r="IS23" s="403"/>
      <c r="IT23" s="403"/>
      <c r="IU23" s="403"/>
      <c r="IV23" s="403"/>
      <c r="IW23" s="403"/>
    </row>
    <row r="24" customFormat="false" ht="12.75" hidden="false" customHeight="false" outlineLevel="0" collapsed="false">
      <c r="A24" s="414" t="n">
        <f aca="false">+A23+1</f>
        <v>2014</v>
      </c>
      <c r="B24" s="412" t="n">
        <v>2.65</v>
      </c>
      <c r="C24" s="413" t="n">
        <v>146.74550610986</v>
      </c>
      <c r="D24" s="402"/>
      <c r="E24" s="414" t="n">
        <f aca="false">+E23+1</f>
        <v>2014</v>
      </c>
      <c r="F24" s="412" t="n">
        <v>2.15</v>
      </c>
      <c r="G24" s="413" t="n">
        <v>139.202743637523</v>
      </c>
      <c r="H24" s="403"/>
      <c r="I24" s="403"/>
      <c r="J24" s="403"/>
      <c r="K24" s="403"/>
      <c r="L24" s="403"/>
      <c r="M24" s="403"/>
      <c r="N24" s="403"/>
      <c r="O24" s="403"/>
      <c r="P24" s="403"/>
      <c r="Q24" s="403"/>
      <c r="R24" s="403"/>
      <c r="S24" s="403"/>
      <c r="T24" s="403"/>
      <c r="U24" s="403"/>
      <c r="V24" s="403"/>
      <c r="W24" s="403"/>
      <c r="X24" s="403"/>
      <c r="Y24" s="403"/>
      <c r="Z24" s="403"/>
      <c r="AA24" s="403"/>
      <c r="AB24" s="403"/>
      <c r="AC24" s="403"/>
      <c r="AD24" s="403"/>
      <c r="AE24" s="403"/>
      <c r="AF24" s="403"/>
      <c r="AG24" s="403"/>
      <c r="AH24" s="403"/>
      <c r="AI24" s="403"/>
      <c r="AJ24" s="403"/>
      <c r="AK24" s="403"/>
      <c r="AL24" s="403"/>
      <c r="AM24" s="403"/>
      <c r="AN24" s="403"/>
      <c r="AO24" s="403"/>
      <c r="AP24" s="403"/>
      <c r="AQ24" s="403"/>
      <c r="AR24" s="403"/>
      <c r="AS24" s="403"/>
      <c r="AT24" s="403"/>
      <c r="AU24" s="403"/>
      <c r="AV24" s="403"/>
      <c r="AW24" s="403"/>
      <c r="AX24" s="403"/>
      <c r="AY24" s="403"/>
      <c r="AZ24" s="403"/>
      <c r="BA24" s="403"/>
      <c r="BB24" s="403"/>
      <c r="BC24" s="403"/>
      <c r="BD24" s="403"/>
      <c r="BE24" s="403"/>
      <c r="BF24" s="403"/>
      <c r="BG24" s="403"/>
      <c r="BH24" s="403"/>
      <c r="BI24" s="403"/>
      <c r="BJ24" s="403"/>
      <c r="BK24" s="403"/>
      <c r="BL24" s="403"/>
      <c r="BM24" s="403"/>
      <c r="BN24" s="403"/>
      <c r="BO24" s="403"/>
      <c r="BP24" s="403"/>
      <c r="BQ24" s="403"/>
      <c r="BR24" s="403"/>
      <c r="BS24" s="403"/>
      <c r="BT24" s="403"/>
      <c r="BU24" s="403"/>
      <c r="BV24" s="403"/>
      <c r="BW24" s="403"/>
      <c r="BX24" s="403"/>
      <c r="BY24" s="403"/>
      <c r="BZ24" s="403"/>
      <c r="CA24" s="403"/>
      <c r="CB24" s="403"/>
      <c r="CC24" s="403"/>
      <c r="CD24" s="403"/>
      <c r="CE24" s="403"/>
      <c r="CF24" s="403"/>
      <c r="CG24" s="403"/>
      <c r="CH24" s="403"/>
      <c r="CI24" s="403"/>
      <c r="CJ24" s="403"/>
      <c r="CK24" s="403"/>
      <c r="CL24" s="403"/>
      <c r="CM24" s="403"/>
      <c r="CN24" s="403"/>
      <c r="CO24" s="403"/>
      <c r="CP24" s="403"/>
      <c r="CQ24" s="403"/>
      <c r="CR24" s="403"/>
      <c r="CS24" s="403"/>
      <c r="CT24" s="403"/>
      <c r="CU24" s="403"/>
      <c r="CV24" s="403"/>
      <c r="CW24" s="403"/>
      <c r="CX24" s="403"/>
      <c r="CY24" s="403"/>
      <c r="CZ24" s="403"/>
      <c r="DA24" s="403"/>
      <c r="DB24" s="403"/>
      <c r="DC24" s="403"/>
      <c r="DD24" s="403"/>
      <c r="DE24" s="403"/>
      <c r="DF24" s="403"/>
      <c r="DG24" s="403"/>
      <c r="DH24" s="403"/>
      <c r="DI24" s="403"/>
      <c r="DJ24" s="403"/>
      <c r="DK24" s="403"/>
      <c r="DL24" s="403"/>
      <c r="DM24" s="403"/>
      <c r="DN24" s="403"/>
      <c r="DO24" s="403"/>
      <c r="DP24" s="403"/>
      <c r="DQ24" s="403"/>
      <c r="DR24" s="403"/>
      <c r="DS24" s="403"/>
      <c r="DT24" s="403"/>
      <c r="DU24" s="403"/>
      <c r="DV24" s="403"/>
      <c r="DW24" s="403"/>
      <c r="DX24" s="403"/>
      <c r="DY24" s="403"/>
      <c r="DZ24" s="403"/>
      <c r="EA24" s="403"/>
      <c r="EB24" s="403"/>
      <c r="EC24" s="403"/>
      <c r="ED24" s="403"/>
      <c r="EE24" s="403"/>
      <c r="EF24" s="403"/>
      <c r="EG24" s="403"/>
      <c r="EH24" s="403"/>
      <c r="EI24" s="403"/>
      <c r="EJ24" s="403"/>
      <c r="EK24" s="403"/>
      <c r="EL24" s="403"/>
      <c r="EM24" s="403"/>
      <c r="EN24" s="403"/>
      <c r="EO24" s="403"/>
      <c r="EP24" s="403"/>
      <c r="EQ24" s="403"/>
      <c r="ER24" s="403"/>
      <c r="ES24" s="403"/>
      <c r="ET24" s="403"/>
      <c r="EU24" s="403"/>
      <c r="EV24" s="403"/>
      <c r="EW24" s="403"/>
      <c r="EX24" s="403"/>
      <c r="EY24" s="403"/>
      <c r="EZ24" s="403"/>
      <c r="FA24" s="403"/>
      <c r="FB24" s="403"/>
      <c r="FC24" s="403"/>
      <c r="FD24" s="403"/>
      <c r="FE24" s="403"/>
      <c r="FF24" s="403"/>
      <c r="FG24" s="403"/>
      <c r="FH24" s="403"/>
      <c r="FI24" s="403"/>
      <c r="FJ24" s="403"/>
      <c r="FK24" s="403"/>
      <c r="FL24" s="403"/>
      <c r="FM24" s="403"/>
      <c r="FN24" s="403"/>
      <c r="FO24" s="403"/>
      <c r="FP24" s="403"/>
      <c r="FQ24" s="403"/>
      <c r="FR24" s="403"/>
      <c r="FS24" s="403"/>
      <c r="FT24" s="403"/>
      <c r="FU24" s="403"/>
      <c r="FV24" s="403"/>
      <c r="FW24" s="403"/>
      <c r="FX24" s="403"/>
      <c r="FY24" s="403"/>
      <c r="FZ24" s="403"/>
      <c r="GA24" s="403"/>
      <c r="GB24" s="403"/>
      <c r="GC24" s="403"/>
      <c r="GD24" s="403"/>
      <c r="GE24" s="403"/>
      <c r="GF24" s="403"/>
      <c r="GG24" s="403"/>
      <c r="GH24" s="403"/>
      <c r="GI24" s="403"/>
      <c r="GJ24" s="403"/>
      <c r="GK24" s="403"/>
      <c r="GL24" s="403"/>
      <c r="GM24" s="403"/>
      <c r="GN24" s="403"/>
      <c r="GO24" s="403"/>
      <c r="GP24" s="403"/>
      <c r="GQ24" s="403"/>
      <c r="GR24" s="403"/>
      <c r="GS24" s="403"/>
      <c r="GT24" s="403"/>
      <c r="GU24" s="403"/>
      <c r="GV24" s="403"/>
      <c r="GW24" s="403"/>
      <c r="GX24" s="403"/>
      <c r="GY24" s="403"/>
      <c r="GZ24" s="403"/>
      <c r="HA24" s="403"/>
      <c r="HB24" s="403"/>
      <c r="HC24" s="403"/>
      <c r="HD24" s="403"/>
      <c r="HE24" s="403"/>
      <c r="HF24" s="403"/>
      <c r="HG24" s="403"/>
      <c r="HH24" s="403"/>
      <c r="HI24" s="403"/>
      <c r="HJ24" s="403"/>
      <c r="HK24" s="403"/>
      <c r="HL24" s="403"/>
      <c r="HM24" s="403"/>
      <c r="HN24" s="403"/>
      <c r="HO24" s="403"/>
      <c r="HP24" s="403"/>
      <c r="HQ24" s="403"/>
      <c r="HR24" s="403"/>
      <c r="HS24" s="403"/>
      <c r="HT24" s="403"/>
      <c r="HU24" s="403"/>
      <c r="HV24" s="403"/>
      <c r="HW24" s="403"/>
      <c r="HX24" s="403"/>
      <c r="HY24" s="403"/>
      <c r="HZ24" s="403"/>
      <c r="IA24" s="403"/>
      <c r="IB24" s="403"/>
      <c r="IC24" s="403"/>
      <c r="ID24" s="403"/>
      <c r="IE24" s="403"/>
      <c r="IF24" s="403"/>
      <c r="IG24" s="403"/>
      <c r="IH24" s="403"/>
      <c r="II24" s="403"/>
      <c r="IJ24" s="403"/>
      <c r="IK24" s="403"/>
      <c r="IL24" s="403"/>
      <c r="IM24" s="403"/>
      <c r="IN24" s="403"/>
      <c r="IO24" s="403"/>
      <c r="IP24" s="403"/>
      <c r="IQ24" s="403"/>
      <c r="IR24" s="403"/>
      <c r="IS24" s="403"/>
      <c r="IT24" s="403"/>
      <c r="IU24" s="403"/>
      <c r="IV24" s="403"/>
      <c r="IW24" s="403"/>
    </row>
    <row r="25" customFormat="false" ht="12.75" hidden="false" customHeight="false" outlineLevel="0" collapsed="false">
      <c r="A25" s="414" t="n">
        <f aca="false">+A24+1</f>
        <v>2015</v>
      </c>
      <c r="B25" s="412" t="n">
        <v>2.65</v>
      </c>
      <c r="C25" s="413" t="n">
        <v>150.634262021772</v>
      </c>
      <c r="D25" s="402"/>
      <c r="E25" s="414" t="n">
        <f aca="false">+E24+1</f>
        <v>2015</v>
      </c>
      <c r="F25" s="412" t="n">
        <v>2.15</v>
      </c>
      <c r="G25" s="413" t="n">
        <v>142.19560262573</v>
      </c>
      <c r="H25" s="403"/>
      <c r="I25" s="403"/>
      <c r="J25" s="403"/>
      <c r="K25" s="403"/>
      <c r="L25" s="403"/>
      <c r="M25" s="403"/>
      <c r="N25" s="403"/>
      <c r="O25" s="403"/>
      <c r="P25" s="403"/>
      <c r="Q25" s="403"/>
      <c r="R25" s="403"/>
      <c r="S25" s="403"/>
      <c r="T25" s="403"/>
      <c r="U25" s="403"/>
      <c r="V25" s="403"/>
      <c r="W25" s="403"/>
      <c r="X25" s="403"/>
      <c r="Y25" s="403"/>
      <c r="Z25" s="403"/>
      <c r="AA25" s="403"/>
      <c r="AB25" s="403"/>
      <c r="AC25" s="403"/>
      <c r="AD25" s="403"/>
      <c r="AE25" s="403"/>
      <c r="AF25" s="403"/>
      <c r="AG25" s="403"/>
      <c r="AH25" s="403"/>
      <c r="AI25" s="403"/>
      <c r="AJ25" s="403"/>
      <c r="AK25" s="403"/>
      <c r="AL25" s="403"/>
      <c r="AM25" s="403"/>
      <c r="AN25" s="403"/>
      <c r="AO25" s="403"/>
      <c r="AP25" s="403"/>
      <c r="AQ25" s="403"/>
      <c r="AR25" s="403"/>
      <c r="AS25" s="403"/>
      <c r="AT25" s="403"/>
      <c r="AU25" s="403"/>
      <c r="AV25" s="403"/>
      <c r="AW25" s="403"/>
      <c r="AX25" s="403"/>
      <c r="AY25" s="403"/>
      <c r="AZ25" s="403"/>
      <c r="BA25" s="403"/>
      <c r="BB25" s="403"/>
      <c r="BC25" s="403"/>
      <c r="BD25" s="403"/>
      <c r="BE25" s="403"/>
      <c r="BF25" s="403"/>
      <c r="BG25" s="403"/>
      <c r="BH25" s="403"/>
      <c r="BI25" s="403"/>
      <c r="BJ25" s="403"/>
      <c r="BK25" s="403"/>
      <c r="BL25" s="403"/>
      <c r="BM25" s="403"/>
      <c r="BN25" s="403"/>
      <c r="BO25" s="403"/>
      <c r="BP25" s="403"/>
      <c r="BQ25" s="403"/>
      <c r="BR25" s="403"/>
      <c r="BS25" s="403"/>
      <c r="BT25" s="403"/>
      <c r="BU25" s="403"/>
      <c r="BV25" s="403"/>
      <c r="BW25" s="403"/>
      <c r="BX25" s="403"/>
      <c r="BY25" s="403"/>
      <c r="BZ25" s="403"/>
      <c r="CA25" s="403"/>
      <c r="CB25" s="403"/>
      <c r="CC25" s="403"/>
      <c r="CD25" s="403"/>
      <c r="CE25" s="403"/>
      <c r="CF25" s="403"/>
      <c r="CG25" s="403"/>
      <c r="CH25" s="403"/>
      <c r="CI25" s="403"/>
      <c r="CJ25" s="403"/>
      <c r="CK25" s="403"/>
      <c r="CL25" s="403"/>
      <c r="CM25" s="403"/>
      <c r="CN25" s="403"/>
      <c r="CO25" s="403"/>
      <c r="CP25" s="403"/>
      <c r="CQ25" s="403"/>
      <c r="CR25" s="403"/>
      <c r="CS25" s="403"/>
      <c r="CT25" s="403"/>
      <c r="CU25" s="403"/>
      <c r="CV25" s="403"/>
      <c r="CW25" s="403"/>
      <c r="CX25" s="403"/>
      <c r="CY25" s="403"/>
      <c r="CZ25" s="403"/>
      <c r="DA25" s="403"/>
      <c r="DB25" s="403"/>
      <c r="DC25" s="403"/>
      <c r="DD25" s="403"/>
      <c r="DE25" s="403"/>
      <c r="DF25" s="403"/>
      <c r="DG25" s="403"/>
      <c r="DH25" s="403"/>
      <c r="DI25" s="403"/>
      <c r="DJ25" s="403"/>
      <c r="DK25" s="403"/>
      <c r="DL25" s="403"/>
      <c r="DM25" s="403"/>
      <c r="DN25" s="403"/>
      <c r="DO25" s="403"/>
      <c r="DP25" s="403"/>
      <c r="DQ25" s="403"/>
      <c r="DR25" s="403"/>
      <c r="DS25" s="403"/>
      <c r="DT25" s="403"/>
      <c r="DU25" s="403"/>
      <c r="DV25" s="403"/>
      <c r="DW25" s="403"/>
      <c r="DX25" s="403"/>
      <c r="DY25" s="403"/>
      <c r="DZ25" s="403"/>
      <c r="EA25" s="403"/>
      <c r="EB25" s="403"/>
      <c r="EC25" s="403"/>
      <c r="ED25" s="403"/>
      <c r="EE25" s="403"/>
      <c r="EF25" s="403"/>
      <c r="EG25" s="403"/>
      <c r="EH25" s="403"/>
      <c r="EI25" s="403"/>
      <c r="EJ25" s="403"/>
      <c r="EK25" s="403"/>
      <c r="EL25" s="403"/>
      <c r="EM25" s="403"/>
      <c r="EN25" s="403"/>
      <c r="EO25" s="403"/>
      <c r="EP25" s="403"/>
      <c r="EQ25" s="403"/>
      <c r="ER25" s="403"/>
      <c r="ES25" s="403"/>
      <c r="ET25" s="403"/>
      <c r="EU25" s="403"/>
      <c r="EV25" s="403"/>
      <c r="EW25" s="403"/>
      <c r="EX25" s="403"/>
      <c r="EY25" s="403"/>
      <c r="EZ25" s="403"/>
      <c r="FA25" s="403"/>
      <c r="FB25" s="403"/>
      <c r="FC25" s="403"/>
      <c r="FD25" s="403"/>
      <c r="FE25" s="403"/>
      <c r="FF25" s="403"/>
      <c r="FG25" s="403"/>
      <c r="FH25" s="403"/>
      <c r="FI25" s="403"/>
      <c r="FJ25" s="403"/>
      <c r="FK25" s="403"/>
      <c r="FL25" s="403"/>
      <c r="FM25" s="403"/>
      <c r="FN25" s="403"/>
      <c r="FO25" s="403"/>
      <c r="FP25" s="403"/>
      <c r="FQ25" s="403"/>
      <c r="FR25" s="403"/>
      <c r="FS25" s="403"/>
      <c r="FT25" s="403"/>
      <c r="FU25" s="403"/>
      <c r="FV25" s="403"/>
      <c r="FW25" s="403"/>
      <c r="FX25" s="403"/>
      <c r="FY25" s="403"/>
      <c r="FZ25" s="403"/>
      <c r="GA25" s="403"/>
      <c r="GB25" s="403"/>
      <c r="GC25" s="403"/>
      <c r="GD25" s="403"/>
      <c r="GE25" s="403"/>
      <c r="GF25" s="403"/>
      <c r="GG25" s="403"/>
      <c r="GH25" s="403"/>
      <c r="GI25" s="403"/>
      <c r="GJ25" s="403"/>
      <c r="GK25" s="403"/>
      <c r="GL25" s="403"/>
      <c r="GM25" s="403"/>
      <c r="GN25" s="403"/>
      <c r="GO25" s="403"/>
      <c r="GP25" s="403"/>
      <c r="GQ25" s="403"/>
      <c r="GR25" s="403"/>
      <c r="GS25" s="403"/>
      <c r="GT25" s="403"/>
      <c r="GU25" s="403"/>
      <c r="GV25" s="403"/>
      <c r="GW25" s="403"/>
      <c r="GX25" s="403"/>
      <c r="GY25" s="403"/>
      <c r="GZ25" s="403"/>
      <c r="HA25" s="403"/>
      <c r="HB25" s="403"/>
      <c r="HC25" s="403"/>
      <c r="HD25" s="403"/>
      <c r="HE25" s="403"/>
      <c r="HF25" s="403"/>
      <c r="HG25" s="403"/>
      <c r="HH25" s="403"/>
      <c r="HI25" s="403"/>
      <c r="HJ25" s="403"/>
      <c r="HK25" s="403"/>
      <c r="HL25" s="403"/>
      <c r="HM25" s="403"/>
      <c r="HN25" s="403"/>
      <c r="HO25" s="403"/>
      <c r="HP25" s="403"/>
      <c r="HQ25" s="403"/>
      <c r="HR25" s="403"/>
      <c r="HS25" s="403"/>
      <c r="HT25" s="403"/>
      <c r="HU25" s="403"/>
      <c r="HV25" s="403"/>
      <c r="HW25" s="403"/>
      <c r="HX25" s="403"/>
      <c r="HY25" s="403"/>
      <c r="HZ25" s="403"/>
      <c r="IA25" s="403"/>
      <c r="IB25" s="403"/>
      <c r="IC25" s="403"/>
      <c r="ID25" s="403"/>
      <c r="IE25" s="403"/>
      <c r="IF25" s="403"/>
      <c r="IG25" s="403"/>
      <c r="IH25" s="403"/>
      <c r="II25" s="403"/>
      <c r="IJ25" s="403"/>
      <c r="IK25" s="403"/>
      <c r="IL25" s="403"/>
      <c r="IM25" s="403"/>
      <c r="IN25" s="403"/>
      <c r="IO25" s="403"/>
      <c r="IP25" s="403"/>
      <c r="IQ25" s="403"/>
      <c r="IR25" s="403"/>
      <c r="IS25" s="403"/>
      <c r="IT25" s="403"/>
      <c r="IU25" s="403"/>
      <c r="IV25" s="403"/>
      <c r="IW25" s="403"/>
    </row>
    <row r="26" customFormat="false" ht="12.75" hidden="false" customHeight="false" outlineLevel="0" collapsed="false">
      <c r="A26" s="414" t="n">
        <f aca="false">+A25+1</f>
        <v>2016</v>
      </c>
      <c r="B26" s="412" t="n">
        <v>3.15</v>
      </c>
      <c r="C26" s="413" t="n">
        <v>155.379241275457</v>
      </c>
      <c r="D26" s="402"/>
      <c r="E26" s="414" t="n">
        <f aca="false">+E25+1</f>
        <v>2016</v>
      </c>
      <c r="F26" s="412" t="n">
        <v>2.35</v>
      </c>
      <c r="G26" s="413" t="n">
        <v>145.537199287435</v>
      </c>
      <c r="H26" s="403"/>
      <c r="I26" s="403"/>
      <c r="J26" s="403"/>
      <c r="K26" s="403"/>
      <c r="L26" s="403"/>
      <c r="M26" s="403"/>
      <c r="N26" s="403"/>
      <c r="O26" s="403"/>
      <c r="P26" s="403"/>
      <c r="Q26" s="403"/>
      <c r="R26" s="403"/>
      <c r="S26" s="403"/>
      <c r="T26" s="403"/>
      <c r="U26" s="403"/>
      <c r="V26" s="403"/>
      <c r="W26" s="403"/>
      <c r="X26" s="403"/>
      <c r="Y26" s="403"/>
      <c r="Z26" s="403"/>
      <c r="AA26" s="403"/>
      <c r="AB26" s="403"/>
      <c r="AC26" s="403"/>
      <c r="AD26" s="403"/>
      <c r="AE26" s="403"/>
      <c r="AF26" s="403"/>
      <c r="AG26" s="403"/>
      <c r="AH26" s="403"/>
      <c r="AI26" s="403"/>
      <c r="AJ26" s="403"/>
      <c r="AK26" s="403"/>
      <c r="AL26" s="403"/>
      <c r="AM26" s="403"/>
      <c r="AN26" s="403"/>
      <c r="AO26" s="403"/>
      <c r="AP26" s="403"/>
      <c r="AQ26" s="403"/>
      <c r="AR26" s="403"/>
      <c r="AS26" s="403"/>
      <c r="AT26" s="403"/>
      <c r="AU26" s="403"/>
      <c r="AV26" s="403"/>
      <c r="AW26" s="403"/>
      <c r="AX26" s="403"/>
      <c r="AY26" s="403"/>
      <c r="AZ26" s="403"/>
      <c r="BA26" s="403"/>
      <c r="BB26" s="403"/>
      <c r="BC26" s="403"/>
      <c r="BD26" s="403"/>
      <c r="BE26" s="403"/>
      <c r="BF26" s="403"/>
      <c r="BG26" s="403"/>
      <c r="BH26" s="403"/>
      <c r="BI26" s="403"/>
      <c r="BJ26" s="403"/>
      <c r="BK26" s="403"/>
      <c r="BL26" s="403"/>
      <c r="BM26" s="403"/>
      <c r="BN26" s="403"/>
      <c r="BO26" s="403"/>
      <c r="BP26" s="403"/>
      <c r="BQ26" s="403"/>
      <c r="BR26" s="403"/>
      <c r="BS26" s="403"/>
      <c r="BT26" s="403"/>
      <c r="BU26" s="403"/>
      <c r="BV26" s="403"/>
      <c r="BW26" s="403"/>
      <c r="BX26" s="403"/>
      <c r="BY26" s="403"/>
      <c r="BZ26" s="403"/>
      <c r="CA26" s="403"/>
      <c r="CB26" s="403"/>
      <c r="CC26" s="403"/>
      <c r="CD26" s="403"/>
      <c r="CE26" s="403"/>
      <c r="CF26" s="403"/>
      <c r="CG26" s="403"/>
      <c r="CH26" s="403"/>
      <c r="CI26" s="403"/>
      <c r="CJ26" s="403"/>
      <c r="CK26" s="403"/>
      <c r="CL26" s="403"/>
      <c r="CM26" s="403"/>
      <c r="CN26" s="403"/>
      <c r="CO26" s="403"/>
      <c r="CP26" s="403"/>
      <c r="CQ26" s="403"/>
      <c r="CR26" s="403"/>
      <c r="CS26" s="403"/>
      <c r="CT26" s="403"/>
      <c r="CU26" s="403"/>
      <c r="CV26" s="403"/>
      <c r="CW26" s="403"/>
      <c r="CX26" s="403"/>
      <c r="CY26" s="403"/>
      <c r="CZ26" s="403"/>
      <c r="DA26" s="403"/>
      <c r="DB26" s="403"/>
      <c r="DC26" s="403"/>
      <c r="DD26" s="403"/>
      <c r="DE26" s="403"/>
      <c r="DF26" s="403"/>
      <c r="DG26" s="403"/>
      <c r="DH26" s="403"/>
      <c r="DI26" s="403"/>
      <c r="DJ26" s="403"/>
      <c r="DK26" s="403"/>
      <c r="DL26" s="403"/>
      <c r="DM26" s="403"/>
      <c r="DN26" s="403"/>
      <c r="DO26" s="403"/>
      <c r="DP26" s="403"/>
      <c r="DQ26" s="403"/>
      <c r="DR26" s="403"/>
      <c r="DS26" s="403"/>
      <c r="DT26" s="403"/>
      <c r="DU26" s="403"/>
      <c r="DV26" s="403"/>
      <c r="DW26" s="403"/>
      <c r="DX26" s="403"/>
      <c r="DY26" s="403"/>
      <c r="DZ26" s="403"/>
      <c r="EA26" s="403"/>
      <c r="EB26" s="403"/>
      <c r="EC26" s="403"/>
      <c r="ED26" s="403"/>
      <c r="EE26" s="403"/>
      <c r="EF26" s="403"/>
      <c r="EG26" s="403"/>
      <c r="EH26" s="403"/>
      <c r="EI26" s="403"/>
      <c r="EJ26" s="403"/>
      <c r="EK26" s="403"/>
      <c r="EL26" s="403"/>
      <c r="EM26" s="403"/>
      <c r="EN26" s="403"/>
      <c r="EO26" s="403"/>
      <c r="EP26" s="403"/>
      <c r="EQ26" s="403"/>
      <c r="ER26" s="403"/>
      <c r="ES26" s="403"/>
      <c r="ET26" s="403"/>
      <c r="EU26" s="403"/>
      <c r="EV26" s="403"/>
      <c r="EW26" s="403"/>
      <c r="EX26" s="403"/>
      <c r="EY26" s="403"/>
      <c r="EZ26" s="403"/>
      <c r="FA26" s="403"/>
      <c r="FB26" s="403"/>
      <c r="FC26" s="403"/>
      <c r="FD26" s="403"/>
      <c r="FE26" s="403"/>
      <c r="FF26" s="403"/>
      <c r="FG26" s="403"/>
      <c r="FH26" s="403"/>
      <c r="FI26" s="403"/>
      <c r="FJ26" s="403"/>
      <c r="FK26" s="403"/>
      <c r="FL26" s="403"/>
      <c r="FM26" s="403"/>
      <c r="FN26" s="403"/>
      <c r="FO26" s="403"/>
      <c r="FP26" s="403"/>
      <c r="FQ26" s="403"/>
      <c r="FR26" s="403"/>
      <c r="FS26" s="403"/>
      <c r="FT26" s="403"/>
      <c r="FU26" s="403"/>
      <c r="FV26" s="403"/>
      <c r="FW26" s="403"/>
      <c r="FX26" s="403"/>
      <c r="FY26" s="403"/>
      <c r="FZ26" s="403"/>
      <c r="GA26" s="403"/>
      <c r="GB26" s="403"/>
      <c r="GC26" s="403"/>
      <c r="GD26" s="403"/>
      <c r="GE26" s="403"/>
      <c r="GF26" s="403"/>
      <c r="GG26" s="403"/>
      <c r="GH26" s="403"/>
      <c r="GI26" s="403"/>
      <c r="GJ26" s="403"/>
      <c r="GK26" s="403"/>
      <c r="GL26" s="403"/>
      <c r="GM26" s="403"/>
      <c r="GN26" s="403"/>
      <c r="GO26" s="403"/>
      <c r="GP26" s="403"/>
      <c r="GQ26" s="403"/>
      <c r="GR26" s="403"/>
      <c r="GS26" s="403"/>
      <c r="GT26" s="403"/>
      <c r="GU26" s="403"/>
      <c r="GV26" s="403"/>
      <c r="GW26" s="403"/>
      <c r="GX26" s="403"/>
      <c r="GY26" s="403"/>
      <c r="GZ26" s="403"/>
      <c r="HA26" s="403"/>
      <c r="HB26" s="403"/>
      <c r="HC26" s="403"/>
      <c r="HD26" s="403"/>
      <c r="HE26" s="403"/>
      <c r="HF26" s="403"/>
      <c r="HG26" s="403"/>
      <c r="HH26" s="403"/>
      <c r="HI26" s="403"/>
      <c r="HJ26" s="403"/>
      <c r="HK26" s="403"/>
      <c r="HL26" s="403"/>
      <c r="HM26" s="403"/>
      <c r="HN26" s="403"/>
      <c r="HO26" s="403"/>
      <c r="HP26" s="403"/>
      <c r="HQ26" s="403"/>
      <c r="HR26" s="403"/>
      <c r="HS26" s="403"/>
      <c r="HT26" s="403"/>
      <c r="HU26" s="403"/>
      <c r="HV26" s="403"/>
      <c r="HW26" s="403"/>
      <c r="HX26" s="403"/>
      <c r="HY26" s="403"/>
      <c r="HZ26" s="403"/>
      <c r="IA26" s="403"/>
      <c r="IB26" s="403"/>
      <c r="IC26" s="403"/>
      <c r="ID26" s="403"/>
      <c r="IE26" s="403"/>
      <c r="IF26" s="403"/>
      <c r="IG26" s="403"/>
      <c r="IH26" s="403"/>
      <c r="II26" s="403"/>
      <c r="IJ26" s="403"/>
      <c r="IK26" s="403"/>
      <c r="IL26" s="403"/>
      <c r="IM26" s="403"/>
      <c r="IN26" s="403"/>
      <c r="IO26" s="403"/>
      <c r="IP26" s="403"/>
      <c r="IQ26" s="403"/>
      <c r="IR26" s="403"/>
      <c r="IS26" s="403"/>
      <c r="IT26" s="403"/>
      <c r="IU26" s="403"/>
      <c r="IV26" s="403"/>
      <c r="IW26" s="403"/>
    </row>
    <row r="27" customFormat="false" ht="12.75" hidden="false" customHeight="false" outlineLevel="0" collapsed="false">
      <c r="A27" s="414" t="n">
        <f aca="false">+A26+1</f>
        <v>2017</v>
      </c>
      <c r="B27" s="412" t="n">
        <v>3.15</v>
      </c>
      <c r="C27" s="413" t="n">
        <v>160.273687375634</v>
      </c>
      <c r="D27" s="402"/>
      <c r="E27" s="414" t="n">
        <f aca="false">+E26+1</f>
        <v>2017</v>
      </c>
      <c r="F27" s="412" t="n">
        <v>2.35</v>
      </c>
      <c r="G27" s="413" t="n">
        <v>148.957323470689</v>
      </c>
      <c r="H27" s="403"/>
      <c r="I27" s="403"/>
      <c r="J27" s="403"/>
      <c r="K27" s="403"/>
      <c r="L27" s="403"/>
      <c r="M27" s="403"/>
      <c r="N27" s="403"/>
      <c r="O27" s="403"/>
      <c r="P27" s="403"/>
      <c r="Q27" s="403"/>
      <c r="R27" s="403"/>
      <c r="S27" s="403"/>
      <c r="T27" s="403"/>
      <c r="U27" s="403"/>
      <c r="V27" s="403"/>
      <c r="W27" s="403"/>
      <c r="X27" s="403"/>
      <c r="Y27" s="403"/>
      <c r="Z27" s="403"/>
      <c r="AA27" s="403"/>
      <c r="AB27" s="403"/>
      <c r="AC27" s="403"/>
      <c r="AD27" s="403"/>
      <c r="AE27" s="403"/>
      <c r="AF27" s="403"/>
      <c r="AG27" s="403"/>
      <c r="AH27" s="403"/>
      <c r="AI27" s="403"/>
      <c r="AJ27" s="403"/>
      <c r="AK27" s="403"/>
      <c r="AL27" s="403"/>
      <c r="AM27" s="403"/>
      <c r="AN27" s="403"/>
      <c r="AO27" s="403"/>
      <c r="AP27" s="403"/>
      <c r="AQ27" s="403"/>
      <c r="AR27" s="403"/>
      <c r="AS27" s="403"/>
      <c r="AT27" s="403"/>
      <c r="AU27" s="403"/>
      <c r="AV27" s="403"/>
      <c r="AW27" s="403"/>
      <c r="AX27" s="403"/>
      <c r="AY27" s="403"/>
      <c r="AZ27" s="403"/>
      <c r="BA27" s="403"/>
      <c r="BB27" s="403"/>
      <c r="BC27" s="403"/>
      <c r="BD27" s="403"/>
      <c r="BE27" s="403"/>
      <c r="BF27" s="403"/>
      <c r="BG27" s="403"/>
      <c r="BH27" s="403"/>
      <c r="BI27" s="403"/>
      <c r="BJ27" s="403"/>
      <c r="BK27" s="403"/>
      <c r="BL27" s="403"/>
      <c r="BM27" s="403"/>
      <c r="BN27" s="403"/>
      <c r="BO27" s="403"/>
      <c r="BP27" s="403"/>
      <c r="BQ27" s="403"/>
      <c r="BR27" s="403"/>
      <c r="BS27" s="403"/>
      <c r="BT27" s="403"/>
      <c r="BU27" s="403"/>
      <c r="BV27" s="403"/>
      <c r="BW27" s="403"/>
      <c r="BX27" s="403"/>
      <c r="BY27" s="403"/>
      <c r="BZ27" s="403"/>
      <c r="CA27" s="403"/>
      <c r="CB27" s="403"/>
      <c r="CC27" s="403"/>
      <c r="CD27" s="403"/>
      <c r="CE27" s="403"/>
      <c r="CF27" s="403"/>
      <c r="CG27" s="403"/>
      <c r="CH27" s="403"/>
      <c r="CI27" s="403"/>
      <c r="CJ27" s="403"/>
      <c r="CK27" s="403"/>
      <c r="CL27" s="403"/>
      <c r="CM27" s="403"/>
      <c r="CN27" s="403"/>
      <c r="CO27" s="403"/>
      <c r="CP27" s="403"/>
      <c r="CQ27" s="403"/>
      <c r="CR27" s="403"/>
      <c r="CS27" s="403"/>
      <c r="CT27" s="403"/>
      <c r="CU27" s="403"/>
      <c r="CV27" s="403"/>
      <c r="CW27" s="403"/>
      <c r="CX27" s="403"/>
      <c r="CY27" s="403"/>
      <c r="CZ27" s="403"/>
      <c r="DA27" s="403"/>
      <c r="DB27" s="403"/>
      <c r="DC27" s="403"/>
      <c r="DD27" s="403"/>
      <c r="DE27" s="403"/>
      <c r="DF27" s="403"/>
      <c r="DG27" s="403"/>
      <c r="DH27" s="403"/>
      <c r="DI27" s="403"/>
      <c r="DJ27" s="403"/>
      <c r="DK27" s="403"/>
      <c r="DL27" s="403"/>
      <c r="DM27" s="403"/>
      <c r="DN27" s="403"/>
      <c r="DO27" s="403"/>
      <c r="DP27" s="403"/>
      <c r="DQ27" s="403"/>
      <c r="DR27" s="403"/>
      <c r="DS27" s="403"/>
      <c r="DT27" s="403"/>
      <c r="DU27" s="403"/>
      <c r="DV27" s="403"/>
      <c r="DW27" s="403"/>
      <c r="DX27" s="403"/>
      <c r="DY27" s="403"/>
      <c r="DZ27" s="403"/>
      <c r="EA27" s="403"/>
      <c r="EB27" s="403"/>
      <c r="EC27" s="403"/>
      <c r="ED27" s="403"/>
      <c r="EE27" s="403"/>
      <c r="EF27" s="403"/>
      <c r="EG27" s="403"/>
      <c r="EH27" s="403"/>
      <c r="EI27" s="403"/>
      <c r="EJ27" s="403"/>
      <c r="EK27" s="403"/>
      <c r="EL27" s="403"/>
      <c r="EM27" s="403"/>
      <c r="EN27" s="403"/>
      <c r="EO27" s="403"/>
      <c r="EP27" s="403"/>
      <c r="EQ27" s="403"/>
      <c r="ER27" s="403"/>
      <c r="ES27" s="403"/>
      <c r="ET27" s="403"/>
      <c r="EU27" s="403"/>
      <c r="EV27" s="403"/>
      <c r="EW27" s="403"/>
      <c r="EX27" s="403"/>
      <c r="EY27" s="403"/>
      <c r="EZ27" s="403"/>
      <c r="FA27" s="403"/>
      <c r="FB27" s="403"/>
      <c r="FC27" s="403"/>
      <c r="FD27" s="403"/>
      <c r="FE27" s="403"/>
      <c r="FF27" s="403"/>
      <c r="FG27" s="403"/>
      <c r="FH27" s="403"/>
      <c r="FI27" s="403"/>
      <c r="FJ27" s="403"/>
      <c r="FK27" s="403"/>
      <c r="FL27" s="403"/>
      <c r="FM27" s="403"/>
      <c r="FN27" s="403"/>
      <c r="FO27" s="403"/>
      <c r="FP27" s="403"/>
      <c r="FQ27" s="403"/>
      <c r="FR27" s="403"/>
      <c r="FS27" s="403"/>
      <c r="FT27" s="403"/>
      <c r="FU27" s="403"/>
      <c r="FV27" s="403"/>
      <c r="FW27" s="403"/>
      <c r="FX27" s="403"/>
      <c r="FY27" s="403"/>
      <c r="FZ27" s="403"/>
      <c r="GA27" s="403"/>
      <c r="GB27" s="403"/>
      <c r="GC27" s="403"/>
      <c r="GD27" s="403"/>
      <c r="GE27" s="403"/>
      <c r="GF27" s="403"/>
      <c r="GG27" s="403"/>
      <c r="GH27" s="403"/>
      <c r="GI27" s="403"/>
      <c r="GJ27" s="403"/>
      <c r="GK27" s="403"/>
      <c r="GL27" s="403"/>
      <c r="GM27" s="403"/>
      <c r="GN27" s="403"/>
      <c r="GO27" s="403"/>
      <c r="GP27" s="403"/>
      <c r="GQ27" s="403"/>
      <c r="GR27" s="403"/>
      <c r="GS27" s="403"/>
      <c r="GT27" s="403"/>
      <c r="GU27" s="403"/>
      <c r="GV27" s="403"/>
      <c r="GW27" s="403"/>
      <c r="GX27" s="403"/>
      <c r="GY27" s="403"/>
      <c r="GZ27" s="403"/>
      <c r="HA27" s="403"/>
      <c r="HB27" s="403"/>
      <c r="HC27" s="403"/>
      <c r="HD27" s="403"/>
      <c r="HE27" s="403"/>
      <c r="HF27" s="403"/>
      <c r="HG27" s="403"/>
      <c r="HH27" s="403"/>
      <c r="HI27" s="403"/>
      <c r="HJ27" s="403"/>
      <c r="HK27" s="403"/>
      <c r="HL27" s="403"/>
      <c r="HM27" s="403"/>
      <c r="HN27" s="403"/>
      <c r="HO27" s="403"/>
      <c r="HP27" s="403"/>
      <c r="HQ27" s="403"/>
      <c r="HR27" s="403"/>
      <c r="HS27" s="403"/>
      <c r="HT27" s="403"/>
      <c r="HU27" s="403"/>
      <c r="HV27" s="403"/>
      <c r="HW27" s="403"/>
      <c r="HX27" s="403"/>
      <c r="HY27" s="403"/>
      <c r="HZ27" s="403"/>
      <c r="IA27" s="403"/>
      <c r="IB27" s="403"/>
      <c r="IC27" s="403"/>
      <c r="ID27" s="403"/>
      <c r="IE27" s="403"/>
      <c r="IF27" s="403"/>
      <c r="IG27" s="403"/>
      <c r="IH27" s="403"/>
      <c r="II27" s="403"/>
      <c r="IJ27" s="403"/>
      <c r="IK27" s="403"/>
      <c r="IL27" s="403"/>
      <c r="IM27" s="403"/>
      <c r="IN27" s="403"/>
      <c r="IO27" s="403"/>
      <c r="IP27" s="403"/>
      <c r="IQ27" s="403"/>
      <c r="IR27" s="403"/>
      <c r="IS27" s="403"/>
      <c r="IT27" s="403"/>
      <c r="IU27" s="403"/>
      <c r="IV27" s="403"/>
      <c r="IW27" s="403"/>
    </row>
    <row r="28" customFormat="false" ht="12.75" hidden="false" customHeight="false" outlineLevel="0" collapsed="false">
      <c r="A28" s="414" t="n">
        <f aca="false">+A27+1</f>
        <v>2018</v>
      </c>
      <c r="B28" s="412" t="n">
        <v>3.15</v>
      </c>
      <c r="C28" s="413" t="n">
        <v>165.322308527967</v>
      </c>
      <c r="D28" s="402"/>
      <c r="E28" s="414" t="n">
        <f aca="false">+E27+1</f>
        <v>2018</v>
      </c>
      <c r="F28" s="412" t="n">
        <v>2.35</v>
      </c>
      <c r="G28" s="413" t="n">
        <v>152.457820572251</v>
      </c>
      <c r="H28" s="403"/>
      <c r="I28" s="403"/>
      <c r="J28" s="403"/>
      <c r="K28" s="403"/>
      <c r="L28" s="403"/>
      <c r="M28" s="403"/>
      <c r="N28" s="403"/>
      <c r="O28" s="403"/>
      <c r="P28" s="403"/>
      <c r="Q28" s="403"/>
      <c r="R28" s="403"/>
      <c r="S28" s="403"/>
      <c r="T28" s="403"/>
      <c r="U28" s="403"/>
      <c r="V28" s="403"/>
      <c r="W28" s="403"/>
      <c r="X28" s="403"/>
      <c r="Y28" s="403"/>
      <c r="Z28" s="403"/>
      <c r="AA28" s="403"/>
      <c r="AB28" s="403"/>
      <c r="AC28" s="403"/>
      <c r="AD28" s="403"/>
      <c r="AE28" s="403"/>
      <c r="AF28" s="403"/>
      <c r="AG28" s="403"/>
      <c r="AH28" s="403"/>
      <c r="AI28" s="403"/>
      <c r="AJ28" s="403"/>
      <c r="AK28" s="403"/>
      <c r="AL28" s="403"/>
      <c r="AM28" s="403"/>
      <c r="AN28" s="403"/>
      <c r="AO28" s="403"/>
      <c r="AP28" s="403"/>
      <c r="AQ28" s="403"/>
      <c r="AR28" s="403"/>
      <c r="AS28" s="403"/>
      <c r="AT28" s="403"/>
      <c r="AU28" s="403"/>
      <c r="AV28" s="403"/>
      <c r="AW28" s="403"/>
      <c r="AX28" s="403"/>
      <c r="AY28" s="403"/>
      <c r="AZ28" s="403"/>
      <c r="BA28" s="403"/>
      <c r="BB28" s="403"/>
      <c r="BC28" s="403"/>
      <c r="BD28" s="403"/>
      <c r="BE28" s="403"/>
      <c r="BF28" s="403"/>
      <c r="BG28" s="403"/>
      <c r="BH28" s="403"/>
      <c r="BI28" s="403"/>
      <c r="BJ28" s="403"/>
      <c r="BK28" s="403"/>
      <c r="BL28" s="403"/>
      <c r="BM28" s="403"/>
      <c r="BN28" s="403"/>
      <c r="BO28" s="403"/>
      <c r="BP28" s="403"/>
      <c r="BQ28" s="403"/>
      <c r="BR28" s="403"/>
      <c r="BS28" s="403"/>
      <c r="BT28" s="403"/>
      <c r="BU28" s="403"/>
      <c r="BV28" s="403"/>
      <c r="BW28" s="403"/>
      <c r="BX28" s="403"/>
      <c r="BY28" s="403"/>
      <c r="BZ28" s="403"/>
      <c r="CA28" s="403"/>
      <c r="CB28" s="403"/>
      <c r="CC28" s="403"/>
      <c r="CD28" s="403"/>
      <c r="CE28" s="403"/>
      <c r="CF28" s="403"/>
      <c r="CG28" s="403"/>
      <c r="CH28" s="403"/>
      <c r="CI28" s="403"/>
      <c r="CJ28" s="403"/>
      <c r="CK28" s="403"/>
      <c r="CL28" s="403"/>
      <c r="CM28" s="403"/>
      <c r="CN28" s="403"/>
      <c r="CO28" s="403"/>
      <c r="CP28" s="403"/>
      <c r="CQ28" s="403"/>
      <c r="CR28" s="403"/>
      <c r="CS28" s="403"/>
      <c r="CT28" s="403"/>
      <c r="CU28" s="403"/>
      <c r="CV28" s="403"/>
      <c r="CW28" s="403"/>
      <c r="CX28" s="403"/>
      <c r="CY28" s="403"/>
      <c r="CZ28" s="403"/>
      <c r="DA28" s="403"/>
      <c r="DB28" s="403"/>
      <c r="DC28" s="403"/>
      <c r="DD28" s="403"/>
      <c r="DE28" s="403"/>
      <c r="DF28" s="403"/>
      <c r="DG28" s="403"/>
      <c r="DH28" s="403"/>
      <c r="DI28" s="403"/>
      <c r="DJ28" s="403"/>
      <c r="DK28" s="403"/>
      <c r="DL28" s="403"/>
      <c r="DM28" s="403"/>
      <c r="DN28" s="403"/>
      <c r="DO28" s="403"/>
      <c r="DP28" s="403"/>
      <c r="DQ28" s="403"/>
      <c r="DR28" s="403"/>
      <c r="DS28" s="403"/>
      <c r="DT28" s="403"/>
      <c r="DU28" s="403"/>
      <c r="DV28" s="403"/>
      <c r="DW28" s="403"/>
      <c r="DX28" s="403"/>
      <c r="DY28" s="403"/>
      <c r="DZ28" s="403"/>
      <c r="EA28" s="403"/>
      <c r="EB28" s="403"/>
      <c r="EC28" s="403"/>
      <c r="ED28" s="403"/>
      <c r="EE28" s="403"/>
      <c r="EF28" s="403"/>
      <c r="EG28" s="403"/>
      <c r="EH28" s="403"/>
      <c r="EI28" s="403"/>
      <c r="EJ28" s="403"/>
      <c r="EK28" s="403"/>
      <c r="EL28" s="403"/>
      <c r="EM28" s="403"/>
      <c r="EN28" s="403"/>
      <c r="EO28" s="403"/>
      <c r="EP28" s="403"/>
      <c r="EQ28" s="403"/>
      <c r="ER28" s="403"/>
      <c r="ES28" s="403"/>
      <c r="ET28" s="403"/>
      <c r="EU28" s="403"/>
      <c r="EV28" s="403"/>
      <c r="EW28" s="403"/>
      <c r="EX28" s="403"/>
      <c r="EY28" s="403"/>
      <c r="EZ28" s="403"/>
      <c r="FA28" s="403"/>
      <c r="FB28" s="403"/>
      <c r="FC28" s="403"/>
      <c r="FD28" s="403"/>
      <c r="FE28" s="403"/>
      <c r="FF28" s="403"/>
      <c r="FG28" s="403"/>
      <c r="FH28" s="403"/>
      <c r="FI28" s="403"/>
      <c r="FJ28" s="403"/>
      <c r="FK28" s="403"/>
      <c r="FL28" s="403"/>
      <c r="FM28" s="403"/>
      <c r="FN28" s="403"/>
      <c r="FO28" s="403"/>
      <c r="FP28" s="403"/>
      <c r="FQ28" s="403"/>
      <c r="FR28" s="403"/>
      <c r="FS28" s="403"/>
      <c r="FT28" s="403"/>
      <c r="FU28" s="403"/>
      <c r="FV28" s="403"/>
      <c r="FW28" s="403"/>
      <c r="FX28" s="403"/>
      <c r="FY28" s="403"/>
      <c r="FZ28" s="403"/>
      <c r="GA28" s="403"/>
      <c r="GB28" s="403"/>
      <c r="GC28" s="403"/>
      <c r="GD28" s="403"/>
      <c r="GE28" s="403"/>
      <c r="GF28" s="403"/>
      <c r="GG28" s="403"/>
      <c r="GH28" s="403"/>
      <c r="GI28" s="403"/>
      <c r="GJ28" s="403"/>
      <c r="GK28" s="403"/>
      <c r="GL28" s="403"/>
      <c r="GM28" s="403"/>
      <c r="GN28" s="403"/>
      <c r="GO28" s="403"/>
      <c r="GP28" s="403"/>
      <c r="GQ28" s="403"/>
      <c r="GR28" s="403"/>
      <c r="GS28" s="403"/>
      <c r="GT28" s="403"/>
      <c r="GU28" s="403"/>
      <c r="GV28" s="403"/>
      <c r="GW28" s="403"/>
      <c r="GX28" s="403"/>
      <c r="GY28" s="403"/>
      <c r="GZ28" s="403"/>
      <c r="HA28" s="403"/>
      <c r="HB28" s="403"/>
      <c r="HC28" s="403"/>
      <c r="HD28" s="403"/>
      <c r="HE28" s="403"/>
      <c r="HF28" s="403"/>
      <c r="HG28" s="403"/>
      <c r="HH28" s="403"/>
      <c r="HI28" s="403"/>
      <c r="HJ28" s="403"/>
      <c r="HK28" s="403"/>
      <c r="HL28" s="403"/>
      <c r="HM28" s="403"/>
      <c r="HN28" s="403"/>
      <c r="HO28" s="403"/>
      <c r="HP28" s="403"/>
      <c r="HQ28" s="403"/>
      <c r="HR28" s="403"/>
      <c r="HS28" s="403"/>
      <c r="HT28" s="403"/>
      <c r="HU28" s="403"/>
      <c r="HV28" s="403"/>
      <c r="HW28" s="403"/>
      <c r="HX28" s="403"/>
      <c r="HY28" s="403"/>
      <c r="HZ28" s="403"/>
      <c r="IA28" s="403"/>
      <c r="IB28" s="403"/>
      <c r="IC28" s="403"/>
      <c r="ID28" s="403"/>
      <c r="IE28" s="403"/>
      <c r="IF28" s="403"/>
      <c r="IG28" s="403"/>
      <c r="IH28" s="403"/>
      <c r="II28" s="403"/>
      <c r="IJ28" s="403"/>
      <c r="IK28" s="403"/>
      <c r="IL28" s="403"/>
      <c r="IM28" s="403"/>
      <c r="IN28" s="403"/>
      <c r="IO28" s="403"/>
      <c r="IP28" s="403"/>
      <c r="IQ28" s="403"/>
      <c r="IR28" s="403"/>
      <c r="IS28" s="403"/>
      <c r="IT28" s="403"/>
      <c r="IU28" s="403"/>
      <c r="IV28" s="403"/>
      <c r="IW28" s="403"/>
    </row>
    <row r="29" customFormat="false" ht="12.75" hidden="false" customHeight="false" outlineLevel="0" collapsed="false">
      <c r="A29" s="414" t="n">
        <f aca="false">+A28+1</f>
        <v>2019</v>
      </c>
      <c r="B29" s="412" t="n">
        <v>3.15</v>
      </c>
      <c r="C29" s="413" t="n">
        <v>170.529961246598</v>
      </c>
      <c r="D29" s="402"/>
      <c r="E29" s="414" t="n">
        <f aca="false">+E28+1</f>
        <v>2019</v>
      </c>
      <c r="F29" s="412" t="n">
        <v>2.35</v>
      </c>
      <c r="G29" s="413" t="n">
        <v>156.040579355698</v>
      </c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  <c r="AB29" s="403"/>
      <c r="AC29" s="403"/>
      <c r="AD29" s="403"/>
      <c r="AE29" s="403"/>
      <c r="AF29" s="403"/>
      <c r="AG29" s="403"/>
      <c r="AH29" s="403"/>
      <c r="AI29" s="403"/>
      <c r="AJ29" s="403"/>
      <c r="AK29" s="403"/>
      <c r="AL29" s="403"/>
      <c r="AM29" s="403"/>
      <c r="AN29" s="403"/>
      <c r="AO29" s="403"/>
      <c r="AP29" s="403"/>
      <c r="AQ29" s="403"/>
      <c r="AR29" s="403"/>
      <c r="AS29" s="403"/>
      <c r="AT29" s="403"/>
      <c r="AU29" s="403"/>
      <c r="AV29" s="403"/>
      <c r="AW29" s="403"/>
      <c r="AX29" s="403"/>
      <c r="AY29" s="403"/>
      <c r="AZ29" s="403"/>
      <c r="BA29" s="403"/>
      <c r="BB29" s="403"/>
      <c r="BC29" s="403"/>
      <c r="BD29" s="403"/>
      <c r="BE29" s="403"/>
      <c r="BF29" s="403"/>
      <c r="BG29" s="403"/>
      <c r="BH29" s="403"/>
      <c r="BI29" s="403"/>
      <c r="BJ29" s="403"/>
      <c r="BK29" s="403"/>
      <c r="BL29" s="403"/>
      <c r="BM29" s="403"/>
      <c r="BN29" s="403"/>
      <c r="BO29" s="403"/>
      <c r="BP29" s="403"/>
      <c r="BQ29" s="403"/>
      <c r="BR29" s="403"/>
      <c r="BS29" s="403"/>
      <c r="BT29" s="403"/>
      <c r="BU29" s="403"/>
      <c r="BV29" s="403"/>
      <c r="BW29" s="403"/>
      <c r="BX29" s="403"/>
      <c r="BY29" s="403"/>
      <c r="BZ29" s="403"/>
      <c r="CA29" s="403"/>
      <c r="CB29" s="403"/>
      <c r="CC29" s="403"/>
      <c r="CD29" s="403"/>
      <c r="CE29" s="403"/>
      <c r="CF29" s="403"/>
      <c r="CG29" s="403"/>
      <c r="CH29" s="403"/>
      <c r="CI29" s="403"/>
      <c r="CJ29" s="403"/>
      <c r="CK29" s="403"/>
      <c r="CL29" s="403"/>
      <c r="CM29" s="403"/>
      <c r="CN29" s="403"/>
      <c r="CO29" s="403"/>
      <c r="CP29" s="403"/>
      <c r="CQ29" s="403"/>
      <c r="CR29" s="403"/>
      <c r="CS29" s="403"/>
      <c r="CT29" s="403"/>
      <c r="CU29" s="403"/>
      <c r="CV29" s="403"/>
      <c r="CW29" s="403"/>
      <c r="CX29" s="403"/>
      <c r="CY29" s="403"/>
      <c r="CZ29" s="403"/>
      <c r="DA29" s="403"/>
      <c r="DB29" s="403"/>
      <c r="DC29" s="403"/>
      <c r="DD29" s="403"/>
      <c r="DE29" s="403"/>
      <c r="DF29" s="403"/>
      <c r="DG29" s="403"/>
      <c r="DH29" s="403"/>
      <c r="DI29" s="403"/>
      <c r="DJ29" s="403"/>
      <c r="DK29" s="403"/>
      <c r="DL29" s="403"/>
      <c r="DM29" s="403"/>
      <c r="DN29" s="403"/>
      <c r="DO29" s="403"/>
      <c r="DP29" s="403"/>
      <c r="DQ29" s="403"/>
      <c r="DR29" s="403"/>
      <c r="DS29" s="403"/>
      <c r="DT29" s="403"/>
      <c r="DU29" s="403"/>
      <c r="DV29" s="403"/>
      <c r="DW29" s="403"/>
      <c r="DX29" s="403"/>
      <c r="DY29" s="403"/>
      <c r="DZ29" s="403"/>
      <c r="EA29" s="403"/>
      <c r="EB29" s="403"/>
      <c r="EC29" s="403"/>
      <c r="ED29" s="403"/>
      <c r="EE29" s="403"/>
      <c r="EF29" s="403"/>
      <c r="EG29" s="403"/>
      <c r="EH29" s="403"/>
      <c r="EI29" s="403"/>
      <c r="EJ29" s="403"/>
      <c r="EK29" s="403"/>
      <c r="EL29" s="403"/>
      <c r="EM29" s="403"/>
      <c r="EN29" s="403"/>
      <c r="EO29" s="403"/>
      <c r="EP29" s="403"/>
      <c r="EQ29" s="403"/>
      <c r="ER29" s="403"/>
      <c r="ES29" s="403"/>
      <c r="ET29" s="403"/>
      <c r="EU29" s="403"/>
      <c r="EV29" s="403"/>
      <c r="EW29" s="403"/>
      <c r="EX29" s="403"/>
      <c r="EY29" s="403"/>
      <c r="EZ29" s="403"/>
      <c r="FA29" s="403"/>
      <c r="FB29" s="403"/>
      <c r="FC29" s="403"/>
      <c r="FD29" s="403"/>
      <c r="FE29" s="403"/>
      <c r="FF29" s="403"/>
      <c r="FG29" s="403"/>
      <c r="FH29" s="403"/>
      <c r="FI29" s="403"/>
      <c r="FJ29" s="403"/>
      <c r="FK29" s="403"/>
      <c r="FL29" s="403"/>
      <c r="FM29" s="403"/>
      <c r="FN29" s="403"/>
      <c r="FO29" s="403"/>
      <c r="FP29" s="403"/>
      <c r="FQ29" s="403"/>
      <c r="FR29" s="403"/>
      <c r="FS29" s="403"/>
      <c r="FT29" s="403"/>
      <c r="FU29" s="403"/>
      <c r="FV29" s="403"/>
      <c r="FW29" s="403"/>
      <c r="FX29" s="403"/>
      <c r="FY29" s="403"/>
      <c r="FZ29" s="403"/>
      <c r="GA29" s="403"/>
      <c r="GB29" s="403"/>
      <c r="GC29" s="403"/>
      <c r="GD29" s="403"/>
      <c r="GE29" s="403"/>
      <c r="GF29" s="403"/>
      <c r="GG29" s="403"/>
      <c r="GH29" s="403"/>
      <c r="GI29" s="403"/>
      <c r="GJ29" s="403"/>
      <c r="GK29" s="403"/>
      <c r="GL29" s="403"/>
      <c r="GM29" s="403"/>
      <c r="GN29" s="403"/>
      <c r="GO29" s="403"/>
      <c r="GP29" s="403"/>
      <c r="GQ29" s="403"/>
      <c r="GR29" s="403"/>
      <c r="GS29" s="403"/>
      <c r="GT29" s="403"/>
      <c r="GU29" s="403"/>
      <c r="GV29" s="403"/>
      <c r="GW29" s="403"/>
      <c r="GX29" s="403"/>
      <c r="GY29" s="403"/>
      <c r="GZ29" s="403"/>
      <c r="HA29" s="403"/>
      <c r="HB29" s="403"/>
      <c r="HC29" s="403"/>
      <c r="HD29" s="403"/>
      <c r="HE29" s="403"/>
      <c r="HF29" s="403"/>
      <c r="HG29" s="403"/>
      <c r="HH29" s="403"/>
      <c r="HI29" s="403"/>
      <c r="HJ29" s="403"/>
      <c r="HK29" s="403"/>
      <c r="HL29" s="403"/>
      <c r="HM29" s="403"/>
      <c r="HN29" s="403"/>
      <c r="HO29" s="403"/>
      <c r="HP29" s="403"/>
      <c r="HQ29" s="403"/>
      <c r="HR29" s="403"/>
      <c r="HS29" s="403"/>
      <c r="HT29" s="403"/>
      <c r="HU29" s="403"/>
      <c r="HV29" s="403"/>
      <c r="HW29" s="403"/>
      <c r="HX29" s="403"/>
      <c r="HY29" s="403"/>
      <c r="HZ29" s="403"/>
      <c r="IA29" s="403"/>
      <c r="IB29" s="403"/>
      <c r="IC29" s="403"/>
      <c r="ID29" s="403"/>
      <c r="IE29" s="403"/>
      <c r="IF29" s="403"/>
      <c r="IG29" s="403"/>
      <c r="IH29" s="403"/>
      <c r="II29" s="403"/>
      <c r="IJ29" s="403"/>
      <c r="IK29" s="403"/>
      <c r="IL29" s="403"/>
      <c r="IM29" s="403"/>
      <c r="IN29" s="403"/>
      <c r="IO29" s="403"/>
      <c r="IP29" s="403"/>
      <c r="IQ29" s="403"/>
      <c r="IR29" s="403"/>
      <c r="IS29" s="403"/>
      <c r="IT29" s="403"/>
      <c r="IU29" s="403"/>
      <c r="IV29" s="403"/>
      <c r="IW29" s="403"/>
    </row>
    <row r="30" customFormat="false" ht="13.5" hidden="false" customHeight="false" outlineLevel="0" collapsed="false">
      <c r="A30" s="416" t="n">
        <f aca="false">+A29+1</f>
        <v>2020</v>
      </c>
      <c r="B30" s="417" t="n">
        <v>3.15</v>
      </c>
      <c r="C30" s="418" t="n">
        <v>175.901655025866</v>
      </c>
      <c r="D30" s="402"/>
      <c r="E30" s="416" t="n">
        <f aca="false">+E29+1</f>
        <v>2020</v>
      </c>
      <c r="F30" s="417" t="n">
        <v>2.35</v>
      </c>
      <c r="G30" s="418" t="n">
        <v>159.707532970557</v>
      </c>
      <c r="H30" s="403"/>
      <c r="I30" s="403"/>
      <c r="J30" s="403"/>
      <c r="K30" s="403"/>
      <c r="L30" s="403"/>
      <c r="M30" s="403"/>
      <c r="N30" s="403"/>
      <c r="O30" s="403"/>
      <c r="P30" s="403"/>
      <c r="Q30" s="403"/>
      <c r="R30" s="403"/>
      <c r="S30" s="403"/>
      <c r="T30" s="403"/>
      <c r="U30" s="403"/>
      <c r="V30" s="403"/>
      <c r="W30" s="403"/>
      <c r="X30" s="403"/>
      <c r="Y30" s="403"/>
      <c r="Z30" s="403"/>
      <c r="AA30" s="403"/>
      <c r="AB30" s="403"/>
      <c r="AC30" s="403"/>
      <c r="AD30" s="403"/>
      <c r="AE30" s="403"/>
      <c r="AF30" s="403"/>
      <c r="AG30" s="403"/>
      <c r="AH30" s="403"/>
      <c r="AI30" s="403"/>
      <c r="AJ30" s="403"/>
      <c r="AK30" s="403"/>
      <c r="AL30" s="403"/>
      <c r="AM30" s="403"/>
      <c r="AN30" s="403"/>
      <c r="AO30" s="403"/>
      <c r="AP30" s="403"/>
      <c r="AQ30" s="403"/>
      <c r="AR30" s="403"/>
      <c r="AS30" s="403"/>
      <c r="AT30" s="403"/>
      <c r="AU30" s="403"/>
      <c r="AV30" s="403"/>
      <c r="AW30" s="403"/>
      <c r="AX30" s="403"/>
      <c r="AY30" s="403"/>
      <c r="AZ30" s="403"/>
      <c r="BA30" s="403"/>
      <c r="BB30" s="403"/>
      <c r="BC30" s="403"/>
      <c r="BD30" s="403"/>
      <c r="BE30" s="403"/>
      <c r="BF30" s="403"/>
      <c r="BG30" s="403"/>
      <c r="BH30" s="403"/>
      <c r="BI30" s="403"/>
      <c r="BJ30" s="403"/>
      <c r="BK30" s="403"/>
      <c r="BL30" s="403"/>
      <c r="BM30" s="403"/>
      <c r="BN30" s="403"/>
      <c r="BO30" s="403"/>
      <c r="BP30" s="403"/>
      <c r="BQ30" s="403"/>
      <c r="BR30" s="403"/>
      <c r="BS30" s="403"/>
      <c r="BT30" s="403"/>
      <c r="BU30" s="403"/>
      <c r="BV30" s="403"/>
      <c r="BW30" s="403"/>
      <c r="BX30" s="403"/>
      <c r="BY30" s="403"/>
      <c r="BZ30" s="403"/>
      <c r="CA30" s="403"/>
      <c r="CB30" s="403"/>
      <c r="CC30" s="403"/>
      <c r="CD30" s="403"/>
      <c r="CE30" s="403"/>
      <c r="CF30" s="403"/>
      <c r="CG30" s="403"/>
      <c r="CH30" s="403"/>
      <c r="CI30" s="403"/>
      <c r="CJ30" s="403"/>
      <c r="CK30" s="403"/>
      <c r="CL30" s="403"/>
      <c r="CM30" s="403"/>
      <c r="CN30" s="403"/>
      <c r="CO30" s="403"/>
      <c r="CP30" s="403"/>
      <c r="CQ30" s="403"/>
      <c r="CR30" s="403"/>
      <c r="CS30" s="403"/>
      <c r="CT30" s="403"/>
      <c r="CU30" s="403"/>
      <c r="CV30" s="403"/>
      <c r="CW30" s="403"/>
      <c r="CX30" s="403"/>
      <c r="CY30" s="403"/>
      <c r="CZ30" s="403"/>
      <c r="DA30" s="403"/>
      <c r="DB30" s="403"/>
      <c r="DC30" s="403"/>
      <c r="DD30" s="403"/>
      <c r="DE30" s="403"/>
      <c r="DF30" s="403"/>
      <c r="DG30" s="403"/>
      <c r="DH30" s="403"/>
      <c r="DI30" s="403"/>
      <c r="DJ30" s="403"/>
      <c r="DK30" s="403"/>
      <c r="DL30" s="403"/>
      <c r="DM30" s="403"/>
      <c r="DN30" s="403"/>
      <c r="DO30" s="403"/>
      <c r="DP30" s="403"/>
      <c r="DQ30" s="403"/>
      <c r="DR30" s="403"/>
      <c r="DS30" s="403"/>
      <c r="DT30" s="403"/>
      <c r="DU30" s="403"/>
      <c r="DV30" s="403"/>
      <c r="DW30" s="403"/>
      <c r="DX30" s="403"/>
      <c r="DY30" s="403"/>
      <c r="DZ30" s="403"/>
      <c r="EA30" s="403"/>
      <c r="EB30" s="403"/>
      <c r="EC30" s="403"/>
      <c r="ED30" s="403"/>
      <c r="EE30" s="403"/>
      <c r="EF30" s="403"/>
      <c r="EG30" s="403"/>
      <c r="EH30" s="403"/>
      <c r="EI30" s="403"/>
      <c r="EJ30" s="403"/>
      <c r="EK30" s="403"/>
      <c r="EL30" s="403"/>
      <c r="EM30" s="403"/>
      <c r="EN30" s="403"/>
      <c r="EO30" s="403"/>
      <c r="EP30" s="403"/>
      <c r="EQ30" s="403"/>
      <c r="ER30" s="403"/>
      <c r="ES30" s="403"/>
      <c r="ET30" s="403"/>
      <c r="EU30" s="403"/>
      <c r="EV30" s="403"/>
      <c r="EW30" s="403"/>
      <c r="EX30" s="403"/>
      <c r="EY30" s="403"/>
      <c r="EZ30" s="403"/>
      <c r="FA30" s="403"/>
      <c r="FB30" s="403"/>
      <c r="FC30" s="403"/>
      <c r="FD30" s="403"/>
      <c r="FE30" s="403"/>
      <c r="FF30" s="403"/>
      <c r="FG30" s="403"/>
      <c r="FH30" s="403"/>
      <c r="FI30" s="403"/>
      <c r="FJ30" s="403"/>
      <c r="FK30" s="403"/>
      <c r="FL30" s="403"/>
      <c r="FM30" s="403"/>
      <c r="FN30" s="403"/>
      <c r="FO30" s="403"/>
      <c r="FP30" s="403"/>
      <c r="FQ30" s="403"/>
      <c r="FR30" s="403"/>
      <c r="FS30" s="403"/>
      <c r="FT30" s="403"/>
      <c r="FU30" s="403"/>
      <c r="FV30" s="403"/>
      <c r="FW30" s="403"/>
      <c r="FX30" s="403"/>
      <c r="FY30" s="403"/>
      <c r="FZ30" s="403"/>
      <c r="GA30" s="403"/>
      <c r="GB30" s="403"/>
      <c r="GC30" s="403"/>
      <c r="GD30" s="403"/>
      <c r="GE30" s="403"/>
      <c r="GF30" s="403"/>
      <c r="GG30" s="403"/>
      <c r="GH30" s="403"/>
      <c r="GI30" s="403"/>
      <c r="GJ30" s="403"/>
      <c r="GK30" s="403"/>
      <c r="GL30" s="403"/>
      <c r="GM30" s="403"/>
      <c r="GN30" s="403"/>
      <c r="GO30" s="403"/>
      <c r="GP30" s="403"/>
      <c r="GQ30" s="403"/>
      <c r="GR30" s="403"/>
      <c r="GS30" s="403"/>
      <c r="GT30" s="403"/>
      <c r="GU30" s="403"/>
      <c r="GV30" s="403"/>
      <c r="GW30" s="403"/>
      <c r="GX30" s="403"/>
      <c r="GY30" s="403"/>
      <c r="GZ30" s="403"/>
      <c r="HA30" s="403"/>
      <c r="HB30" s="403"/>
      <c r="HC30" s="403"/>
      <c r="HD30" s="403"/>
      <c r="HE30" s="403"/>
      <c r="HF30" s="403"/>
      <c r="HG30" s="403"/>
      <c r="HH30" s="403"/>
      <c r="HI30" s="403"/>
      <c r="HJ30" s="403"/>
      <c r="HK30" s="403"/>
      <c r="HL30" s="403"/>
      <c r="HM30" s="403"/>
      <c r="HN30" s="403"/>
      <c r="HO30" s="403"/>
      <c r="HP30" s="403"/>
      <c r="HQ30" s="403"/>
      <c r="HR30" s="403"/>
      <c r="HS30" s="403"/>
      <c r="HT30" s="403"/>
      <c r="HU30" s="403"/>
      <c r="HV30" s="403"/>
      <c r="HW30" s="403"/>
      <c r="HX30" s="403"/>
      <c r="HY30" s="403"/>
      <c r="HZ30" s="403"/>
      <c r="IA30" s="403"/>
      <c r="IB30" s="403"/>
      <c r="IC30" s="403"/>
      <c r="ID30" s="403"/>
      <c r="IE30" s="403"/>
      <c r="IF30" s="403"/>
      <c r="IG30" s="403"/>
      <c r="IH30" s="403"/>
      <c r="II30" s="403"/>
      <c r="IJ30" s="403"/>
      <c r="IK30" s="403"/>
      <c r="IL30" s="403"/>
      <c r="IM30" s="403"/>
      <c r="IN30" s="403"/>
      <c r="IO30" s="403"/>
      <c r="IP30" s="403"/>
      <c r="IQ30" s="403"/>
      <c r="IR30" s="403"/>
      <c r="IS30" s="403"/>
      <c r="IT30" s="403"/>
      <c r="IU30" s="403"/>
      <c r="IV30" s="403"/>
      <c r="IW30" s="403"/>
    </row>
    <row r="31" customFormat="false" ht="11.25" hidden="false" customHeight="false" outlineLevel="0" collapsed="false">
      <c r="A31" s="419"/>
      <c r="B31" s="403"/>
      <c r="C31" s="403"/>
      <c r="D31" s="403"/>
      <c r="E31" s="419"/>
      <c r="F31" s="403"/>
      <c r="G31" s="403"/>
      <c r="H31" s="403"/>
      <c r="I31" s="403"/>
      <c r="J31" s="403"/>
      <c r="K31" s="403"/>
      <c r="L31" s="403"/>
      <c r="M31" s="403"/>
      <c r="N31" s="403"/>
      <c r="O31" s="403"/>
      <c r="P31" s="403"/>
      <c r="Q31" s="403"/>
      <c r="R31" s="403"/>
      <c r="S31" s="403"/>
      <c r="T31" s="403"/>
      <c r="U31" s="403"/>
      <c r="V31" s="403"/>
      <c r="W31" s="403"/>
      <c r="X31" s="403"/>
      <c r="Y31" s="403"/>
      <c r="Z31" s="403"/>
      <c r="AA31" s="403"/>
      <c r="AB31" s="403"/>
      <c r="AC31" s="403"/>
      <c r="AD31" s="403"/>
      <c r="AE31" s="403"/>
      <c r="AF31" s="403"/>
      <c r="AG31" s="403"/>
      <c r="AH31" s="403"/>
      <c r="AI31" s="403"/>
      <c r="AJ31" s="403"/>
      <c r="AK31" s="403"/>
      <c r="AL31" s="403"/>
      <c r="AM31" s="403"/>
      <c r="AN31" s="403"/>
      <c r="AO31" s="403"/>
      <c r="AP31" s="403"/>
      <c r="AQ31" s="403"/>
      <c r="AR31" s="403"/>
      <c r="AS31" s="403"/>
      <c r="AT31" s="403"/>
      <c r="AU31" s="403"/>
      <c r="AV31" s="403"/>
      <c r="AW31" s="403"/>
      <c r="AX31" s="403"/>
      <c r="AY31" s="403"/>
      <c r="AZ31" s="403"/>
      <c r="BA31" s="403"/>
      <c r="BB31" s="403"/>
      <c r="BC31" s="403"/>
      <c r="BD31" s="403"/>
      <c r="BE31" s="403"/>
      <c r="BF31" s="403"/>
      <c r="BG31" s="403"/>
      <c r="BH31" s="403"/>
      <c r="BI31" s="403"/>
      <c r="BJ31" s="403"/>
      <c r="BK31" s="403"/>
      <c r="BL31" s="403"/>
      <c r="BM31" s="403"/>
      <c r="BN31" s="403"/>
      <c r="BO31" s="403"/>
      <c r="BP31" s="403"/>
      <c r="BQ31" s="403"/>
      <c r="BR31" s="403"/>
      <c r="BS31" s="403"/>
      <c r="BT31" s="403"/>
      <c r="BU31" s="403"/>
      <c r="BV31" s="403"/>
      <c r="BW31" s="403"/>
      <c r="BX31" s="403"/>
      <c r="BY31" s="403"/>
      <c r="BZ31" s="403"/>
      <c r="CA31" s="403"/>
      <c r="CB31" s="403"/>
      <c r="CC31" s="403"/>
      <c r="CD31" s="403"/>
      <c r="CE31" s="403"/>
      <c r="CF31" s="403"/>
      <c r="CG31" s="403"/>
      <c r="CH31" s="403"/>
      <c r="CI31" s="403"/>
      <c r="CJ31" s="403"/>
      <c r="CK31" s="403"/>
      <c r="CL31" s="403"/>
      <c r="CM31" s="403"/>
      <c r="CN31" s="403"/>
      <c r="CO31" s="403"/>
      <c r="CP31" s="403"/>
      <c r="CQ31" s="403"/>
      <c r="CR31" s="403"/>
      <c r="CS31" s="403"/>
      <c r="CT31" s="403"/>
      <c r="CU31" s="403"/>
      <c r="CV31" s="403"/>
      <c r="CW31" s="403"/>
      <c r="CX31" s="403"/>
      <c r="CY31" s="403"/>
      <c r="CZ31" s="403"/>
      <c r="DA31" s="403"/>
      <c r="DB31" s="403"/>
      <c r="DC31" s="403"/>
      <c r="DD31" s="403"/>
      <c r="DE31" s="403"/>
      <c r="DF31" s="403"/>
      <c r="DG31" s="403"/>
      <c r="DH31" s="403"/>
      <c r="DI31" s="403"/>
      <c r="DJ31" s="403"/>
      <c r="DK31" s="403"/>
      <c r="DL31" s="403"/>
      <c r="DM31" s="403"/>
      <c r="DN31" s="403"/>
      <c r="DO31" s="403"/>
      <c r="DP31" s="403"/>
      <c r="DQ31" s="403"/>
      <c r="DR31" s="403"/>
      <c r="DS31" s="403"/>
      <c r="DT31" s="403"/>
      <c r="DU31" s="403"/>
      <c r="DV31" s="403"/>
      <c r="DW31" s="403"/>
      <c r="DX31" s="403"/>
      <c r="DY31" s="403"/>
      <c r="DZ31" s="403"/>
      <c r="EA31" s="403"/>
      <c r="EB31" s="403"/>
      <c r="EC31" s="403"/>
      <c r="ED31" s="403"/>
      <c r="EE31" s="403"/>
      <c r="EF31" s="403"/>
      <c r="EG31" s="403"/>
      <c r="EH31" s="403"/>
      <c r="EI31" s="403"/>
      <c r="EJ31" s="403"/>
      <c r="EK31" s="403"/>
      <c r="EL31" s="403"/>
      <c r="EM31" s="403"/>
      <c r="EN31" s="403"/>
      <c r="EO31" s="403"/>
      <c r="EP31" s="403"/>
      <c r="EQ31" s="403"/>
      <c r="ER31" s="403"/>
      <c r="ES31" s="403"/>
      <c r="ET31" s="403"/>
      <c r="EU31" s="403"/>
      <c r="EV31" s="403"/>
      <c r="EW31" s="403"/>
      <c r="EX31" s="403"/>
      <c r="EY31" s="403"/>
      <c r="EZ31" s="403"/>
      <c r="FA31" s="403"/>
      <c r="FB31" s="403"/>
      <c r="FC31" s="403"/>
      <c r="FD31" s="403"/>
      <c r="FE31" s="403"/>
      <c r="FF31" s="403"/>
      <c r="FG31" s="403"/>
      <c r="FH31" s="403"/>
      <c r="FI31" s="403"/>
      <c r="FJ31" s="403"/>
      <c r="FK31" s="403"/>
      <c r="FL31" s="403"/>
      <c r="FM31" s="403"/>
      <c r="FN31" s="403"/>
      <c r="FO31" s="403"/>
      <c r="FP31" s="403"/>
      <c r="FQ31" s="403"/>
      <c r="FR31" s="403"/>
      <c r="FS31" s="403"/>
      <c r="FT31" s="403"/>
      <c r="FU31" s="403"/>
      <c r="FV31" s="403"/>
      <c r="FW31" s="403"/>
      <c r="FX31" s="403"/>
      <c r="FY31" s="403"/>
      <c r="FZ31" s="403"/>
      <c r="GA31" s="403"/>
      <c r="GB31" s="403"/>
      <c r="GC31" s="403"/>
      <c r="GD31" s="403"/>
      <c r="GE31" s="403"/>
      <c r="GF31" s="403"/>
      <c r="GG31" s="403"/>
      <c r="GH31" s="403"/>
      <c r="GI31" s="403"/>
      <c r="GJ31" s="403"/>
      <c r="GK31" s="403"/>
      <c r="GL31" s="403"/>
      <c r="GM31" s="403"/>
      <c r="GN31" s="403"/>
      <c r="GO31" s="403"/>
      <c r="GP31" s="403"/>
      <c r="GQ31" s="403"/>
      <c r="GR31" s="403"/>
      <c r="GS31" s="403"/>
      <c r="GT31" s="403"/>
      <c r="GU31" s="403"/>
      <c r="GV31" s="403"/>
      <c r="GW31" s="403"/>
      <c r="GX31" s="403"/>
      <c r="GY31" s="403"/>
      <c r="GZ31" s="403"/>
      <c r="HA31" s="403"/>
      <c r="HB31" s="403"/>
      <c r="HC31" s="403"/>
      <c r="HD31" s="403"/>
      <c r="HE31" s="403"/>
      <c r="HF31" s="403"/>
      <c r="HG31" s="403"/>
      <c r="HH31" s="403"/>
      <c r="HI31" s="403"/>
      <c r="HJ31" s="403"/>
      <c r="HK31" s="403"/>
      <c r="HL31" s="403"/>
      <c r="HM31" s="403"/>
      <c r="HN31" s="403"/>
      <c r="HO31" s="403"/>
      <c r="HP31" s="403"/>
      <c r="HQ31" s="403"/>
      <c r="HR31" s="403"/>
      <c r="HS31" s="403"/>
      <c r="HT31" s="403"/>
      <c r="HU31" s="403"/>
      <c r="HV31" s="403"/>
      <c r="HW31" s="403"/>
      <c r="HX31" s="403"/>
      <c r="HY31" s="403"/>
      <c r="HZ31" s="403"/>
      <c r="IA31" s="403"/>
      <c r="IB31" s="403"/>
      <c r="IC31" s="403"/>
      <c r="ID31" s="403"/>
      <c r="IE31" s="403"/>
      <c r="IF31" s="403"/>
      <c r="IG31" s="403"/>
      <c r="IH31" s="403"/>
      <c r="II31" s="403"/>
      <c r="IJ31" s="403"/>
      <c r="IK31" s="403"/>
      <c r="IL31" s="403"/>
      <c r="IM31" s="403"/>
      <c r="IN31" s="403"/>
      <c r="IO31" s="403"/>
      <c r="IP31" s="403"/>
      <c r="IQ31" s="403"/>
      <c r="IR31" s="403"/>
      <c r="IS31" s="403"/>
      <c r="IT31" s="403"/>
      <c r="IU31" s="403"/>
      <c r="IV31" s="403"/>
      <c r="IW31" s="403"/>
    </row>
    <row r="32" customFormat="false" ht="11.25" hidden="false" customHeight="false" outlineLevel="0" collapsed="false">
      <c r="A32" s="419"/>
      <c r="B32" s="403"/>
      <c r="C32" s="403"/>
      <c r="D32" s="403"/>
      <c r="E32" s="419"/>
      <c r="F32" s="403"/>
      <c r="G32" s="403"/>
      <c r="H32" s="403"/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  <c r="AB32" s="403"/>
      <c r="AC32" s="403"/>
      <c r="AD32" s="403"/>
      <c r="AE32" s="403"/>
      <c r="AF32" s="403"/>
      <c r="AG32" s="403"/>
      <c r="AH32" s="403"/>
      <c r="AI32" s="403"/>
      <c r="AJ32" s="403"/>
      <c r="AK32" s="403"/>
      <c r="AL32" s="403"/>
      <c r="AM32" s="403"/>
      <c r="AN32" s="403"/>
      <c r="AO32" s="403"/>
      <c r="AP32" s="403"/>
      <c r="AQ32" s="403"/>
      <c r="AR32" s="403"/>
      <c r="AS32" s="403"/>
      <c r="AT32" s="403"/>
      <c r="AU32" s="403"/>
      <c r="AV32" s="403"/>
      <c r="AW32" s="403"/>
      <c r="AX32" s="403"/>
      <c r="AY32" s="403"/>
      <c r="AZ32" s="403"/>
      <c r="BA32" s="403"/>
      <c r="BB32" s="403"/>
      <c r="BC32" s="403"/>
      <c r="BD32" s="403"/>
      <c r="BE32" s="403"/>
      <c r="BF32" s="403"/>
      <c r="BG32" s="403"/>
      <c r="BH32" s="403"/>
      <c r="BI32" s="403"/>
      <c r="BJ32" s="403"/>
      <c r="BK32" s="403"/>
      <c r="BL32" s="403"/>
      <c r="BM32" s="403"/>
      <c r="BN32" s="403"/>
      <c r="BO32" s="403"/>
      <c r="BP32" s="403"/>
      <c r="BQ32" s="403"/>
      <c r="BR32" s="403"/>
      <c r="BS32" s="403"/>
      <c r="BT32" s="403"/>
      <c r="BU32" s="403"/>
      <c r="BV32" s="403"/>
      <c r="BW32" s="403"/>
      <c r="BX32" s="403"/>
      <c r="BY32" s="403"/>
      <c r="BZ32" s="403"/>
      <c r="CA32" s="403"/>
      <c r="CB32" s="403"/>
      <c r="CC32" s="403"/>
      <c r="CD32" s="403"/>
      <c r="CE32" s="403"/>
      <c r="CF32" s="403"/>
      <c r="CG32" s="403"/>
      <c r="CH32" s="403"/>
      <c r="CI32" s="403"/>
      <c r="CJ32" s="403"/>
      <c r="CK32" s="403"/>
      <c r="CL32" s="403"/>
      <c r="CM32" s="403"/>
      <c r="CN32" s="403"/>
      <c r="CO32" s="403"/>
      <c r="CP32" s="403"/>
      <c r="CQ32" s="403"/>
      <c r="CR32" s="403"/>
      <c r="CS32" s="403"/>
      <c r="CT32" s="403"/>
      <c r="CU32" s="403"/>
      <c r="CV32" s="403"/>
      <c r="CW32" s="403"/>
      <c r="CX32" s="403"/>
      <c r="CY32" s="403"/>
      <c r="CZ32" s="403"/>
      <c r="DA32" s="403"/>
      <c r="DB32" s="403"/>
      <c r="DC32" s="403"/>
      <c r="DD32" s="403"/>
      <c r="DE32" s="403"/>
      <c r="DF32" s="403"/>
      <c r="DG32" s="403"/>
      <c r="DH32" s="403"/>
      <c r="DI32" s="403"/>
      <c r="DJ32" s="403"/>
      <c r="DK32" s="403"/>
      <c r="DL32" s="403"/>
      <c r="DM32" s="403"/>
      <c r="DN32" s="403"/>
      <c r="DO32" s="403"/>
      <c r="DP32" s="403"/>
      <c r="DQ32" s="403"/>
      <c r="DR32" s="403"/>
      <c r="DS32" s="403"/>
      <c r="DT32" s="403"/>
      <c r="DU32" s="403"/>
      <c r="DV32" s="403"/>
      <c r="DW32" s="403"/>
      <c r="DX32" s="403"/>
      <c r="DY32" s="403"/>
      <c r="DZ32" s="403"/>
      <c r="EA32" s="403"/>
      <c r="EB32" s="403"/>
      <c r="EC32" s="403"/>
      <c r="ED32" s="403"/>
      <c r="EE32" s="403"/>
      <c r="EF32" s="403"/>
      <c r="EG32" s="403"/>
      <c r="EH32" s="403"/>
      <c r="EI32" s="403"/>
      <c r="EJ32" s="403"/>
      <c r="EK32" s="403"/>
      <c r="EL32" s="403"/>
      <c r="EM32" s="403"/>
      <c r="EN32" s="403"/>
      <c r="EO32" s="403"/>
      <c r="EP32" s="403"/>
      <c r="EQ32" s="403"/>
      <c r="ER32" s="403"/>
      <c r="ES32" s="403"/>
      <c r="ET32" s="403"/>
      <c r="EU32" s="403"/>
      <c r="EV32" s="403"/>
      <c r="EW32" s="403"/>
      <c r="EX32" s="403"/>
      <c r="EY32" s="403"/>
      <c r="EZ32" s="403"/>
      <c r="FA32" s="403"/>
      <c r="FB32" s="403"/>
      <c r="FC32" s="403"/>
      <c r="FD32" s="403"/>
      <c r="FE32" s="403"/>
      <c r="FF32" s="403"/>
      <c r="FG32" s="403"/>
      <c r="FH32" s="403"/>
      <c r="FI32" s="403"/>
      <c r="FJ32" s="403"/>
      <c r="FK32" s="403"/>
      <c r="FL32" s="403"/>
      <c r="FM32" s="403"/>
      <c r="FN32" s="403"/>
      <c r="FO32" s="403"/>
      <c r="FP32" s="403"/>
      <c r="FQ32" s="403"/>
      <c r="FR32" s="403"/>
      <c r="FS32" s="403"/>
      <c r="FT32" s="403"/>
      <c r="FU32" s="403"/>
      <c r="FV32" s="403"/>
      <c r="FW32" s="403"/>
      <c r="FX32" s="403"/>
      <c r="FY32" s="403"/>
      <c r="FZ32" s="403"/>
      <c r="GA32" s="403"/>
      <c r="GB32" s="403"/>
      <c r="GC32" s="403"/>
      <c r="GD32" s="403"/>
      <c r="GE32" s="403"/>
      <c r="GF32" s="403"/>
      <c r="GG32" s="403"/>
      <c r="GH32" s="403"/>
      <c r="GI32" s="403"/>
      <c r="GJ32" s="403"/>
      <c r="GK32" s="403"/>
      <c r="GL32" s="403"/>
      <c r="GM32" s="403"/>
      <c r="GN32" s="403"/>
      <c r="GO32" s="403"/>
      <c r="GP32" s="403"/>
      <c r="GQ32" s="403"/>
      <c r="GR32" s="403"/>
      <c r="GS32" s="403"/>
      <c r="GT32" s="403"/>
      <c r="GU32" s="403"/>
      <c r="GV32" s="403"/>
      <c r="GW32" s="403"/>
      <c r="GX32" s="403"/>
      <c r="GY32" s="403"/>
      <c r="GZ32" s="403"/>
      <c r="HA32" s="403"/>
      <c r="HB32" s="403"/>
      <c r="HC32" s="403"/>
      <c r="HD32" s="403"/>
      <c r="HE32" s="403"/>
      <c r="HF32" s="403"/>
      <c r="HG32" s="403"/>
      <c r="HH32" s="403"/>
      <c r="HI32" s="403"/>
      <c r="HJ32" s="403"/>
      <c r="HK32" s="403"/>
      <c r="HL32" s="403"/>
      <c r="HM32" s="403"/>
      <c r="HN32" s="403"/>
      <c r="HO32" s="403"/>
      <c r="HP32" s="403"/>
      <c r="HQ32" s="403"/>
      <c r="HR32" s="403"/>
      <c r="HS32" s="403"/>
      <c r="HT32" s="403"/>
      <c r="HU32" s="403"/>
      <c r="HV32" s="403"/>
      <c r="HW32" s="403"/>
      <c r="HX32" s="403"/>
      <c r="HY32" s="403"/>
      <c r="HZ32" s="403"/>
      <c r="IA32" s="403"/>
      <c r="IB32" s="403"/>
      <c r="IC32" s="403"/>
      <c r="ID32" s="403"/>
      <c r="IE32" s="403"/>
      <c r="IF32" s="403"/>
      <c r="IG32" s="403"/>
      <c r="IH32" s="403"/>
      <c r="II32" s="403"/>
      <c r="IJ32" s="403"/>
      <c r="IK32" s="403"/>
      <c r="IL32" s="403"/>
      <c r="IM32" s="403"/>
      <c r="IN32" s="403"/>
      <c r="IO32" s="403"/>
      <c r="IP32" s="403"/>
      <c r="IQ32" s="403"/>
      <c r="IR32" s="403"/>
      <c r="IS32" s="403"/>
      <c r="IT32" s="403"/>
      <c r="IU32" s="403"/>
      <c r="IV32" s="403"/>
      <c r="IW32" s="403"/>
    </row>
    <row r="33" customFormat="false" ht="11.25" hidden="false" customHeight="false" outlineLevel="0" collapsed="false">
      <c r="A33" s="419"/>
      <c r="B33" s="403"/>
      <c r="C33" s="403"/>
      <c r="D33" s="403"/>
      <c r="E33" s="419"/>
      <c r="F33" s="403"/>
      <c r="G33" s="403"/>
      <c r="H33" s="403"/>
      <c r="I33" s="403"/>
      <c r="J33" s="403"/>
      <c r="K33" s="403"/>
      <c r="L33" s="403"/>
      <c r="M33" s="403"/>
      <c r="N33" s="403"/>
      <c r="O33" s="403"/>
      <c r="P33" s="403"/>
      <c r="Q33" s="403"/>
      <c r="R33" s="403"/>
      <c r="S33" s="403"/>
      <c r="T33" s="403"/>
      <c r="U33" s="403"/>
      <c r="V33" s="403"/>
      <c r="W33" s="403"/>
      <c r="X33" s="403"/>
      <c r="Y33" s="403"/>
      <c r="Z33" s="403"/>
      <c r="AA33" s="403"/>
      <c r="AB33" s="403"/>
      <c r="AC33" s="403"/>
      <c r="AD33" s="403"/>
      <c r="AE33" s="403"/>
      <c r="AF33" s="403"/>
      <c r="AG33" s="403"/>
      <c r="AH33" s="403"/>
      <c r="AI33" s="403"/>
      <c r="AJ33" s="403"/>
      <c r="AK33" s="403"/>
      <c r="AL33" s="403"/>
      <c r="AM33" s="403"/>
      <c r="AN33" s="403"/>
      <c r="AO33" s="403"/>
      <c r="AP33" s="403"/>
      <c r="AQ33" s="403"/>
      <c r="AR33" s="403"/>
      <c r="AS33" s="403"/>
      <c r="AT33" s="403"/>
      <c r="AU33" s="403"/>
      <c r="AV33" s="403"/>
      <c r="AW33" s="403"/>
      <c r="AX33" s="403"/>
      <c r="AY33" s="403"/>
      <c r="AZ33" s="403"/>
      <c r="BA33" s="403"/>
      <c r="BB33" s="403"/>
      <c r="BC33" s="403"/>
      <c r="BD33" s="403"/>
      <c r="BE33" s="403"/>
      <c r="BF33" s="403"/>
      <c r="BG33" s="403"/>
      <c r="BH33" s="403"/>
      <c r="BI33" s="403"/>
      <c r="BJ33" s="403"/>
      <c r="BK33" s="403"/>
      <c r="BL33" s="403"/>
      <c r="BM33" s="403"/>
      <c r="BN33" s="403"/>
      <c r="BO33" s="403"/>
      <c r="BP33" s="403"/>
      <c r="BQ33" s="403"/>
      <c r="BR33" s="403"/>
      <c r="BS33" s="403"/>
      <c r="BT33" s="403"/>
      <c r="BU33" s="403"/>
      <c r="BV33" s="403"/>
      <c r="BW33" s="403"/>
      <c r="BX33" s="403"/>
      <c r="BY33" s="403"/>
      <c r="BZ33" s="403"/>
      <c r="CA33" s="403"/>
      <c r="CB33" s="403"/>
      <c r="CC33" s="403"/>
      <c r="CD33" s="403"/>
      <c r="CE33" s="403"/>
      <c r="CF33" s="403"/>
      <c r="CG33" s="403"/>
      <c r="CH33" s="403"/>
      <c r="CI33" s="403"/>
      <c r="CJ33" s="403"/>
      <c r="CK33" s="403"/>
      <c r="CL33" s="403"/>
      <c r="CM33" s="403"/>
      <c r="CN33" s="403"/>
      <c r="CO33" s="403"/>
      <c r="CP33" s="403"/>
      <c r="CQ33" s="403"/>
      <c r="CR33" s="403"/>
      <c r="CS33" s="403"/>
      <c r="CT33" s="403"/>
      <c r="CU33" s="403"/>
      <c r="CV33" s="403"/>
      <c r="CW33" s="403"/>
      <c r="CX33" s="403"/>
      <c r="CY33" s="403"/>
      <c r="CZ33" s="403"/>
      <c r="DA33" s="403"/>
      <c r="DB33" s="403"/>
      <c r="DC33" s="403"/>
      <c r="DD33" s="403"/>
      <c r="DE33" s="403"/>
      <c r="DF33" s="403"/>
      <c r="DG33" s="403"/>
      <c r="DH33" s="403"/>
      <c r="DI33" s="403"/>
      <c r="DJ33" s="403"/>
      <c r="DK33" s="403"/>
      <c r="DL33" s="403"/>
      <c r="DM33" s="403"/>
      <c r="DN33" s="403"/>
      <c r="DO33" s="403"/>
      <c r="DP33" s="403"/>
      <c r="DQ33" s="403"/>
      <c r="DR33" s="403"/>
      <c r="DS33" s="403"/>
      <c r="DT33" s="403"/>
      <c r="DU33" s="403"/>
      <c r="DV33" s="403"/>
      <c r="DW33" s="403"/>
      <c r="DX33" s="403"/>
      <c r="DY33" s="403"/>
      <c r="DZ33" s="403"/>
      <c r="EA33" s="403"/>
      <c r="EB33" s="403"/>
      <c r="EC33" s="403"/>
      <c r="ED33" s="403"/>
      <c r="EE33" s="403"/>
      <c r="EF33" s="403"/>
      <c r="EG33" s="403"/>
      <c r="EH33" s="403"/>
      <c r="EI33" s="403"/>
      <c r="EJ33" s="403"/>
      <c r="EK33" s="403"/>
      <c r="EL33" s="403"/>
      <c r="EM33" s="403"/>
      <c r="EN33" s="403"/>
      <c r="EO33" s="403"/>
      <c r="EP33" s="403"/>
      <c r="EQ33" s="403"/>
      <c r="ER33" s="403"/>
      <c r="ES33" s="403"/>
      <c r="ET33" s="403"/>
      <c r="EU33" s="403"/>
      <c r="EV33" s="403"/>
      <c r="EW33" s="403"/>
      <c r="EX33" s="403"/>
      <c r="EY33" s="403"/>
      <c r="EZ33" s="403"/>
      <c r="FA33" s="403"/>
      <c r="FB33" s="403"/>
      <c r="FC33" s="403"/>
      <c r="FD33" s="403"/>
      <c r="FE33" s="403"/>
      <c r="FF33" s="403"/>
      <c r="FG33" s="403"/>
      <c r="FH33" s="403"/>
      <c r="FI33" s="403"/>
      <c r="FJ33" s="403"/>
      <c r="FK33" s="403"/>
      <c r="FL33" s="403"/>
      <c r="FM33" s="403"/>
      <c r="FN33" s="403"/>
      <c r="FO33" s="403"/>
      <c r="FP33" s="403"/>
      <c r="FQ33" s="403"/>
      <c r="FR33" s="403"/>
      <c r="FS33" s="403"/>
      <c r="FT33" s="403"/>
      <c r="FU33" s="403"/>
      <c r="FV33" s="403"/>
      <c r="FW33" s="403"/>
      <c r="FX33" s="403"/>
      <c r="FY33" s="403"/>
      <c r="FZ33" s="403"/>
      <c r="GA33" s="403"/>
      <c r="GB33" s="403"/>
      <c r="GC33" s="403"/>
      <c r="GD33" s="403"/>
      <c r="GE33" s="403"/>
      <c r="GF33" s="403"/>
      <c r="GG33" s="403"/>
      <c r="GH33" s="403"/>
      <c r="GI33" s="403"/>
      <c r="GJ33" s="403"/>
      <c r="GK33" s="403"/>
      <c r="GL33" s="403"/>
      <c r="GM33" s="403"/>
      <c r="GN33" s="403"/>
      <c r="GO33" s="403"/>
      <c r="GP33" s="403"/>
      <c r="GQ33" s="403"/>
      <c r="GR33" s="403"/>
      <c r="GS33" s="403"/>
      <c r="GT33" s="403"/>
      <c r="GU33" s="403"/>
      <c r="GV33" s="403"/>
      <c r="GW33" s="403"/>
      <c r="GX33" s="403"/>
      <c r="GY33" s="403"/>
      <c r="GZ33" s="403"/>
      <c r="HA33" s="403"/>
      <c r="HB33" s="403"/>
      <c r="HC33" s="403"/>
      <c r="HD33" s="403"/>
      <c r="HE33" s="403"/>
      <c r="HF33" s="403"/>
      <c r="HG33" s="403"/>
      <c r="HH33" s="403"/>
      <c r="HI33" s="403"/>
      <c r="HJ33" s="403"/>
      <c r="HK33" s="403"/>
      <c r="HL33" s="403"/>
      <c r="HM33" s="403"/>
      <c r="HN33" s="403"/>
      <c r="HO33" s="403"/>
      <c r="HP33" s="403"/>
      <c r="HQ33" s="403"/>
      <c r="HR33" s="403"/>
      <c r="HS33" s="403"/>
      <c r="HT33" s="403"/>
      <c r="HU33" s="403"/>
      <c r="HV33" s="403"/>
      <c r="HW33" s="403"/>
      <c r="HX33" s="403"/>
      <c r="HY33" s="403"/>
      <c r="HZ33" s="403"/>
      <c r="IA33" s="403"/>
      <c r="IB33" s="403"/>
      <c r="IC33" s="403"/>
      <c r="ID33" s="403"/>
      <c r="IE33" s="403"/>
      <c r="IF33" s="403"/>
      <c r="IG33" s="403"/>
      <c r="IH33" s="403"/>
      <c r="II33" s="403"/>
      <c r="IJ33" s="403"/>
      <c r="IK33" s="403"/>
      <c r="IL33" s="403"/>
      <c r="IM33" s="403"/>
      <c r="IN33" s="403"/>
      <c r="IO33" s="403"/>
      <c r="IP33" s="403"/>
      <c r="IQ33" s="403"/>
      <c r="IR33" s="403"/>
      <c r="IS33" s="403"/>
      <c r="IT33" s="403"/>
      <c r="IU33" s="403"/>
      <c r="IV33" s="403"/>
      <c r="IW33" s="403"/>
    </row>
    <row r="34" customFormat="false" ht="11.25" hidden="false" customHeight="false" outlineLevel="0" collapsed="false">
      <c r="A34" s="419"/>
      <c r="B34" s="403"/>
      <c r="C34" s="403"/>
      <c r="D34" s="403"/>
      <c r="E34" s="419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3"/>
      <c r="W34" s="403"/>
      <c r="X34" s="403"/>
      <c r="Y34" s="403"/>
      <c r="Z34" s="403"/>
      <c r="AA34" s="403"/>
      <c r="AB34" s="403"/>
      <c r="AC34" s="403"/>
      <c r="AD34" s="403"/>
      <c r="AE34" s="403"/>
      <c r="AF34" s="403"/>
      <c r="AG34" s="403"/>
      <c r="AH34" s="403"/>
      <c r="AI34" s="403"/>
      <c r="AJ34" s="403"/>
      <c r="AK34" s="403"/>
      <c r="AL34" s="403"/>
      <c r="AM34" s="403"/>
      <c r="AN34" s="403"/>
      <c r="AO34" s="403"/>
      <c r="AP34" s="403"/>
      <c r="AQ34" s="403"/>
      <c r="AR34" s="403"/>
      <c r="AS34" s="403"/>
      <c r="AT34" s="403"/>
      <c r="AU34" s="403"/>
      <c r="AV34" s="403"/>
      <c r="AW34" s="403"/>
      <c r="AX34" s="403"/>
      <c r="AY34" s="403"/>
      <c r="AZ34" s="403"/>
      <c r="BA34" s="403"/>
      <c r="BB34" s="403"/>
      <c r="BC34" s="403"/>
      <c r="BD34" s="403"/>
      <c r="BE34" s="403"/>
      <c r="BF34" s="403"/>
      <c r="BG34" s="403"/>
      <c r="BH34" s="403"/>
      <c r="BI34" s="403"/>
      <c r="BJ34" s="403"/>
      <c r="BK34" s="403"/>
      <c r="BL34" s="403"/>
      <c r="BM34" s="403"/>
      <c r="BN34" s="403"/>
      <c r="BO34" s="403"/>
      <c r="BP34" s="403"/>
      <c r="BQ34" s="403"/>
      <c r="BR34" s="403"/>
      <c r="BS34" s="403"/>
      <c r="BT34" s="403"/>
      <c r="BU34" s="403"/>
      <c r="BV34" s="403"/>
      <c r="BW34" s="403"/>
      <c r="BX34" s="403"/>
      <c r="BY34" s="403"/>
      <c r="BZ34" s="403"/>
      <c r="CA34" s="403"/>
      <c r="CB34" s="403"/>
      <c r="CC34" s="403"/>
      <c r="CD34" s="403"/>
      <c r="CE34" s="403"/>
      <c r="CF34" s="403"/>
      <c r="CG34" s="403"/>
      <c r="CH34" s="403"/>
      <c r="CI34" s="403"/>
      <c r="CJ34" s="403"/>
      <c r="CK34" s="403"/>
      <c r="CL34" s="403"/>
      <c r="CM34" s="403"/>
      <c r="CN34" s="403"/>
      <c r="CO34" s="403"/>
      <c r="CP34" s="403"/>
      <c r="CQ34" s="403"/>
      <c r="CR34" s="403"/>
      <c r="CS34" s="403"/>
      <c r="CT34" s="403"/>
      <c r="CU34" s="403"/>
      <c r="CV34" s="403"/>
      <c r="CW34" s="403"/>
      <c r="CX34" s="403"/>
      <c r="CY34" s="403"/>
      <c r="CZ34" s="403"/>
      <c r="DA34" s="403"/>
      <c r="DB34" s="403"/>
      <c r="DC34" s="403"/>
      <c r="DD34" s="403"/>
      <c r="DE34" s="403"/>
      <c r="DF34" s="403"/>
      <c r="DG34" s="403"/>
      <c r="DH34" s="403"/>
      <c r="DI34" s="403"/>
      <c r="DJ34" s="403"/>
      <c r="DK34" s="403"/>
      <c r="DL34" s="403"/>
      <c r="DM34" s="403"/>
      <c r="DN34" s="403"/>
      <c r="DO34" s="403"/>
      <c r="DP34" s="403"/>
      <c r="DQ34" s="403"/>
      <c r="DR34" s="403"/>
      <c r="DS34" s="403"/>
      <c r="DT34" s="403"/>
      <c r="DU34" s="403"/>
      <c r="DV34" s="403"/>
      <c r="DW34" s="403"/>
      <c r="DX34" s="403"/>
      <c r="DY34" s="403"/>
      <c r="DZ34" s="403"/>
      <c r="EA34" s="403"/>
      <c r="EB34" s="403"/>
      <c r="EC34" s="403"/>
      <c r="ED34" s="403"/>
      <c r="EE34" s="403"/>
      <c r="EF34" s="403"/>
      <c r="EG34" s="403"/>
      <c r="EH34" s="403"/>
      <c r="EI34" s="403"/>
      <c r="EJ34" s="403"/>
      <c r="EK34" s="403"/>
      <c r="EL34" s="403"/>
      <c r="EM34" s="403"/>
      <c r="EN34" s="403"/>
      <c r="EO34" s="403"/>
      <c r="EP34" s="403"/>
      <c r="EQ34" s="403"/>
      <c r="ER34" s="403"/>
      <c r="ES34" s="403"/>
      <c r="ET34" s="403"/>
      <c r="EU34" s="403"/>
      <c r="EV34" s="403"/>
      <c r="EW34" s="403"/>
      <c r="EX34" s="403"/>
      <c r="EY34" s="403"/>
      <c r="EZ34" s="403"/>
      <c r="FA34" s="403"/>
      <c r="FB34" s="403"/>
      <c r="FC34" s="403"/>
      <c r="FD34" s="403"/>
      <c r="FE34" s="403"/>
      <c r="FF34" s="403"/>
      <c r="FG34" s="403"/>
      <c r="FH34" s="403"/>
      <c r="FI34" s="403"/>
      <c r="FJ34" s="403"/>
      <c r="FK34" s="403"/>
      <c r="FL34" s="403"/>
      <c r="FM34" s="403"/>
      <c r="FN34" s="403"/>
      <c r="FO34" s="403"/>
      <c r="FP34" s="403"/>
      <c r="FQ34" s="403"/>
      <c r="FR34" s="403"/>
      <c r="FS34" s="403"/>
      <c r="FT34" s="403"/>
      <c r="FU34" s="403"/>
      <c r="FV34" s="403"/>
      <c r="FW34" s="403"/>
      <c r="FX34" s="403"/>
      <c r="FY34" s="403"/>
      <c r="FZ34" s="403"/>
      <c r="GA34" s="403"/>
      <c r="GB34" s="403"/>
      <c r="GC34" s="403"/>
      <c r="GD34" s="403"/>
      <c r="GE34" s="403"/>
      <c r="GF34" s="403"/>
      <c r="GG34" s="403"/>
      <c r="GH34" s="403"/>
      <c r="GI34" s="403"/>
      <c r="GJ34" s="403"/>
      <c r="GK34" s="403"/>
      <c r="GL34" s="403"/>
      <c r="GM34" s="403"/>
      <c r="GN34" s="403"/>
      <c r="GO34" s="403"/>
      <c r="GP34" s="403"/>
      <c r="GQ34" s="403"/>
      <c r="GR34" s="403"/>
      <c r="GS34" s="403"/>
      <c r="GT34" s="403"/>
      <c r="GU34" s="403"/>
      <c r="GV34" s="403"/>
      <c r="GW34" s="403"/>
      <c r="GX34" s="403"/>
      <c r="GY34" s="403"/>
      <c r="GZ34" s="403"/>
      <c r="HA34" s="403"/>
      <c r="HB34" s="403"/>
      <c r="HC34" s="403"/>
      <c r="HD34" s="403"/>
      <c r="HE34" s="403"/>
      <c r="HF34" s="403"/>
      <c r="HG34" s="403"/>
      <c r="HH34" s="403"/>
      <c r="HI34" s="403"/>
      <c r="HJ34" s="403"/>
      <c r="HK34" s="403"/>
      <c r="HL34" s="403"/>
      <c r="HM34" s="403"/>
      <c r="HN34" s="403"/>
      <c r="HO34" s="403"/>
      <c r="HP34" s="403"/>
      <c r="HQ34" s="403"/>
      <c r="HR34" s="403"/>
      <c r="HS34" s="403"/>
      <c r="HT34" s="403"/>
      <c r="HU34" s="403"/>
      <c r="HV34" s="403"/>
      <c r="HW34" s="403"/>
      <c r="HX34" s="403"/>
      <c r="HY34" s="403"/>
      <c r="HZ34" s="403"/>
      <c r="IA34" s="403"/>
      <c r="IB34" s="403"/>
      <c r="IC34" s="403"/>
      <c r="ID34" s="403"/>
      <c r="IE34" s="403"/>
      <c r="IF34" s="403"/>
      <c r="IG34" s="403"/>
      <c r="IH34" s="403"/>
      <c r="II34" s="403"/>
      <c r="IJ34" s="403"/>
      <c r="IK34" s="403"/>
      <c r="IL34" s="403"/>
      <c r="IM34" s="403"/>
      <c r="IN34" s="403"/>
      <c r="IO34" s="403"/>
      <c r="IP34" s="403"/>
      <c r="IQ34" s="403"/>
      <c r="IR34" s="403"/>
      <c r="IS34" s="403"/>
      <c r="IT34" s="403"/>
      <c r="IU34" s="403"/>
      <c r="IV34" s="403"/>
      <c r="IW34" s="403"/>
    </row>
    <row r="35" customFormat="false" ht="11.25" hidden="false" customHeight="false" outlineLevel="0" collapsed="false">
      <c r="A35" s="419"/>
      <c r="B35" s="403"/>
      <c r="C35" s="403"/>
      <c r="D35" s="403"/>
      <c r="E35" s="419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3"/>
      <c r="W35" s="403"/>
      <c r="X35" s="403"/>
      <c r="Y35" s="403"/>
      <c r="Z35" s="403"/>
      <c r="AA35" s="403"/>
      <c r="AB35" s="403"/>
      <c r="AC35" s="403"/>
      <c r="AD35" s="403"/>
      <c r="AE35" s="403"/>
      <c r="AF35" s="403"/>
      <c r="AG35" s="403"/>
      <c r="AH35" s="403"/>
      <c r="AI35" s="403"/>
      <c r="AJ35" s="403"/>
      <c r="AK35" s="403"/>
      <c r="AL35" s="403"/>
      <c r="AM35" s="403"/>
      <c r="AN35" s="403"/>
      <c r="AO35" s="403"/>
      <c r="AP35" s="403"/>
      <c r="AQ35" s="403"/>
      <c r="AR35" s="403"/>
      <c r="AS35" s="403"/>
      <c r="AT35" s="403"/>
      <c r="AU35" s="403"/>
      <c r="AV35" s="403"/>
      <c r="AW35" s="403"/>
      <c r="AX35" s="403"/>
      <c r="AY35" s="403"/>
      <c r="AZ35" s="403"/>
      <c r="BA35" s="403"/>
      <c r="BB35" s="403"/>
      <c r="BC35" s="403"/>
      <c r="BD35" s="403"/>
      <c r="BE35" s="403"/>
      <c r="BF35" s="403"/>
      <c r="BG35" s="403"/>
      <c r="BH35" s="403"/>
      <c r="BI35" s="403"/>
      <c r="BJ35" s="403"/>
      <c r="BK35" s="403"/>
      <c r="BL35" s="403"/>
      <c r="BM35" s="403"/>
      <c r="BN35" s="403"/>
      <c r="BO35" s="403"/>
      <c r="BP35" s="403"/>
      <c r="BQ35" s="403"/>
      <c r="BR35" s="403"/>
      <c r="BS35" s="403"/>
      <c r="BT35" s="403"/>
      <c r="BU35" s="403"/>
      <c r="BV35" s="403"/>
      <c r="BW35" s="403"/>
      <c r="BX35" s="403"/>
      <c r="BY35" s="403"/>
      <c r="BZ35" s="403"/>
      <c r="CA35" s="403"/>
      <c r="CB35" s="403"/>
      <c r="CC35" s="403"/>
      <c r="CD35" s="403"/>
      <c r="CE35" s="403"/>
      <c r="CF35" s="403"/>
      <c r="CG35" s="403"/>
      <c r="CH35" s="403"/>
      <c r="CI35" s="403"/>
      <c r="CJ35" s="403"/>
      <c r="CK35" s="403"/>
      <c r="CL35" s="403"/>
      <c r="CM35" s="403"/>
      <c r="CN35" s="403"/>
      <c r="CO35" s="403"/>
      <c r="CP35" s="403"/>
      <c r="CQ35" s="403"/>
      <c r="CR35" s="403"/>
      <c r="CS35" s="403"/>
      <c r="CT35" s="403"/>
      <c r="CU35" s="403"/>
      <c r="CV35" s="403"/>
      <c r="CW35" s="403"/>
      <c r="CX35" s="403"/>
      <c r="CY35" s="403"/>
      <c r="CZ35" s="403"/>
      <c r="DA35" s="403"/>
      <c r="DB35" s="403"/>
      <c r="DC35" s="403"/>
      <c r="DD35" s="403"/>
      <c r="DE35" s="403"/>
      <c r="DF35" s="403"/>
      <c r="DG35" s="403"/>
      <c r="DH35" s="403"/>
      <c r="DI35" s="403"/>
      <c r="DJ35" s="403"/>
      <c r="DK35" s="403"/>
      <c r="DL35" s="403"/>
      <c r="DM35" s="403"/>
      <c r="DN35" s="403"/>
      <c r="DO35" s="403"/>
      <c r="DP35" s="403"/>
      <c r="DQ35" s="403"/>
      <c r="DR35" s="403"/>
      <c r="DS35" s="403"/>
      <c r="DT35" s="403"/>
      <c r="DU35" s="403"/>
      <c r="DV35" s="403"/>
      <c r="DW35" s="403"/>
      <c r="DX35" s="403"/>
      <c r="DY35" s="403"/>
      <c r="DZ35" s="403"/>
      <c r="EA35" s="403"/>
      <c r="EB35" s="403"/>
      <c r="EC35" s="403"/>
      <c r="ED35" s="403"/>
      <c r="EE35" s="403"/>
      <c r="EF35" s="403"/>
      <c r="EG35" s="403"/>
      <c r="EH35" s="403"/>
      <c r="EI35" s="403"/>
      <c r="EJ35" s="403"/>
      <c r="EK35" s="403"/>
      <c r="EL35" s="403"/>
      <c r="EM35" s="403"/>
      <c r="EN35" s="403"/>
      <c r="EO35" s="403"/>
      <c r="EP35" s="403"/>
      <c r="EQ35" s="403"/>
      <c r="ER35" s="403"/>
      <c r="ES35" s="403"/>
      <c r="ET35" s="403"/>
      <c r="EU35" s="403"/>
      <c r="EV35" s="403"/>
      <c r="EW35" s="403"/>
      <c r="EX35" s="403"/>
      <c r="EY35" s="403"/>
      <c r="EZ35" s="403"/>
      <c r="FA35" s="403"/>
      <c r="FB35" s="403"/>
      <c r="FC35" s="403"/>
      <c r="FD35" s="403"/>
      <c r="FE35" s="403"/>
      <c r="FF35" s="403"/>
      <c r="FG35" s="403"/>
      <c r="FH35" s="403"/>
      <c r="FI35" s="403"/>
      <c r="FJ35" s="403"/>
      <c r="FK35" s="403"/>
      <c r="FL35" s="403"/>
      <c r="FM35" s="403"/>
      <c r="FN35" s="403"/>
      <c r="FO35" s="403"/>
      <c r="FP35" s="403"/>
      <c r="FQ35" s="403"/>
      <c r="FR35" s="403"/>
      <c r="FS35" s="403"/>
      <c r="FT35" s="403"/>
      <c r="FU35" s="403"/>
      <c r="FV35" s="403"/>
      <c r="FW35" s="403"/>
      <c r="FX35" s="403"/>
      <c r="FY35" s="403"/>
      <c r="FZ35" s="403"/>
      <c r="GA35" s="403"/>
      <c r="GB35" s="403"/>
      <c r="GC35" s="403"/>
      <c r="GD35" s="403"/>
      <c r="GE35" s="403"/>
      <c r="GF35" s="403"/>
      <c r="GG35" s="403"/>
      <c r="GH35" s="403"/>
      <c r="GI35" s="403"/>
      <c r="GJ35" s="403"/>
      <c r="GK35" s="403"/>
      <c r="GL35" s="403"/>
      <c r="GM35" s="403"/>
      <c r="GN35" s="403"/>
      <c r="GO35" s="403"/>
      <c r="GP35" s="403"/>
      <c r="GQ35" s="403"/>
      <c r="GR35" s="403"/>
      <c r="GS35" s="403"/>
      <c r="GT35" s="403"/>
      <c r="GU35" s="403"/>
      <c r="GV35" s="403"/>
      <c r="GW35" s="403"/>
      <c r="GX35" s="403"/>
      <c r="GY35" s="403"/>
      <c r="GZ35" s="403"/>
      <c r="HA35" s="403"/>
      <c r="HB35" s="403"/>
      <c r="HC35" s="403"/>
      <c r="HD35" s="403"/>
      <c r="HE35" s="403"/>
      <c r="HF35" s="403"/>
      <c r="HG35" s="403"/>
      <c r="HH35" s="403"/>
      <c r="HI35" s="403"/>
      <c r="HJ35" s="403"/>
      <c r="HK35" s="403"/>
      <c r="HL35" s="403"/>
      <c r="HM35" s="403"/>
      <c r="HN35" s="403"/>
      <c r="HO35" s="403"/>
      <c r="HP35" s="403"/>
      <c r="HQ35" s="403"/>
      <c r="HR35" s="403"/>
      <c r="HS35" s="403"/>
      <c r="HT35" s="403"/>
      <c r="HU35" s="403"/>
      <c r="HV35" s="403"/>
      <c r="HW35" s="403"/>
      <c r="HX35" s="403"/>
      <c r="HY35" s="403"/>
      <c r="HZ35" s="403"/>
      <c r="IA35" s="403"/>
      <c r="IB35" s="403"/>
      <c r="IC35" s="403"/>
      <c r="ID35" s="403"/>
      <c r="IE35" s="403"/>
      <c r="IF35" s="403"/>
      <c r="IG35" s="403"/>
      <c r="IH35" s="403"/>
      <c r="II35" s="403"/>
      <c r="IJ35" s="403"/>
      <c r="IK35" s="403"/>
      <c r="IL35" s="403"/>
      <c r="IM35" s="403"/>
      <c r="IN35" s="403"/>
      <c r="IO35" s="403"/>
      <c r="IP35" s="403"/>
      <c r="IQ35" s="403"/>
      <c r="IR35" s="403"/>
      <c r="IS35" s="403"/>
      <c r="IT35" s="403"/>
      <c r="IU35" s="403"/>
      <c r="IV35" s="403"/>
      <c r="IW35" s="403"/>
    </row>
    <row r="36" customFormat="false" ht="11.25" hidden="false" customHeight="false" outlineLevel="0" collapsed="false">
      <c r="A36" s="419"/>
      <c r="B36" s="403"/>
      <c r="C36" s="403"/>
      <c r="D36" s="403"/>
      <c r="E36" s="419"/>
      <c r="F36" s="403"/>
      <c r="G36" s="403"/>
      <c r="H36" s="403"/>
      <c r="I36" s="403"/>
      <c r="J36" s="403"/>
      <c r="K36" s="403"/>
      <c r="L36" s="403"/>
      <c r="M36" s="403"/>
      <c r="N36" s="403"/>
      <c r="O36" s="403"/>
      <c r="P36" s="403"/>
      <c r="Q36" s="403"/>
      <c r="R36" s="403"/>
      <c r="S36" s="403"/>
      <c r="T36" s="403"/>
      <c r="U36" s="403"/>
      <c r="V36" s="403"/>
      <c r="W36" s="403"/>
      <c r="X36" s="403"/>
      <c r="Y36" s="403"/>
      <c r="Z36" s="403"/>
      <c r="AA36" s="403"/>
      <c r="AB36" s="403"/>
      <c r="AC36" s="403"/>
      <c r="AD36" s="403"/>
      <c r="AE36" s="403"/>
      <c r="AF36" s="403"/>
      <c r="AG36" s="403"/>
      <c r="AH36" s="403"/>
      <c r="AI36" s="403"/>
      <c r="AJ36" s="403"/>
      <c r="AK36" s="403"/>
      <c r="AL36" s="403"/>
      <c r="AM36" s="403"/>
      <c r="AN36" s="403"/>
      <c r="AO36" s="403"/>
      <c r="AP36" s="403"/>
      <c r="AQ36" s="403"/>
      <c r="AR36" s="403"/>
      <c r="AS36" s="403"/>
      <c r="AT36" s="403"/>
      <c r="AU36" s="403"/>
      <c r="AV36" s="403"/>
      <c r="AW36" s="403"/>
      <c r="AX36" s="403"/>
      <c r="AY36" s="403"/>
      <c r="AZ36" s="403"/>
      <c r="BA36" s="403"/>
      <c r="BB36" s="403"/>
      <c r="BC36" s="403"/>
      <c r="BD36" s="403"/>
      <c r="BE36" s="403"/>
      <c r="BF36" s="403"/>
      <c r="BG36" s="403"/>
      <c r="BH36" s="403"/>
      <c r="BI36" s="403"/>
      <c r="BJ36" s="403"/>
      <c r="BK36" s="403"/>
      <c r="BL36" s="403"/>
      <c r="BM36" s="403"/>
      <c r="BN36" s="403"/>
      <c r="BO36" s="403"/>
      <c r="BP36" s="403"/>
      <c r="BQ36" s="403"/>
      <c r="BR36" s="403"/>
      <c r="BS36" s="403"/>
      <c r="BT36" s="403"/>
      <c r="BU36" s="403"/>
      <c r="BV36" s="403"/>
      <c r="BW36" s="403"/>
      <c r="BX36" s="403"/>
      <c r="BY36" s="403"/>
      <c r="BZ36" s="403"/>
      <c r="CA36" s="403"/>
      <c r="CB36" s="403"/>
      <c r="CC36" s="403"/>
      <c r="CD36" s="403"/>
      <c r="CE36" s="403"/>
      <c r="CF36" s="403"/>
      <c r="CG36" s="403"/>
      <c r="CH36" s="403"/>
      <c r="CI36" s="403"/>
      <c r="CJ36" s="403"/>
      <c r="CK36" s="403"/>
      <c r="CL36" s="403"/>
      <c r="CM36" s="403"/>
      <c r="CN36" s="403"/>
      <c r="CO36" s="403"/>
      <c r="CP36" s="403"/>
      <c r="CQ36" s="403"/>
      <c r="CR36" s="403"/>
      <c r="CS36" s="403"/>
      <c r="CT36" s="403"/>
      <c r="CU36" s="403"/>
      <c r="CV36" s="403"/>
      <c r="CW36" s="403"/>
      <c r="CX36" s="403"/>
      <c r="CY36" s="403"/>
      <c r="CZ36" s="403"/>
      <c r="DA36" s="403"/>
      <c r="DB36" s="403"/>
      <c r="DC36" s="403"/>
      <c r="DD36" s="403"/>
      <c r="DE36" s="403"/>
      <c r="DF36" s="403"/>
      <c r="DG36" s="403"/>
      <c r="DH36" s="403"/>
      <c r="DI36" s="403"/>
      <c r="DJ36" s="403"/>
      <c r="DK36" s="403"/>
      <c r="DL36" s="403"/>
      <c r="DM36" s="403"/>
      <c r="DN36" s="403"/>
      <c r="DO36" s="403"/>
      <c r="DP36" s="403"/>
      <c r="DQ36" s="403"/>
      <c r="DR36" s="403"/>
      <c r="DS36" s="403"/>
      <c r="DT36" s="403"/>
      <c r="DU36" s="403"/>
      <c r="DV36" s="403"/>
      <c r="DW36" s="403"/>
      <c r="DX36" s="403"/>
      <c r="DY36" s="403"/>
      <c r="DZ36" s="403"/>
      <c r="EA36" s="403"/>
      <c r="EB36" s="403"/>
      <c r="EC36" s="403"/>
      <c r="ED36" s="403"/>
      <c r="EE36" s="403"/>
      <c r="EF36" s="403"/>
      <c r="EG36" s="403"/>
      <c r="EH36" s="403"/>
      <c r="EI36" s="403"/>
      <c r="EJ36" s="403"/>
      <c r="EK36" s="403"/>
      <c r="EL36" s="403"/>
      <c r="EM36" s="403"/>
      <c r="EN36" s="403"/>
      <c r="EO36" s="403"/>
      <c r="EP36" s="403"/>
      <c r="EQ36" s="403"/>
      <c r="ER36" s="403"/>
      <c r="ES36" s="403"/>
      <c r="ET36" s="403"/>
      <c r="EU36" s="403"/>
      <c r="EV36" s="403"/>
      <c r="EW36" s="403"/>
      <c r="EX36" s="403"/>
      <c r="EY36" s="403"/>
      <c r="EZ36" s="403"/>
      <c r="FA36" s="403"/>
      <c r="FB36" s="403"/>
      <c r="FC36" s="403"/>
      <c r="FD36" s="403"/>
      <c r="FE36" s="403"/>
      <c r="FF36" s="403"/>
      <c r="FG36" s="403"/>
      <c r="FH36" s="403"/>
      <c r="FI36" s="403"/>
      <c r="FJ36" s="403"/>
      <c r="FK36" s="403"/>
      <c r="FL36" s="403"/>
      <c r="FM36" s="403"/>
      <c r="FN36" s="403"/>
      <c r="FO36" s="403"/>
      <c r="FP36" s="403"/>
      <c r="FQ36" s="403"/>
      <c r="FR36" s="403"/>
      <c r="FS36" s="403"/>
      <c r="FT36" s="403"/>
      <c r="FU36" s="403"/>
      <c r="FV36" s="403"/>
      <c r="FW36" s="403"/>
      <c r="FX36" s="403"/>
      <c r="FY36" s="403"/>
      <c r="FZ36" s="403"/>
      <c r="GA36" s="403"/>
      <c r="GB36" s="403"/>
      <c r="GC36" s="403"/>
      <c r="GD36" s="403"/>
      <c r="GE36" s="403"/>
      <c r="GF36" s="403"/>
      <c r="GG36" s="403"/>
      <c r="GH36" s="403"/>
      <c r="GI36" s="403"/>
      <c r="GJ36" s="403"/>
      <c r="GK36" s="403"/>
      <c r="GL36" s="403"/>
      <c r="GM36" s="403"/>
      <c r="GN36" s="403"/>
      <c r="GO36" s="403"/>
      <c r="GP36" s="403"/>
      <c r="GQ36" s="403"/>
      <c r="GR36" s="403"/>
      <c r="GS36" s="403"/>
      <c r="GT36" s="403"/>
      <c r="GU36" s="403"/>
      <c r="GV36" s="403"/>
      <c r="GW36" s="403"/>
      <c r="GX36" s="403"/>
      <c r="GY36" s="403"/>
      <c r="GZ36" s="403"/>
      <c r="HA36" s="403"/>
      <c r="HB36" s="403"/>
      <c r="HC36" s="403"/>
      <c r="HD36" s="403"/>
      <c r="HE36" s="403"/>
      <c r="HF36" s="403"/>
      <c r="HG36" s="403"/>
      <c r="HH36" s="403"/>
      <c r="HI36" s="403"/>
      <c r="HJ36" s="403"/>
      <c r="HK36" s="403"/>
      <c r="HL36" s="403"/>
      <c r="HM36" s="403"/>
      <c r="HN36" s="403"/>
      <c r="HO36" s="403"/>
      <c r="HP36" s="403"/>
      <c r="HQ36" s="403"/>
      <c r="HR36" s="403"/>
      <c r="HS36" s="403"/>
      <c r="HT36" s="403"/>
      <c r="HU36" s="403"/>
      <c r="HV36" s="403"/>
      <c r="HW36" s="403"/>
      <c r="HX36" s="403"/>
      <c r="HY36" s="403"/>
      <c r="HZ36" s="403"/>
      <c r="IA36" s="403"/>
      <c r="IB36" s="403"/>
      <c r="IC36" s="403"/>
      <c r="ID36" s="403"/>
      <c r="IE36" s="403"/>
      <c r="IF36" s="403"/>
      <c r="IG36" s="403"/>
      <c r="IH36" s="403"/>
      <c r="II36" s="403"/>
      <c r="IJ36" s="403"/>
      <c r="IK36" s="403"/>
      <c r="IL36" s="403"/>
      <c r="IM36" s="403"/>
      <c r="IN36" s="403"/>
      <c r="IO36" s="403"/>
      <c r="IP36" s="403"/>
      <c r="IQ36" s="403"/>
      <c r="IR36" s="403"/>
      <c r="IS36" s="403"/>
      <c r="IT36" s="403"/>
      <c r="IU36" s="403"/>
      <c r="IV36" s="403"/>
      <c r="IW36" s="403"/>
    </row>
    <row r="37" customFormat="false" ht="11.25" hidden="false" customHeight="false" outlineLevel="0" collapsed="false">
      <c r="A37" s="419"/>
      <c r="B37" s="403"/>
      <c r="C37" s="403"/>
      <c r="D37" s="403"/>
      <c r="E37" s="419"/>
      <c r="F37" s="403"/>
      <c r="G37" s="403"/>
      <c r="H37" s="403"/>
      <c r="I37" s="403"/>
      <c r="J37" s="403"/>
      <c r="K37" s="403"/>
      <c r="L37" s="403"/>
      <c r="M37" s="403"/>
      <c r="N37" s="403"/>
      <c r="O37" s="403"/>
      <c r="P37" s="403"/>
      <c r="Q37" s="403"/>
      <c r="R37" s="403"/>
      <c r="S37" s="403"/>
      <c r="T37" s="403"/>
      <c r="U37" s="403"/>
      <c r="V37" s="403"/>
      <c r="W37" s="403"/>
      <c r="X37" s="403"/>
      <c r="Y37" s="403"/>
      <c r="Z37" s="403"/>
      <c r="AA37" s="403"/>
      <c r="AB37" s="403"/>
      <c r="AC37" s="403"/>
      <c r="AD37" s="403"/>
      <c r="AE37" s="403"/>
      <c r="AF37" s="403"/>
      <c r="AG37" s="403"/>
      <c r="AH37" s="403"/>
      <c r="AI37" s="403"/>
      <c r="AJ37" s="403"/>
      <c r="AK37" s="403"/>
      <c r="AL37" s="403"/>
      <c r="AM37" s="403"/>
      <c r="AN37" s="403"/>
      <c r="AO37" s="403"/>
      <c r="AP37" s="403"/>
      <c r="AQ37" s="403"/>
      <c r="AR37" s="403"/>
      <c r="AS37" s="403"/>
      <c r="AT37" s="403"/>
      <c r="AU37" s="403"/>
      <c r="AV37" s="403"/>
      <c r="AW37" s="403"/>
      <c r="AX37" s="403"/>
      <c r="AY37" s="403"/>
      <c r="AZ37" s="403"/>
      <c r="BA37" s="403"/>
      <c r="BB37" s="403"/>
      <c r="BC37" s="403"/>
      <c r="BD37" s="403"/>
      <c r="BE37" s="403"/>
      <c r="BF37" s="403"/>
      <c r="BG37" s="403"/>
      <c r="BH37" s="403"/>
      <c r="BI37" s="403"/>
      <c r="BJ37" s="403"/>
      <c r="BK37" s="403"/>
      <c r="BL37" s="403"/>
      <c r="BM37" s="403"/>
      <c r="BN37" s="403"/>
      <c r="BO37" s="403"/>
      <c r="BP37" s="403"/>
      <c r="BQ37" s="403"/>
      <c r="BR37" s="403"/>
      <c r="BS37" s="403"/>
      <c r="BT37" s="403"/>
      <c r="BU37" s="403"/>
      <c r="BV37" s="403"/>
      <c r="BW37" s="403"/>
      <c r="BX37" s="403"/>
      <c r="BY37" s="403"/>
      <c r="BZ37" s="403"/>
      <c r="CA37" s="403"/>
      <c r="CB37" s="403"/>
      <c r="CC37" s="403"/>
      <c r="CD37" s="403"/>
      <c r="CE37" s="403"/>
      <c r="CF37" s="403"/>
      <c r="CG37" s="403"/>
      <c r="CH37" s="403"/>
      <c r="CI37" s="403"/>
      <c r="CJ37" s="403"/>
      <c r="CK37" s="403"/>
      <c r="CL37" s="403"/>
      <c r="CM37" s="403"/>
      <c r="CN37" s="403"/>
      <c r="CO37" s="403"/>
      <c r="CP37" s="403"/>
      <c r="CQ37" s="403"/>
      <c r="CR37" s="403"/>
      <c r="CS37" s="403"/>
      <c r="CT37" s="403"/>
      <c r="CU37" s="403"/>
      <c r="CV37" s="403"/>
      <c r="CW37" s="403"/>
      <c r="CX37" s="403"/>
      <c r="CY37" s="403"/>
      <c r="CZ37" s="403"/>
      <c r="DA37" s="403"/>
      <c r="DB37" s="403"/>
      <c r="DC37" s="403"/>
      <c r="DD37" s="403"/>
      <c r="DE37" s="403"/>
      <c r="DF37" s="403"/>
      <c r="DG37" s="403"/>
      <c r="DH37" s="403"/>
      <c r="DI37" s="403"/>
      <c r="DJ37" s="403"/>
      <c r="DK37" s="403"/>
      <c r="DL37" s="403"/>
      <c r="DM37" s="403"/>
      <c r="DN37" s="403"/>
      <c r="DO37" s="403"/>
      <c r="DP37" s="403"/>
      <c r="DQ37" s="403"/>
      <c r="DR37" s="403"/>
      <c r="DS37" s="403"/>
      <c r="DT37" s="403"/>
      <c r="DU37" s="403"/>
      <c r="DV37" s="403"/>
      <c r="DW37" s="403"/>
      <c r="DX37" s="403"/>
      <c r="DY37" s="403"/>
      <c r="DZ37" s="403"/>
      <c r="EA37" s="403"/>
      <c r="EB37" s="403"/>
      <c r="EC37" s="403"/>
      <c r="ED37" s="403"/>
      <c r="EE37" s="403"/>
      <c r="EF37" s="403"/>
      <c r="EG37" s="403"/>
      <c r="EH37" s="403"/>
      <c r="EI37" s="403"/>
      <c r="EJ37" s="403"/>
      <c r="EK37" s="403"/>
      <c r="EL37" s="403"/>
      <c r="EM37" s="403"/>
      <c r="EN37" s="403"/>
      <c r="EO37" s="403"/>
      <c r="EP37" s="403"/>
      <c r="EQ37" s="403"/>
      <c r="ER37" s="403"/>
      <c r="ES37" s="403"/>
      <c r="ET37" s="403"/>
      <c r="EU37" s="403"/>
      <c r="EV37" s="403"/>
      <c r="EW37" s="403"/>
      <c r="EX37" s="403"/>
      <c r="EY37" s="403"/>
      <c r="EZ37" s="403"/>
      <c r="FA37" s="403"/>
      <c r="FB37" s="403"/>
      <c r="FC37" s="403"/>
      <c r="FD37" s="403"/>
      <c r="FE37" s="403"/>
      <c r="FF37" s="403"/>
      <c r="FG37" s="403"/>
      <c r="FH37" s="403"/>
      <c r="FI37" s="403"/>
      <c r="FJ37" s="403"/>
      <c r="FK37" s="403"/>
      <c r="FL37" s="403"/>
      <c r="FM37" s="403"/>
      <c r="FN37" s="403"/>
      <c r="FO37" s="403"/>
      <c r="FP37" s="403"/>
      <c r="FQ37" s="403"/>
      <c r="FR37" s="403"/>
      <c r="FS37" s="403"/>
      <c r="FT37" s="403"/>
      <c r="FU37" s="403"/>
      <c r="FV37" s="403"/>
      <c r="FW37" s="403"/>
      <c r="FX37" s="403"/>
      <c r="FY37" s="403"/>
      <c r="FZ37" s="403"/>
      <c r="GA37" s="403"/>
      <c r="GB37" s="403"/>
      <c r="GC37" s="403"/>
      <c r="GD37" s="403"/>
      <c r="GE37" s="403"/>
      <c r="GF37" s="403"/>
      <c r="GG37" s="403"/>
      <c r="GH37" s="403"/>
      <c r="GI37" s="403"/>
      <c r="GJ37" s="403"/>
      <c r="GK37" s="403"/>
      <c r="GL37" s="403"/>
      <c r="GM37" s="403"/>
      <c r="GN37" s="403"/>
      <c r="GO37" s="403"/>
      <c r="GP37" s="403"/>
      <c r="GQ37" s="403"/>
      <c r="GR37" s="403"/>
      <c r="GS37" s="403"/>
      <c r="GT37" s="403"/>
      <c r="GU37" s="403"/>
      <c r="GV37" s="403"/>
      <c r="GW37" s="403"/>
      <c r="GX37" s="403"/>
      <c r="GY37" s="403"/>
      <c r="GZ37" s="403"/>
      <c r="HA37" s="403"/>
      <c r="HB37" s="403"/>
      <c r="HC37" s="403"/>
      <c r="HD37" s="403"/>
      <c r="HE37" s="403"/>
      <c r="HF37" s="403"/>
      <c r="HG37" s="403"/>
      <c r="HH37" s="403"/>
      <c r="HI37" s="403"/>
      <c r="HJ37" s="403"/>
      <c r="HK37" s="403"/>
      <c r="HL37" s="403"/>
      <c r="HM37" s="403"/>
      <c r="HN37" s="403"/>
      <c r="HO37" s="403"/>
      <c r="HP37" s="403"/>
      <c r="HQ37" s="403"/>
      <c r="HR37" s="403"/>
      <c r="HS37" s="403"/>
      <c r="HT37" s="403"/>
      <c r="HU37" s="403"/>
      <c r="HV37" s="403"/>
      <c r="HW37" s="403"/>
      <c r="HX37" s="403"/>
      <c r="HY37" s="403"/>
      <c r="HZ37" s="403"/>
      <c r="IA37" s="403"/>
      <c r="IB37" s="403"/>
      <c r="IC37" s="403"/>
      <c r="ID37" s="403"/>
      <c r="IE37" s="403"/>
      <c r="IF37" s="403"/>
      <c r="IG37" s="403"/>
      <c r="IH37" s="403"/>
      <c r="II37" s="403"/>
      <c r="IJ37" s="403"/>
      <c r="IK37" s="403"/>
      <c r="IL37" s="403"/>
      <c r="IM37" s="403"/>
      <c r="IN37" s="403"/>
      <c r="IO37" s="403"/>
      <c r="IP37" s="403"/>
      <c r="IQ37" s="403"/>
      <c r="IR37" s="403"/>
      <c r="IS37" s="403"/>
      <c r="IT37" s="403"/>
      <c r="IU37" s="403"/>
      <c r="IV37" s="403"/>
      <c r="IW37" s="403"/>
    </row>
    <row r="38" customFormat="false" ht="11.25" hidden="false" customHeight="false" outlineLevel="0" collapsed="false">
      <c r="A38" s="419"/>
      <c r="B38" s="403"/>
      <c r="C38" s="403"/>
      <c r="D38" s="403"/>
      <c r="E38" s="419"/>
      <c r="F38" s="403"/>
      <c r="G38" s="403"/>
      <c r="H38" s="403"/>
      <c r="I38" s="403"/>
      <c r="J38" s="403"/>
      <c r="K38" s="403"/>
      <c r="L38" s="403"/>
      <c r="M38" s="403"/>
      <c r="N38" s="403"/>
      <c r="O38" s="403"/>
      <c r="P38" s="403"/>
      <c r="Q38" s="403"/>
      <c r="R38" s="403"/>
      <c r="S38" s="403"/>
      <c r="T38" s="403"/>
      <c r="U38" s="403"/>
      <c r="V38" s="403"/>
      <c r="W38" s="403"/>
      <c r="X38" s="403"/>
      <c r="Y38" s="403"/>
      <c r="Z38" s="403"/>
      <c r="AA38" s="403"/>
      <c r="AB38" s="403"/>
      <c r="AC38" s="403"/>
      <c r="AD38" s="403"/>
      <c r="AE38" s="403"/>
      <c r="AF38" s="403"/>
      <c r="AG38" s="403"/>
      <c r="AH38" s="403"/>
      <c r="AI38" s="403"/>
      <c r="AJ38" s="403"/>
      <c r="AK38" s="403"/>
      <c r="AL38" s="403"/>
      <c r="AM38" s="403"/>
      <c r="AN38" s="403"/>
      <c r="AO38" s="403"/>
      <c r="AP38" s="403"/>
      <c r="AQ38" s="403"/>
      <c r="AR38" s="403"/>
      <c r="AS38" s="403"/>
      <c r="AT38" s="403"/>
      <c r="AU38" s="403"/>
      <c r="AV38" s="403"/>
      <c r="AW38" s="403"/>
      <c r="AX38" s="403"/>
      <c r="AY38" s="403"/>
      <c r="AZ38" s="403"/>
      <c r="BA38" s="403"/>
      <c r="BB38" s="403"/>
      <c r="BC38" s="403"/>
      <c r="BD38" s="403"/>
      <c r="BE38" s="403"/>
      <c r="BF38" s="403"/>
      <c r="BG38" s="403"/>
      <c r="BH38" s="403"/>
      <c r="BI38" s="403"/>
      <c r="BJ38" s="403"/>
      <c r="BK38" s="403"/>
      <c r="BL38" s="403"/>
      <c r="BM38" s="403"/>
      <c r="BN38" s="403"/>
      <c r="BO38" s="403"/>
      <c r="BP38" s="403"/>
      <c r="BQ38" s="403"/>
      <c r="BR38" s="403"/>
      <c r="BS38" s="403"/>
      <c r="BT38" s="403"/>
      <c r="BU38" s="403"/>
      <c r="BV38" s="403"/>
      <c r="BW38" s="403"/>
      <c r="BX38" s="403"/>
      <c r="BY38" s="403"/>
      <c r="BZ38" s="403"/>
      <c r="CA38" s="403"/>
      <c r="CB38" s="403"/>
      <c r="CC38" s="403"/>
      <c r="CD38" s="403"/>
      <c r="CE38" s="403"/>
      <c r="CF38" s="403"/>
      <c r="CG38" s="403"/>
      <c r="CH38" s="403"/>
      <c r="CI38" s="403"/>
      <c r="CJ38" s="403"/>
      <c r="CK38" s="403"/>
      <c r="CL38" s="403"/>
      <c r="CM38" s="403"/>
      <c r="CN38" s="403"/>
      <c r="CO38" s="403"/>
      <c r="CP38" s="403"/>
      <c r="CQ38" s="403"/>
      <c r="CR38" s="403"/>
      <c r="CS38" s="403"/>
      <c r="CT38" s="403"/>
      <c r="CU38" s="403"/>
      <c r="CV38" s="403"/>
      <c r="CW38" s="403"/>
      <c r="CX38" s="403"/>
      <c r="CY38" s="403"/>
      <c r="CZ38" s="403"/>
      <c r="DA38" s="403"/>
      <c r="DB38" s="403"/>
      <c r="DC38" s="403"/>
      <c r="DD38" s="403"/>
      <c r="DE38" s="403"/>
      <c r="DF38" s="403"/>
      <c r="DG38" s="403"/>
      <c r="DH38" s="403"/>
      <c r="DI38" s="403"/>
      <c r="DJ38" s="403"/>
      <c r="DK38" s="403"/>
      <c r="DL38" s="403"/>
      <c r="DM38" s="403"/>
      <c r="DN38" s="403"/>
      <c r="DO38" s="403"/>
      <c r="DP38" s="403"/>
      <c r="DQ38" s="403"/>
      <c r="DR38" s="403"/>
      <c r="DS38" s="403"/>
      <c r="DT38" s="403"/>
      <c r="DU38" s="403"/>
      <c r="DV38" s="403"/>
      <c r="DW38" s="403"/>
      <c r="DX38" s="403"/>
      <c r="DY38" s="403"/>
      <c r="DZ38" s="403"/>
      <c r="EA38" s="403"/>
      <c r="EB38" s="403"/>
      <c r="EC38" s="403"/>
      <c r="ED38" s="403"/>
      <c r="EE38" s="403"/>
      <c r="EF38" s="403"/>
      <c r="EG38" s="403"/>
      <c r="EH38" s="403"/>
      <c r="EI38" s="403"/>
      <c r="EJ38" s="403"/>
      <c r="EK38" s="403"/>
      <c r="EL38" s="403"/>
      <c r="EM38" s="403"/>
      <c r="EN38" s="403"/>
      <c r="EO38" s="403"/>
      <c r="EP38" s="403"/>
      <c r="EQ38" s="403"/>
      <c r="ER38" s="403"/>
      <c r="ES38" s="403"/>
      <c r="ET38" s="403"/>
      <c r="EU38" s="403"/>
      <c r="EV38" s="403"/>
      <c r="EW38" s="403"/>
      <c r="EX38" s="403"/>
      <c r="EY38" s="403"/>
      <c r="EZ38" s="403"/>
      <c r="FA38" s="403"/>
      <c r="FB38" s="403"/>
      <c r="FC38" s="403"/>
      <c r="FD38" s="403"/>
      <c r="FE38" s="403"/>
      <c r="FF38" s="403"/>
      <c r="FG38" s="403"/>
      <c r="FH38" s="403"/>
      <c r="FI38" s="403"/>
      <c r="FJ38" s="403"/>
      <c r="FK38" s="403"/>
      <c r="FL38" s="403"/>
      <c r="FM38" s="403"/>
      <c r="FN38" s="403"/>
      <c r="FO38" s="403"/>
      <c r="FP38" s="403"/>
      <c r="FQ38" s="403"/>
      <c r="FR38" s="403"/>
      <c r="FS38" s="403"/>
      <c r="FT38" s="403"/>
      <c r="FU38" s="403"/>
      <c r="FV38" s="403"/>
      <c r="FW38" s="403"/>
      <c r="FX38" s="403"/>
      <c r="FY38" s="403"/>
      <c r="FZ38" s="403"/>
      <c r="GA38" s="403"/>
      <c r="GB38" s="403"/>
      <c r="GC38" s="403"/>
      <c r="GD38" s="403"/>
      <c r="GE38" s="403"/>
      <c r="GF38" s="403"/>
      <c r="GG38" s="403"/>
      <c r="GH38" s="403"/>
      <c r="GI38" s="403"/>
      <c r="GJ38" s="403"/>
      <c r="GK38" s="403"/>
      <c r="GL38" s="403"/>
      <c r="GM38" s="403"/>
      <c r="GN38" s="403"/>
      <c r="GO38" s="403"/>
      <c r="GP38" s="403"/>
      <c r="GQ38" s="403"/>
      <c r="GR38" s="403"/>
      <c r="GS38" s="403"/>
      <c r="GT38" s="403"/>
      <c r="GU38" s="403"/>
      <c r="GV38" s="403"/>
      <c r="GW38" s="403"/>
      <c r="GX38" s="403"/>
      <c r="GY38" s="403"/>
      <c r="GZ38" s="403"/>
      <c r="HA38" s="403"/>
      <c r="HB38" s="403"/>
      <c r="HC38" s="403"/>
      <c r="HD38" s="403"/>
      <c r="HE38" s="403"/>
      <c r="HF38" s="403"/>
      <c r="HG38" s="403"/>
      <c r="HH38" s="403"/>
      <c r="HI38" s="403"/>
      <c r="HJ38" s="403"/>
      <c r="HK38" s="403"/>
      <c r="HL38" s="403"/>
      <c r="HM38" s="403"/>
      <c r="HN38" s="403"/>
      <c r="HO38" s="403"/>
      <c r="HP38" s="403"/>
      <c r="HQ38" s="403"/>
      <c r="HR38" s="403"/>
      <c r="HS38" s="403"/>
      <c r="HT38" s="403"/>
      <c r="HU38" s="403"/>
      <c r="HV38" s="403"/>
      <c r="HW38" s="403"/>
      <c r="HX38" s="403"/>
      <c r="HY38" s="403"/>
      <c r="HZ38" s="403"/>
      <c r="IA38" s="403"/>
      <c r="IB38" s="403"/>
      <c r="IC38" s="403"/>
      <c r="ID38" s="403"/>
      <c r="IE38" s="403"/>
      <c r="IF38" s="403"/>
      <c r="IG38" s="403"/>
      <c r="IH38" s="403"/>
      <c r="II38" s="403"/>
      <c r="IJ38" s="403"/>
      <c r="IK38" s="403"/>
      <c r="IL38" s="403"/>
      <c r="IM38" s="403"/>
      <c r="IN38" s="403"/>
      <c r="IO38" s="403"/>
      <c r="IP38" s="403"/>
      <c r="IQ38" s="403"/>
      <c r="IR38" s="403"/>
      <c r="IS38" s="403"/>
      <c r="IT38" s="403"/>
      <c r="IU38" s="403"/>
      <c r="IV38" s="403"/>
      <c r="IW38" s="403"/>
    </row>
    <row r="39" customFormat="false" ht="11.25" hidden="false" customHeight="false" outlineLevel="0" collapsed="false">
      <c r="A39" s="419"/>
      <c r="B39" s="403"/>
      <c r="C39" s="403"/>
      <c r="D39" s="403"/>
      <c r="E39" s="419"/>
      <c r="F39" s="403"/>
      <c r="G39" s="403"/>
      <c r="H39" s="403"/>
      <c r="I39" s="403"/>
      <c r="J39" s="403"/>
      <c r="K39" s="403"/>
      <c r="L39" s="403"/>
      <c r="M39" s="403"/>
      <c r="N39" s="403"/>
      <c r="O39" s="403"/>
      <c r="P39" s="403"/>
      <c r="Q39" s="403"/>
      <c r="R39" s="403"/>
      <c r="S39" s="403"/>
      <c r="T39" s="403"/>
      <c r="U39" s="403"/>
      <c r="V39" s="403"/>
      <c r="W39" s="403"/>
      <c r="X39" s="403"/>
      <c r="Y39" s="403"/>
      <c r="Z39" s="403"/>
      <c r="AA39" s="403"/>
      <c r="AB39" s="403"/>
      <c r="AC39" s="403"/>
      <c r="AD39" s="403"/>
      <c r="AE39" s="403"/>
      <c r="AF39" s="403"/>
      <c r="AG39" s="403"/>
      <c r="AH39" s="403"/>
      <c r="AI39" s="403"/>
      <c r="AJ39" s="403"/>
      <c r="AK39" s="403"/>
      <c r="AL39" s="403"/>
      <c r="AM39" s="403"/>
      <c r="AN39" s="403"/>
      <c r="AO39" s="403"/>
      <c r="AP39" s="403"/>
      <c r="AQ39" s="403"/>
      <c r="AR39" s="403"/>
      <c r="AS39" s="403"/>
      <c r="AT39" s="403"/>
      <c r="AU39" s="403"/>
      <c r="AV39" s="403"/>
      <c r="AW39" s="403"/>
      <c r="AX39" s="403"/>
      <c r="AY39" s="403"/>
      <c r="AZ39" s="403"/>
      <c r="BA39" s="403"/>
      <c r="BB39" s="403"/>
      <c r="BC39" s="403"/>
      <c r="BD39" s="403"/>
      <c r="BE39" s="403"/>
      <c r="BF39" s="403"/>
      <c r="BG39" s="403"/>
      <c r="BH39" s="403"/>
      <c r="BI39" s="403"/>
      <c r="BJ39" s="403"/>
      <c r="BK39" s="403"/>
      <c r="BL39" s="403"/>
      <c r="BM39" s="403"/>
      <c r="BN39" s="403"/>
      <c r="BO39" s="403"/>
      <c r="BP39" s="403"/>
      <c r="BQ39" s="403"/>
      <c r="BR39" s="403"/>
      <c r="BS39" s="403"/>
      <c r="BT39" s="403"/>
      <c r="BU39" s="403"/>
      <c r="BV39" s="403"/>
      <c r="BW39" s="403"/>
      <c r="BX39" s="403"/>
      <c r="BY39" s="403"/>
      <c r="BZ39" s="403"/>
      <c r="CA39" s="403"/>
      <c r="CB39" s="403"/>
      <c r="CC39" s="403"/>
      <c r="CD39" s="403"/>
      <c r="CE39" s="403"/>
      <c r="CF39" s="403"/>
      <c r="CG39" s="403"/>
      <c r="CH39" s="403"/>
      <c r="CI39" s="403"/>
      <c r="CJ39" s="403"/>
      <c r="CK39" s="403"/>
      <c r="CL39" s="403"/>
      <c r="CM39" s="403"/>
      <c r="CN39" s="403"/>
      <c r="CO39" s="403"/>
      <c r="CP39" s="403"/>
      <c r="CQ39" s="403"/>
      <c r="CR39" s="403"/>
      <c r="CS39" s="403"/>
      <c r="CT39" s="403"/>
      <c r="CU39" s="403"/>
      <c r="CV39" s="403"/>
      <c r="CW39" s="403"/>
      <c r="CX39" s="403"/>
      <c r="CY39" s="403"/>
      <c r="CZ39" s="403"/>
      <c r="DA39" s="403"/>
      <c r="DB39" s="403"/>
      <c r="DC39" s="403"/>
      <c r="DD39" s="403"/>
      <c r="DE39" s="403"/>
      <c r="DF39" s="403"/>
      <c r="DG39" s="403"/>
      <c r="DH39" s="403"/>
      <c r="DI39" s="403"/>
      <c r="DJ39" s="403"/>
      <c r="DK39" s="403"/>
      <c r="DL39" s="403"/>
      <c r="DM39" s="403"/>
      <c r="DN39" s="403"/>
      <c r="DO39" s="403"/>
      <c r="DP39" s="403"/>
      <c r="DQ39" s="403"/>
      <c r="DR39" s="403"/>
      <c r="DS39" s="403"/>
      <c r="DT39" s="403"/>
      <c r="DU39" s="403"/>
      <c r="DV39" s="403"/>
      <c r="DW39" s="403"/>
      <c r="DX39" s="403"/>
      <c r="DY39" s="403"/>
      <c r="DZ39" s="403"/>
      <c r="EA39" s="403"/>
      <c r="EB39" s="403"/>
      <c r="EC39" s="403"/>
      <c r="ED39" s="403"/>
      <c r="EE39" s="403"/>
      <c r="EF39" s="403"/>
      <c r="EG39" s="403"/>
      <c r="EH39" s="403"/>
      <c r="EI39" s="403"/>
      <c r="EJ39" s="403"/>
      <c r="EK39" s="403"/>
      <c r="EL39" s="403"/>
      <c r="EM39" s="403"/>
      <c r="EN39" s="403"/>
      <c r="EO39" s="403"/>
      <c r="EP39" s="403"/>
      <c r="EQ39" s="403"/>
      <c r="ER39" s="403"/>
      <c r="ES39" s="403"/>
      <c r="ET39" s="403"/>
      <c r="EU39" s="403"/>
      <c r="EV39" s="403"/>
      <c r="EW39" s="403"/>
      <c r="EX39" s="403"/>
      <c r="EY39" s="403"/>
      <c r="EZ39" s="403"/>
      <c r="FA39" s="403"/>
      <c r="FB39" s="403"/>
      <c r="FC39" s="403"/>
      <c r="FD39" s="403"/>
      <c r="FE39" s="403"/>
      <c r="FF39" s="403"/>
      <c r="FG39" s="403"/>
      <c r="FH39" s="403"/>
      <c r="FI39" s="403"/>
      <c r="FJ39" s="403"/>
      <c r="FK39" s="403"/>
      <c r="FL39" s="403"/>
      <c r="FM39" s="403"/>
      <c r="FN39" s="403"/>
      <c r="FO39" s="403"/>
      <c r="FP39" s="403"/>
      <c r="FQ39" s="403"/>
      <c r="FR39" s="403"/>
      <c r="FS39" s="403"/>
      <c r="FT39" s="403"/>
      <c r="FU39" s="403"/>
      <c r="FV39" s="403"/>
      <c r="FW39" s="403"/>
      <c r="FX39" s="403"/>
      <c r="FY39" s="403"/>
      <c r="FZ39" s="403"/>
      <c r="GA39" s="403"/>
      <c r="GB39" s="403"/>
      <c r="GC39" s="403"/>
      <c r="GD39" s="403"/>
      <c r="GE39" s="403"/>
      <c r="GF39" s="403"/>
      <c r="GG39" s="403"/>
      <c r="GH39" s="403"/>
      <c r="GI39" s="403"/>
      <c r="GJ39" s="403"/>
      <c r="GK39" s="403"/>
      <c r="GL39" s="403"/>
      <c r="GM39" s="403"/>
      <c r="GN39" s="403"/>
      <c r="GO39" s="403"/>
      <c r="GP39" s="403"/>
      <c r="GQ39" s="403"/>
      <c r="GR39" s="403"/>
      <c r="GS39" s="403"/>
      <c r="GT39" s="403"/>
      <c r="GU39" s="403"/>
      <c r="GV39" s="403"/>
      <c r="GW39" s="403"/>
      <c r="GX39" s="403"/>
      <c r="GY39" s="403"/>
      <c r="GZ39" s="403"/>
      <c r="HA39" s="403"/>
      <c r="HB39" s="403"/>
      <c r="HC39" s="403"/>
      <c r="HD39" s="403"/>
      <c r="HE39" s="403"/>
      <c r="HF39" s="403"/>
      <c r="HG39" s="403"/>
      <c r="HH39" s="403"/>
      <c r="HI39" s="403"/>
      <c r="HJ39" s="403"/>
      <c r="HK39" s="403"/>
      <c r="HL39" s="403"/>
      <c r="HM39" s="403"/>
      <c r="HN39" s="403"/>
      <c r="HO39" s="403"/>
      <c r="HP39" s="403"/>
      <c r="HQ39" s="403"/>
      <c r="HR39" s="403"/>
      <c r="HS39" s="403"/>
      <c r="HT39" s="403"/>
      <c r="HU39" s="403"/>
      <c r="HV39" s="403"/>
      <c r="HW39" s="403"/>
      <c r="HX39" s="403"/>
      <c r="HY39" s="403"/>
      <c r="HZ39" s="403"/>
      <c r="IA39" s="403"/>
      <c r="IB39" s="403"/>
      <c r="IC39" s="403"/>
      <c r="ID39" s="403"/>
      <c r="IE39" s="403"/>
      <c r="IF39" s="403"/>
      <c r="IG39" s="403"/>
      <c r="IH39" s="403"/>
      <c r="II39" s="403"/>
      <c r="IJ39" s="403"/>
      <c r="IK39" s="403"/>
      <c r="IL39" s="403"/>
      <c r="IM39" s="403"/>
      <c r="IN39" s="403"/>
      <c r="IO39" s="403"/>
      <c r="IP39" s="403"/>
      <c r="IQ39" s="403"/>
      <c r="IR39" s="403"/>
      <c r="IS39" s="403"/>
      <c r="IT39" s="403"/>
      <c r="IU39" s="403"/>
      <c r="IV39" s="403"/>
      <c r="IW39" s="403"/>
    </row>
    <row r="40" customFormat="false" ht="11.25" hidden="false" customHeight="false" outlineLevel="0" collapsed="false">
      <c r="A40" s="419"/>
      <c r="B40" s="403"/>
      <c r="C40" s="403"/>
      <c r="D40" s="403"/>
      <c r="E40" s="419"/>
      <c r="F40" s="403"/>
      <c r="G40" s="403"/>
      <c r="H40" s="403"/>
      <c r="I40" s="403"/>
      <c r="J40" s="403"/>
      <c r="K40" s="403"/>
      <c r="L40" s="403"/>
      <c r="M40" s="403"/>
      <c r="N40" s="403"/>
      <c r="O40" s="403"/>
      <c r="P40" s="403"/>
      <c r="Q40" s="403"/>
      <c r="R40" s="403"/>
      <c r="S40" s="403"/>
      <c r="T40" s="403"/>
      <c r="U40" s="403"/>
      <c r="V40" s="403"/>
      <c r="W40" s="403"/>
      <c r="X40" s="403"/>
      <c r="Y40" s="403"/>
      <c r="Z40" s="403"/>
      <c r="AA40" s="403"/>
      <c r="AB40" s="403"/>
      <c r="AC40" s="403"/>
      <c r="AD40" s="403"/>
      <c r="AE40" s="403"/>
      <c r="AF40" s="403"/>
      <c r="AG40" s="403"/>
      <c r="AH40" s="403"/>
      <c r="AI40" s="403"/>
      <c r="AJ40" s="403"/>
      <c r="AK40" s="403"/>
      <c r="AL40" s="403"/>
      <c r="AM40" s="403"/>
      <c r="AN40" s="403"/>
      <c r="AO40" s="403"/>
      <c r="AP40" s="403"/>
      <c r="AQ40" s="403"/>
      <c r="AR40" s="403"/>
      <c r="AS40" s="403"/>
      <c r="AT40" s="403"/>
      <c r="AU40" s="403"/>
      <c r="AV40" s="403"/>
      <c r="AW40" s="403"/>
      <c r="AX40" s="403"/>
      <c r="AY40" s="403"/>
      <c r="AZ40" s="403"/>
      <c r="BA40" s="403"/>
      <c r="BB40" s="403"/>
      <c r="BC40" s="403"/>
      <c r="BD40" s="403"/>
      <c r="BE40" s="403"/>
      <c r="BF40" s="403"/>
      <c r="BG40" s="403"/>
      <c r="BH40" s="403"/>
      <c r="BI40" s="403"/>
      <c r="BJ40" s="403"/>
      <c r="BK40" s="403"/>
      <c r="BL40" s="403"/>
      <c r="BM40" s="403"/>
      <c r="BN40" s="403"/>
      <c r="BO40" s="403"/>
      <c r="BP40" s="403"/>
      <c r="BQ40" s="403"/>
      <c r="BR40" s="403"/>
      <c r="BS40" s="403"/>
      <c r="BT40" s="403"/>
      <c r="BU40" s="403"/>
      <c r="BV40" s="403"/>
      <c r="BW40" s="403"/>
      <c r="BX40" s="403"/>
      <c r="BY40" s="403"/>
      <c r="BZ40" s="403"/>
      <c r="CA40" s="403"/>
      <c r="CB40" s="403"/>
      <c r="CC40" s="403"/>
      <c r="CD40" s="403"/>
      <c r="CE40" s="403"/>
      <c r="CF40" s="403"/>
      <c r="CG40" s="403"/>
      <c r="CH40" s="403"/>
      <c r="CI40" s="403"/>
      <c r="CJ40" s="403"/>
      <c r="CK40" s="403"/>
      <c r="CL40" s="403"/>
      <c r="CM40" s="403"/>
      <c r="CN40" s="403"/>
      <c r="CO40" s="403"/>
      <c r="CP40" s="403"/>
      <c r="CQ40" s="403"/>
      <c r="CR40" s="403"/>
      <c r="CS40" s="403"/>
      <c r="CT40" s="403"/>
      <c r="CU40" s="403"/>
      <c r="CV40" s="403"/>
      <c r="CW40" s="403"/>
      <c r="CX40" s="403"/>
      <c r="CY40" s="403"/>
      <c r="CZ40" s="403"/>
      <c r="DA40" s="403"/>
      <c r="DB40" s="403"/>
      <c r="DC40" s="403"/>
      <c r="DD40" s="403"/>
      <c r="DE40" s="403"/>
      <c r="DF40" s="403"/>
      <c r="DG40" s="403"/>
      <c r="DH40" s="403"/>
      <c r="DI40" s="403"/>
      <c r="DJ40" s="403"/>
      <c r="DK40" s="403"/>
      <c r="DL40" s="403"/>
      <c r="DM40" s="403"/>
      <c r="DN40" s="403"/>
      <c r="DO40" s="403"/>
      <c r="DP40" s="403"/>
      <c r="DQ40" s="403"/>
      <c r="DR40" s="403"/>
      <c r="DS40" s="403"/>
      <c r="DT40" s="403"/>
      <c r="DU40" s="403"/>
      <c r="DV40" s="403"/>
      <c r="DW40" s="403"/>
      <c r="DX40" s="403"/>
      <c r="DY40" s="403"/>
      <c r="DZ40" s="403"/>
      <c r="EA40" s="403"/>
      <c r="EB40" s="403"/>
      <c r="EC40" s="403"/>
      <c r="ED40" s="403"/>
      <c r="EE40" s="403"/>
      <c r="EF40" s="403"/>
      <c r="EG40" s="403"/>
      <c r="EH40" s="403"/>
      <c r="EI40" s="403"/>
      <c r="EJ40" s="403"/>
      <c r="EK40" s="403"/>
      <c r="EL40" s="403"/>
      <c r="EM40" s="403"/>
      <c r="EN40" s="403"/>
      <c r="EO40" s="403"/>
      <c r="EP40" s="403"/>
      <c r="EQ40" s="403"/>
      <c r="ER40" s="403"/>
      <c r="ES40" s="403"/>
      <c r="ET40" s="403"/>
      <c r="EU40" s="403"/>
      <c r="EV40" s="403"/>
      <c r="EW40" s="403"/>
      <c r="EX40" s="403"/>
      <c r="EY40" s="403"/>
      <c r="EZ40" s="403"/>
      <c r="FA40" s="403"/>
      <c r="FB40" s="403"/>
      <c r="FC40" s="403"/>
      <c r="FD40" s="403"/>
      <c r="FE40" s="403"/>
      <c r="FF40" s="403"/>
      <c r="FG40" s="403"/>
      <c r="FH40" s="403"/>
      <c r="FI40" s="403"/>
      <c r="FJ40" s="403"/>
      <c r="FK40" s="403"/>
      <c r="FL40" s="403"/>
      <c r="FM40" s="403"/>
      <c r="FN40" s="403"/>
      <c r="FO40" s="403"/>
      <c r="FP40" s="403"/>
      <c r="FQ40" s="403"/>
      <c r="FR40" s="403"/>
      <c r="FS40" s="403"/>
      <c r="FT40" s="403"/>
      <c r="FU40" s="403"/>
      <c r="FV40" s="403"/>
      <c r="FW40" s="403"/>
      <c r="FX40" s="403"/>
      <c r="FY40" s="403"/>
      <c r="FZ40" s="403"/>
      <c r="GA40" s="403"/>
      <c r="GB40" s="403"/>
      <c r="GC40" s="403"/>
      <c r="GD40" s="403"/>
      <c r="GE40" s="403"/>
      <c r="GF40" s="403"/>
      <c r="GG40" s="403"/>
      <c r="GH40" s="403"/>
      <c r="GI40" s="403"/>
      <c r="GJ40" s="403"/>
      <c r="GK40" s="403"/>
      <c r="GL40" s="403"/>
      <c r="GM40" s="403"/>
      <c r="GN40" s="403"/>
      <c r="GO40" s="403"/>
      <c r="GP40" s="403"/>
      <c r="GQ40" s="403"/>
      <c r="GR40" s="403"/>
      <c r="GS40" s="403"/>
      <c r="GT40" s="403"/>
      <c r="GU40" s="403"/>
      <c r="GV40" s="403"/>
      <c r="GW40" s="403"/>
      <c r="GX40" s="403"/>
      <c r="GY40" s="403"/>
      <c r="GZ40" s="403"/>
      <c r="HA40" s="403"/>
      <c r="HB40" s="403"/>
      <c r="HC40" s="403"/>
      <c r="HD40" s="403"/>
      <c r="HE40" s="403"/>
      <c r="HF40" s="403"/>
      <c r="HG40" s="403"/>
      <c r="HH40" s="403"/>
      <c r="HI40" s="403"/>
      <c r="HJ40" s="403"/>
      <c r="HK40" s="403"/>
      <c r="HL40" s="403"/>
      <c r="HM40" s="403"/>
      <c r="HN40" s="403"/>
      <c r="HO40" s="403"/>
      <c r="HP40" s="403"/>
      <c r="HQ40" s="403"/>
      <c r="HR40" s="403"/>
      <c r="HS40" s="403"/>
      <c r="HT40" s="403"/>
      <c r="HU40" s="403"/>
      <c r="HV40" s="403"/>
      <c r="HW40" s="403"/>
      <c r="HX40" s="403"/>
      <c r="HY40" s="403"/>
      <c r="HZ40" s="403"/>
      <c r="IA40" s="403"/>
      <c r="IB40" s="403"/>
      <c r="IC40" s="403"/>
      <c r="ID40" s="403"/>
      <c r="IE40" s="403"/>
      <c r="IF40" s="403"/>
      <c r="IG40" s="403"/>
      <c r="IH40" s="403"/>
      <c r="II40" s="403"/>
      <c r="IJ40" s="403"/>
      <c r="IK40" s="403"/>
      <c r="IL40" s="403"/>
      <c r="IM40" s="403"/>
      <c r="IN40" s="403"/>
      <c r="IO40" s="403"/>
      <c r="IP40" s="403"/>
      <c r="IQ40" s="403"/>
      <c r="IR40" s="403"/>
      <c r="IS40" s="403"/>
      <c r="IT40" s="403"/>
      <c r="IU40" s="403"/>
      <c r="IV40" s="403"/>
      <c r="IW40" s="403"/>
    </row>
    <row r="41" customFormat="false" ht="11.25" hidden="false" customHeight="false" outlineLevel="0" collapsed="false">
      <c r="A41" s="419"/>
      <c r="B41" s="403"/>
      <c r="C41" s="403"/>
      <c r="D41" s="403"/>
      <c r="E41" s="419"/>
      <c r="F41" s="403"/>
      <c r="G41" s="403"/>
      <c r="H41" s="403"/>
      <c r="I41" s="403"/>
      <c r="J41" s="403"/>
      <c r="K41" s="403"/>
      <c r="L41" s="403"/>
      <c r="M41" s="403"/>
      <c r="N41" s="403"/>
      <c r="O41" s="403"/>
      <c r="P41" s="403"/>
      <c r="Q41" s="403"/>
      <c r="R41" s="403"/>
      <c r="S41" s="403"/>
      <c r="T41" s="403"/>
      <c r="U41" s="403"/>
      <c r="V41" s="403"/>
      <c r="W41" s="403"/>
      <c r="X41" s="403"/>
      <c r="Y41" s="403"/>
      <c r="Z41" s="403"/>
      <c r="AA41" s="403"/>
      <c r="AB41" s="403"/>
      <c r="AC41" s="403"/>
      <c r="AD41" s="403"/>
      <c r="AE41" s="403"/>
      <c r="AF41" s="403"/>
      <c r="AG41" s="403"/>
      <c r="AH41" s="403"/>
      <c r="AI41" s="403"/>
      <c r="AJ41" s="403"/>
      <c r="AK41" s="403"/>
      <c r="AL41" s="403"/>
      <c r="AM41" s="403"/>
      <c r="AN41" s="403"/>
      <c r="AO41" s="403"/>
      <c r="AP41" s="403"/>
      <c r="AQ41" s="403"/>
      <c r="AR41" s="403"/>
      <c r="AS41" s="403"/>
      <c r="AT41" s="403"/>
      <c r="AU41" s="403"/>
      <c r="AV41" s="403"/>
      <c r="AW41" s="403"/>
      <c r="AX41" s="403"/>
      <c r="AY41" s="403"/>
      <c r="AZ41" s="403"/>
      <c r="BA41" s="403"/>
      <c r="BB41" s="403"/>
      <c r="BC41" s="403"/>
      <c r="BD41" s="403"/>
      <c r="BE41" s="403"/>
      <c r="BF41" s="403"/>
      <c r="BG41" s="403"/>
      <c r="BH41" s="403"/>
      <c r="BI41" s="403"/>
      <c r="BJ41" s="403"/>
      <c r="BK41" s="403"/>
      <c r="BL41" s="403"/>
      <c r="BM41" s="403"/>
      <c r="BN41" s="403"/>
      <c r="BO41" s="403"/>
      <c r="BP41" s="403"/>
      <c r="BQ41" s="403"/>
      <c r="BR41" s="403"/>
      <c r="BS41" s="403"/>
      <c r="BT41" s="403"/>
      <c r="BU41" s="403"/>
      <c r="BV41" s="403"/>
      <c r="BW41" s="403"/>
      <c r="BX41" s="403"/>
      <c r="BY41" s="403"/>
      <c r="BZ41" s="403"/>
      <c r="CA41" s="403"/>
      <c r="CB41" s="403"/>
      <c r="CC41" s="403"/>
      <c r="CD41" s="403"/>
      <c r="CE41" s="403"/>
      <c r="CF41" s="403"/>
      <c r="CG41" s="403"/>
      <c r="CH41" s="403"/>
      <c r="CI41" s="403"/>
      <c r="CJ41" s="403"/>
      <c r="CK41" s="403"/>
      <c r="CL41" s="403"/>
      <c r="CM41" s="403"/>
      <c r="CN41" s="403"/>
      <c r="CO41" s="403"/>
      <c r="CP41" s="403"/>
      <c r="CQ41" s="403"/>
      <c r="CR41" s="403"/>
      <c r="CS41" s="403"/>
      <c r="CT41" s="403"/>
      <c r="CU41" s="403"/>
      <c r="CV41" s="403"/>
      <c r="CW41" s="403"/>
      <c r="CX41" s="403"/>
      <c r="CY41" s="403"/>
      <c r="CZ41" s="403"/>
      <c r="DA41" s="403"/>
      <c r="DB41" s="403"/>
      <c r="DC41" s="403"/>
      <c r="DD41" s="403"/>
      <c r="DE41" s="403"/>
      <c r="DF41" s="403"/>
      <c r="DG41" s="403"/>
      <c r="DH41" s="403"/>
      <c r="DI41" s="403"/>
      <c r="DJ41" s="403"/>
      <c r="DK41" s="403"/>
      <c r="DL41" s="403"/>
      <c r="DM41" s="403"/>
      <c r="DN41" s="403"/>
      <c r="DO41" s="403"/>
      <c r="DP41" s="403"/>
      <c r="DQ41" s="403"/>
      <c r="DR41" s="403"/>
      <c r="DS41" s="403"/>
      <c r="DT41" s="403"/>
      <c r="DU41" s="403"/>
      <c r="DV41" s="403"/>
      <c r="DW41" s="403"/>
      <c r="DX41" s="403"/>
      <c r="DY41" s="403"/>
      <c r="DZ41" s="403"/>
      <c r="EA41" s="403"/>
      <c r="EB41" s="403"/>
      <c r="EC41" s="403"/>
      <c r="ED41" s="403"/>
      <c r="EE41" s="403"/>
      <c r="EF41" s="403"/>
      <c r="EG41" s="403"/>
      <c r="EH41" s="403"/>
      <c r="EI41" s="403"/>
      <c r="EJ41" s="403"/>
      <c r="EK41" s="403"/>
      <c r="EL41" s="403"/>
      <c r="EM41" s="403"/>
      <c r="EN41" s="403"/>
      <c r="EO41" s="403"/>
      <c r="EP41" s="403"/>
      <c r="EQ41" s="403"/>
      <c r="ER41" s="403"/>
      <c r="ES41" s="403"/>
      <c r="ET41" s="403"/>
      <c r="EU41" s="403"/>
      <c r="EV41" s="403"/>
      <c r="EW41" s="403"/>
      <c r="EX41" s="403"/>
      <c r="EY41" s="403"/>
      <c r="EZ41" s="403"/>
      <c r="FA41" s="403"/>
      <c r="FB41" s="403"/>
      <c r="FC41" s="403"/>
      <c r="FD41" s="403"/>
      <c r="FE41" s="403"/>
      <c r="FF41" s="403"/>
      <c r="FG41" s="403"/>
      <c r="FH41" s="403"/>
      <c r="FI41" s="403"/>
      <c r="FJ41" s="403"/>
      <c r="FK41" s="403"/>
      <c r="FL41" s="403"/>
      <c r="FM41" s="403"/>
      <c r="FN41" s="403"/>
      <c r="FO41" s="403"/>
      <c r="FP41" s="403"/>
      <c r="FQ41" s="403"/>
      <c r="FR41" s="403"/>
      <c r="FS41" s="403"/>
      <c r="FT41" s="403"/>
      <c r="FU41" s="403"/>
      <c r="FV41" s="403"/>
      <c r="FW41" s="403"/>
      <c r="FX41" s="403"/>
      <c r="FY41" s="403"/>
      <c r="FZ41" s="403"/>
      <c r="GA41" s="403"/>
      <c r="GB41" s="403"/>
      <c r="GC41" s="403"/>
      <c r="GD41" s="403"/>
      <c r="GE41" s="403"/>
      <c r="GF41" s="403"/>
      <c r="GG41" s="403"/>
      <c r="GH41" s="403"/>
      <c r="GI41" s="403"/>
      <c r="GJ41" s="403"/>
      <c r="GK41" s="403"/>
      <c r="GL41" s="403"/>
      <c r="GM41" s="403"/>
      <c r="GN41" s="403"/>
      <c r="GO41" s="403"/>
      <c r="GP41" s="403"/>
      <c r="GQ41" s="403"/>
      <c r="GR41" s="403"/>
      <c r="GS41" s="403"/>
      <c r="GT41" s="403"/>
      <c r="GU41" s="403"/>
      <c r="GV41" s="403"/>
      <c r="GW41" s="403"/>
      <c r="GX41" s="403"/>
      <c r="GY41" s="403"/>
      <c r="GZ41" s="403"/>
      <c r="HA41" s="403"/>
      <c r="HB41" s="403"/>
      <c r="HC41" s="403"/>
      <c r="HD41" s="403"/>
      <c r="HE41" s="403"/>
      <c r="HF41" s="403"/>
      <c r="HG41" s="403"/>
      <c r="HH41" s="403"/>
      <c r="HI41" s="403"/>
      <c r="HJ41" s="403"/>
      <c r="HK41" s="403"/>
      <c r="HL41" s="403"/>
      <c r="HM41" s="403"/>
      <c r="HN41" s="403"/>
      <c r="HO41" s="403"/>
      <c r="HP41" s="403"/>
      <c r="HQ41" s="403"/>
      <c r="HR41" s="403"/>
      <c r="HS41" s="403"/>
      <c r="HT41" s="403"/>
      <c r="HU41" s="403"/>
      <c r="HV41" s="403"/>
      <c r="HW41" s="403"/>
      <c r="HX41" s="403"/>
      <c r="HY41" s="403"/>
      <c r="HZ41" s="403"/>
      <c r="IA41" s="403"/>
      <c r="IB41" s="403"/>
      <c r="IC41" s="403"/>
      <c r="ID41" s="403"/>
      <c r="IE41" s="403"/>
      <c r="IF41" s="403"/>
      <c r="IG41" s="403"/>
      <c r="IH41" s="403"/>
      <c r="II41" s="403"/>
      <c r="IJ41" s="403"/>
      <c r="IK41" s="403"/>
      <c r="IL41" s="403"/>
      <c r="IM41" s="403"/>
      <c r="IN41" s="403"/>
      <c r="IO41" s="403"/>
      <c r="IP41" s="403"/>
      <c r="IQ41" s="403"/>
      <c r="IR41" s="403"/>
      <c r="IS41" s="403"/>
      <c r="IT41" s="403"/>
      <c r="IU41" s="403"/>
      <c r="IV41" s="403"/>
      <c r="IW41" s="403"/>
    </row>
    <row r="42" customFormat="false" ht="11.25" hidden="false" customHeight="false" outlineLevel="0" collapsed="false">
      <c r="A42" s="419"/>
      <c r="B42" s="403"/>
      <c r="C42" s="403"/>
      <c r="D42" s="403"/>
      <c r="E42" s="419"/>
      <c r="F42" s="403"/>
      <c r="G42" s="403"/>
      <c r="H42" s="403"/>
      <c r="I42" s="403"/>
      <c r="J42" s="403"/>
      <c r="K42" s="403"/>
      <c r="L42" s="403"/>
      <c r="M42" s="403"/>
      <c r="N42" s="403"/>
      <c r="O42" s="403"/>
      <c r="P42" s="403"/>
      <c r="Q42" s="403"/>
      <c r="R42" s="403"/>
      <c r="S42" s="403"/>
      <c r="T42" s="403"/>
      <c r="U42" s="403"/>
      <c r="V42" s="403"/>
      <c r="W42" s="403"/>
      <c r="X42" s="403"/>
      <c r="Y42" s="403"/>
      <c r="Z42" s="403"/>
      <c r="AA42" s="403"/>
      <c r="AB42" s="403"/>
      <c r="AC42" s="403"/>
      <c r="AD42" s="403"/>
      <c r="AE42" s="403"/>
      <c r="AF42" s="403"/>
      <c r="AG42" s="403"/>
      <c r="AH42" s="403"/>
      <c r="AI42" s="403"/>
      <c r="AJ42" s="403"/>
      <c r="AK42" s="403"/>
      <c r="AL42" s="403"/>
      <c r="AM42" s="403"/>
      <c r="AN42" s="403"/>
      <c r="AO42" s="403"/>
      <c r="AP42" s="403"/>
      <c r="AQ42" s="403"/>
      <c r="AR42" s="403"/>
      <c r="AS42" s="403"/>
      <c r="AT42" s="403"/>
      <c r="AU42" s="403"/>
      <c r="AV42" s="403"/>
      <c r="AW42" s="403"/>
      <c r="AX42" s="403"/>
      <c r="AY42" s="403"/>
      <c r="AZ42" s="403"/>
      <c r="BA42" s="403"/>
      <c r="BB42" s="403"/>
      <c r="BC42" s="403"/>
      <c r="BD42" s="403"/>
      <c r="BE42" s="403"/>
      <c r="BF42" s="403"/>
      <c r="BG42" s="403"/>
      <c r="BH42" s="403"/>
      <c r="BI42" s="403"/>
      <c r="BJ42" s="403"/>
      <c r="BK42" s="403"/>
      <c r="BL42" s="403"/>
      <c r="BM42" s="403"/>
      <c r="BN42" s="403"/>
      <c r="BO42" s="403"/>
      <c r="BP42" s="403"/>
      <c r="BQ42" s="403"/>
      <c r="BR42" s="403"/>
      <c r="BS42" s="403"/>
      <c r="BT42" s="403"/>
      <c r="BU42" s="403"/>
      <c r="BV42" s="403"/>
      <c r="BW42" s="403"/>
      <c r="BX42" s="403"/>
      <c r="BY42" s="403"/>
      <c r="BZ42" s="403"/>
      <c r="CA42" s="403"/>
      <c r="CB42" s="403"/>
      <c r="CC42" s="403"/>
      <c r="CD42" s="403"/>
      <c r="CE42" s="403"/>
      <c r="CF42" s="403"/>
      <c r="CG42" s="403"/>
      <c r="CH42" s="403"/>
      <c r="CI42" s="403"/>
      <c r="CJ42" s="403"/>
      <c r="CK42" s="403"/>
      <c r="CL42" s="403"/>
      <c r="CM42" s="403"/>
      <c r="CN42" s="403"/>
      <c r="CO42" s="403"/>
      <c r="CP42" s="403"/>
      <c r="CQ42" s="403"/>
      <c r="CR42" s="403"/>
      <c r="CS42" s="403"/>
      <c r="CT42" s="403"/>
      <c r="CU42" s="403"/>
      <c r="CV42" s="403"/>
      <c r="CW42" s="403"/>
      <c r="CX42" s="403"/>
      <c r="CY42" s="403"/>
      <c r="CZ42" s="403"/>
      <c r="DA42" s="403"/>
      <c r="DB42" s="403"/>
      <c r="DC42" s="403"/>
      <c r="DD42" s="403"/>
      <c r="DE42" s="403"/>
      <c r="DF42" s="403"/>
      <c r="DG42" s="403"/>
      <c r="DH42" s="403"/>
      <c r="DI42" s="403"/>
      <c r="DJ42" s="403"/>
      <c r="DK42" s="403"/>
      <c r="DL42" s="403"/>
      <c r="DM42" s="403"/>
      <c r="DN42" s="403"/>
      <c r="DO42" s="403"/>
      <c r="DP42" s="403"/>
      <c r="DQ42" s="403"/>
      <c r="DR42" s="403"/>
      <c r="DS42" s="403"/>
      <c r="DT42" s="403"/>
      <c r="DU42" s="403"/>
      <c r="DV42" s="403"/>
      <c r="DW42" s="403"/>
      <c r="DX42" s="403"/>
      <c r="DY42" s="403"/>
      <c r="DZ42" s="403"/>
      <c r="EA42" s="403"/>
      <c r="EB42" s="403"/>
      <c r="EC42" s="403"/>
      <c r="ED42" s="403"/>
      <c r="EE42" s="403"/>
      <c r="EF42" s="403"/>
      <c r="EG42" s="403"/>
      <c r="EH42" s="403"/>
      <c r="EI42" s="403"/>
      <c r="EJ42" s="403"/>
      <c r="EK42" s="403"/>
      <c r="EL42" s="403"/>
      <c r="EM42" s="403"/>
      <c r="EN42" s="403"/>
      <c r="EO42" s="403"/>
      <c r="EP42" s="403"/>
      <c r="EQ42" s="403"/>
      <c r="ER42" s="403"/>
      <c r="ES42" s="403"/>
      <c r="ET42" s="403"/>
      <c r="EU42" s="403"/>
      <c r="EV42" s="403"/>
      <c r="EW42" s="403"/>
      <c r="EX42" s="403"/>
      <c r="EY42" s="403"/>
      <c r="EZ42" s="403"/>
      <c r="FA42" s="403"/>
      <c r="FB42" s="403"/>
      <c r="FC42" s="403"/>
      <c r="FD42" s="403"/>
      <c r="FE42" s="403"/>
      <c r="FF42" s="403"/>
      <c r="FG42" s="403"/>
      <c r="FH42" s="403"/>
      <c r="FI42" s="403"/>
      <c r="FJ42" s="403"/>
      <c r="FK42" s="403"/>
      <c r="FL42" s="403"/>
      <c r="FM42" s="403"/>
      <c r="FN42" s="403"/>
      <c r="FO42" s="403"/>
      <c r="FP42" s="403"/>
      <c r="FQ42" s="403"/>
      <c r="FR42" s="403"/>
      <c r="FS42" s="403"/>
      <c r="FT42" s="403"/>
      <c r="FU42" s="403"/>
      <c r="FV42" s="403"/>
      <c r="FW42" s="403"/>
      <c r="FX42" s="403"/>
      <c r="FY42" s="403"/>
      <c r="FZ42" s="403"/>
      <c r="GA42" s="403"/>
      <c r="GB42" s="403"/>
      <c r="GC42" s="403"/>
      <c r="GD42" s="403"/>
      <c r="GE42" s="403"/>
      <c r="GF42" s="403"/>
      <c r="GG42" s="403"/>
      <c r="GH42" s="403"/>
      <c r="GI42" s="403"/>
      <c r="GJ42" s="403"/>
      <c r="GK42" s="403"/>
      <c r="GL42" s="403"/>
      <c r="GM42" s="403"/>
      <c r="GN42" s="403"/>
      <c r="GO42" s="403"/>
      <c r="GP42" s="403"/>
      <c r="GQ42" s="403"/>
      <c r="GR42" s="403"/>
      <c r="GS42" s="403"/>
      <c r="GT42" s="403"/>
      <c r="GU42" s="403"/>
      <c r="GV42" s="403"/>
      <c r="GW42" s="403"/>
      <c r="GX42" s="403"/>
      <c r="GY42" s="403"/>
      <c r="GZ42" s="403"/>
      <c r="HA42" s="403"/>
      <c r="HB42" s="403"/>
      <c r="HC42" s="403"/>
      <c r="HD42" s="403"/>
      <c r="HE42" s="403"/>
      <c r="HF42" s="403"/>
      <c r="HG42" s="403"/>
      <c r="HH42" s="403"/>
      <c r="HI42" s="403"/>
      <c r="HJ42" s="403"/>
      <c r="HK42" s="403"/>
      <c r="HL42" s="403"/>
      <c r="HM42" s="403"/>
      <c r="HN42" s="403"/>
      <c r="HO42" s="403"/>
      <c r="HP42" s="403"/>
      <c r="HQ42" s="403"/>
      <c r="HR42" s="403"/>
      <c r="HS42" s="403"/>
      <c r="HT42" s="403"/>
      <c r="HU42" s="403"/>
      <c r="HV42" s="403"/>
      <c r="HW42" s="403"/>
      <c r="HX42" s="403"/>
      <c r="HY42" s="403"/>
      <c r="HZ42" s="403"/>
      <c r="IA42" s="403"/>
      <c r="IB42" s="403"/>
      <c r="IC42" s="403"/>
      <c r="ID42" s="403"/>
      <c r="IE42" s="403"/>
      <c r="IF42" s="403"/>
      <c r="IG42" s="403"/>
      <c r="IH42" s="403"/>
      <c r="II42" s="403"/>
      <c r="IJ42" s="403"/>
      <c r="IK42" s="403"/>
      <c r="IL42" s="403"/>
      <c r="IM42" s="403"/>
      <c r="IN42" s="403"/>
      <c r="IO42" s="403"/>
      <c r="IP42" s="403"/>
      <c r="IQ42" s="403"/>
      <c r="IR42" s="403"/>
      <c r="IS42" s="403"/>
      <c r="IT42" s="403"/>
      <c r="IU42" s="403"/>
      <c r="IV42" s="403"/>
      <c r="IW42" s="403"/>
    </row>
    <row r="43" customFormat="false" ht="11.25" hidden="false" customHeight="false" outlineLevel="0" collapsed="false">
      <c r="A43" s="419"/>
      <c r="B43" s="403"/>
      <c r="C43" s="403"/>
      <c r="D43" s="403"/>
      <c r="E43" s="419"/>
      <c r="F43" s="403"/>
      <c r="G43" s="403"/>
      <c r="H43" s="403"/>
      <c r="I43" s="403"/>
      <c r="J43" s="403"/>
      <c r="K43" s="403"/>
      <c r="L43" s="403"/>
      <c r="M43" s="403"/>
      <c r="N43" s="403"/>
      <c r="O43" s="403"/>
      <c r="P43" s="403"/>
      <c r="Q43" s="403"/>
      <c r="R43" s="403"/>
      <c r="S43" s="403"/>
      <c r="T43" s="403"/>
      <c r="U43" s="403"/>
      <c r="V43" s="403"/>
      <c r="W43" s="403"/>
      <c r="X43" s="403"/>
      <c r="Y43" s="403"/>
      <c r="Z43" s="403"/>
      <c r="AA43" s="403"/>
      <c r="AB43" s="403"/>
      <c r="AC43" s="403"/>
      <c r="AD43" s="403"/>
      <c r="AE43" s="403"/>
      <c r="AF43" s="403"/>
      <c r="AG43" s="403"/>
      <c r="AH43" s="403"/>
      <c r="AI43" s="403"/>
      <c r="AJ43" s="403"/>
      <c r="AK43" s="403"/>
      <c r="AL43" s="403"/>
      <c r="AM43" s="403"/>
      <c r="AN43" s="403"/>
      <c r="AO43" s="403"/>
      <c r="AP43" s="403"/>
      <c r="AQ43" s="403"/>
      <c r="AR43" s="403"/>
      <c r="AS43" s="403"/>
      <c r="AT43" s="403"/>
      <c r="AU43" s="403"/>
      <c r="AV43" s="403"/>
      <c r="AW43" s="403"/>
      <c r="AX43" s="403"/>
      <c r="AY43" s="403"/>
      <c r="AZ43" s="403"/>
      <c r="BA43" s="403"/>
      <c r="BB43" s="403"/>
      <c r="BC43" s="403"/>
      <c r="BD43" s="403"/>
      <c r="BE43" s="403"/>
      <c r="BF43" s="403"/>
      <c r="BG43" s="403"/>
      <c r="BH43" s="403"/>
      <c r="BI43" s="403"/>
      <c r="BJ43" s="403"/>
      <c r="BK43" s="403"/>
      <c r="BL43" s="403"/>
      <c r="BM43" s="403"/>
      <c r="BN43" s="403"/>
      <c r="BO43" s="403"/>
      <c r="BP43" s="403"/>
      <c r="BQ43" s="403"/>
      <c r="BR43" s="403"/>
      <c r="BS43" s="403"/>
      <c r="BT43" s="403"/>
      <c r="BU43" s="403"/>
      <c r="BV43" s="403"/>
      <c r="BW43" s="403"/>
      <c r="BX43" s="403"/>
      <c r="BY43" s="403"/>
      <c r="BZ43" s="403"/>
      <c r="CA43" s="403"/>
      <c r="CB43" s="403"/>
      <c r="CC43" s="403"/>
      <c r="CD43" s="403"/>
      <c r="CE43" s="403"/>
      <c r="CF43" s="403"/>
      <c r="CG43" s="403"/>
      <c r="CH43" s="403"/>
      <c r="CI43" s="403"/>
      <c r="CJ43" s="403"/>
      <c r="CK43" s="403"/>
      <c r="CL43" s="403"/>
      <c r="CM43" s="403"/>
      <c r="CN43" s="403"/>
      <c r="CO43" s="403"/>
      <c r="CP43" s="403"/>
      <c r="CQ43" s="403"/>
      <c r="CR43" s="403"/>
      <c r="CS43" s="403"/>
      <c r="CT43" s="403"/>
      <c r="CU43" s="403"/>
      <c r="CV43" s="403"/>
      <c r="CW43" s="403"/>
      <c r="CX43" s="403"/>
      <c r="CY43" s="403"/>
      <c r="CZ43" s="403"/>
      <c r="DA43" s="403"/>
      <c r="DB43" s="403"/>
      <c r="DC43" s="403"/>
      <c r="DD43" s="403"/>
      <c r="DE43" s="403"/>
      <c r="DF43" s="403"/>
      <c r="DG43" s="403"/>
      <c r="DH43" s="403"/>
      <c r="DI43" s="403"/>
      <c r="DJ43" s="403"/>
      <c r="DK43" s="403"/>
      <c r="DL43" s="403"/>
      <c r="DM43" s="403"/>
      <c r="DN43" s="403"/>
      <c r="DO43" s="403"/>
      <c r="DP43" s="403"/>
      <c r="DQ43" s="403"/>
      <c r="DR43" s="403"/>
      <c r="DS43" s="403"/>
      <c r="DT43" s="403"/>
      <c r="DU43" s="403"/>
      <c r="DV43" s="403"/>
      <c r="DW43" s="403"/>
      <c r="DX43" s="403"/>
      <c r="DY43" s="403"/>
      <c r="DZ43" s="403"/>
      <c r="EA43" s="403"/>
      <c r="EB43" s="403"/>
      <c r="EC43" s="403"/>
      <c r="ED43" s="403"/>
      <c r="EE43" s="403"/>
      <c r="EF43" s="403"/>
      <c r="EG43" s="403"/>
      <c r="EH43" s="403"/>
      <c r="EI43" s="403"/>
      <c r="EJ43" s="403"/>
      <c r="EK43" s="403"/>
      <c r="EL43" s="403"/>
      <c r="EM43" s="403"/>
      <c r="EN43" s="403"/>
      <c r="EO43" s="403"/>
      <c r="EP43" s="403"/>
      <c r="EQ43" s="403"/>
      <c r="ER43" s="403"/>
      <c r="ES43" s="403"/>
      <c r="ET43" s="403"/>
      <c r="EU43" s="403"/>
      <c r="EV43" s="403"/>
      <c r="EW43" s="403"/>
      <c r="EX43" s="403"/>
      <c r="EY43" s="403"/>
      <c r="EZ43" s="403"/>
      <c r="FA43" s="403"/>
      <c r="FB43" s="403"/>
      <c r="FC43" s="403"/>
      <c r="FD43" s="403"/>
      <c r="FE43" s="403"/>
      <c r="FF43" s="403"/>
      <c r="FG43" s="403"/>
      <c r="FH43" s="403"/>
      <c r="FI43" s="403"/>
      <c r="FJ43" s="403"/>
      <c r="FK43" s="403"/>
      <c r="FL43" s="403"/>
      <c r="FM43" s="403"/>
      <c r="FN43" s="403"/>
      <c r="FO43" s="403"/>
      <c r="FP43" s="403"/>
      <c r="FQ43" s="403"/>
      <c r="FR43" s="403"/>
      <c r="FS43" s="403"/>
      <c r="FT43" s="403"/>
      <c r="FU43" s="403"/>
      <c r="FV43" s="403"/>
      <c r="FW43" s="403"/>
      <c r="FX43" s="403"/>
      <c r="FY43" s="403"/>
      <c r="FZ43" s="403"/>
      <c r="GA43" s="403"/>
      <c r="GB43" s="403"/>
      <c r="GC43" s="403"/>
      <c r="GD43" s="403"/>
      <c r="GE43" s="403"/>
      <c r="GF43" s="403"/>
      <c r="GG43" s="403"/>
      <c r="GH43" s="403"/>
      <c r="GI43" s="403"/>
      <c r="GJ43" s="403"/>
      <c r="GK43" s="403"/>
      <c r="GL43" s="403"/>
      <c r="GM43" s="403"/>
      <c r="GN43" s="403"/>
      <c r="GO43" s="403"/>
      <c r="GP43" s="403"/>
      <c r="GQ43" s="403"/>
      <c r="GR43" s="403"/>
      <c r="GS43" s="403"/>
      <c r="GT43" s="403"/>
      <c r="GU43" s="403"/>
      <c r="GV43" s="403"/>
      <c r="GW43" s="403"/>
      <c r="GX43" s="403"/>
      <c r="GY43" s="403"/>
      <c r="GZ43" s="403"/>
      <c r="HA43" s="403"/>
      <c r="HB43" s="403"/>
      <c r="HC43" s="403"/>
      <c r="HD43" s="403"/>
      <c r="HE43" s="403"/>
      <c r="HF43" s="403"/>
      <c r="HG43" s="403"/>
      <c r="HH43" s="403"/>
      <c r="HI43" s="403"/>
      <c r="HJ43" s="403"/>
      <c r="HK43" s="403"/>
      <c r="HL43" s="403"/>
      <c r="HM43" s="403"/>
      <c r="HN43" s="403"/>
      <c r="HO43" s="403"/>
      <c r="HP43" s="403"/>
      <c r="HQ43" s="403"/>
      <c r="HR43" s="403"/>
      <c r="HS43" s="403"/>
      <c r="HT43" s="403"/>
      <c r="HU43" s="403"/>
      <c r="HV43" s="403"/>
      <c r="HW43" s="403"/>
      <c r="HX43" s="403"/>
      <c r="HY43" s="403"/>
      <c r="HZ43" s="403"/>
      <c r="IA43" s="403"/>
      <c r="IB43" s="403"/>
      <c r="IC43" s="403"/>
      <c r="ID43" s="403"/>
      <c r="IE43" s="403"/>
      <c r="IF43" s="403"/>
      <c r="IG43" s="403"/>
      <c r="IH43" s="403"/>
      <c r="II43" s="403"/>
      <c r="IJ43" s="403"/>
      <c r="IK43" s="403"/>
      <c r="IL43" s="403"/>
      <c r="IM43" s="403"/>
      <c r="IN43" s="403"/>
      <c r="IO43" s="403"/>
      <c r="IP43" s="403"/>
      <c r="IQ43" s="403"/>
      <c r="IR43" s="403"/>
      <c r="IS43" s="403"/>
      <c r="IT43" s="403"/>
      <c r="IU43" s="403"/>
      <c r="IV43" s="403"/>
      <c r="IW43" s="403"/>
    </row>
    <row r="44" customFormat="false" ht="11.25" hidden="false" customHeight="false" outlineLevel="0" collapsed="false">
      <c r="A44" s="419"/>
      <c r="B44" s="403"/>
      <c r="C44" s="403"/>
      <c r="D44" s="403"/>
      <c r="E44" s="419"/>
      <c r="F44" s="403"/>
      <c r="G44" s="403"/>
      <c r="H44" s="403"/>
      <c r="I44" s="403"/>
      <c r="J44" s="403"/>
      <c r="K44" s="403"/>
      <c r="L44" s="403"/>
      <c r="M44" s="403"/>
      <c r="N44" s="403"/>
      <c r="O44" s="403"/>
      <c r="P44" s="403"/>
      <c r="Q44" s="403"/>
      <c r="R44" s="403"/>
      <c r="S44" s="403"/>
      <c r="T44" s="403"/>
      <c r="U44" s="403"/>
      <c r="V44" s="403"/>
      <c r="W44" s="403"/>
      <c r="X44" s="403"/>
      <c r="Y44" s="403"/>
      <c r="Z44" s="403"/>
      <c r="AA44" s="403"/>
      <c r="AB44" s="403"/>
      <c r="AC44" s="403"/>
      <c r="AD44" s="403"/>
      <c r="AE44" s="403"/>
      <c r="AF44" s="403"/>
      <c r="AG44" s="403"/>
      <c r="AH44" s="403"/>
      <c r="AI44" s="403"/>
      <c r="AJ44" s="403"/>
      <c r="AK44" s="403"/>
      <c r="AL44" s="403"/>
      <c r="AM44" s="403"/>
      <c r="AN44" s="403"/>
      <c r="AO44" s="403"/>
      <c r="AP44" s="403"/>
      <c r="AQ44" s="403"/>
      <c r="AR44" s="403"/>
      <c r="AS44" s="403"/>
      <c r="AT44" s="403"/>
      <c r="AU44" s="403"/>
      <c r="AV44" s="403"/>
      <c r="AW44" s="403"/>
      <c r="AX44" s="403"/>
      <c r="AY44" s="403"/>
      <c r="AZ44" s="403"/>
      <c r="BA44" s="403"/>
      <c r="BB44" s="403"/>
      <c r="BC44" s="403"/>
      <c r="BD44" s="403"/>
      <c r="BE44" s="403"/>
      <c r="BF44" s="403"/>
      <c r="BG44" s="403"/>
      <c r="BH44" s="403"/>
      <c r="BI44" s="403"/>
      <c r="BJ44" s="403"/>
      <c r="BK44" s="403"/>
      <c r="BL44" s="403"/>
      <c r="BM44" s="403"/>
      <c r="BN44" s="403"/>
      <c r="BO44" s="403"/>
      <c r="BP44" s="403"/>
      <c r="BQ44" s="403"/>
      <c r="BR44" s="403"/>
      <c r="BS44" s="403"/>
      <c r="BT44" s="403"/>
      <c r="BU44" s="403"/>
      <c r="BV44" s="403"/>
      <c r="BW44" s="403"/>
      <c r="BX44" s="403"/>
      <c r="BY44" s="403"/>
      <c r="BZ44" s="403"/>
      <c r="CA44" s="403"/>
      <c r="CB44" s="403"/>
      <c r="CC44" s="403"/>
      <c r="CD44" s="403"/>
      <c r="CE44" s="403"/>
      <c r="CF44" s="403"/>
      <c r="CG44" s="403"/>
      <c r="CH44" s="403"/>
      <c r="CI44" s="403"/>
      <c r="CJ44" s="403"/>
      <c r="CK44" s="403"/>
      <c r="CL44" s="403"/>
      <c r="CM44" s="403"/>
      <c r="CN44" s="403"/>
      <c r="CO44" s="403"/>
      <c r="CP44" s="403"/>
      <c r="CQ44" s="403"/>
      <c r="CR44" s="403"/>
      <c r="CS44" s="403"/>
      <c r="CT44" s="403"/>
      <c r="CU44" s="403"/>
      <c r="CV44" s="403"/>
      <c r="CW44" s="403"/>
      <c r="CX44" s="403"/>
      <c r="CY44" s="403"/>
      <c r="CZ44" s="403"/>
      <c r="DA44" s="403"/>
      <c r="DB44" s="403"/>
      <c r="DC44" s="403"/>
      <c r="DD44" s="403"/>
      <c r="DE44" s="403"/>
      <c r="DF44" s="403"/>
      <c r="DG44" s="403"/>
      <c r="DH44" s="403"/>
      <c r="DI44" s="403"/>
      <c r="DJ44" s="403"/>
      <c r="DK44" s="403"/>
      <c r="DL44" s="403"/>
      <c r="DM44" s="403"/>
      <c r="DN44" s="403"/>
      <c r="DO44" s="403"/>
      <c r="DP44" s="403"/>
      <c r="DQ44" s="403"/>
      <c r="DR44" s="403"/>
      <c r="DS44" s="403"/>
      <c r="DT44" s="403"/>
      <c r="DU44" s="403"/>
      <c r="DV44" s="403"/>
      <c r="DW44" s="403"/>
      <c r="DX44" s="403"/>
      <c r="DY44" s="403"/>
      <c r="DZ44" s="403"/>
      <c r="EA44" s="403"/>
      <c r="EB44" s="403"/>
      <c r="EC44" s="403"/>
      <c r="ED44" s="403"/>
      <c r="EE44" s="403"/>
      <c r="EF44" s="403"/>
      <c r="EG44" s="403"/>
      <c r="EH44" s="403"/>
      <c r="EI44" s="403"/>
      <c r="EJ44" s="403"/>
      <c r="EK44" s="403"/>
      <c r="EL44" s="403"/>
      <c r="EM44" s="403"/>
      <c r="EN44" s="403"/>
      <c r="EO44" s="403"/>
      <c r="EP44" s="403"/>
      <c r="EQ44" s="403"/>
      <c r="ER44" s="403"/>
      <c r="ES44" s="403"/>
      <c r="ET44" s="403"/>
      <c r="EU44" s="403"/>
      <c r="EV44" s="403"/>
      <c r="EW44" s="403"/>
      <c r="EX44" s="403"/>
      <c r="EY44" s="403"/>
      <c r="EZ44" s="403"/>
      <c r="FA44" s="403"/>
      <c r="FB44" s="403"/>
      <c r="FC44" s="403"/>
      <c r="FD44" s="403"/>
      <c r="FE44" s="403"/>
      <c r="FF44" s="403"/>
      <c r="FG44" s="403"/>
      <c r="FH44" s="403"/>
      <c r="FI44" s="403"/>
      <c r="FJ44" s="403"/>
      <c r="FK44" s="403"/>
      <c r="FL44" s="403"/>
      <c r="FM44" s="403"/>
      <c r="FN44" s="403"/>
      <c r="FO44" s="403"/>
      <c r="FP44" s="403"/>
      <c r="FQ44" s="403"/>
      <c r="FR44" s="403"/>
      <c r="FS44" s="403"/>
      <c r="FT44" s="403"/>
      <c r="FU44" s="403"/>
      <c r="FV44" s="403"/>
      <c r="FW44" s="403"/>
      <c r="FX44" s="403"/>
      <c r="FY44" s="403"/>
      <c r="FZ44" s="403"/>
      <c r="GA44" s="403"/>
      <c r="GB44" s="403"/>
      <c r="GC44" s="403"/>
      <c r="GD44" s="403"/>
      <c r="GE44" s="403"/>
      <c r="GF44" s="403"/>
      <c r="GG44" s="403"/>
      <c r="GH44" s="403"/>
      <c r="GI44" s="403"/>
      <c r="GJ44" s="403"/>
      <c r="GK44" s="403"/>
      <c r="GL44" s="403"/>
      <c r="GM44" s="403"/>
      <c r="GN44" s="403"/>
      <c r="GO44" s="403"/>
      <c r="GP44" s="403"/>
      <c r="GQ44" s="403"/>
      <c r="GR44" s="403"/>
      <c r="GS44" s="403"/>
      <c r="GT44" s="403"/>
      <c r="GU44" s="403"/>
      <c r="GV44" s="403"/>
      <c r="GW44" s="403"/>
      <c r="GX44" s="403"/>
      <c r="GY44" s="403"/>
      <c r="GZ44" s="403"/>
      <c r="HA44" s="403"/>
      <c r="HB44" s="403"/>
      <c r="HC44" s="403"/>
      <c r="HD44" s="403"/>
      <c r="HE44" s="403"/>
      <c r="HF44" s="403"/>
      <c r="HG44" s="403"/>
      <c r="HH44" s="403"/>
      <c r="HI44" s="403"/>
      <c r="HJ44" s="403"/>
      <c r="HK44" s="403"/>
      <c r="HL44" s="403"/>
      <c r="HM44" s="403"/>
      <c r="HN44" s="403"/>
      <c r="HO44" s="403"/>
      <c r="HP44" s="403"/>
      <c r="HQ44" s="403"/>
      <c r="HR44" s="403"/>
      <c r="HS44" s="403"/>
      <c r="HT44" s="403"/>
      <c r="HU44" s="403"/>
      <c r="HV44" s="403"/>
      <c r="HW44" s="403"/>
      <c r="HX44" s="403"/>
      <c r="HY44" s="403"/>
      <c r="HZ44" s="403"/>
      <c r="IA44" s="403"/>
      <c r="IB44" s="403"/>
      <c r="IC44" s="403"/>
      <c r="ID44" s="403"/>
      <c r="IE44" s="403"/>
      <c r="IF44" s="403"/>
      <c r="IG44" s="403"/>
      <c r="IH44" s="403"/>
      <c r="II44" s="403"/>
      <c r="IJ44" s="403"/>
      <c r="IK44" s="403"/>
      <c r="IL44" s="403"/>
      <c r="IM44" s="403"/>
      <c r="IN44" s="403"/>
      <c r="IO44" s="403"/>
      <c r="IP44" s="403"/>
      <c r="IQ44" s="403"/>
      <c r="IR44" s="403"/>
      <c r="IS44" s="403"/>
      <c r="IT44" s="403"/>
      <c r="IU44" s="403"/>
      <c r="IV44" s="403"/>
      <c r="IW44" s="403"/>
    </row>
    <row r="45" customFormat="false" ht="11.25" hidden="false" customHeight="false" outlineLevel="0" collapsed="false">
      <c r="A45" s="419"/>
      <c r="B45" s="403"/>
      <c r="C45" s="403"/>
      <c r="D45" s="403"/>
      <c r="E45" s="419"/>
      <c r="F45" s="403"/>
      <c r="G45" s="403"/>
      <c r="H45" s="403"/>
      <c r="I45" s="403"/>
      <c r="J45" s="403"/>
      <c r="K45" s="403"/>
      <c r="L45" s="403"/>
      <c r="M45" s="403"/>
      <c r="N45" s="403"/>
      <c r="O45" s="403"/>
      <c r="P45" s="403"/>
      <c r="Q45" s="403"/>
      <c r="R45" s="403"/>
      <c r="S45" s="403"/>
      <c r="T45" s="403"/>
      <c r="U45" s="403"/>
      <c r="V45" s="403"/>
      <c r="W45" s="403"/>
      <c r="X45" s="403"/>
      <c r="Y45" s="403"/>
      <c r="Z45" s="403"/>
      <c r="AA45" s="403"/>
      <c r="AB45" s="403"/>
      <c r="AC45" s="403"/>
      <c r="AD45" s="403"/>
      <c r="AE45" s="403"/>
      <c r="AF45" s="403"/>
      <c r="AG45" s="403"/>
      <c r="AH45" s="403"/>
      <c r="AI45" s="403"/>
      <c r="AJ45" s="403"/>
      <c r="AK45" s="403"/>
      <c r="AL45" s="403"/>
      <c r="AM45" s="403"/>
      <c r="AN45" s="403"/>
      <c r="AO45" s="403"/>
      <c r="AP45" s="403"/>
      <c r="AQ45" s="403"/>
      <c r="AR45" s="403"/>
      <c r="AS45" s="403"/>
      <c r="AT45" s="403"/>
      <c r="AU45" s="403"/>
      <c r="AV45" s="403"/>
      <c r="AW45" s="403"/>
      <c r="AX45" s="403"/>
      <c r="AY45" s="403"/>
      <c r="AZ45" s="403"/>
      <c r="BA45" s="403"/>
      <c r="BB45" s="403"/>
      <c r="BC45" s="403"/>
      <c r="BD45" s="403"/>
      <c r="BE45" s="403"/>
      <c r="BF45" s="403"/>
      <c r="BG45" s="403"/>
      <c r="BH45" s="403"/>
      <c r="BI45" s="403"/>
      <c r="BJ45" s="403"/>
      <c r="BK45" s="403"/>
      <c r="BL45" s="403"/>
      <c r="BM45" s="403"/>
      <c r="BN45" s="403"/>
      <c r="BO45" s="403"/>
      <c r="BP45" s="403"/>
      <c r="BQ45" s="403"/>
      <c r="BR45" s="403"/>
      <c r="BS45" s="403"/>
      <c r="BT45" s="403"/>
      <c r="BU45" s="403"/>
      <c r="BV45" s="403"/>
      <c r="BW45" s="403"/>
      <c r="BX45" s="403"/>
      <c r="BY45" s="403"/>
      <c r="BZ45" s="403"/>
      <c r="CA45" s="403"/>
      <c r="CB45" s="403"/>
      <c r="CC45" s="403"/>
      <c r="CD45" s="403"/>
      <c r="CE45" s="403"/>
      <c r="CF45" s="403"/>
      <c r="CG45" s="403"/>
      <c r="CH45" s="403"/>
      <c r="CI45" s="403"/>
      <c r="CJ45" s="403"/>
      <c r="CK45" s="403"/>
      <c r="CL45" s="403"/>
      <c r="CM45" s="403"/>
      <c r="CN45" s="403"/>
      <c r="CO45" s="403"/>
      <c r="CP45" s="403"/>
      <c r="CQ45" s="403"/>
      <c r="CR45" s="403"/>
      <c r="CS45" s="403"/>
      <c r="CT45" s="403"/>
      <c r="CU45" s="403"/>
      <c r="CV45" s="403"/>
      <c r="CW45" s="403"/>
      <c r="CX45" s="403"/>
      <c r="CY45" s="403"/>
      <c r="CZ45" s="403"/>
      <c r="DA45" s="403"/>
      <c r="DB45" s="403"/>
      <c r="DC45" s="403"/>
      <c r="DD45" s="403"/>
      <c r="DE45" s="403"/>
      <c r="DF45" s="403"/>
      <c r="DG45" s="403"/>
      <c r="DH45" s="403"/>
      <c r="DI45" s="403"/>
      <c r="DJ45" s="403"/>
      <c r="DK45" s="403"/>
      <c r="DL45" s="403"/>
      <c r="DM45" s="403"/>
      <c r="DN45" s="403"/>
      <c r="DO45" s="403"/>
      <c r="DP45" s="403"/>
      <c r="DQ45" s="403"/>
      <c r="DR45" s="403"/>
      <c r="DS45" s="403"/>
      <c r="DT45" s="403"/>
      <c r="DU45" s="403"/>
      <c r="DV45" s="403"/>
      <c r="DW45" s="403"/>
      <c r="DX45" s="403"/>
      <c r="DY45" s="403"/>
      <c r="DZ45" s="403"/>
      <c r="EA45" s="403"/>
      <c r="EB45" s="403"/>
      <c r="EC45" s="403"/>
      <c r="ED45" s="403"/>
      <c r="EE45" s="403"/>
      <c r="EF45" s="403"/>
      <c r="EG45" s="403"/>
      <c r="EH45" s="403"/>
      <c r="EI45" s="403"/>
      <c r="EJ45" s="403"/>
      <c r="EK45" s="403"/>
      <c r="EL45" s="403"/>
      <c r="EM45" s="403"/>
      <c r="EN45" s="403"/>
      <c r="EO45" s="403"/>
      <c r="EP45" s="403"/>
      <c r="EQ45" s="403"/>
      <c r="ER45" s="403"/>
      <c r="ES45" s="403"/>
      <c r="ET45" s="403"/>
      <c r="EU45" s="403"/>
      <c r="EV45" s="403"/>
      <c r="EW45" s="403"/>
      <c r="EX45" s="403"/>
      <c r="EY45" s="403"/>
      <c r="EZ45" s="403"/>
      <c r="FA45" s="403"/>
      <c r="FB45" s="403"/>
      <c r="FC45" s="403"/>
      <c r="FD45" s="403"/>
      <c r="FE45" s="403"/>
      <c r="FF45" s="403"/>
      <c r="FG45" s="403"/>
      <c r="FH45" s="403"/>
      <c r="FI45" s="403"/>
      <c r="FJ45" s="403"/>
      <c r="FK45" s="403"/>
      <c r="FL45" s="403"/>
      <c r="FM45" s="403"/>
      <c r="FN45" s="403"/>
      <c r="FO45" s="403"/>
      <c r="FP45" s="403"/>
      <c r="FQ45" s="403"/>
      <c r="FR45" s="403"/>
      <c r="FS45" s="403"/>
      <c r="FT45" s="403"/>
      <c r="FU45" s="403"/>
      <c r="FV45" s="403"/>
      <c r="FW45" s="403"/>
      <c r="FX45" s="403"/>
      <c r="FY45" s="403"/>
      <c r="FZ45" s="403"/>
      <c r="GA45" s="403"/>
      <c r="GB45" s="403"/>
      <c r="GC45" s="403"/>
      <c r="GD45" s="403"/>
      <c r="GE45" s="403"/>
      <c r="GF45" s="403"/>
      <c r="GG45" s="403"/>
      <c r="GH45" s="403"/>
      <c r="GI45" s="403"/>
      <c r="GJ45" s="403"/>
      <c r="GK45" s="403"/>
      <c r="GL45" s="403"/>
      <c r="GM45" s="403"/>
      <c r="GN45" s="403"/>
      <c r="GO45" s="403"/>
      <c r="GP45" s="403"/>
      <c r="GQ45" s="403"/>
      <c r="GR45" s="403"/>
      <c r="GS45" s="403"/>
      <c r="GT45" s="403"/>
      <c r="GU45" s="403"/>
      <c r="GV45" s="403"/>
      <c r="GW45" s="403"/>
      <c r="GX45" s="403"/>
      <c r="GY45" s="403"/>
      <c r="GZ45" s="403"/>
      <c r="HA45" s="403"/>
      <c r="HB45" s="403"/>
      <c r="HC45" s="403"/>
      <c r="HD45" s="403"/>
      <c r="HE45" s="403"/>
      <c r="HF45" s="403"/>
      <c r="HG45" s="403"/>
      <c r="HH45" s="403"/>
      <c r="HI45" s="403"/>
      <c r="HJ45" s="403"/>
      <c r="HK45" s="403"/>
      <c r="HL45" s="403"/>
      <c r="HM45" s="403"/>
      <c r="HN45" s="403"/>
      <c r="HO45" s="403"/>
      <c r="HP45" s="403"/>
      <c r="HQ45" s="403"/>
      <c r="HR45" s="403"/>
      <c r="HS45" s="403"/>
      <c r="HT45" s="403"/>
      <c r="HU45" s="403"/>
      <c r="HV45" s="403"/>
      <c r="HW45" s="403"/>
      <c r="HX45" s="403"/>
      <c r="HY45" s="403"/>
      <c r="HZ45" s="403"/>
      <c r="IA45" s="403"/>
      <c r="IB45" s="403"/>
      <c r="IC45" s="403"/>
      <c r="ID45" s="403"/>
      <c r="IE45" s="403"/>
      <c r="IF45" s="403"/>
      <c r="IG45" s="403"/>
      <c r="IH45" s="403"/>
      <c r="II45" s="403"/>
      <c r="IJ45" s="403"/>
      <c r="IK45" s="403"/>
      <c r="IL45" s="403"/>
      <c r="IM45" s="403"/>
      <c r="IN45" s="403"/>
      <c r="IO45" s="403"/>
      <c r="IP45" s="403"/>
      <c r="IQ45" s="403"/>
      <c r="IR45" s="403"/>
      <c r="IS45" s="403"/>
      <c r="IT45" s="403"/>
      <c r="IU45" s="403"/>
      <c r="IV45" s="403"/>
      <c r="IW45" s="403"/>
    </row>
    <row r="46" customFormat="false" ht="11.25" hidden="false" customHeight="false" outlineLevel="0" collapsed="false">
      <c r="A46" s="419"/>
      <c r="B46" s="403"/>
      <c r="C46" s="403"/>
      <c r="D46" s="403"/>
      <c r="E46" s="419"/>
      <c r="F46" s="403"/>
      <c r="G46" s="403"/>
      <c r="H46" s="403"/>
      <c r="I46" s="403"/>
      <c r="J46" s="403"/>
      <c r="K46" s="403"/>
      <c r="L46" s="403"/>
      <c r="M46" s="403"/>
      <c r="N46" s="403"/>
      <c r="O46" s="403"/>
      <c r="P46" s="403"/>
      <c r="Q46" s="403"/>
      <c r="R46" s="403"/>
      <c r="S46" s="403"/>
      <c r="T46" s="403"/>
      <c r="U46" s="403"/>
      <c r="V46" s="403"/>
      <c r="W46" s="403"/>
      <c r="X46" s="403"/>
      <c r="Y46" s="403"/>
      <c r="Z46" s="403"/>
      <c r="AA46" s="403"/>
      <c r="AB46" s="403"/>
      <c r="AC46" s="403"/>
      <c r="AD46" s="403"/>
      <c r="AE46" s="403"/>
      <c r="AF46" s="403"/>
      <c r="AG46" s="403"/>
      <c r="AH46" s="403"/>
      <c r="AI46" s="403"/>
      <c r="AJ46" s="403"/>
      <c r="AK46" s="403"/>
      <c r="AL46" s="403"/>
      <c r="AM46" s="403"/>
      <c r="AN46" s="403"/>
      <c r="AO46" s="403"/>
      <c r="AP46" s="403"/>
      <c r="AQ46" s="403"/>
      <c r="AR46" s="403"/>
      <c r="AS46" s="403"/>
      <c r="AT46" s="403"/>
      <c r="AU46" s="403"/>
      <c r="AV46" s="403"/>
      <c r="AW46" s="403"/>
      <c r="AX46" s="403"/>
      <c r="AY46" s="403"/>
      <c r="AZ46" s="403"/>
      <c r="BA46" s="403"/>
      <c r="BB46" s="403"/>
      <c r="BC46" s="403"/>
      <c r="BD46" s="403"/>
      <c r="BE46" s="403"/>
      <c r="BF46" s="403"/>
      <c r="BG46" s="403"/>
      <c r="BH46" s="403"/>
      <c r="BI46" s="403"/>
      <c r="BJ46" s="403"/>
      <c r="BK46" s="403"/>
      <c r="BL46" s="403"/>
      <c r="BM46" s="403"/>
      <c r="BN46" s="403"/>
      <c r="BO46" s="403"/>
      <c r="BP46" s="403"/>
      <c r="BQ46" s="403"/>
      <c r="BR46" s="403"/>
      <c r="BS46" s="403"/>
      <c r="BT46" s="403"/>
      <c r="BU46" s="403"/>
      <c r="BV46" s="403"/>
      <c r="BW46" s="403"/>
      <c r="BX46" s="403"/>
      <c r="BY46" s="403"/>
      <c r="BZ46" s="403"/>
      <c r="CA46" s="403"/>
      <c r="CB46" s="403"/>
      <c r="CC46" s="403"/>
      <c r="CD46" s="403"/>
      <c r="CE46" s="403"/>
      <c r="CF46" s="403"/>
      <c r="CG46" s="403"/>
      <c r="CH46" s="403"/>
      <c r="CI46" s="403"/>
      <c r="CJ46" s="403"/>
      <c r="CK46" s="403"/>
      <c r="CL46" s="403"/>
      <c r="CM46" s="403"/>
      <c r="CN46" s="403"/>
      <c r="CO46" s="403"/>
      <c r="CP46" s="403"/>
      <c r="CQ46" s="403"/>
      <c r="CR46" s="403"/>
      <c r="CS46" s="403"/>
      <c r="CT46" s="403"/>
      <c r="CU46" s="403"/>
      <c r="CV46" s="403"/>
      <c r="CW46" s="403"/>
      <c r="CX46" s="403"/>
      <c r="CY46" s="403"/>
      <c r="CZ46" s="403"/>
      <c r="DA46" s="403"/>
      <c r="DB46" s="403"/>
      <c r="DC46" s="403"/>
      <c r="DD46" s="403"/>
      <c r="DE46" s="403"/>
      <c r="DF46" s="403"/>
      <c r="DG46" s="403"/>
      <c r="DH46" s="403"/>
      <c r="DI46" s="403"/>
      <c r="DJ46" s="403"/>
      <c r="DK46" s="403"/>
      <c r="DL46" s="403"/>
      <c r="DM46" s="403"/>
      <c r="DN46" s="403"/>
      <c r="DO46" s="403"/>
      <c r="DP46" s="403"/>
      <c r="DQ46" s="403"/>
      <c r="DR46" s="403"/>
      <c r="DS46" s="403"/>
      <c r="DT46" s="403"/>
      <c r="DU46" s="403"/>
      <c r="DV46" s="403"/>
      <c r="DW46" s="403"/>
      <c r="DX46" s="403"/>
      <c r="DY46" s="403"/>
      <c r="DZ46" s="403"/>
      <c r="EA46" s="403"/>
      <c r="EB46" s="403"/>
      <c r="EC46" s="403"/>
      <c r="ED46" s="403"/>
      <c r="EE46" s="403"/>
      <c r="EF46" s="403"/>
      <c r="EG46" s="403"/>
      <c r="EH46" s="403"/>
      <c r="EI46" s="403"/>
      <c r="EJ46" s="403"/>
      <c r="EK46" s="403"/>
      <c r="EL46" s="403"/>
      <c r="EM46" s="403"/>
      <c r="EN46" s="403"/>
      <c r="EO46" s="403"/>
      <c r="EP46" s="403"/>
      <c r="EQ46" s="403"/>
      <c r="ER46" s="403"/>
      <c r="ES46" s="403"/>
      <c r="ET46" s="403"/>
      <c r="EU46" s="403"/>
      <c r="EV46" s="403"/>
      <c r="EW46" s="403"/>
      <c r="EX46" s="403"/>
      <c r="EY46" s="403"/>
      <c r="EZ46" s="403"/>
      <c r="FA46" s="403"/>
      <c r="FB46" s="403"/>
      <c r="FC46" s="403"/>
      <c r="FD46" s="403"/>
      <c r="FE46" s="403"/>
      <c r="FF46" s="403"/>
      <c r="FG46" s="403"/>
      <c r="FH46" s="403"/>
      <c r="FI46" s="403"/>
      <c r="FJ46" s="403"/>
      <c r="FK46" s="403"/>
      <c r="FL46" s="403"/>
      <c r="FM46" s="403"/>
      <c r="FN46" s="403"/>
      <c r="FO46" s="403"/>
      <c r="FP46" s="403"/>
      <c r="FQ46" s="403"/>
      <c r="FR46" s="403"/>
      <c r="FS46" s="403"/>
      <c r="FT46" s="403"/>
      <c r="FU46" s="403"/>
      <c r="FV46" s="403"/>
      <c r="FW46" s="403"/>
      <c r="FX46" s="403"/>
      <c r="FY46" s="403"/>
      <c r="FZ46" s="403"/>
      <c r="GA46" s="403"/>
      <c r="GB46" s="403"/>
      <c r="GC46" s="403"/>
      <c r="GD46" s="403"/>
      <c r="GE46" s="403"/>
      <c r="GF46" s="403"/>
      <c r="GG46" s="403"/>
      <c r="GH46" s="403"/>
      <c r="GI46" s="403"/>
      <c r="GJ46" s="403"/>
      <c r="GK46" s="403"/>
      <c r="GL46" s="403"/>
      <c r="GM46" s="403"/>
      <c r="GN46" s="403"/>
      <c r="GO46" s="403"/>
      <c r="GP46" s="403"/>
      <c r="GQ46" s="403"/>
      <c r="GR46" s="403"/>
      <c r="GS46" s="403"/>
      <c r="GT46" s="403"/>
      <c r="GU46" s="403"/>
      <c r="GV46" s="403"/>
      <c r="GW46" s="403"/>
      <c r="GX46" s="403"/>
      <c r="GY46" s="403"/>
      <c r="GZ46" s="403"/>
      <c r="HA46" s="403"/>
      <c r="HB46" s="403"/>
      <c r="HC46" s="403"/>
      <c r="HD46" s="403"/>
      <c r="HE46" s="403"/>
      <c r="HF46" s="403"/>
      <c r="HG46" s="403"/>
      <c r="HH46" s="403"/>
      <c r="HI46" s="403"/>
      <c r="HJ46" s="403"/>
      <c r="HK46" s="403"/>
      <c r="HL46" s="403"/>
      <c r="HM46" s="403"/>
      <c r="HN46" s="403"/>
      <c r="HO46" s="403"/>
      <c r="HP46" s="403"/>
      <c r="HQ46" s="403"/>
      <c r="HR46" s="403"/>
      <c r="HS46" s="403"/>
      <c r="HT46" s="403"/>
      <c r="HU46" s="403"/>
      <c r="HV46" s="403"/>
      <c r="HW46" s="403"/>
      <c r="HX46" s="403"/>
      <c r="HY46" s="403"/>
      <c r="HZ46" s="403"/>
      <c r="IA46" s="403"/>
      <c r="IB46" s="403"/>
      <c r="IC46" s="403"/>
      <c r="ID46" s="403"/>
      <c r="IE46" s="403"/>
      <c r="IF46" s="403"/>
      <c r="IG46" s="403"/>
      <c r="IH46" s="403"/>
      <c r="II46" s="403"/>
      <c r="IJ46" s="403"/>
      <c r="IK46" s="403"/>
      <c r="IL46" s="403"/>
      <c r="IM46" s="403"/>
      <c r="IN46" s="403"/>
      <c r="IO46" s="403"/>
      <c r="IP46" s="403"/>
      <c r="IQ46" s="403"/>
      <c r="IR46" s="403"/>
      <c r="IS46" s="403"/>
      <c r="IT46" s="403"/>
      <c r="IU46" s="403"/>
      <c r="IV46" s="403"/>
      <c r="IW46" s="403"/>
    </row>
    <row r="47" customFormat="false" ht="11.25" hidden="false" customHeight="false" outlineLevel="0" collapsed="false">
      <c r="A47" s="419"/>
      <c r="B47" s="403"/>
      <c r="C47" s="403"/>
      <c r="D47" s="403"/>
      <c r="E47" s="419"/>
      <c r="F47" s="403"/>
      <c r="G47" s="403"/>
      <c r="H47" s="403"/>
      <c r="I47" s="403"/>
      <c r="J47" s="403"/>
      <c r="K47" s="403"/>
      <c r="L47" s="403"/>
      <c r="M47" s="403"/>
      <c r="N47" s="403"/>
      <c r="O47" s="403"/>
      <c r="P47" s="403"/>
      <c r="Q47" s="403"/>
      <c r="R47" s="403"/>
      <c r="S47" s="403"/>
      <c r="T47" s="403"/>
      <c r="U47" s="403"/>
      <c r="V47" s="403"/>
      <c r="W47" s="403"/>
      <c r="X47" s="403"/>
      <c r="Y47" s="403"/>
      <c r="Z47" s="403"/>
      <c r="AA47" s="403"/>
      <c r="AB47" s="403"/>
      <c r="AC47" s="403"/>
      <c r="AD47" s="403"/>
      <c r="AE47" s="403"/>
      <c r="AF47" s="403"/>
      <c r="AG47" s="403"/>
      <c r="AH47" s="403"/>
      <c r="AI47" s="403"/>
      <c r="AJ47" s="403"/>
      <c r="AK47" s="403"/>
      <c r="AL47" s="403"/>
      <c r="AM47" s="403"/>
      <c r="AN47" s="403"/>
      <c r="AO47" s="403"/>
      <c r="AP47" s="403"/>
      <c r="AQ47" s="403"/>
      <c r="AR47" s="403"/>
      <c r="AS47" s="403"/>
      <c r="AT47" s="403"/>
      <c r="AU47" s="403"/>
      <c r="AV47" s="403"/>
      <c r="AW47" s="403"/>
      <c r="AX47" s="403"/>
      <c r="AY47" s="403"/>
      <c r="AZ47" s="403"/>
      <c r="BA47" s="403"/>
      <c r="BB47" s="403"/>
      <c r="BC47" s="403"/>
      <c r="BD47" s="403"/>
      <c r="BE47" s="403"/>
      <c r="BF47" s="403"/>
      <c r="BG47" s="403"/>
      <c r="BH47" s="403"/>
      <c r="BI47" s="403"/>
      <c r="BJ47" s="403"/>
      <c r="BK47" s="403"/>
      <c r="BL47" s="403"/>
      <c r="BM47" s="403"/>
      <c r="BN47" s="403"/>
      <c r="BO47" s="403"/>
      <c r="BP47" s="403"/>
      <c r="BQ47" s="403"/>
      <c r="BR47" s="403"/>
      <c r="BS47" s="403"/>
      <c r="BT47" s="403"/>
      <c r="BU47" s="403"/>
      <c r="BV47" s="403"/>
      <c r="BW47" s="403"/>
      <c r="BX47" s="403"/>
      <c r="BY47" s="403"/>
      <c r="BZ47" s="403"/>
      <c r="CA47" s="403"/>
      <c r="CB47" s="403"/>
      <c r="CC47" s="403"/>
      <c r="CD47" s="403"/>
      <c r="CE47" s="403"/>
      <c r="CF47" s="403"/>
      <c r="CG47" s="403"/>
      <c r="CH47" s="403"/>
      <c r="CI47" s="403"/>
      <c r="CJ47" s="403"/>
      <c r="CK47" s="403"/>
      <c r="CL47" s="403"/>
      <c r="CM47" s="403"/>
      <c r="CN47" s="403"/>
      <c r="CO47" s="403"/>
      <c r="CP47" s="403"/>
      <c r="CQ47" s="403"/>
      <c r="CR47" s="403"/>
      <c r="CS47" s="403"/>
      <c r="CT47" s="403"/>
      <c r="CU47" s="403"/>
      <c r="CV47" s="403"/>
      <c r="CW47" s="403"/>
      <c r="CX47" s="403"/>
      <c r="CY47" s="403"/>
      <c r="CZ47" s="403"/>
      <c r="DA47" s="403"/>
      <c r="DB47" s="403"/>
      <c r="DC47" s="403"/>
      <c r="DD47" s="403"/>
      <c r="DE47" s="403"/>
      <c r="DF47" s="403"/>
      <c r="DG47" s="403"/>
      <c r="DH47" s="403"/>
      <c r="DI47" s="403"/>
      <c r="DJ47" s="403"/>
      <c r="DK47" s="403"/>
      <c r="DL47" s="403"/>
      <c r="DM47" s="403"/>
      <c r="DN47" s="403"/>
      <c r="DO47" s="403"/>
      <c r="DP47" s="403"/>
      <c r="DQ47" s="403"/>
      <c r="DR47" s="403"/>
      <c r="DS47" s="403"/>
      <c r="DT47" s="403"/>
      <c r="DU47" s="403"/>
      <c r="DV47" s="403"/>
      <c r="DW47" s="403"/>
      <c r="DX47" s="403"/>
      <c r="DY47" s="403"/>
      <c r="DZ47" s="403"/>
      <c r="EA47" s="403"/>
      <c r="EB47" s="403"/>
      <c r="EC47" s="403"/>
      <c r="ED47" s="403"/>
      <c r="EE47" s="403"/>
      <c r="EF47" s="403"/>
      <c r="EG47" s="403"/>
      <c r="EH47" s="403"/>
      <c r="EI47" s="403"/>
      <c r="EJ47" s="403"/>
      <c r="EK47" s="403"/>
      <c r="EL47" s="403"/>
      <c r="EM47" s="403"/>
      <c r="EN47" s="403"/>
      <c r="EO47" s="403"/>
      <c r="EP47" s="403"/>
      <c r="EQ47" s="403"/>
      <c r="ER47" s="403"/>
      <c r="ES47" s="403"/>
      <c r="ET47" s="403"/>
      <c r="EU47" s="403"/>
      <c r="EV47" s="403"/>
      <c r="EW47" s="403"/>
      <c r="EX47" s="403"/>
      <c r="EY47" s="403"/>
      <c r="EZ47" s="403"/>
      <c r="FA47" s="403"/>
      <c r="FB47" s="403"/>
      <c r="FC47" s="403"/>
      <c r="FD47" s="403"/>
      <c r="FE47" s="403"/>
      <c r="FF47" s="403"/>
      <c r="FG47" s="403"/>
      <c r="FH47" s="403"/>
      <c r="FI47" s="403"/>
      <c r="FJ47" s="403"/>
      <c r="FK47" s="403"/>
      <c r="FL47" s="403"/>
      <c r="FM47" s="403"/>
      <c r="FN47" s="403"/>
      <c r="FO47" s="403"/>
      <c r="FP47" s="403"/>
      <c r="FQ47" s="403"/>
      <c r="FR47" s="403"/>
      <c r="FS47" s="403"/>
      <c r="FT47" s="403"/>
      <c r="FU47" s="403"/>
      <c r="FV47" s="403"/>
      <c r="FW47" s="403"/>
      <c r="FX47" s="403"/>
      <c r="FY47" s="403"/>
      <c r="FZ47" s="403"/>
      <c r="GA47" s="403"/>
      <c r="GB47" s="403"/>
      <c r="GC47" s="403"/>
      <c r="GD47" s="403"/>
      <c r="GE47" s="403"/>
      <c r="GF47" s="403"/>
      <c r="GG47" s="403"/>
      <c r="GH47" s="403"/>
      <c r="GI47" s="403"/>
      <c r="GJ47" s="403"/>
      <c r="GK47" s="403"/>
      <c r="GL47" s="403"/>
      <c r="GM47" s="403"/>
      <c r="GN47" s="403"/>
      <c r="GO47" s="403"/>
      <c r="GP47" s="403"/>
      <c r="GQ47" s="403"/>
      <c r="GR47" s="403"/>
      <c r="GS47" s="403"/>
      <c r="GT47" s="403"/>
      <c r="GU47" s="403"/>
      <c r="GV47" s="403"/>
      <c r="GW47" s="403"/>
      <c r="GX47" s="403"/>
      <c r="GY47" s="403"/>
      <c r="GZ47" s="403"/>
      <c r="HA47" s="403"/>
      <c r="HB47" s="403"/>
      <c r="HC47" s="403"/>
      <c r="HD47" s="403"/>
      <c r="HE47" s="403"/>
      <c r="HF47" s="403"/>
      <c r="HG47" s="403"/>
      <c r="HH47" s="403"/>
      <c r="HI47" s="403"/>
      <c r="HJ47" s="403"/>
      <c r="HK47" s="403"/>
      <c r="HL47" s="403"/>
      <c r="HM47" s="403"/>
      <c r="HN47" s="403"/>
      <c r="HO47" s="403"/>
      <c r="HP47" s="403"/>
      <c r="HQ47" s="403"/>
      <c r="HR47" s="403"/>
      <c r="HS47" s="403"/>
      <c r="HT47" s="403"/>
      <c r="HU47" s="403"/>
      <c r="HV47" s="403"/>
      <c r="HW47" s="403"/>
      <c r="HX47" s="403"/>
      <c r="HY47" s="403"/>
      <c r="HZ47" s="403"/>
      <c r="IA47" s="403"/>
      <c r="IB47" s="403"/>
      <c r="IC47" s="403"/>
      <c r="ID47" s="403"/>
      <c r="IE47" s="403"/>
      <c r="IF47" s="403"/>
      <c r="IG47" s="403"/>
      <c r="IH47" s="403"/>
      <c r="II47" s="403"/>
      <c r="IJ47" s="403"/>
      <c r="IK47" s="403"/>
      <c r="IL47" s="403"/>
      <c r="IM47" s="403"/>
      <c r="IN47" s="403"/>
      <c r="IO47" s="403"/>
      <c r="IP47" s="403"/>
      <c r="IQ47" s="403"/>
      <c r="IR47" s="403"/>
      <c r="IS47" s="403"/>
      <c r="IT47" s="403"/>
      <c r="IU47" s="403"/>
      <c r="IV47" s="403"/>
      <c r="IW47" s="403"/>
    </row>
    <row r="48" customFormat="false" ht="11.25" hidden="false" customHeight="false" outlineLevel="0" collapsed="false">
      <c r="A48" s="419"/>
      <c r="B48" s="403"/>
      <c r="C48" s="403"/>
      <c r="D48" s="403"/>
      <c r="E48" s="419"/>
      <c r="F48" s="403"/>
      <c r="G48" s="403"/>
      <c r="H48" s="403"/>
      <c r="I48" s="403"/>
      <c r="J48" s="403"/>
      <c r="K48" s="403"/>
      <c r="L48" s="403"/>
      <c r="M48" s="403"/>
      <c r="N48" s="403"/>
      <c r="O48" s="403"/>
      <c r="P48" s="403"/>
      <c r="Q48" s="403"/>
      <c r="R48" s="403"/>
      <c r="S48" s="403"/>
      <c r="T48" s="403"/>
      <c r="U48" s="403"/>
      <c r="V48" s="403"/>
      <c r="W48" s="403"/>
      <c r="X48" s="403"/>
      <c r="Y48" s="403"/>
      <c r="Z48" s="403"/>
      <c r="AA48" s="403"/>
      <c r="AB48" s="403"/>
      <c r="AC48" s="403"/>
      <c r="AD48" s="403"/>
      <c r="AE48" s="403"/>
      <c r="AF48" s="403"/>
      <c r="AG48" s="403"/>
      <c r="AH48" s="403"/>
      <c r="AI48" s="403"/>
      <c r="AJ48" s="403"/>
      <c r="AK48" s="403"/>
      <c r="AL48" s="403"/>
      <c r="AM48" s="403"/>
      <c r="AN48" s="403"/>
      <c r="AO48" s="403"/>
      <c r="AP48" s="403"/>
      <c r="AQ48" s="403"/>
      <c r="AR48" s="403"/>
      <c r="AS48" s="403"/>
      <c r="AT48" s="403"/>
      <c r="AU48" s="403"/>
      <c r="AV48" s="403"/>
      <c r="AW48" s="403"/>
      <c r="AX48" s="403"/>
      <c r="AY48" s="403"/>
      <c r="AZ48" s="403"/>
      <c r="BA48" s="403"/>
      <c r="BB48" s="403"/>
      <c r="BC48" s="403"/>
      <c r="BD48" s="403"/>
      <c r="BE48" s="403"/>
      <c r="BF48" s="403"/>
      <c r="BG48" s="403"/>
      <c r="BH48" s="403"/>
      <c r="BI48" s="403"/>
      <c r="BJ48" s="403"/>
      <c r="BK48" s="403"/>
      <c r="BL48" s="403"/>
      <c r="BM48" s="403"/>
      <c r="BN48" s="403"/>
      <c r="BO48" s="403"/>
      <c r="BP48" s="403"/>
      <c r="BQ48" s="403"/>
      <c r="BR48" s="403"/>
      <c r="BS48" s="403"/>
      <c r="BT48" s="403"/>
      <c r="BU48" s="403"/>
      <c r="BV48" s="403"/>
      <c r="BW48" s="403"/>
      <c r="BX48" s="403"/>
      <c r="BY48" s="403"/>
      <c r="BZ48" s="403"/>
      <c r="CA48" s="403"/>
      <c r="CB48" s="403"/>
      <c r="CC48" s="403"/>
      <c r="CD48" s="403"/>
      <c r="CE48" s="403"/>
      <c r="CF48" s="403"/>
      <c r="CG48" s="403"/>
      <c r="CH48" s="403"/>
      <c r="CI48" s="403"/>
      <c r="CJ48" s="403"/>
      <c r="CK48" s="403"/>
      <c r="CL48" s="403"/>
      <c r="CM48" s="403"/>
      <c r="CN48" s="403"/>
      <c r="CO48" s="403"/>
      <c r="CP48" s="403"/>
      <c r="CQ48" s="403"/>
      <c r="CR48" s="403"/>
      <c r="CS48" s="403"/>
      <c r="CT48" s="403"/>
      <c r="CU48" s="403"/>
      <c r="CV48" s="403"/>
      <c r="CW48" s="403"/>
      <c r="CX48" s="403"/>
      <c r="CY48" s="403"/>
      <c r="CZ48" s="403"/>
      <c r="DA48" s="403"/>
      <c r="DB48" s="403"/>
      <c r="DC48" s="403"/>
      <c r="DD48" s="403"/>
      <c r="DE48" s="403"/>
      <c r="DF48" s="403"/>
      <c r="DG48" s="403"/>
      <c r="DH48" s="403"/>
      <c r="DI48" s="403"/>
      <c r="DJ48" s="403"/>
      <c r="DK48" s="403"/>
      <c r="DL48" s="403"/>
      <c r="DM48" s="403"/>
      <c r="DN48" s="403"/>
      <c r="DO48" s="403"/>
      <c r="DP48" s="403"/>
      <c r="DQ48" s="403"/>
      <c r="DR48" s="403"/>
      <c r="DS48" s="403"/>
      <c r="DT48" s="403"/>
      <c r="DU48" s="403"/>
      <c r="DV48" s="403"/>
      <c r="DW48" s="403"/>
      <c r="DX48" s="403"/>
      <c r="DY48" s="403"/>
      <c r="DZ48" s="403"/>
      <c r="EA48" s="403"/>
      <c r="EB48" s="403"/>
      <c r="EC48" s="403"/>
      <c r="ED48" s="403"/>
      <c r="EE48" s="403"/>
      <c r="EF48" s="403"/>
      <c r="EG48" s="403"/>
      <c r="EH48" s="403"/>
      <c r="EI48" s="403"/>
      <c r="EJ48" s="403"/>
      <c r="EK48" s="403"/>
      <c r="EL48" s="403"/>
      <c r="EM48" s="403"/>
      <c r="EN48" s="403"/>
      <c r="EO48" s="403"/>
      <c r="EP48" s="403"/>
      <c r="EQ48" s="403"/>
      <c r="ER48" s="403"/>
      <c r="ES48" s="403"/>
      <c r="ET48" s="403"/>
      <c r="EU48" s="403"/>
      <c r="EV48" s="403"/>
      <c r="EW48" s="403"/>
      <c r="EX48" s="403"/>
      <c r="EY48" s="403"/>
      <c r="EZ48" s="403"/>
      <c r="FA48" s="403"/>
      <c r="FB48" s="403"/>
      <c r="FC48" s="403"/>
      <c r="FD48" s="403"/>
      <c r="FE48" s="403"/>
      <c r="FF48" s="403"/>
      <c r="FG48" s="403"/>
      <c r="FH48" s="403"/>
      <c r="FI48" s="403"/>
      <c r="FJ48" s="403"/>
      <c r="FK48" s="403"/>
      <c r="FL48" s="403"/>
      <c r="FM48" s="403"/>
      <c r="FN48" s="403"/>
      <c r="FO48" s="403"/>
      <c r="FP48" s="403"/>
      <c r="FQ48" s="403"/>
      <c r="FR48" s="403"/>
      <c r="FS48" s="403"/>
      <c r="FT48" s="403"/>
      <c r="FU48" s="403"/>
      <c r="FV48" s="403"/>
      <c r="FW48" s="403"/>
      <c r="FX48" s="403"/>
      <c r="FY48" s="403"/>
      <c r="FZ48" s="403"/>
      <c r="GA48" s="403"/>
      <c r="GB48" s="403"/>
      <c r="GC48" s="403"/>
      <c r="GD48" s="403"/>
      <c r="GE48" s="403"/>
      <c r="GF48" s="403"/>
      <c r="GG48" s="403"/>
      <c r="GH48" s="403"/>
      <c r="GI48" s="403"/>
      <c r="GJ48" s="403"/>
      <c r="GK48" s="403"/>
      <c r="GL48" s="403"/>
      <c r="GM48" s="403"/>
      <c r="GN48" s="403"/>
      <c r="GO48" s="403"/>
      <c r="GP48" s="403"/>
      <c r="GQ48" s="403"/>
      <c r="GR48" s="403"/>
      <c r="GS48" s="403"/>
      <c r="GT48" s="403"/>
      <c r="GU48" s="403"/>
      <c r="GV48" s="403"/>
      <c r="GW48" s="403"/>
      <c r="GX48" s="403"/>
      <c r="GY48" s="403"/>
      <c r="GZ48" s="403"/>
      <c r="HA48" s="403"/>
      <c r="HB48" s="403"/>
      <c r="HC48" s="403"/>
      <c r="HD48" s="403"/>
      <c r="HE48" s="403"/>
      <c r="HF48" s="403"/>
      <c r="HG48" s="403"/>
      <c r="HH48" s="403"/>
      <c r="HI48" s="403"/>
      <c r="HJ48" s="403"/>
      <c r="HK48" s="403"/>
      <c r="HL48" s="403"/>
      <c r="HM48" s="403"/>
      <c r="HN48" s="403"/>
      <c r="HO48" s="403"/>
      <c r="HP48" s="403"/>
      <c r="HQ48" s="403"/>
      <c r="HR48" s="403"/>
      <c r="HS48" s="403"/>
      <c r="HT48" s="403"/>
      <c r="HU48" s="403"/>
      <c r="HV48" s="403"/>
      <c r="HW48" s="403"/>
      <c r="HX48" s="403"/>
      <c r="HY48" s="403"/>
      <c r="HZ48" s="403"/>
      <c r="IA48" s="403"/>
      <c r="IB48" s="403"/>
      <c r="IC48" s="403"/>
      <c r="ID48" s="403"/>
      <c r="IE48" s="403"/>
      <c r="IF48" s="403"/>
      <c r="IG48" s="403"/>
      <c r="IH48" s="403"/>
      <c r="II48" s="403"/>
      <c r="IJ48" s="403"/>
      <c r="IK48" s="403"/>
      <c r="IL48" s="403"/>
      <c r="IM48" s="403"/>
      <c r="IN48" s="403"/>
      <c r="IO48" s="403"/>
      <c r="IP48" s="403"/>
      <c r="IQ48" s="403"/>
      <c r="IR48" s="403"/>
      <c r="IS48" s="403"/>
      <c r="IT48" s="403"/>
      <c r="IU48" s="403"/>
      <c r="IV48" s="403"/>
      <c r="IW48" s="403"/>
    </row>
    <row r="49" customFormat="false" ht="11.25" hidden="false" customHeight="false" outlineLevel="0" collapsed="false">
      <c r="A49" s="419"/>
      <c r="B49" s="403"/>
      <c r="C49" s="403"/>
      <c r="D49" s="403"/>
      <c r="E49" s="419"/>
      <c r="F49" s="403"/>
      <c r="G49" s="403"/>
      <c r="H49" s="403"/>
      <c r="I49" s="403"/>
      <c r="J49" s="403"/>
      <c r="K49" s="403"/>
      <c r="L49" s="403"/>
      <c r="M49" s="403"/>
      <c r="N49" s="403"/>
      <c r="O49" s="403"/>
      <c r="P49" s="403"/>
      <c r="Q49" s="403"/>
      <c r="R49" s="403"/>
      <c r="S49" s="403"/>
      <c r="T49" s="403"/>
      <c r="U49" s="403"/>
      <c r="V49" s="403"/>
      <c r="W49" s="403"/>
      <c r="X49" s="403"/>
      <c r="Y49" s="403"/>
      <c r="Z49" s="403"/>
      <c r="AA49" s="403"/>
      <c r="AB49" s="403"/>
      <c r="AC49" s="403"/>
      <c r="AD49" s="403"/>
      <c r="AE49" s="403"/>
      <c r="AF49" s="403"/>
      <c r="AG49" s="403"/>
      <c r="AH49" s="403"/>
      <c r="AI49" s="403"/>
      <c r="AJ49" s="403"/>
      <c r="AK49" s="403"/>
      <c r="AL49" s="403"/>
      <c r="AM49" s="403"/>
      <c r="AN49" s="403"/>
      <c r="AO49" s="403"/>
      <c r="AP49" s="403"/>
      <c r="AQ49" s="403"/>
      <c r="AR49" s="403"/>
      <c r="AS49" s="403"/>
      <c r="AT49" s="403"/>
      <c r="AU49" s="403"/>
      <c r="AV49" s="403"/>
      <c r="AW49" s="403"/>
      <c r="AX49" s="403"/>
      <c r="AY49" s="403"/>
      <c r="AZ49" s="403"/>
      <c r="BA49" s="403"/>
      <c r="BB49" s="403"/>
      <c r="BC49" s="403"/>
      <c r="BD49" s="403"/>
      <c r="BE49" s="403"/>
      <c r="BF49" s="403"/>
      <c r="BG49" s="403"/>
      <c r="BH49" s="403"/>
      <c r="BI49" s="403"/>
      <c r="BJ49" s="403"/>
      <c r="BK49" s="403"/>
      <c r="BL49" s="403"/>
      <c r="BM49" s="403"/>
      <c r="BN49" s="403"/>
      <c r="BO49" s="403"/>
      <c r="BP49" s="403"/>
      <c r="BQ49" s="403"/>
      <c r="BR49" s="403"/>
      <c r="BS49" s="403"/>
      <c r="BT49" s="403"/>
      <c r="BU49" s="403"/>
      <c r="BV49" s="403"/>
      <c r="BW49" s="403"/>
      <c r="BX49" s="403"/>
      <c r="BY49" s="403"/>
      <c r="BZ49" s="403"/>
      <c r="CA49" s="403"/>
      <c r="CB49" s="403"/>
      <c r="CC49" s="403"/>
      <c r="CD49" s="403"/>
      <c r="CE49" s="403"/>
      <c r="CF49" s="403"/>
      <c r="CG49" s="403"/>
      <c r="CH49" s="403"/>
      <c r="CI49" s="403"/>
      <c r="CJ49" s="403"/>
      <c r="CK49" s="403"/>
      <c r="CL49" s="403"/>
      <c r="CM49" s="403"/>
      <c r="CN49" s="403"/>
      <c r="CO49" s="403"/>
      <c r="CP49" s="403"/>
      <c r="CQ49" s="403"/>
      <c r="CR49" s="403"/>
      <c r="CS49" s="403"/>
      <c r="CT49" s="403"/>
      <c r="CU49" s="403"/>
      <c r="CV49" s="403"/>
      <c r="CW49" s="403"/>
      <c r="CX49" s="403"/>
      <c r="CY49" s="403"/>
      <c r="CZ49" s="403"/>
      <c r="DA49" s="403"/>
      <c r="DB49" s="403"/>
      <c r="DC49" s="403"/>
      <c r="DD49" s="403"/>
      <c r="DE49" s="403"/>
      <c r="DF49" s="403"/>
      <c r="DG49" s="403"/>
      <c r="DH49" s="403"/>
      <c r="DI49" s="403"/>
      <c r="DJ49" s="403"/>
      <c r="DK49" s="403"/>
      <c r="DL49" s="403"/>
      <c r="DM49" s="403"/>
      <c r="DN49" s="403"/>
      <c r="DO49" s="403"/>
      <c r="DP49" s="403"/>
      <c r="DQ49" s="403"/>
      <c r="DR49" s="403"/>
      <c r="DS49" s="403"/>
      <c r="DT49" s="403"/>
      <c r="DU49" s="403"/>
      <c r="DV49" s="403"/>
      <c r="DW49" s="403"/>
      <c r="DX49" s="403"/>
      <c r="DY49" s="403"/>
      <c r="DZ49" s="403"/>
      <c r="EA49" s="403"/>
      <c r="EB49" s="403"/>
      <c r="EC49" s="403"/>
      <c r="ED49" s="403"/>
      <c r="EE49" s="403"/>
      <c r="EF49" s="403"/>
      <c r="EG49" s="403"/>
      <c r="EH49" s="403"/>
      <c r="EI49" s="403"/>
      <c r="EJ49" s="403"/>
      <c r="EK49" s="403"/>
      <c r="EL49" s="403"/>
      <c r="EM49" s="403"/>
      <c r="EN49" s="403"/>
      <c r="EO49" s="403"/>
      <c r="EP49" s="403"/>
      <c r="EQ49" s="403"/>
      <c r="ER49" s="403"/>
      <c r="ES49" s="403"/>
      <c r="ET49" s="403"/>
      <c r="EU49" s="403"/>
      <c r="EV49" s="403"/>
      <c r="EW49" s="403"/>
      <c r="EX49" s="403"/>
      <c r="EY49" s="403"/>
      <c r="EZ49" s="403"/>
      <c r="FA49" s="403"/>
      <c r="FB49" s="403"/>
      <c r="FC49" s="403"/>
      <c r="FD49" s="403"/>
      <c r="FE49" s="403"/>
      <c r="FF49" s="403"/>
      <c r="FG49" s="403"/>
      <c r="FH49" s="403"/>
      <c r="FI49" s="403"/>
      <c r="FJ49" s="403"/>
      <c r="FK49" s="403"/>
      <c r="FL49" s="403"/>
      <c r="FM49" s="403"/>
      <c r="FN49" s="403"/>
      <c r="FO49" s="403"/>
      <c r="FP49" s="403"/>
      <c r="FQ49" s="403"/>
      <c r="FR49" s="403"/>
      <c r="FS49" s="403"/>
      <c r="FT49" s="403"/>
      <c r="FU49" s="403"/>
      <c r="FV49" s="403"/>
      <c r="FW49" s="403"/>
      <c r="FX49" s="403"/>
      <c r="FY49" s="403"/>
      <c r="FZ49" s="403"/>
      <c r="GA49" s="403"/>
      <c r="GB49" s="403"/>
      <c r="GC49" s="403"/>
      <c r="GD49" s="403"/>
      <c r="GE49" s="403"/>
      <c r="GF49" s="403"/>
      <c r="GG49" s="403"/>
      <c r="GH49" s="403"/>
      <c r="GI49" s="403"/>
      <c r="GJ49" s="403"/>
      <c r="GK49" s="403"/>
      <c r="GL49" s="403"/>
      <c r="GM49" s="403"/>
      <c r="GN49" s="403"/>
      <c r="GO49" s="403"/>
      <c r="GP49" s="403"/>
      <c r="GQ49" s="403"/>
      <c r="GR49" s="403"/>
      <c r="GS49" s="403"/>
      <c r="GT49" s="403"/>
      <c r="GU49" s="403"/>
      <c r="GV49" s="403"/>
      <c r="GW49" s="403"/>
      <c r="GX49" s="403"/>
      <c r="GY49" s="403"/>
      <c r="GZ49" s="403"/>
      <c r="HA49" s="403"/>
      <c r="HB49" s="403"/>
      <c r="HC49" s="403"/>
      <c r="HD49" s="403"/>
      <c r="HE49" s="403"/>
      <c r="HF49" s="403"/>
      <c r="HG49" s="403"/>
      <c r="HH49" s="403"/>
      <c r="HI49" s="403"/>
      <c r="HJ49" s="403"/>
      <c r="HK49" s="403"/>
      <c r="HL49" s="403"/>
      <c r="HM49" s="403"/>
      <c r="HN49" s="403"/>
      <c r="HO49" s="403"/>
      <c r="HP49" s="403"/>
      <c r="HQ49" s="403"/>
      <c r="HR49" s="403"/>
      <c r="HS49" s="403"/>
      <c r="HT49" s="403"/>
      <c r="HU49" s="403"/>
      <c r="HV49" s="403"/>
      <c r="HW49" s="403"/>
      <c r="HX49" s="403"/>
      <c r="HY49" s="403"/>
      <c r="HZ49" s="403"/>
      <c r="IA49" s="403"/>
      <c r="IB49" s="403"/>
      <c r="IC49" s="403"/>
      <c r="ID49" s="403"/>
      <c r="IE49" s="403"/>
      <c r="IF49" s="403"/>
      <c r="IG49" s="403"/>
      <c r="IH49" s="403"/>
      <c r="II49" s="403"/>
      <c r="IJ49" s="403"/>
      <c r="IK49" s="403"/>
      <c r="IL49" s="403"/>
      <c r="IM49" s="403"/>
      <c r="IN49" s="403"/>
      <c r="IO49" s="403"/>
      <c r="IP49" s="403"/>
      <c r="IQ49" s="403"/>
      <c r="IR49" s="403"/>
      <c r="IS49" s="403"/>
      <c r="IT49" s="403"/>
      <c r="IU49" s="403"/>
      <c r="IV49" s="403"/>
      <c r="IW49" s="403"/>
    </row>
    <row r="50" customFormat="false" ht="11.25" hidden="false" customHeight="false" outlineLevel="0" collapsed="false">
      <c r="A50" s="419"/>
      <c r="B50" s="403"/>
      <c r="C50" s="403"/>
      <c r="D50" s="403"/>
      <c r="E50" s="419"/>
      <c r="F50" s="403"/>
      <c r="G50" s="403"/>
      <c r="H50" s="403"/>
      <c r="I50" s="403"/>
      <c r="J50" s="403"/>
      <c r="K50" s="403"/>
      <c r="L50" s="403"/>
      <c r="M50" s="403"/>
      <c r="N50" s="403"/>
      <c r="O50" s="403"/>
      <c r="P50" s="403"/>
      <c r="Q50" s="403"/>
      <c r="R50" s="403"/>
      <c r="S50" s="403"/>
      <c r="T50" s="403"/>
      <c r="U50" s="403"/>
      <c r="V50" s="403"/>
      <c r="W50" s="403"/>
      <c r="X50" s="403"/>
      <c r="Y50" s="403"/>
      <c r="Z50" s="403"/>
      <c r="AA50" s="403"/>
      <c r="AB50" s="403"/>
      <c r="AC50" s="403"/>
      <c r="AD50" s="403"/>
      <c r="AE50" s="403"/>
      <c r="AF50" s="403"/>
      <c r="AG50" s="403"/>
      <c r="AH50" s="403"/>
      <c r="AI50" s="403"/>
      <c r="AJ50" s="403"/>
      <c r="AK50" s="403"/>
      <c r="AL50" s="403"/>
      <c r="AM50" s="403"/>
      <c r="AN50" s="403"/>
      <c r="AO50" s="403"/>
      <c r="AP50" s="403"/>
      <c r="AQ50" s="403"/>
      <c r="AR50" s="403"/>
      <c r="AS50" s="403"/>
      <c r="AT50" s="403"/>
      <c r="AU50" s="403"/>
      <c r="AV50" s="403"/>
      <c r="AW50" s="403"/>
      <c r="AX50" s="403"/>
      <c r="AY50" s="403"/>
      <c r="AZ50" s="403"/>
      <c r="BA50" s="403"/>
      <c r="BB50" s="403"/>
      <c r="BC50" s="403"/>
      <c r="BD50" s="403"/>
      <c r="BE50" s="403"/>
      <c r="BF50" s="403"/>
      <c r="BG50" s="403"/>
      <c r="BH50" s="403"/>
      <c r="BI50" s="403"/>
      <c r="BJ50" s="403"/>
      <c r="BK50" s="403"/>
      <c r="BL50" s="403"/>
      <c r="BM50" s="403"/>
      <c r="BN50" s="403"/>
      <c r="BO50" s="403"/>
      <c r="BP50" s="403"/>
      <c r="BQ50" s="403"/>
      <c r="BR50" s="403"/>
      <c r="BS50" s="403"/>
      <c r="BT50" s="403"/>
      <c r="BU50" s="403"/>
      <c r="BV50" s="403"/>
      <c r="BW50" s="403"/>
      <c r="BX50" s="403"/>
      <c r="BY50" s="403"/>
      <c r="BZ50" s="403"/>
      <c r="CA50" s="403"/>
      <c r="CB50" s="403"/>
      <c r="CC50" s="403"/>
      <c r="CD50" s="403"/>
      <c r="CE50" s="403"/>
      <c r="CF50" s="403"/>
      <c r="CG50" s="403"/>
      <c r="CH50" s="403"/>
      <c r="CI50" s="403"/>
      <c r="CJ50" s="403"/>
      <c r="CK50" s="403"/>
      <c r="CL50" s="403"/>
      <c r="CM50" s="403"/>
      <c r="CN50" s="403"/>
      <c r="CO50" s="403"/>
      <c r="CP50" s="403"/>
      <c r="CQ50" s="403"/>
      <c r="CR50" s="403"/>
      <c r="CS50" s="403"/>
      <c r="CT50" s="403"/>
      <c r="CU50" s="403"/>
      <c r="CV50" s="403"/>
      <c r="CW50" s="403"/>
      <c r="CX50" s="403"/>
      <c r="CY50" s="403"/>
      <c r="CZ50" s="403"/>
      <c r="DA50" s="403"/>
      <c r="DB50" s="403"/>
      <c r="DC50" s="403"/>
      <c r="DD50" s="403"/>
      <c r="DE50" s="403"/>
      <c r="DF50" s="403"/>
      <c r="DG50" s="403"/>
      <c r="DH50" s="403"/>
      <c r="DI50" s="403"/>
      <c r="DJ50" s="403"/>
      <c r="DK50" s="403"/>
      <c r="DL50" s="403"/>
      <c r="DM50" s="403"/>
      <c r="DN50" s="403"/>
      <c r="DO50" s="403"/>
      <c r="DP50" s="403"/>
      <c r="DQ50" s="403"/>
      <c r="DR50" s="403"/>
      <c r="DS50" s="403"/>
      <c r="DT50" s="403"/>
      <c r="DU50" s="403"/>
      <c r="DV50" s="403"/>
      <c r="DW50" s="403"/>
      <c r="DX50" s="403"/>
      <c r="DY50" s="403"/>
      <c r="DZ50" s="403"/>
      <c r="EA50" s="403"/>
      <c r="EB50" s="403"/>
      <c r="EC50" s="403"/>
      <c r="ED50" s="403"/>
      <c r="EE50" s="403"/>
      <c r="EF50" s="403"/>
      <c r="EG50" s="403"/>
      <c r="EH50" s="403"/>
      <c r="EI50" s="403"/>
      <c r="EJ50" s="403"/>
      <c r="EK50" s="403"/>
      <c r="EL50" s="403"/>
      <c r="EM50" s="403"/>
      <c r="EN50" s="403"/>
      <c r="EO50" s="403"/>
      <c r="EP50" s="403"/>
      <c r="EQ50" s="403"/>
      <c r="ER50" s="403"/>
      <c r="ES50" s="403"/>
      <c r="ET50" s="403"/>
      <c r="EU50" s="403"/>
      <c r="EV50" s="403"/>
      <c r="EW50" s="403"/>
      <c r="EX50" s="403"/>
      <c r="EY50" s="403"/>
      <c r="EZ50" s="403"/>
      <c r="FA50" s="403"/>
      <c r="FB50" s="403"/>
      <c r="FC50" s="403"/>
      <c r="FD50" s="403"/>
      <c r="FE50" s="403"/>
      <c r="FF50" s="403"/>
      <c r="FG50" s="403"/>
      <c r="FH50" s="403"/>
      <c r="FI50" s="403"/>
      <c r="FJ50" s="403"/>
      <c r="FK50" s="403"/>
      <c r="FL50" s="403"/>
      <c r="FM50" s="403"/>
      <c r="FN50" s="403"/>
      <c r="FO50" s="403"/>
      <c r="FP50" s="403"/>
      <c r="FQ50" s="403"/>
      <c r="FR50" s="403"/>
      <c r="FS50" s="403"/>
      <c r="FT50" s="403"/>
      <c r="FU50" s="403"/>
      <c r="FV50" s="403"/>
      <c r="FW50" s="403"/>
      <c r="FX50" s="403"/>
      <c r="FY50" s="403"/>
      <c r="FZ50" s="403"/>
      <c r="GA50" s="403"/>
      <c r="GB50" s="403"/>
      <c r="GC50" s="403"/>
      <c r="GD50" s="403"/>
      <c r="GE50" s="403"/>
      <c r="GF50" s="403"/>
      <c r="GG50" s="403"/>
      <c r="GH50" s="403"/>
      <c r="GI50" s="403"/>
      <c r="GJ50" s="403"/>
      <c r="GK50" s="403"/>
      <c r="GL50" s="403"/>
      <c r="GM50" s="403"/>
      <c r="GN50" s="403"/>
      <c r="GO50" s="403"/>
      <c r="GP50" s="403"/>
      <c r="GQ50" s="403"/>
      <c r="GR50" s="403"/>
      <c r="GS50" s="403"/>
      <c r="GT50" s="403"/>
      <c r="GU50" s="403"/>
      <c r="GV50" s="403"/>
      <c r="GW50" s="403"/>
      <c r="GX50" s="403"/>
      <c r="GY50" s="403"/>
      <c r="GZ50" s="403"/>
      <c r="HA50" s="403"/>
      <c r="HB50" s="403"/>
      <c r="HC50" s="403"/>
      <c r="HD50" s="403"/>
      <c r="HE50" s="403"/>
      <c r="HF50" s="403"/>
      <c r="HG50" s="403"/>
      <c r="HH50" s="403"/>
      <c r="HI50" s="403"/>
      <c r="HJ50" s="403"/>
      <c r="HK50" s="403"/>
      <c r="HL50" s="403"/>
      <c r="HM50" s="403"/>
      <c r="HN50" s="403"/>
      <c r="HO50" s="403"/>
      <c r="HP50" s="403"/>
      <c r="HQ50" s="403"/>
      <c r="HR50" s="403"/>
      <c r="HS50" s="403"/>
      <c r="HT50" s="403"/>
      <c r="HU50" s="403"/>
      <c r="HV50" s="403"/>
      <c r="HW50" s="403"/>
      <c r="HX50" s="403"/>
      <c r="HY50" s="403"/>
      <c r="HZ50" s="403"/>
      <c r="IA50" s="403"/>
      <c r="IB50" s="403"/>
      <c r="IC50" s="403"/>
      <c r="ID50" s="403"/>
      <c r="IE50" s="403"/>
      <c r="IF50" s="403"/>
      <c r="IG50" s="403"/>
      <c r="IH50" s="403"/>
      <c r="II50" s="403"/>
      <c r="IJ50" s="403"/>
      <c r="IK50" s="403"/>
      <c r="IL50" s="403"/>
      <c r="IM50" s="403"/>
      <c r="IN50" s="403"/>
      <c r="IO50" s="403"/>
      <c r="IP50" s="403"/>
      <c r="IQ50" s="403"/>
      <c r="IR50" s="403"/>
      <c r="IS50" s="403"/>
      <c r="IT50" s="403"/>
      <c r="IU50" s="403"/>
      <c r="IV50" s="403"/>
      <c r="IW50" s="403"/>
    </row>
    <row r="51" customFormat="false" ht="11.25" hidden="false" customHeight="false" outlineLevel="0" collapsed="false">
      <c r="A51" s="419"/>
      <c r="B51" s="403"/>
      <c r="C51" s="403"/>
      <c r="D51" s="403"/>
      <c r="E51" s="419"/>
      <c r="F51" s="403"/>
      <c r="G51" s="403"/>
      <c r="H51" s="403"/>
      <c r="I51" s="403"/>
      <c r="J51" s="403"/>
      <c r="K51" s="403"/>
      <c r="L51" s="403"/>
      <c r="M51" s="403"/>
      <c r="N51" s="403"/>
      <c r="O51" s="403"/>
      <c r="P51" s="403"/>
      <c r="Q51" s="403"/>
      <c r="R51" s="403"/>
      <c r="S51" s="403"/>
      <c r="T51" s="403"/>
      <c r="U51" s="403"/>
      <c r="V51" s="403"/>
      <c r="W51" s="403"/>
      <c r="X51" s="403"/>
      <c r="Y51" s="403"/>
      <c r="Z51" s="403"/>
      <c r="AA51" s="403"/>
      <c r="AB51" s="403"/>
      <c r="AC51" s="403"/>
      <c r="AD51" s="403"/>
      <c r="AE51" s="403"/>
      <c r="AF51" s="403"/>
      <c r="AG51" s="403"/>
      <c r="AH51" s="403"/>
      <c r="AI51" s="403"/>
      <c r="AJ51" s="403"/>
      <c r="AK51" s="403"/>
      <c r="AL51" s="403"/>
      <c r="AM51" s="403"/>
      <c r="AN51" s="403"/>
      <c r="AO51" s="403"/>
      <c r="AP51" s="403"/>
      <c r="AQ51" s="403"/>
      <c r="AR51" s="403"/>
      <c r="AS51" s="403"/>
      <c r="AT51" s="403"/>
      <c r="AU51" s="403"/>
      <c r="AV51" s="403"/>
      <c r="AW51" s="403"/>
      <c r="AX51" s="403"/>
      <c r="AY51" s="403"/>
      <c r="AZ51" s="403"/>
      <c r="BA51" s="403"/>
      <c r="BB51" s="403"/>
      <c r="BC51" s="403"/>
      <c r="BD51" s="403"/>
      <c r="BE51" s="403"/>
      <c r="BF51" s="403"/>
      <c r="BG51" s="403"/>
      <c r="BH51" s="403"/>
      <c r="BI51" s="403"/>
      <c r="BJ51" s="403"/>
      <c r="BK51" s="403"/>
      <c r="BL51" s="403"/>
      <c r="BM51" s="403"/>
      <c r="BN51" s="403"/>
      <c r="BO51" s="403"/>
      <c r="BP51" s="403"/>
      <c r="BQ51" s="403"/>
      <c r="BR51" s="403"/>
      <c r="BS51" s="403"/>
      <c r="BT51" s="403"/>
      <c r="BU51" s="403"/>
      <c r="BV51" s="403"/>
      <c r="BW51" s="403"/>
      <c r="BX51" s="403"/>
      <c r="BY51" s="403"/>
      <c r="BZ51" s="403"/>
      <c r="CA51" s="403"/>
      <c r="CB51" s="403"/>
      <c r="CC51" s="403"/>
      <c r="CD51" s="403"/>
      <c r="CE51" s="403"/>
      <c r="CF51" s="403"/>
      <c r="CG51" s="403"/>
      <c r="CH51" s="403"/>
      <c r="CI51" s="403"/>
      <c r="CJ51" s="403"/>
      <c r="CK51" s="403"/>
      <c r="CL51" s="403"/>
      <c r="CM51" s="403"/>
      <c r="CN51" s="403"/>
      <c r="CO51" s="403"/>
      <c r="CP51" s="403"/>
      <c r="CQ51" s="403"/>
      <c r="CR51" s="403"/>
      <c r="CS51" s="403"/>
      <c r="CT51" s="403"/>
      <c r="CU51" s="403"/>
      <c r="CV51" s="403"/>
      <c r="CW51" s="403"/>
      <c r="CX51" s="403"/>
      <c r="CY51" s="403"/>
      <c r="CZ51" s="403"/>
      <c r="DA51" s="403"/>
      <c r="DB51" s="403"/>
      <c r="DC51" s="403"/>
      <c r="DD51" s="403"/>
      <c r="DE51" s="403"/>
      <c r="DF51" s="403"/>
      <c r="DG51" s="403"/>
      <c r="DH51" s="403"/>
      <c r="DI51" s="403"/>
      <c r="DJ51" s="403"/>
      <c r="DK51" s="403"/>
      <c r="DL51" s="403"/>
      <c r="DM51" s="403"/>
      <c r="DN51" s="403"/>
      <c r="DO51" s="403"/>
      <c r="DP51" s="403"/>
      <c r="DQ51" s="403"/>
      <c r="DR51" s="403"/>
      <c r="DS51" s="403"/>
      <c r="DT51" s="403"/>
      <c r="DU51" s="403"/>
      <c r="DV51" s="403"/>
      <c r="DW51" s="403"/>
      <c r="DX51" s="403"/>
      <c r="DY51" s="403"/>
      <c r="DZ51" s="403"/>
      <c r="EA51" s="403"/>
      <c r="EB51" s="403"/>
      <c r="EC51" s="403"/>
      <c r="ED51" s="403"/>
      <c r="EE51" s="403"/>
      <c r="EF51" s="403"/>
      <c r="EG51" s="403"/>
      <c r="EH51" s="403"/>
      <c r="EI51" s="403"/>
      <c r="EJ51" s="403"/>
      <c r="EK51" s="403"/>
      <c r="EL51" s="403"/>
      <c r="EM51" s="403"/>
      <c r="EN51" s="403"/>
      <c r="EO51" s="403"/>
      <c r="EP51" s="403"/>
      <c r="EQ51" s="403"/>
      <c r="ER51" s="403"/>
      <c r="ES51" s="403"/>
      <c r="ET51" s="403"/>
      <c r="EU51" s="403"/>
      <c r="EV51" s="403"/>
      <c r="EW51" s="403"/>
      <c r="EX51" s="403"/>
      <c r="EY51" s="403"/>
      <c r="EZ51" s="403"/>
      <c r="FA51" s="403"/>
      <c r="FB51" s="403"/>
      <c r="FC51" s="403"/>
      <c r="FD51" s="403"/>
      <c r="FE51" s="403"/>
      <c r="FF51" s="403"/>
      <c r="FG51" s="403"/>
      <c r="FH51" s="403"/>
      <c r="FI51" s="403"/>
      <c r="FJ51" s="403"/>
      <c r="FK51" s="403"/>
      <c r="FL51" s="403"/>
      <c r="FM51" s="403"/>
      <c r="FN51" s="403"/>
      <c r="FO51" s="403"/>
      <c r="FP51" s="403"/>
      <c r="FQ51" s="403"/>
      <c r="FR51" s="403"/>
      <c r="FS51" s="403"/>
      <c r="FT51" s="403"/>
      <c r="FU51" s="403"/>
      <c r="FV51" s="403"/>
      <c r="FW51" s="403"/>
      <c r="FX51" s="403"/>
      <c r="FY51" s="403"/>
      <c r="FZ51" s="403"/>
      <c r="GA51" s="403"/>
      <c r="GB51" s="403"/>
      <c r="GC51" s="403"/>
      <c r="GD51" s="403"/>
      <c r="GE51" s="403"/>
      <c r="GF51" s="403"/>
      <c r="GG51" s="403"/>
      <c r="GH51" s="403"/>
      <c r="GI51" s="403"/>
      <c r="GJ51" s="403"/>
      <c r="GK51" s="403"/>
      <c r="GL51" s="403"/>
      <c r="GM51" s="403"/>
      <c r="GN51" s="403"/>
      <c r="GO51" s="403"/>
      <c r="GP51" s="403"/>
      <c r="GQ51" s="403"/>
      <c r="GR51" s="403"/>
      <c r="GS51" s="403"/>
      <c r="GT51" s="403"/>
      <c r="GU51" s="403"/>
      <c r="GV51" s="403"/>
      <c r="GW51" s="403"/>
      <c r="GX51" s="403"/>
      <c r="GY51" s="403"/>
      <c r="GZ51" s="403"/>
      <c r="HA51" s="403"/>
      <c r="HB51" s="403"/>
      <c r="HC51" s="403"/>
      <c r="HD51" s="403"/>
      <c r="HE51" s="403"/>
      <c r="HF51" s="403"/>
      <c r="HG51" s="403"/>
      <c r="HH51" s="403"/>
      <c r="HI51" s="403"/>
      <c r="HJ51" s="403"/>
      <c r="HK51" s="403"/>
      <c r="HL51" s="403"/>
      <c r="HM51" s="403"/>
      <c r="HN51" s="403"/>
      <c r="HO51" s="403"/>
      <c r="HP51" s="403"/>
      <c r="HQ51" s="403"/>
      <c r="HR51" s="403"/>
      <c r="HS51" s="403"/>
      <c r="HT51" s="403"/>
      <c r="HU51" s="403"/>
      <c r="HV51" s="403"/>
      <c r="HW51" s="403"/>
      <c r="HX51" s="403"/>
      <c r="HY51" s="403"/>
      <c r="HZ51" s="403"/>
      <c r="IA51" s="403"/>
      <c r="IB51" s="403"/>
      <c r="IC51" s="403"/>
      <c r="ID51" s="403"/>
      <c r="IE51" s="403"/>
      <c r="IF51" s="403"/>
      <c r="IG51" s="403"/>
      <c r="IH51" s="403"/>
      <c r="II51" s="403"/>
      <c r="IJ51" s="403"/>
      <c r="IK51" s="403"/>
      <c r="IL51" s="403"/>
      <c r="IM51" s="403"/>
      <c r="IN51" s="403"/>
      <c r="IO51" s="403"/>
      <c r="IP51" s="403"/>
      <c r="IQ51" s="403"/>
      <c r="IR51" s="403"/>
      <c r="IS51" s="403"/>
      <c r="IT51" s="403"/>
      <c r="IU51" s="403"/>
      <c r="IV51" s="403"/>
      <c r="IW51" s="403"/>
    </row>
    <row r="52" customFormat="false" ht="11.25" hidden="false" customHeight="false" outlineLevel="0" collapsed="false">
      <c r="A52" s="419"/>
      <c r="B52" s="403"/>
      <c r="C52" s="403"/>
      <c r="D52" s="403"/>
      <c r="E52" s="419"/>
      <c r="F52" s="403"/>
      <c r="G52" s="403"/>
      <c r="H52" s="403"/>
      <c r="I52" s="403"/>
      <c r="J52" s="403"/>
      <c r="K52" s="403"/>
      <c r="L52" s="403"/>
      <c r="M52" s="403"/>
      <c r="N52" s="403"/>
      <c r="O52" s="403"/>
      <c r="P52" s="403"/>
      <c r="Q52" s="403"/>
      <c r="R52" s="403"/>
      <c r="S52" s="403"/>
      <c r="T52" s="403"/>
      <c r="U52" s="403"/>
      <c r="V52" s="403"/>
      <c r="W52" s="403"/>
      <c r="X52" s="403"/>
      <c r="Y52" s="403"/>
      <c r="Z52" s="403"/>
      <c r="AA52" s="403"/>
      <c r="AB52" s="403"/>
      <c r="AC52" s="403"/>
      <c r="AD52" s="403"/>
      <c r="AE52" s="403"/>
      <c r="AF52" s="403"/>
      <c r="AG52" s="403"/>
      <c r="AH52" s="403"/>
      <c r="AI52" s="403"/>
      <c r="AJ52" s="403"/>
      <c r="AK52" s="403"/>
      <c r="AL52" s="403"/>
      <c r="AM52" s="403"/>
      <c r="AN52" s="403"/>
      <c r="AO52" s="403"/>
      <c r="AP52" s="403"/>
      <c r="AQ52" s="403"/>
      <c r="AR52" s="403"/>
      <c r="AS52" s="403"/>
      <c r="AT52" s="403"/>
      <c r="AU52" s="403"/>
      <c r="AV52" s="403"/>
      <c r="AW52" s="403"/>
      <c r="AX52" s="403"/>
      <c r="AY52" s="403"/>
      <c r="AZ52" s="403"/>
      <c r="BA52" s="403"/>
      <c r="BB52" s="403"/>
      <c r="BC52" s="403"/>
      <c r="BD52" s="403"/>
      <c r="BE52" s="403"/>
      <c r="BF52" s="403"/>
      <c r="BG52" s="403"/>
      <c r="BH52" s="403"/>
      <c r="BI52" s="403"/>
      <c r="BJ52" s="403"/>
      <c r="BK52" s="403"/>
      <c r="BL52" s="403"/>
      <c r="BM52" s="403"/>
      <c r="BN52" s="403"/>
      <c r="BO52" s="403"/>
      <c r="BP52" s="403"/>
      <c r="BQ52" s="403"/>
      <c r="BR52" s="403"/>
      <c r="BS52" s="403"/>
      <c r="BT52" s="403"/>
      <c r="BU52" s="403"/>
      <c r="BV52" s="403"/>
      <c r="BW52" s="403"/>
      <c r="BX52" s="403"/>
      <c r="BY52" s="403"/>
      <c r="BZ52" s="403"/>
      <c r="CA52" s="403"/>
      <c r="CB52" s="403"/>
      <c r="CC52" s="403"/>
      <c r="CD52" s="403"/>
      <c r="CE52" s="403"/>
      <c r="CF52" s="403"/>
      <c r="CG52" s="403"/>
      <c r="CH52" s="403"/>
      <c r="CI52" s="403"/>
      <c r="CJ52" s="403"/>
      <c r="CK52" s="403"/>
      <c r="CL52" s="403"/>
      <c r="CM52" s="403"/>
      <c r="CN52" s="403"/>
      <c r="CO52" s="403"/>
      <c r="CP52" s="403"/>
      <c r="CQ52" s="403"/>
      <c r="CR52" s="403"/>
      <c r="CS52" s="403"/>
      <c r="CT52" s="403"/>
      <c r="CU52" s="403"/>
      <c r="CV52" s="403"/>
      <c r="CW52" s="403"/>
      <c r="CX52" s="403"/>
      <c r="CY52" s="403"/>
      <c r="CZ52" s="403"/>
      <c r="DA52" s="403"/>
      <c r="DB52" s="403"/>
      <c r="DC52" s="403"/>
      <c r="DD52" s="403"/>
      <c r="DE52" s="403"/>
      <c r="DF52" s="403"/>
      <c r="DG52" s="403"/>
      <c r="DH52" s="403"/>
      <c r="DI52" s="403"/>
      <c r="DJ52" s="403"/>
      <c r="DK52" s="403"/>
      <c r="DL52" s="403"/>
      <c r="DM52" s="403"/>
      <c r="DN52" s="403"/>
      <c r="DO52" s="403"/>
      <c r="DP52" s="403"/>
      <c r="DQ52" s="403"/>
      <c r="DR52" s="403"/>
      <c r="DS52" s="403"/>
      <c r="DT52" s="403"/>
      <c r="DU52" s="403"/>
      <c r="DV52" s="403"/>
      <c r="DW52" s="403"/>
      <c r="DX52" s="403"/>
      <c r="DY52" s="403"/>
      <c r="DZ52" s="403"/>
      <c r="EA52" s="403"/>
      <c r="EB52" s="403"/>
      <c r="EC52" s="403"/>
      <c r="ED52" s="403"/>
      <c r="EE52" s="403"/>
      <c r="EF52" s="403"/>
      <c r="EG52" s="403"/>
      <c r="EH52" s="403"/>
      <c r="EI52" s="403"/>
      <c r="EJ52" s="403"/>
      <c r="EK52" s="403"/>
      <c r="EL52" s="403"/>
      <c r="EM52" s="403"/>
      <c r="EN52" s="403"/>
      <c r="EO52" s="403"/>
      <c r="EP52" s="403"/>
      <c r="EQ52" s="403"/>
      <c r="ER52" s="403"/>
      <c r="ES52" s="403"/>
      <c r="ET52" s="403"/>
      <c r="EU52" s="403"/>
      <c r="EV52" s="403"/>
      <c r="EW52" s="403"/>
      <c r="EX52" s="403"/>
      <c r="EY52" s="403"/>
      <c r="EZ52" s="403"/>
      <c r="FA52" s="403"/>
      <c r="FB52" s="403"/>
      <c r="FC52" s="403"/>
      <c r="FD52" s="403"/>
      <c r="FE52" s="403"/>
      <c r="FF52" s="403"/>
      <c r="FG52" s="403"/>
      <c r="FH52" s="403"/>
      <c r="FI52" s="403"/>
      <c r="FJ52" s="403"/>
      <c r="FK52" s="403"/>
      <c r="FL52" s="403"/>
      <c r="FM52" s="403"/>
      <c r="FN52" s="403"/>
      <c r="FO52" s="403"/>
      <c r="FP52" s="403"/>
      <c r="FQ52" s="403"/>
      <c r="FR52" s="403"/>
      <c r="FS52" s="403"/>
      <c r="FT52" s="403"/>
      <c r="FU52" s="403"/>
      <c r="FV52" s="403"/>
      <c r="FW52" s="403"/>
      <c r="FX52" s="403"/>
      <c r="FY52" s="403"/>
      <c r="FZ52" s="403"/>
      <c r="GA52" s="403"/>
      <c r="GB52" s="403"/>
      <c r="GC52" s="403"/>
      <c r="GD52" s="403"/>
      <c r="GE52" s="403"/>
      <c r="GF52" s="403"/>
      <c r="GG52" s="403"/>
      <c r="GH52" s="403"/>
      <c r="GI52" s="403"/>
      <c r="GJ52" s="403"/>
      <c r="GK52" s="403"/>
      <c r="GL52" s="403"/>
      <c r="GM52" s="403"/>
      <c r="GN52" s="403"/>
      <c r="GO52" s="403"/>
      <c r="GP52" s="403"/>
      <c r="GQ52" s="403"/>
      <c r="GR52" s="403"/>
      <c r="GS52" s="403"/>
      <c r="GT52" s="403"/>
      <c r="GU52" s="403"/>
      <c r="GV52" s="403"/>
      <c r="GW52" s="403"/>
      <c r="GX52" s="403"/>
      <c r="GY52" s="403"/>
      <c r="GZ52" s="403"/>
      <c r="HA52" s="403"/>
      <c r="HB52" s="403"/>
      <c r="HC52" s="403"/>
      <c r="HD52" s="403"/>
      <c r="HE52" s="403"/>
      <c r="HF52" s="403"/>
      <c r="HG52" s="403"/>
      <c r="HH52" s="403"/>
      <c r="HI52" s="403"/>
      <c r="HJ52" s="403"/>
      <c r="HK52" s="403"/>
      <c r="HL52" s="403"/>
      <c r="HM52" s="403"/>
      <c r="HN52" s="403"/>
      <c r="HO52" s="403"/>
      <c r="HP52" s="403"/>
      <c r="HQ52" s="403"/>
      <c r="HR52" s="403"/>
      <c r="HS52" s="403"/>
      <c r="HT52" s="403"/>
      <c r="HU52" s="403"/>
      <c r="HV52" s="403"/>
      <c r="HW52" s="403"/>
      <c r="HX52" s="403"/>
      <c r="HY52" s="403"/>
      <c r="HZ52" s="403"/>
      <c r="IA52" s="403"/>
      <c r="IB52" s="403"/>
      <c r="IC52" s="403"/>
      <c r="ID52" s="403"/>
      <c r="IE52" s="403"/>
      <c r="IF52" s="403"/>
      <c r="IG52" s="403"/>
      <c r="IH52" s="403"/>
      <c r="II52" s="403"/>
      <c r="IJ52" s="403"/>
      <c r="IK52" s="403"/>
      <c r="IL52" s="403"/>
      <c r="IM52" s="403"/>
      <c r="IN52" s="403"/>
      <c r="IO52" s="403"/>
      <c r="IP52" s="403"/>
      <c r="IQ52" s="403"/>
      <c r="IR52" s="403"/>
      <c r="IS52" s="403"/>
      <c r="IT52" s="403"/>
      <c r="IU52" s="403"/>
      <c r="IV52" s="403"/>
      <c r="IW52" s="403"/>
    </row>
    <row r="53" customFormat="false" ht="11.25" hidden="false" customHeight="false" outlineLevel="0" collapsed="false">
      <c r="A53" s="419"/>
      <c r="B53" s="403"/>
      <c r="C53" s="403"/>
      <c r="D53" s="403"/>
      <c r="E53" s="419"/>
      <c r="F53" s="403"/>
      <c r="G53" s="403"/>
      <c r="H53" s="403"/>
      <c r="I53" s="403"/>
      <c r="J53" s="403"/>
      <c r="K53" s="403"/>
      <c r="L53" s="403"/>
      <c r="M53" s="403"/>
      <c r="N53" s="403"/>
      <c r="O53" s="403"/>
      <c r="P53" s="403"/>
      <c r="Q53" s="403"/>
      <c r="R53" s="403"/>
      <c r="S53" s="403"/>
      <c r="T53" s="403"/>
      <c r="U53" s="403"/>
      <c r="V53" s="403"/>
      <c r="W53" s="403"/>
      <c r="X53" s="403"/>
      <c r="Y53" s="403"/>
      <c r="Z53" s="403"/>
      <c r="AA53" s="403"/>
      <c r="AB53" s="403"/>
      <c r="AC53" s="403"/>
      <c r="AD53" s="403"/>
      <c r="AE53" s="403"/>
      <c r="AF53" s="403"/>
      <c r="AG53" s="403"/>
      <c r="AH53" s="403"/>
      <c r="AI53" s="403"/>
      <c r="AJ53" s="403"/>
      <c r="AK53" s="403"/>
      <c r="AL53" s="403"/>
      <c r="AM53" s="403"/>
      <c r="AN53" s="403"/>
      <c r="AO53" s="403"/>
      <c r="AP53" s="403"/>
      <c r="AQ53" s="403"/>
      <c r="AR53" s="403"/>
      <c r="AS53" s="403"/>
      <c r="AT53" s="403"/>
      <c r="AU53" s="403"/>
      <c r="AV53" s="403"/>
      <c r="AW53" s="403"/>
      <c r="AX53" s="403"/>
      <c r="AY53" s="403"/>
      <c r="AZ53" s="403"/>
      <c r="BA53" s="403"/>
      <c r="BB53" s="403"/>
      <c r="BC53" s="403"/>
      <c r="BD53" s="403"/>
      <c r="BE53" s="403"/>
      <c r="BF53" s="403"/>
      <c r="BG53" s="403"/>
      <c r="BH53" s="403"/>
      <c r="BI53" s="403"/>
      <c r="BJ53" s="403"/>
      <c r="BK53" s="403"/>
      <c r="BL53" s="403"/>
      <c r="BM53" s="403"/>
      <c r="BN53" s="403"/>
      <c r="BO53" s="403"/>
      <c r="BP53" s="403"/>
      <c r="BQ53" s="403"/>
      <c r="BR53" s="403"/>
      <c r="BS53" s="403"/>
      <c r="BT53" s="403"/>
      <c r="BU53" s="403"/>
      <c r="BV53" s="403"/>
      <c r="BW53" s="403"/>
      <c r="BX53" s="403"/>
      <c r="BY53" s="403"/>
      <c r="BZ53" s="403"/>
      <c r="CA53" s="403"/>
      <c r="CB53" s="403"/>
      <c r="CC53" s="403"/>
      <c r="CD53" s="403"/>
      <c r="CE53" s="403"/>
      <c r="CF53" s="403"/>
      <c r="CG53" s="403"/>
      <c r="CH53" s="403"/>
      <c r="CI53" s="403"/>
      <c r="CJ53" s="403"/>
      <c r="CK53" s="403"/>
      <c r="CL53" s="403"/>
      <c r="CM53" s="403"/>
      <c r="CN53" s="403"/>
      <c r="CO53" s="403"/>
      <c r="CP53" s="403"/>
      <c r="CQ53" s="403"/>
      <c r="CR53" s="403"/>
      <c r="CS53" s="403"/>
      <c r="CT53" s="403"/>
      <c r="CU53" s="403"/>
      <c r="CV53" s="403"/>
      <c r="CW53" s="403"/>
      <c r="CX53" s="403"/>
      <c r="CY53" s="403"/>
      <c r="CZ53" s="403"/>
      <c r="DA53" s="403"/>
      <c r="DB53" s="403"/>
      <c r="DC53" s="403"/>
      <c r="DD53" s="403"/>
      <c r="DE53" s="403"/>
      <c r="DF53" s="403"/>
      <c r="DG53" s="403"/>
      <c r="DH53" s="403"/>
      <c r="DI53" s="403"/>
      <c r="DJ53" s="403"/>
      <c r="DK53" s="403"/>
      <c r="DL53" s="403"/>
      <c r="DM53" s="403"/>
      <c r="DN53" s="403"/>
      <c r="DO53" s="403"/>
      <c r="DP53" s="403"/>
      <c r="DQ53" s="403"/>
      <c r="DR53" s="403"/>
      <c r="DS53" s="403"/>
      <c r="DT53" s="403"/>
      <c r="DU53" s="403"/>
      <c r="DV53" s="403"/>
      <c r="DW53" s="403"/>
      <c r="DX53" s="403"/>
      <c r="DY53" s="403"/>
      <c r="DZ53" s="403"/>
      <c r="EA53" s="403"/>
      <c r="EB53" s="403"/>
      <c r="EC53" s="403"/>
      <c r="ED53" s="403"/>
      <c r="EE53" s="403"/>
      <c r="EF53" s="403"/>
      <c r="EG53" s="403"/>
      <c r="EH53" s="403"/>
      <c r="EI53" s="403"/>
      <c r="EJ53" s="403"/>
      <c r="EK53" s="403"/>
      <c r="EL53" s="403"/>
      <c r="EM53" s="403"/>
      <c r="EN53" s="403"/>
      <c r="EO53" s="403"/>
      <c r="EP53" s="403"/>
      <c r="EQ53" s="403"/>
      <c r="ER53" s="403"/>
      <c r="ES53" s="403"/>
      <c r="ET53" s="403"/>
      <c r="EU53" s="403"/>
      <c r="EV53" s="403"/>
      <c r="EW53" s="403"/>
      <c r="EX53" s="403"/>
      <c r="EY53" s="403"/>
      <c r="EZ53" s="403"/>
      <c r="FA53" s="403"/>
      <c r="FB53" s="403"/>
      <c r="FC53" s="403"/>
      <c r="FD53" s="403"/>
      <c r="FE53" s="403"/>
      <c r="FF53" s="403"/>
      <c r="FG53" s="403"/>
      <c r="FH53" s="403"/>
      <c r="FI53" s="403"/>
      <c r="FJ53" s="403"/>
      <c r="FK53" s="403"/>
      <c r="FL53" s="403"/>
      <c r="FM53" s="403"/>
      <c r="FN53" s="403"/>
      <c r="FO53" s="403"/>
      <c r="FP53" s="403"/>
      <c r="FQ53" s="403"/>
      <c r="FR53" s="403"/>
      <c r="FS53" s="403"/>
      <c r="FT53" s="403"/>
      <c r="FU53" s="403"/>
      <c r="FV53" s="403"/>
      <c r="FW53" s="403"/>
      <c r="FX53" s="403"/>
      <c r="FY53" s="403"/>
      <c r="FZ53" s="403"/>
      <c r="GA53" s="403"/>
      <c r="GB53" s="403"/>
      <c r="GC53" s="403"/>
      <c r="GD53" s="403"/>
      <c r="GE53" s="403"/>
      <c r="GF53" s="403"/>
      <c r="GG53" s="403"/>
      <c r="GH53" s="403"/>
      <c r="GI53" s="403"/>
      <c r="GJ53" s="403"/>
      <c r="GK53" s="403"/>
      <c r="GL53" s="403"/>
      <c r="GM53" s="403"/>
      <c r="GN53" s="403"/>
      <c r="GO53" s="403"/>
      <c r="GP53" s="403"/>
      <c r="GQ53" s="403"/>
      <c r="GR53" s="403"/>
      <c r="GS53" s="403"/>
      <c r="GT53" s="403"/>
      <c r="GU53" s="403"/>
      <c r="GV53" s="403"/>
      <c r="GW53" s="403"/>
      <c r="GX53" s="403"/>
      <c r="GY53" s="403"/>
      <c r="GZ53" s="403"/>
      <c r="HA53" s="403"/>
      <c r="HB53" s="403"/>
      <c r="HC53" s="403"/>
      <c r="HD53" s="403"/>
      <c r="HE53" s="403"/>
      <c r="HF53" s="403"/>
      <c r="HG53" s="403"/>
      <c r="HH53" s="403"/>
      <c r="HI53" s="403"/>
      <c r="HJ53" s="403"/>
      <c r="HK53" s="403"/>
      <c r="HL53" s="403"/>
      <c r="HM53" s="403"/>
      <c r="HN53" s="403"/>
      <c r="HO53" s="403"/>
      <c r="HP53" s="403"/>
      <c r="HQ53" s="403"/>
      <c r="HR53" s="403"/>
      <c r="HS53" s="403"/>
      <c r="HT53" s="403"/>
      <c r="HU53" s="403"/>
      <c r="HV53" s="403"/>
      <c r="HW53" s="403"/>
      <c r="HX53" s="403"/>
      <c r="HY53" s="403"/>
      <c r="HZ53" s="403"/>
      <c r="IA53" s="403"/>
      <c r="IB53" s="403"/>
      <c r="IC53" s="403"/>
      <c r="ID53" s="403"/>
      <c r="IE53" s="403"/>
      <c r="IF53" s="403"/>
      <c r="IG53" s="403"/>
      <c r="IH53" s="403"/>
      <c r="II53" s="403"/>
      <c r="IJ53" s="403"/>
      <c r="IK53" s="403"/>
      <c r="IL53" s="403"/>
      <c r="IM53" s="403"/>
      <c r="IN53" s="403"/>
      <c r="IO53" s="403"/>
      <c r="IP53" s="403"/>
      <c r="IQ53" s="403"/>
      <c r="IR53" s="403"/>
      <c r="IS53" s="403"/>
      <c r="IT53" s="403"/>
      <c r="IU53" s="403"/>
      <c r="IV53" s="403"/>
      <c r="IW53" s="403"/>
    </row>
    <row r="54" customFormat="false" ht="11.25" hidden="false" customHeight="false" outlineLevel="0" collapsed="false">
      <c r="A54" s="419"/>
      <c r="B54" s="403"/>
      <c r="C54" s="403"/>
      <c r="D54" s="403"/>
      <c r="E54" s="419"/>
      <c r="F54" s="403"/>
      <c r="G54" s="403"/>
      <c r="H54" s="403"/>
      <c r="I54" s="403"/>
      <c r="J54" s="403"/>
      <c r="K54" s="403"/>
      <c r="L54" s="403"/>
      <c r="M54" s="403"/>
      <c r="N54" s="403"/>
      <c r="O54" s="403"/>
      <c r="P54" s="403"/>
      <c r="Q54" s="403"/>
      <c r="R54" s="403"/>
      <c r="S54" s="403"/>
      <c r="T54" s="403"/>
      <c r="U54" s="403"/>
      <c r="V54" s="403"/>
      <c r="W54" s="403"/>
      <c r="X54" s="403"/>
      <c r="Y54" s="403"/>
      <c r="Z54" s="403"/>
      <c r="AA54" s="403"/>
      <c r="AB54" s="403"/>
      <c r="AC54" s="403"/>
      <c r="AD54" s="403"/>
      <c r="AE54" s="403"/>
      <c r="AF54" s="403"/>
      <c r="AG54" s="403"/>
      <c r="AH54" s="403"/>
      <c r="AI54" s="403"/>
      <c r="AJ54" s="403"/>
      <c r="AK54" s="403"/>
      <c r="AL54" s="403"/>
      <c r="AM54" s="403"/>
      <c r="AN54" s="403"/>
      <c r="AO54" s="403"/>
      <c r="AP54" s="403"/>
      <c r="AQ54" s="403"/>
      <c r="AR54" s="403"/>
      <c r="AS54" s="403"/>
      <c r="AT54" s="403"/>
      <c r="AU54" s="403"/>
      <c r="AV54" s="403"/>
      <c r="AW54" s="403"/>
      <c r="AX54" s="403"/>
      <c r="AY54" s="403"/>
      <c r="AZ54" s="403"/>
      <c r="BA54" s="403"/>
      <c r="BB54" s="403"/>
      <c r="BC54" s="403"/>
      <c r="BD54" s="403"/>
      <c r="BE54" s="403"/>
      <c r="BF54" s="403"/>
      <c r="BG54" s="403"/>
      <c r="BH54" s="403"/>
      <c r="BI54" s="403"/>
      <c r="BJ54" s="403"/>
      <c r="BK54" s="403"/>
      <c r="BL54" s="403"/>
      <c r="BM54" s="403"/>
      <c r="BN54" s="403"/>
      <c r="BO54" s="403"/>
      <c r="BP54" s="403"/>
      <c r="BQ54" s="403"/>
      <c r="BR54" s="403"/>
      <c r="BS54" s="403"/>
      <c r="BT54" s="403"/>
      <c r="BU54" s="403"/>
      <c r="BV54" s="403"/>
      <c r="BW54" s="403"/>
      <c r="BX54" s="403"/>
      <c r="BY54" s="403"/>
      <c r="BZ54" s="403"/>
      <c r="CA54" s="403"/>
      <c r="CB54" s="403"/>
      <c r="CC54" s="403"/>
      <c r="CD54" s="403"/>
      <c r="CE54" s="403"/>
      <c r="CF54" s="403"/>
      <c r="CG54" s="403"/>
      <c r="CH54" s="403"/>
      <c r="CI54" s="403"/>
      <c r="CJ54" s="403"/>
      <c r="CK54" s="403"/>
      <c r="CL54" s="403"/>
      <c r="CM54" s="403"/>
      <c r="CN54" s="403"/>
      <c r="CO54" s="403"/>
      <c r="CP54" s="403"/>
      <c r="CQ54" s="403"/>
      <c r="CR54" s="403"/>
      <c r="CS54" s="403"/>
      <c r="CT54" s="403"/>
      <c r="CU54" s="403"/>
      <c r="CV54" s="403"/>
      <c r="CW54" s="403"/>
      <c r="CX54" s="403"/>
      <c r="CY54" s="403"/>
      <c r="CZ54" s="403"/>
      <c r="DA54" s="403"/>
      <c r="DB54" s="403"/>
      <c r="DC54" s="403"/>
      <c r="DD54" s="403"/>
      <c r="DE54" s="403"/>
      <c r="DF54" s="403"/>
      <c r="DG54" s="403"/>
      <c r="DH54" s="403"/>
      <c r="DI54" s="403"/>
      <c r="DJ54" s="403"/>
      <c r="DK54" s="403"/>
      <c r="DL54" s="403"/>
      <c r="DM54" s="403"/>
      <c r="DN54" s="403"/>
      <c r="DO54" s="403"/>
      <c r="DP54" s="403"/>
      <c r="DQ54" s="403"/>
      <c r="DR54" s="403"/>
      <c r="DS54" s="403"/>
      <c r="DT54" s="403"/>
      <c r="DU54" s="403"/>
      <c r="DV54" s="403"/>
      <c r="DW54" s="403"/>
      <c r="DX54" s="403"/>
      <c r="DY54" s="403"/>
      <c r="DZ54" s="403"/>
      <c r="EA54" s="403"/>
      <c r="EB54" s="403"/>
      <c r="EC54" s="403"/>
      <c r="ED54" s="403"/>
      <c r="EE54" s="403"/>
      <c r="EF54" s="403"/>
      <c r="EG54" s="403"/>
      <c r="EH54" s="403"/>
      <c r="EI54" s="403"/>
      <c r="EJ54" s="403"/>
      <c r="EK54" s="403"/>
      <c r="EL54" s="403"/>
      <c r="EM54" s="403"/>
      <c r="EN54" s="403"/>
      <c r="EO54" s="403"/>
      <c r="EP54" s="403"/>
      <c r="EQ54" s="403"/>
      <c r="ER54" s="403"/>
      <c r="ES54" s="403"/>
      <c r="ET54" s="403"/>
      <c r="EU54" s="403"/>
      <c r="EV54" s="403"/>
      <c r="EW54" s="403"/>
      <c r="EX54" s="403"/>
      <c r="EY54" s="403"/>
      <c r="EZ54" s="403"/>
      <c r="FA54" s="403"/>
      <c r="FB54" s="403"/>
      <c r="FC54" s="403"/>
      <c r="FD54" s="403"/>
      <c r="FE54" s="403"/>
      <c r="FF54" s="403"/>
      <c r="FG54" s="403"/>
      <c r="FH54" s="403"/>
      <c r="FI54" s="403"/>
      <c r="FJ54" s="403"/>
      <c r="FK54" s="403"/>
      <c r="FL54" s="403"/>
      <c r="FM54" s="403"/>
      <c r="FN54" s="403"/>
      <c r="FO54" s="403"/>
      <c r="FP54" s="403"/>
      <c r="FQ54" s="403"/>
      <c r="FR54" s="403"/>
      <c r="FS54" s="403"/>
      <c r="FT54" s="403"/>
      <c r="FU54" s="403"/>
      <c r="FV54" s="403"/>
      <c r="FW54" s="403"/>
      <c r="FX54" s="403"/>
      <c r="FY54" s="403"/>
      <c r="FZ54" s="403"/>
      <c r="GA54" s="403"/>
      <c r="GB54" s="403"/>
      <c r="GC54" s="403"/>
      <c r="GD54" s="403"/>
      <c r="GE54" s="403"/>
      <c r="GF54" s="403"/>
      <c r="GG54" s="403"/>
      <c r="GH54" s="403"/>
      <c r="GI54" s="403"/>
      <c r="GJ54" s="403"/>
      <c r="GK54" s="403"/>
      <c r="GL54" s="403"/>
      <c r="GM54" s="403"/>
      <c r="GN54" s="403"/>
      <c r="GO54" s="403"/>
      <c r="GP54" s="403"/>
      <c r="GQ54" s="403"/>
      <c r="GR54" s="403"/>
      <c r="GS54" s="403"/>
      <c r="GT54" s="403"/>
      <c r="GU54" s="403"/>
      <c r="GV54" s="403"/>
      <c r="GW54" s="403"/>
      <c r="GX54" s="403"/>
      <c r="GY54" s="403"/>
      <c r="GZ54" s="403"/>
      <c r="HA54" s="403"/>
      <c r="HB54" s="403"/>
      <c r="HC54" s="403"/>
      <c r="HD54" s="403"/>
      <c r="HE54" s="403"/>
      <c r="HF54" s="403"/>
      <c r="HG54" s="403"/>
      <c r="HH54" s="403"/>
      <c r="HI54" s="403"/>
      <c r="HJ54" s="403"/>
      <c r="HK54" s="403"/>
      <c r="HL54" s="403"/>
      <c r="HM54" s="403"/>
      <c r="HN54" s="403"/>
      <c r="HO54" s="403"/>
      <c r="HP54" s="403"/>
      <c r="HQ54" s="403"/>
      <c r="HR54" s="403"/>
      <c r="HS54" s="403"/>
      <c r="HT54" s="403"/>
      <c r="HU54" s="403"/>
      <c r="HV54" s="403"/>
      <c r="HW54" s="403"/>
      <c r="HX54" s="403"/>
      <c r="HY54" s="403"/>
      <c r="HZ54" s="403"/>
      <c r="IA54" s="403"/>
      <c r="IB54" s="403"/>
      <c r="IC54" s="403"/>
      <c r="ID54" s="403"/>
      <c r="IE54" s="403"/>
      <c r="IF54" s="403"/>
      <c r="IG54" s="403"/>
      <c r="IH54" s="403"/>
      <c r="II54" s="403"/>
      <c r="IJ54" s="403"/>
      <c r="IK54" s="403"/>
      <c r="IL54" s="403"/>
      <c r="IM54" s="403"/>
      <c r="IN54" s="403"/>
      <c r="IO54" s="403"/>
      <c r="IP54" s="403"/>
      <c r="IQ54" s="403"/>
      <c r="IR54" s="403"/>
      <c r="IS54" s="403"/>
      <c r="IT54" s="403"/>
      <c r="IU54" s="403"/>
      <c r="IV54" s="403"/>
      <c r="IW54" s="403"/>
    </row>
    <row r="55" customFormat="false" ht="11.25" hidden="false" customHeight="false" outlineLevel="0" collapsed="false">
      <c r="A55" s="419"/>
      <c r="B55" s="403"/>
      <c r="C55" s="403"/>
      <c r="D55" s="403"/>
      <c r="E55" s="419"/>
      <c r="F55" s="403"/>
      <c r="G55" s="403"/>
      <c r="H55" s="403"/>
      <c r="I55" s="403"/>
      <c r="J55" s="403"/>
      <c r="K55" s="403"/>
      <c r="L55" s="403"/>
      <c r="M55" s="403"/>
      <c r="N55" s="403"/>
      <c r="O55" s="403"/>
      <c r="P55" s="403"/>
      <c r="Q55" s="403"/>
      <c r="R55" s="403"/>
      <c r="S55" s="403"/>
      <c r="T55" s="403"/>
      <c r="U55" s="403"/>
      <c r="V55" s="403"/>
      <c r="W55" s="403"/>
      <c r="X55" s="403"/>
      <c r="Y55" s="403"/>
      <c r="Z55" s="403"/>
      <c r="AA55" s="403"/>
      <c r="AB55" s="403"/>
      <c r="AC55" s="403"/>
      <c r="AD55" s="403"/>
      <c r="AE55" s="403"/>
      <c r="AF55" s="403"/>
      <c r="AG55" s="403"/>
      <c r="AH55" s="403"/>
      <c r="AI55" s="403"/>
      <c r="AJ55" s="403"/>
      <c r="AK55" s="403"/>
      <c r="AL55" s="403"/>
      <c r="AM55" s="403"/>
      <c r="AN55" s="403"/>
      <c r="AO55" s="403"/>
      <c r="AP55" s="403"/>
      <c r="AQ55" s="403"/>
      <c r="AR55" s="403"/>
      <c r="AS55" s="403"/>
      <c r="AT55" s="403"/>
      <c r="AU55" s="403"/>
      <c r="AV55" s="403"/>
      <c r="AW55" s="403"/>
      <c r="AX55" s="403"/>
      <c r="AY55" s="403"/>
      <c r="AZ55" s="403"/>
      <c r="BA55" s="403"/>
      <c r="BB55" s="403"/>
      <c r="BC55" s="403"/>
      <c r="BD55" s="403"/>
      <c r="BE55" s="403"/>
      <c r="BF55" s="403"/>
      <c r="BG55" s="403"/>
      <c r="BH55" s="403"/>
      <c r="BI55" s="403"/>
      <c r="BJ55" s="403"/>
      <c r="BK55" s="403"/>
      <c r="BL55" s="403"/>
      <c r="BM55" s="403"/>
      <c r="BN55" s="403"/>
      <c r="BO55" s="403"/>
      <c r="BP55" s="403"/>
      <c r="BQ55" s="403"/>
      <c r="BR55" s="403"/>
      <c r="BS55" s="403"/>
      <c r="BT55" s="403"/>
      <c r="BU55" s="403"/>
      <c r="BV55" s="403"/>
      <c r="BW55" s="403"/>
      <c r="BX55" s="403"/>
      <c r="BY55" s="403"/>
      <c r="BZ55" s="403"/>
      <c r="CA55" s="403"/>
      <c r="CB55" s="403"/>
      <c r="CC55" s="403"/>
      <c r="CD55" s="403"/>
      <c r="CE55" s="403"/>
      <c r="CF55" s="403"/>
      <c r="CG55" s="403"/>
      <c r="CH55" s="403"/>
      <c r="CI55" s="403"/>
      <c r="CJ55" s="403"/>
      <c r="CK55" s="403"/>
      <c r="CL55" s="403"/>
      <c r="CM55" s="403"/>
      <c r="CN55" s="403"/>
      <c r="CO55" s="403"/>
      <c r="CP55" s="403"/>
      <c r="CQ55" s="403"/>
      <c r="CR55" s="403"/>
      <c r="CS55" s="403"/>
      <c r="CT55" s="403"/>
      <c r="CU55" s="403"/>
      <c r="CV55" s="403"/>
      <c r="CW55" s="403"/>
      <c r="CX55" s="403"/>
      <c r="CY55" s="403"/>
      <c r="CZ55" s="403"/>
      <c r="DA55" s="403"/>
      <c r="DB55" s="403"/>
      <c r="DC55" s="403"/>
      <c r="DD55" s="403"/>
      <c r="DE55" s="403"/>
      <c r="DF55" s="403"/>
      <c r="DG55" s="403"/>
      <c r="DH55" s="403"/>
      <c r="DI55" s="403"/>
      <c r="DJ55" s="403"/>
      <c r="DK55" s="403"/>
      <c r="DL55" s="403"/>
      <c r="DM55" s="403"/>
      <c r="DN55" s="403"/>
      <c r="DO55" s="403"/>
      <c r="DP55" s="403"/>
      <c r="DQ55" s="403"/>
      <c r="DR55" s="403"/>
      <c r="DS55" s="403"/>
      <c r="DT55" s="403"/>
      <c r="DU55" s="403"/>
      <c r="DV55" s="403"/>
      <c r="DW55" s="403"/>
      <c r="DX55" s="403"/>
      <c r="DY55" s="403"/>
      <c r="DZ55" s="403"/>
      <c r="EA55" s="403"/>
      <c r="EB55" s="403"/>
      <c r="EC55" s="403"/>
      <c r="ED55" s="403"/>
      <c r="EE55" s="403"/>
      <c r="EF55" s="403"/>
      <c r="EG55" s="403"/>
      <c r="EH55" s="403"/>
      <c r="EI55" s="403"/>
      <c r="EJ55" s="403"/>
      <c r="EK55" s="403"/>
      <c r="EL55" s="403"/>
      <c r="EM55" s="403"/>
      <c r="EN55" s="403"/>
      <c r="EO55" s="403"/>
      <c r="EP55" s="403"/>
      <c r="EQ55" s="403"/>
      <c r="ER55" s="403"/>
      <c r="ES55" s="403"/>
      <c r="ET55" s="403"/>
      <c r="EU55" s="403"/>
      <c r="EV55" s="403"/>
      <c r="EW55" s="403"/>
      <c r="EX55" s="403"/>
      <c r="EY55" s="403"/>
      <c r="EZ55" s="403"/>
      <c r="FA55" s="403"/>
      <c r="FB55" s="403"/>
      <c r="FC55" s="403"/>
      <c r="FD55" s="403"/>
      <c r="FE55" s="403"/>
      <c r="FF55" s="403"/>
      <c r="FG55" s="403"/>
      <c r="FH55" s="403"/>
      <c r="FI55" s="403"/>
      <c r="FJ55" s="403"/>
      <c r="FK55" s="403"/>
      <c r="FL55" s="403"/>
      <c r="FM55" s="403"/>
      <c r="FN55" s="403"/>
      <c r="FO55" s="403"/>
      <c r="FP55" s="403"/>
      <c r="FQ55" s="403"/>
      <c r="FR55" s="403"/>
      <c r="FS55" s="403"/>
      <c r="FT55" s="403"/>
      <c r="FU55" s="403"/>
      <c r="FV55" s="403"/>
      <c r="FW55" s="403"/>
      <c r="FX55" s="403"/>
      <c r="FY55" s="403"/>
      <c r="FZ55" s="403"/>
      <c r="GA55" s="403"/>
      <c r="GB55" s="403"/>
      <c r="GC55" s="403"/>
      <c r="GD55" s="403"/>
      <c r="GE55" s="403"/>
      <c r="GF55" s="403"/>
      <c r="GG55" s="403"/>
      <c r="GH55" s="403"/>
      <c r="GI55" s="403"/>
      <c r="GJ55" s="403"/>
      <c r="GK55" s="403"/>
      <c r="GL55" s="403"/>
      <c r="GM55" s="403"/>
      <c r="GN55" s="403"/>
      <c r="GO55" s="403"/>
      <c r="GP55" s="403"/>
      <c r="GQ55" s="403"/>
      <c r="GR55" s="403"/>
      <c r="GS55" s="403"/>
      <c r="GT55" s="403"/>
      <c r="GU55" s="403"/>
      <c r="GV55" s="403"/>
      <c r="GW55" s="403"/>
      <c r="GX55" s="403"/>
      <c r="GY55" s="403"/>
      <c r="GZ55" s="403"/>
      <c r="HA55" s="403"/>
      <c r="HB55" s="403"/>
      <c r="HC55" s="403"/>
      <c r="HD55" s="403"/>
      <c r="HE55" s="403"/>
      <c r="HF55" s="403"/>
      <c r="HG55" s="403"/>
      <c r="HH55" s="403"/>
      <c r="HI55" s="403"/>
      <c r="HJ55" s="403"/>
      <c r="HK55" s="403"/>
      <c r="HL55" s="403"/>
      <c r="HM55" s="403"/>
      <c r="HN55" s="403"/>
      <c r="HO55" s="403"/>
      <c r="HP55" s="403"/>
      <c r="HQ55" s="403"/>
      <c r="HR55" s="403"/>
      <c r="HS55" s="403"/>
      <c r="HT55" s="403"/>
      <c r="HU55" s="403"/>
      <c r="HV55" s="403"/>
      <c r="HW55" s="403"/>
      <c r="HX55" s="403"/>
      <c r="HY55" s="403"/>
      <c r="HZ55" s="403"/>
      <c r="IA55" s="403"/>
      <c r="IB55" s="403"/>
      <c r="IC55" s="403"/>
      <c r="ID55" s="403"/>
      <c r="IE55" s="403"/>
      <c r="IF55" s="403"/>
      <c r="IG55" s="403"/>
      <c r="IH55" s="403"/>
      <c r="II55" s="403"/>
      <c r="IJ55" s="403"/>
      <c r="IK55" s="403"/>
      <c r="IL55" s="403"/>
      <c r="IM55" s="403"/>
      <c r="IN55" s="403"/>
      <c r="IO55" s="403"/>
      <c r="IP55" s="403"/>
      <c r="IQ55" s="403"/>
      <c r="IR55" s="403"/>
      <c r="IS55" s="403"/>
      <c r="IT55" s="403"/>
      <c r="IU55" s="403"/>
      <c r="IV55" s="403"/>
      <c r="IW55" s="403"/>
    </row>
    <row r="56" customFormat="false" ht="11.25" hidden="false" customHeight="false" outlineLevel="0" collapsed="false">
      <c r="A56" s="419"/>
      <c r="B56" s="403"/>
      <c r="C56" s="403"/>
      <c r="D56" s="403"/>
      <c r="E56" s="419"/>
      <c r="F56" s="403"/>
      <c r="G56" s="403"/>
      <c r="H56" s="403"/>
      <c r="I56" s="403"/>
      <c r="J56" s="403"/>
      <c r="K56" s="403"/>
      <c r="L56" s="403"/>
      <c r="M56" s="403"/>
      <c r="N56" s="403"/>
      <c r="O56" s="403"/>
      <c r="P56" s="403"/>
      <c r="Q56" s="403"/>
      <c r="R56" s="403"/>
      <c r="S56" s="403"/>
      <c r="T56" s="403"/>
      <c r="U56" s="403"/>
      <c r="V56" s="403"/>
      <c r="W56" s="403"/>
      <c r="X56" s="403"/>
      <c r="Y56" s="403"/>
      <c r="Z56" s="403"/>
      <c r="AA56" s="403"/>
      <c r="AB56" s="403"/>
      <c r="AC56" s="403"/>
      <c r="AD56" s="403"/>
      <c r="AE56" s="403"/>
      <c r="AF56" s="403"/>
      <c r="AG56" s="403"/>
      <c r="AH56" s="403"/>
      <c r="AI56" s="403"/>
      <c r="AJ56" s="403"/>
      <c r="AK56" s="403"/>
      <c r="AL56" s="403"/>
      <c r="AM56" s="403"/>
      <c r="AN56" s="403"/>
      <c r="AO56" s="403"/>
      <c r="AP56" s="403"/>
      <c r="AQ56" s="403"/>
      <c r="AR56" s="403"/>
      <c r="AS56" s="403"/>
      <c r="AT56" s="403"/>
      <c r="AU56" s="403"/>
      <c r="AV56" s="403"/>
      <c r="AW56" s="403"/>
      <c r="AX56" s="403"/>
      <c r="AY56" s="403"/>
      <c r="AZ56" s="403"/>
      <c r="BA56" s="403"/>
      <c r="BB56" s="403"/>
      <c r="BC56" s="403"/>
      <c r="BD56" s="403"/>
      <c r="BE56" s="403"/>
      <c r="BF56" s="403"/>
      <c r="BG56" s="403"/>
      <c r="BH56" s="403"/>
      <c r="BI56" s="403"/>
      <c r="BJ56" s="403"/>
      <c r="BK56" s="403"/>
      <c r="BL56" s="403"/>
      <c r="BM56" s="403"/>
      <c r="BN56" s="403"/>
      <c r="BO56" s="403"/>
      <c r="BP56" s="403"/>
      <c r="BQ56" s="403"/>
      <c r="BR56" s="403"/>
      <c r="BS56" s="403"/>
      <c r="BT56" s="403"/>
      <c r="BU56" s="403"/>
      <c r="BV56" s="403"/>
      <c r="BW56" s="403"/>
      <c r="BX56" s="403"/>
      <c r="BY56" s="403"/>
      <c r="BZ56" s="403"/>
      <c r="CA56" s="403"/>
      <c r="CB56" s="403"/>
      <c r="CC56" s="403"/>
      <c r="CD56" s="403"/>
      <c r="CE56" s="403"/>
      <c r="CF56" s="403"/>
      <c r="CG56" s="403"/>
      <c r="CH56" s="403"/>
      <c r="CI56" s="403"/>
      <c r="CJ56" s="403"/>
      <c r="CK56" s="403"/>
      <c r="CL56" s="403"/>
      <c r="CM56" s="403"/>
      <c r="CN56" s="403"/>
      <c r="CO56" s="403"/>
      <c r="CP56" s="403"/>
      <c r="CQ56" s="403"/>
      <c r="CR56" s="403"/>
      <c r="CS56" s="403"/>
      <c r="CT56" s="403"/>
      <c r="CU56" s="403"/>
      <c r="CV56" s="403"/>
      <c r="CW56" s="403"/>
      <c r="CX56" s="403"/>
      <c r="CY56" s="403"/>
      <c r="CZ56" s="403"/>
      <c r="DA56" s="403"/>
      <c r="DB56" s="403"/>
      <c r="DC56" s="403"/>
      <c r="DD56" s="403"/>
      <c r="DE56" s="403"/>
      <c r="DF56" s="403"/>
      <c r="DG56" s="403"/>
      <c r="DH56" s="403"/>
      <c r="DI56" s="403"/>
      <c r="DJ56" s="403"/>
      <c r="DK56" s="403"/>
      <c r="DL56" s="403"/>
      <c r="DM56" s="403"/>
      <c r="DN56" s="403"/>
      <c r="DO56" s="403"/>
      <c r="DP56" s="403"/>
      <c r="DQ56" s="403"/>
      <c r="DR56" s="403"/>
      <c r="DS56" s="403"/>
      <c r="DT56" s="403"/>
      <c r="DU56" s="403"/>
      <c r="DV56" s="403"/>
      <c r="DW56" s="403"/>
      <c r="DX56" s="403"/>
      <c r="DY56" s="403"/>
      <c r="DZ56" s="403"/>
      <c r="EA56" s="403"/>
      <c r="EB56" s="403"/>
      <c r="EC56" s="403"/>
      <c r="ED56" s="403"/>
      <c r="EE56" s="403"/>
      <c r="EF56" s="403"/>
      <c r="EG56" s="403"/>
      <c r="EH56" s="403"/>
      <c r="EI56" s="403"/>
      <c r="EJ56" s="403"/>
      <c r="EK56" s="403"/>
      <c r="EL56" s="403"/>
      <c r="EM56" s="403"/>
      <c r="EN56" s="403"/>
      <c r="EO56" s="403"/>
      <c r="EP56" s="403"/>
      <c r="EQ56" s="403"/>
      <c r="ER56" s="403"/>
      <c r="ES56" s="403"/>
      <c r="ET56" s="403"/>
      <c r="EU56" s="403"/>
      <c r="EV56" s="403"/>
      <c r="EW56" s="403"/>
      <c r="EX56" s="403"/>
      <c r="EY56" s="403"/>
      <c r="EZ56" s="403"/>
      <c r="FA56" s="403"/>
      <c r="FB56" s="403"/>
      <c r="FC56" s="403"/>
      <c r="FD56" s="403"/>
      <c r="FE56" s="403"/>
      <c r="FF56" s="403"/>
      <c r="FG56" s="403"/>
      <c r="FH56" s="403"/>
      <c r="FI56" s="403"/>
      <c r="FJ56" s="403"/>
      <c r="FK56" s="403"/>
      <c r="FL56" s="403"/>
      <c r="FM56" s="403"/>
      <c r="FN56" s="403"/>
      <c r="FO56" s="403"/>
      <c r="FP56" s="403"/>
      <c r="FQ56" s="403"/>
      <c r="FR56" s="403"/>
      <c r="FS56" s="403"/>
      <c r="FT56" s="403"/>
      <c r="FU56" s="403"/>
      <c r="FV56" s="403"/>
      <c r="FW56" s="403"/>
      <c r="FX56" s="403"/>
      <c r="FY56" s="403"/>
      <c r="FZ56" s="403"/>
      <c r="GA56" s="403"/>
      <c r="GB56" s="403"/>
      <c r="GC56" s="403"/>
      <c r="GD56" s="403"/>
      <c r="GE56" s="403"/>
      <c r="GF56" s="403"/>
      <c r="GG56" s="403"/>
      <c r="GH56" s="403"/>
      <c r="GI56" s="403"/>
      <c r="GJ56" s="403"/>
      <c r="GK56" s="403"/>
      <c r="GL56" s="403"/>
      <c r="GM56" s="403"/>
      <c r="GN56" s="403"/>
      <c r="GO56" s="403"/>
      <c r="GP56" s="403"/>
      <c r="GQ56" s="403"/>
      <c r="GR56" s="403"/>
      <c r="GS56" s="403"/>
      <c r="GT56" s="403"/>
      <c r="GU56" s="403"/>
      <c r="GV56" s="403"/>
      <c r="GW56" s="403"/>
      <c r="GX56" s="403"/>
      <c r="GY56" s="403"/>
      <c r="GZ56" s="403"/>
      <c r="HA56" s="403"/>
      <c r="HB56" s="403"/>
      <c r="HC56" s="403"/>
      <c r="HD56" s="403"/>
      <c r="HE56" s="403"/>
      <c r="HF56" s="403"/>
      <c r="HG56" s="403"/>
      <c r="HH56" s="403"/>
      <c r="HI56" s="403"/>
      <c r="HJ56" s="403"/>
      <c r="HK56" s="403"/>
      <c r="HL56" s="403"/>
      <c r="HM56" s="403"/>
      <c r="HN56" s="403"/>
      <c r="HO56" s="403"/>
      <c r="HP56" s="403"/>
      <c r="HQ56" s="403"/>
      <c r="HR56" s="403"/>
      <c r="HS56" s="403"/>
      <c r="HT56" s="403"/>
      <c r="HU56" s="403"/>
      <c r="HV56" s="403"/>
      <c r="HW56" s="403"/>
      <c r="HX56" s="403"/>
      <c r="HY56" s="403"/>
      <c r="HZ56" s="403"/>
      <c r="IA56" s="403"/>
      <c r="IB56" s="403"/>
      <c r="IC56" s="403"/>
      <c r="ID56" s="403"/>
      <c r="IE56" s="403"/>
      <c r="IF56" s="403"/>
      <c r="IG56" s="403"/>
      <c r="IH56" s="403"/>
      <c r="II56" s="403"/>
      <c r="IJ56" s="403"/>
      <c r="IK56" s="403"/>
      <c r="IL56" s="403"/>
      <c r="IM56" s="403"/>
      <c r="IN56" s="403"/>
      <c r="IO56" s="403"/>
      <c r="IP56" s="403"/>
      <c r="IQ56" s="403"/>
      <c r="IR56" s="403"/>
      <c r="IS56" s="403"/>
      <c r="IT56" s="403"/>
      <c r="IU56" s="403"/>
      <c r="IV56" s="403"/>
      <c r="IW56" s="403"/>
    </row>
    <row r="57" customFormat="false" ht="11.25" hidden="false" customHeight="false" outlineLevel="0" collapsed="false">
      <c r="A57" s="419"/>
      <c r="B57" s="403"/>
      <c r="C57" s="403"/>
      <c r="D57" s="403"/>
      <c r="E57" s="419"/>
      <c r="F57" s="403"/>
      <c r="G57" s="403"/>
      <c r="H57" s="403"/>
      <c r="I57" s="403"/>
      <c r="J57" s="403"/>
      <c r="K57" s="403"/>
      <c r="L57" s="403"/>
      <c r="M57" s="403"/>
      <c r="N57" s="403"/>
      <c r="O57" s="403"/>
      <c r="P57" s="403"/>
      <c r="Q57" s="403"/>
      <c r="R57" s="403"/>
      <c r="S57" s="403"/>
      <c r="T57" s="403"/>
      <c r="U57" s="403"/>
      <c r="V57" s="403"/>
      <c r="W57" s="403"/>
      <c r="X57" s="403"/>
      <c r="Y57" s="403"/>
      <c r="Z57" s="403"/>
      <c r="AA57" s="403"/>
      <c r="AB57" s="403"/>
      <c r="AC57" s="403"/>
      <c r="AD57" s="403"/>
      <c r="AE57" s="403"/>
      <c r="AF57" s="403"/>
      <c r="AG57" s="403"/>
      <c r="AH57" s="403"/>
      <c r="AI57" s="403"/>
      <c r="AJ57" s="403"/>
      <c r="AK57" s="403"/>
      <c r="AL57" s="403"/>
      <c r="AM57" s="403"/>
      <c r="AN57" s="403"/>
      <c r="AO57" s="403"/>
      <c r="AP57" s="403"/>
      <c r="AQ57" s="403"/>
      <c r="AR57" s="403"/>
      <c r="AS57" s="403"/>
      <c r="AT57" s="403"/>
      <c r="AU57" s="403"/>
      <c r="AV57" s="403"/>
      <c r="AW57" s="403"/>
      <c r="AX57" s="403"/>
      <c r="AY57" s="403"/>
      <c r="AZ57" s="403"/>
      <c r="BA57" s="403"/>
      <c r="BB57" s="403"/>
      <c r="BC57" s="403"/>
      <c r="BD57" s="403"/>
      <c r="BE57" s="403"/>
      <c r="BF57" s="403"/>
      <c r="BG57" s="403"/>
      <c r="BH57" s="403"/>
      <c r="BI57" s="403"/>
      <c r="BJ57" s="403"/>
      <c r="BK57" s="403"/>
      <c r="BL57" s="403"/>
      <c r="BM57" s="403"/>
      <c r="BN57" s="403"/>
      <c r="BO57" s="403"/>
      <c r="BP57" s="403"/>
      <c r="BQ57" s="403"/>
      <c r="BR57" s="403"/>
      <c r="BS57" s="403"/>
      <c r="BT57" s="403"/>
      <c r="BU57" s="403"/>
      <c r="BV57" s="403"/>
      <c r="BW57" s="403"/>
      <c r="BX57" s="403"/>
      <c r="BY57" s="403"/>
      <c r="BZ57" s="403"/>
      <c r="CA57" s="403"/>
      <c r="CB57" s="403"/>
      <c r="CC57" s="403"/>
      <c r="CD57" s="403"/>
      <c r="CE57" s="403"/>
      <c r="CF57" s="403"/>
      <c r="CG57" s="403"/>
      <c r="CH57" s="403"/>
      <c r="CI57" s="403"/>
      <c r="CJ57" s="403"/>
      <c r="CK57" s="403"/>
      <c r="CL57" s="403"/>
      <c r="CM57" s="403"/>
      <c r="CN57" s="403"/>
      <c r="CO57" s="403"/>
      <c r="CP57" s="403"/>
      <c r="CQ57" s="403"/>
      <c r="CR57" s="403"/>
      <c r="CS57" s="403"/>
      <c r="CT57" s="403"/>
      <c r="CU57" s="403"/>
      <c r="CV57" s="403"/>
      <c r="CW57" s="403"/>
      <c r="CX57" s="403"/>
      <c r="CY57" s="403"/>
      <c r="CZ57" s="403"/>
      <c r="DA57" s="403"/>
      <c r="DB57" s="403"/>
      <c r="DC57" s="403"/>
      <c r="DD57" s="403"/>
      <c r="DE57" s="403"/>
      <c r="DF57" s="403"/>
      <c r="DG57" s="403"/>
      <c r="DH57" s="403"/>
      <c r="DI57" s="403"/>
      <c r="DJ57" s="403"/>
      <c r="DK57" s="403"/>
      <c r="DL57" s="403"/>
      <c r="DM57" s="403"/>
      <c r="DN57" s="403"/>
      <c r="DO57" s="403"/>
      <c r="DP57" s="403"/>
      <c r="DQ57" s="403"/>
      <c r="DR57" s="403"/>
      <c r="DS57" s="403"/>
      <c r="DT57" s="403"/>
      <c r="DU57" s="403"/>
      <c r="DV57" s="403"/>
      <c r="DW57" s="403"/>
      <c r="DX57" s="403"/>
      <c r="DY57" s="403"/>
      <c r="DZ57" s="403"/>
      <c r="EA57" s="403"/>
      <c r="EB57" s="403"/>
      <c r="EC57" s="403"/>
      <c r="ED57" s="403"/>
      <c r="EE57" s="403"/>
      <c r="EF57" s="403"/>
      <c r="EG57" s="403"/>
      <c r="EH57" s="403"/>
      <c r="EI57" s="403"/>
      <c r="EJ57" s="403"/>
      <c r="EK57" s="403"/>
      <c r="EL57" s="403"/>
      <c r="EM57" s="403"/>
      <c r="EN57" s="403"/>
      <c r="EO57" s="403"/>
      <c r="EP57" s="403"/>
      <c r="EQ57" s="403"/>
      <c r="ER57" s="403"/>
      <c r="ES57" s="403"/>
      <c r="ET57" s="403"/>
      <c r="EU57" s="403"/>
      <c r="EV57" s="403"/>
      <c r="EW57" s="403"/>
      <c r="EX57" s="403"/>
      <c r="EY57" s="403"/>
      <c r="EZ57" s="403"/>
      <c r="FA57" s="403"/>
      <c r="FB57" s="403"/>
      <c r="FC57" s="403"/>
      <c r="FD57" s="403"/>
      <c r="FE57" s="403"/>
      <c r="FF57" s="403"/>
      <c r="FG57" s="403"/>
      <c r="FH57" s="403"/>
      <c r="FI57" s="403"/>
      <c r="FJ57" s="403"/>
      <c r="FK57" s="403"/>
      <c r="FL57" s="403"/>
      <c r="FM57" s="403"/>
      <c r="FN57" s="403"/>
      <c r="FO57" s="403"/>
      <c r="FP57" s="403"/>
      <c r="FQ57" s="403"/>
      <c r="FR57" s="403"/>
      <c r="FS57" s="403"/>
      <c r="FT57" s="403"/>
      <c r="FU57" s="403"/>
      <c r="FV57" s="403"/>
      <c r="FW57" s="403"/>
      <c r="FX57" s="403"/>
      <c r="FY57" s="403"/>
      <c r="FZ57" s="403"/>
      <c r="GA57" s="403"/>
      <c r="GB57" s="403"/>
      <c r="GC57" s="403"/>
      <c r="GD57" s="403"/>
      <c r="GE57" s="403"/>
      <c r="GF57" s="403"/>
      <c r="GG57" s="403"/>
      <c r="GH57" s="403"/>
      <c r="GI57" s="403"/>
      <c r="GJ57" s="403"/>
      <c r="GK57" s="403"/>
      <c r="GL57" s="403"/>
      <c r="GM57" s="403"/>
      <c r="GN57" s="403"/>
      <c r="GO57" s="403"/>
      <c r="GP57" s="403"/>
      <c r="GQ57" s="403"/>
      <c r="GR57" s="403"/>
      <c r="GS57" s="403"/>
      <c r="GT57" s="403"/>
      <c r="GU57" s="403"/>
      <c r="GV57" s="403"/>
      <c r="GW57" s="403"/>
      <c r="GX57" s="403"/>
      <c r="GY57" s="403"/>
      <c r="GZ57" s="403"/>
      <c r="HA57" s="403"/>
      <c r="HB57" s="403"/>
      <c r="HC57" s="403"/>
      <c r="HD57" s="403"/>
      <c r="HE57" s="403"/>
      <c r="HF57" s="403"/>
      <c r="HG57" s="403"/>
      <c r="HH57" s="403"/>
      <c r="HI57" s="403"/>
      <c r="HJ57" s="403"/>
      <c r="HK57" s="403"/>
      <c r="HL57" s="403"/>
      <c r="HM57" s="403"/>
      <c r="HN57" s="403"/>
      <c r="HO57" s="403"/>
      <c r="HP57" s="403"/>
      <c r="HQ57" s="403"/>
      <c r="HR57" s="403"/>
      <c r="HS57" s="403"/>
      <c r="HT57" s="403"/>
      <c r="HU57" s="403"/>
      <c r="HV57" s="403"/>
      <c r="HW57" s="403"/>
      <c r="HX57" s="403"/>
      <c r="HY57" s="403"/>
      <c r="HZ57" s="403"/>
      <c r="IA57" s="403"/>
      <c r="IB57" s="403"/>
      <c r="IC57" s="403"/>
      <c r="ID57" s="403"/>
      <c r="IE57" s="403"/>
      <c r="IF57" s="403"/>
      <c r="IG57" s="403"/>
      <c r="IH57" s="403"/>
      <c r="II57" s="403"/>
      <c r="IJ57" s="403"/>
      <c r="IK57" s="403"/>
      <c r="IL57" s="403"/>
      <c r="IM57" s="403"/>
      <c r="IN57" s="403"/>
      <c r="IO57" s="403"/>
      <c r="IP57" s="403"/>
      <c r="IQ57" s="403"/>
      <c r="IR57" s="403"/>
      <c r="IS57" s="403"/>
      <c r="IT57" s="403"/>
      <c r="IU57" s="403"/>
      <c r="IV57" s="403"/>
      <c r="IW57" s="403"/>
    </row>
    <row r="58" customFormat="false" ht="11.25" hidden="false" customHeight="false" outlineLevel="0" collapsed="false">
      <c r="A58" s="419"/>
      <c r="B58" s="403"/>
      <c r="C58" s="403"/>
      <c r="D58" s="403"/>
      <c r="E58" s="419"/>
      <c r="F58" s="403"/>
      <c r="G58" s="403"/>
      <c r="H58" s="403"/>
      <c r="I58" s="403"/>
      <c r="J58" s="403"/>
      <c r="K58" s="403"/>
      <c r="L58" s="403"/>
      <c r="M58" s="403"/>
      <c r="N58" s="403"/>
      <c r="O58" s="403"/>
      <c r="P58" s="403"/>
      <c r="Q58" s="403"/>
      <c r="R58" s="403"/>
      <c r="S58" s="403"/>
      <c r="T58" s="403"/>
      <c r="U58" s="403"/>
      <c r="V58" s="403"/>
      <c r="W58" s="403"/>
      <c r="X58" s="403"/>
      <c r="Y58" s="403"/>
      <c r="Z58" s="403"/>
      <c r="AA58" s="403"/>
      <c r="AB58" s="403"/>
      <c r="AC58" s="403"/>
      <c r="AD58" s="403"/>
      <c r="AE58" s="403"/>
      <c r="AF58" s="403"/>
      <c r="AG58" s="403"/>
      <c r="AH58" s="403"/>
      <c r="AI58" s="403"/>
      <c r="AJ58" s="403"/>
      <c r="AK58" s="403"/>
      <c r="AL58" s="403"/>
      <c r="AM58" s="403"/>
      <c r="AN58" s="403"/>
      <c r="AO58" s="403"/>
      <c r="AP58" s="403"/>
      <c r="AQ58" s="403"/>
      <c r="AR58" s="403"/>
      <c r="AS58" s="403"/>
      <c r="AT58" s="403"/>
      <c r="AU58" s="403"/>
      <c r="AV58" s="403"/>
      <c r="AW58" s="403"/>
      <c r="AX58" s="403"/>
      <c r="AY58" s="403"/>
      <c r="AZ58" s="403"/>
      <c r="BA58" s="403"/>
      <c r="BB58" s="403"/>
      <c r="BC58" s="403"/>
      <c r="BD58" s="403"/>
      <c r="BE58" s="403"/>
      <c r="BF58" s="403"/>
      <c r="BG58" s="403"/>
      <c r="BH58" s="403"/>
      <c r="BI58" s="403"/>
      <c r="BJ58" s="403"/>
      <c r="BK58" s="403"/>
      <c r="BL58" s="403"/>
      <c r="BM58" s="403"/>
      <c r="BN58" s="403"/>
      <c r="BO58" s="403"/>
      <c r="BP58" s="403"/>
      <c r="BQ58" s="403"/>
      <c r="BR58" s="403"/>
      <c r="BS58" s="403"/>
      <c r="BT58" s="403"/>
      <c r="BU58" s="403"/>
      <c r="BV58" s="403"/>
      <c r="BW58" s="403"/>
      <c r="BX58" s="403"/>
      <c r="BY58" s="403"/>
      <c r="BZ58" s="403"/>
      <c r="CA58" s="403"/>
      <c r="CB58" s="403"/>
      <c r="CC58" s="403"/>
      <c r="CD58" s="403"/>
      <c r="CE58" s="403"/>
      <c r="CF58" s="403"/>
      <c r="CG58" s="403"/>
      <c r="CH58" s="403"/>
      <c r="CI58" s="403"/>
      <c r="CJ58" s="403"/>
      <c r="CK58" s="403"/>
      <c r="CL58" s="403"/>
      <c r="CM58" s="403"/>
      <c r="CN58" s="403"/>
      <c r="CO58" s="403"/>
      <c r="CP58" s="403"/>
      <c r="CQ58" s="403"/>
      <c r="CR58" s="403"/>
      <c r="CS58" s="403"/>
      <c r="CT58" s="403"/>
      <c r="CU58" s="403"/>
      <c r="CV58" s="403"/>
      <c r="CW58" s="403"/>
      <c r="CX58" s="403"/>
      <c r="CY58" s="403"/>
      <c r="CZ58" s="403"/>
      <c r="DA58" s="403"/>
      <c r="DB58" s="403"/>
      <c r="DC58" s="403"/>
      <c r="DD58" s="403"/>
      <c r="DE58" s="403"/>
      <c r="DF58" s="403"/>
      <c r="DG58" s="403"/>
      <c r="DH58" s="403"/>
      <c r="DI58" s="403"/>
      <c r="DJ58" s="403"/>
      <c r="DK58" s="403"/>
      <c r="DL58" s="403"/>
      <c r="DM58" s="403"/>
      <c r="DN58" s="403"/>
      <c r="DO58" s="403"/>
      <c r="DP58" s="403"/>
      <c r="DQ58" s="403"/>
      <c r="DR58" s="403"/>
      <c r="DS58" s="403"/>
      <c r="DT58" s="403"/>
      <c r="DU58" s="403"/>
      <c r="DV58" s="403"/>
      <c r="DW58" s="403"/>
      <c r="DX58" s="403"/>
      <c r="DY58" s="403"/>
      <c r="DZ58" s="403"/>
      <c r="EA58" s="403"/>
      <c r="EB58" s="403"/>
      <c r="EC58" s="403"/>
      <c r="ED58" s="403"/>
      <c r="EE58" s="403"/>
      <c r="EF58" s="403"/>
      <c r="EG58" s="403"/>
      <c r="EH58" s="403"/>
      <c r="EI58" s="403"/>
      <c r="EJ58" s="403"/>
      <c r="EK58" s="403"/>
      <c r="EL58" s="403"/>
      <c r="EM58" s="403"/>
      <c r="EN58" s="403"/>
      <c r="EO58" s="403"/>
      <c r="EP58" s="403"/>
      <c r="EQ58" s="403"/>
      <c r="ER58" s="403"/>
      <c r="ES58" s="403"/>
      <c r="ET58" s="403"/>
      <c r="EU58" s="403"/>
      <c r="EV58" s="403"/>
      <c r="EW58" s="403"/>
      <c r="EX58" s="403"/>
      <c r="EY58" s="403"/>
      <c r="EZ58" s="403"/>
      <c r="FA58" s="403"/>
      <c r="FB58" s="403"/>
      <c r="FC58" s="403"/>
      <c r="FD58" s="403"/>
      <c r="FE58" s="403"/>
      <c r="FF58" s="403"/>
      <c r="FG58" s="403"/>
      <c r="FH58" s="403"/>
      <c r="FI58" s="403"/>
      <c r="FJ58" s="403"/>
      <c r="FK58" s="403"/>
      <c r="FL58" s="403"/>
      <c r="FM58" s="403"/>
      <c r="FN58" s="403"/>
      <c r="FO58" s="403"/>
      <c r="FP58" s="403"/>
      <c r="FQ58" s="403"/>
      <c r="FR58" s="403"/>
      <c r="FS58" s="403"/>
      <c r="FT58" s="403"/>
      <c r="FU58" s="403"/>
      <c r="FV58" s="403"/>
      <c r="FW58" s="403"/>
      <c r="FX58" s="403"/>
      <c r="FY58" s="403"/>
      <c r="FZ58" s="403"/>
      <c r="GA58" s="403"/>
      <c r="GB58" s="403"/>
      <c r="GC58" s="403"/>
      <c r="GD58" s="403"/>
      <c r="GE58" s="403"/>
      <c r="GF58" s="403"/>
      <c r="GG58" s="403"/>
      <c r="GH58" s="403"/>
      <c r="GI58" s="403"/>
      <c r="GJ58" s="403"/>
      <c r="GK58" s="403"/>
      <c r="GL58" s="403"/>
      <c r="GM58" s="403"/>
      <c r="GN58" s="403"/>
      <c r="GO58" s="403"/>
      <c r="GP58" s="403"/>
      <c r="GQ58" s="403"/>
      <c r="GR58" s="403"/>
      <c r="GS58" s="403"/>
      <c r="GT58" s="403"/>
      <c r="GU58" s="403"/>
      <c r="GV58" s="403"/>
      <c r="GW58" s="403"/>
      <c r="GX58" s="403"/>
      <c r="GY58" s="403"/>
      <c r="GZ58" s="403"/>
      <c r="HA58" s="403"/>
      <c r="HB58" s="403"/>
      <c r="HC58" s="403"/>
      <c r="HD58" s="403"/>
      <c r="HE58" s="403"/>
      <c r="HF58" s="403"/>
      <c r="HG58" s="403"/>
      <c r="HH58" s="403"/>
      <c r="HI58" s="403"/>
      <c r="HJ58" s="403"/>
      <c r="HK58" s="403"/>
      <c r="HL58" s="403"/>
      <c r="HM58" s="403"/>
      <c r="HN58" s="403"/>
      <c r="HO58" s="403"/>
      <c r="HP58" s="403"/>
      <c r="HQ58" s="403"/>
      <c r="HR58" s="403"/>
      <c r="HS58" s="403"/>
      <c r="HT58" s="403"/>
      <c r="HU58" s="403"/>
      <c r="HV58" s="403"/>
      <c r="HW58" s="403"/>
      <c r="HX58" s="403"/>
      <c r="HY58" s="403"/>
      <c r="HZ58" s="403"/>
      <c r="IA58" s="403"/>
      <c r="IB58" s="403"/>
      <c r="IC58" s="403"/>
      <c r="ID58" s="403"/>
      <c r="IE58" s="403"/>
      <c r="IF58" s="403"/>
      <c r="IG58" s="403"/>
      <c r="IH58" s="403"/>
      <c r="II58" s="403"/>
      <c r="IJ58" s="403"/>
      <c r="IK58" s="403"/>
      <c r="IL58" s="403"/>
      <c r="IM58" s="403"/>
      <c r="IN58" s="403"/>
      <c r="IO58" s="403"/>
      <c r="IP58" s="403"/>
      <c r="IQ58" s="403"/>
      <c r="IR58" s="403"/>
      <c r="IS58" s="403"/>
      <c r="IT58" s="403"/>
      <c r="IU58" s="403"/>
      <c r="IV58" s="403"/>
      <c r="IW58" s="403"/>
    </row>
    <row r="59" customFormat="false" ht="11.25" hidden="false" customHeight="false" outlineLevel="0" collapsed="false">
      <c r="A59" s="419"/>
      <c r="B59" s="403"/>
      <c r="C59" s="403"/>
      <c r="D59" s="403"/>
      <c r="E59" s="419"/>
      <c r="F59" s="403"/>
      <c r="G59" s="403"/>
      <c r="H59" s="403"/>
      <c r="I59" s="403"/>
      <c r="J59" s="403"/>
      <c r="K59" s="403"/>
      <c r="L59" s="403"/>
      <c r="M59" s="403"/>
      <c r="N59" s="403"/>
      <c r="O59" s="403"/>
      <c r="P59" s="403"/>
      <c r="Q59" s="403"/>
      <c r="R59" s="403"/>
      <c r="S59" s="403"/>
      <c r="T59" s="403"/>
      <c r="U59" s="403"/>
      <c r="V59" s="403"/>
      <c r="W59" s="403"/>
      <c r="X59" s="403"/>
      <c r="Y59" s="403"/>
      <c r="Z59" s="403"/>
      <c r="AA59" s="403"/>
      <c r="AB59" s="403"/>
      <c r="AC59" s="403"/>
      <c r="AD59" s="403"/>
      <c r="AE59" s="403"/>
      <c r="AF59" s="403"/>
      <c r="AG59" s="403"/>
      <c r="AH59" s="403"/>
      <c r="AI59" s="403"/>
      <c r="AJ59" s="403"/>
      <c r="AK59" s="403"/>
      <c r="AL59" s="403"/>
      <c r="AM59" s="403"/>
      <c r="AN59" s="403"/>
      <c r="AO59" s="403"/>
      <c r="AP59" s="403"/>
      <c r="AQ59" s="403"/>
      <c r="AR59" s="403"/>
      <c r="AS59" s="403"/>
      <c r="AT59" s="403"/>
      <c r="AU59" s="403"/>
      <c r="AV59" s="403"/>
      <c r="AW59" s="403"/>
      <c r="AX59" s="403"/>
      <c r="AY59" s="403"/>
      <c r="AZ59" s="403"/>
      <c r="BA59" s="403"/>
      <c r="BB59" s="403"/>
      <c r="BC59" s="403"/>
      <c r="BD59" s="403"/>
      <c r="BE59" s="403"/>
      <c r="BF59" s="403"/>
      <c r="BG59" s="403"/>
      <c r="BH59" s="403"/>
      <c r="BI59" s="403"/>
      <c r="BJ59" s="403"/>
      <c r="BK59" s="403"/>
      <c r="BL59" s="403"/>
      <c r="BM59" s="403"/>
      <c r="BN59" s="403"/>
      <c r="BO59" s="403"/>
      <c r="BP59" s="403"/>
      <c r="BQ59" s="403"/>
      <c r="BR59" s="403"/>
      <c r="BS59" s="403"/>
      <c r="BT59" s="403"/>
      <c r="BU59" s="403"/>
      <c r="BV59" s="403"/>
      <c r="BW59" s="403"/>
      <c r="BX59" s="403"/>
      <c r="BY59" s="403"/>
      <c r="BZ59" s="403"/>
      <c r="CA59" s="403"/>
      <c r="CB59" s="403"/>
      <c r="CC59" s="403"/>
      <c r="CD59" s="403"/>
      <c r="CE59" s="403"/>
      <c r="CF59" s="403"/>
      <c r="CG59" s="403"/>
      <c r="CH59" s="403"/>
      <c r="CI59" s="403"/>
      <c r="CJ59" s="403"/>
      <c r="CK59" s="403"/>
      <c r="CL59" s="403"/>
      <c r="CM59" s="403"/>
      <c r="CN59" s="403"/>
      <c r="CO59" s="403"/>
      <c r="CP59" s="403"/>
      <c r="CQ59" s="403"/>
      <c r="CR59" s="403"/>
      <c r="CS59" s="403"/>
      <c r="CT59" s="403"/>
      <c r="CU59" s="403"/>
      <c r="CV59" s="403"/>
      <c r="CW59" s="403"/>
      <c r="CX59" s="403"/>
      <c r="CY59" s="403"/>
      <c r="CZ59" s="403"/>
      <c r="DA59" s="403"/>
      <c r="DB59" s="403"/>
      <c r="DC59" s="403"/>
      <c r="DD59" s="403"/>
      <c r="DE59" s="403"/>
      <c r="DF59" s="403"/>
      <c r="DG59" s="403"/>
      <c r="DH59" s="403"/>
      <c r="DI59" s="403"/>
      <c r="DJ59" s="403"/>
      <c r="DK59" s="403"/>
      <c r="DL59" s="403"/>
      <c r="DM59" s="403"/>
      <c r="DN59" s="403"/>
      <c r="DO59" s="403"/>
      <c r="DP59" s="403"/>
      <c r="DQ59" s="403"/>
      <c r="DR59" s="403"/>
      <c r="DS59" s="403"/>
      <c r="DT59" s="403"/>
      <c r="DU59" s="403"/>
      <c r="DV59" s="403"/>
      <c r="DW59" s="403"/>
      <c r="DX59" s="403"/>
      <c r="DY59" s="403"/>
      <c r="DZ59" s="403"/>
      <c r="EA59" s="403"/>
      <c r="EB59" s="403"/>
      <c r="EC59" s="403"/>
      <c r="ED59" s="403"/>
      <c r="EE59" s="403"/>
      <c r="EF59" s="403"/>
      <c r="EG59" s="403"/>
      <c r="EH59" s="403"/>
      <c r="EI59" s="403"/>
      <c r="EJ59" s="403"/>
      <c r="EK59" s="403"/>
      <c r="EL59" s="403"/>
      <c r="EM59" s="403"/>
      <c r="EN59" s="403"/>
      <c r="EO59" s="403"/>
      <c r="EP59" s="403"/>
      <c r="EQ59" s="403"/>
      <c r="ER59" s="403"/>
      <c r="ES59" s="403"/>
      <c r="ET59" s="403"/>
      <c r="EU59" s="403"/>
      <c r="EV59" s="403"/>
      <c r="EW59" s="403"/>
      <c r="EX59" s="403"/>
      <c r="EY59" s="403"/>
      <c r="EZ59" s="403"/>
      <c r="FA59" s="403"/>
      <c r="FB59" s="403"/>
      <c r="FC59" s="403"/>
      <c r="FD59" s="403"/>
      <c r="FE59" s="403"/>
      <c r="FF59" s="403"/>
      <c r="FG59" s="403"/>
      <c r="FH59" s="403"/>
      <c r="FI59" s="403"/>
      <c r="FJ59" s="403"/>
      <c r="FK59" s="403"/>
      <c r="FL59" s="403"/>
      <c r="FM59" s="403"/>
      <c r="FN59" s="403"/>
      <c r="FO59" s="403"/>
      <c r="FP59" s="403"/>
      <c r="FQ59" s="403"/>
      <c r="FR59" s="403"/>
      <c r="FS59" s="403"/>
      <c r="FT59" s="403"/>
      <c r="FU59" s="403"/>
      <c r="FV59" s="403"/>
      <c r="FW59" s="403"/>
      <c r="FX59" s="403"/>
      <c r="FY59" s="403"/>
      <c r="FZ59" s="403"/>
      <c r="GA59" s="403"/>
      <c r="GB59" s="403"/>
      <c r="GC59" s="403"/>
      <c r="GD59" s="403"/>
      <c r="GE59" s="403"/>
      <c r="GF59" s="403"/>
      <c r="GG59" s="403"/>
      <c r="GH59" s="403"/>
      <c r="GI59" s="403"/>
      <c r="GJ59" s="403"/>
      <c r="GK59" s="403"/>
      <c r="GL59" s="403"/>
      <c r="GM59" s="403"/>
      <c r="GN59" s="403"/>
      <c r="GO59" s="403"/>
      <c r="GP59" s="403"/>
      <c r="GQ59" s="403"/>
      <c r="GR59" s="403"/>
      <c r="GS59" s="403"/>
      <c r="GT59" s="403"/>
      <c r="GU59" s="403"/>
      <c r="GV59" s="403"/>
      <c r="GW59" s="403"/>
      <c r="GX59" s="403"/>
      <c r="GY59" s="403"/>
      <c r="GZ59" s="403"/>
      <c r="HA59" s="403"/>
      <c r="HB59" s="403"/>
      <c r="HC59" s="403"/>
      <c r="HD59" s="403"/>
      <c r="HE59" s="403"/>
      <c r="HF59" s="403"/>
      <c r="HG59" s="403"/>
      <c r="HH59" s="403"/>
      <c r="HI59" s="403"/>
      <c r="HJ59" s="403"/>
      <c r="HK59" s="403"/>
      <c r="HL59" s="403"/>
      <c r="HM59" s="403"/>
      <c r="HN59" s="403"/>
      <c r="HO59" s="403"/>
      <c r="HP59" s="403"/>
      <c r="HQ59" s="403"/>
      <c r="HR59" s="403"/>
      <c r="HS59" s="403"/>
      <c r="HT59" s="403"/>
      <c r="HU59" s="403"/>
      <c r="HV59" s="403"/>
      <c r="HW59" s="403"/>
      <c r="HX59" s="403"/>
      <c r="HY59" s="403"/>
      <c r="HZ59" s="403"/>
      <c r="IA59" s="403"/>
      <c r="IB59" s="403"/>
      <c r="IC59" s="403"/>
      <c r="ID59" s="403"/>
      <c r="IE59" s="403"/>
      <c r="IF59" s="403"/>
      <c r="IG59" s="403"/>
      <c r="IH59" s="403"/>
      <c r="II59" s="403"/>
      <c r="IJ59" s="403"/>
      <c r="IK59" s="403"/>
      <c r="IL59" s="403"/>
      <c r="IM59" s="403"/>
      <c r="IN59" s="403"/>
      <c r="IO59" s="403"/>
      <c r="IP59" s="403"/>
      <c r="IQ59" s="403"/>
      <c r="IR59" s="403"/>
      <c r="IS59" s="403"/>
      <c r="IT59" s="403"/>
      <c r="IU59" s="403"/>
      <c r="IV59" s="403"/>
      <c r="IW59" s="403"/>
    </row>
    <row r="60" customFormat="false" ht="11.25" hidden="false" customHeight="false" outlineLevel="0" collapsed="false">
      <c r="A60" s="419"/>
      <c r="B60" s="403"/>
      <c r="C60" s="403"/>
      <c r="D60" s="403"/>
      <c r="E60" s="419"/>
      <c r="F60" s="403"/>
      <c r="G60" s="403"/>
      <c r="H60" s="403"/>
      <c r="I60" s="403"/>
      <c r="J60" s="403"/>
      <c r="K60" s="403"/>
      <c r="L60" s="403"/>
      <c r="M60" s="403"/>
      <c r="N60" s="403"/>
      <c r="O60" s="403"/>
      <c r="P60" s="403"/>
      <c r="Q60" s="403"/>
      <c r="R60" s="403"/>
      <c r="S60" s="403"/>
      <c r="T60" s="403"/>
      <c r="U60" s="403"/>
      <c r="V60" s="403"/>
      <c r="W60" s="403"/>
      <c r="X60" s="403"/>
      <c r="Y60" s="403"/>
      <c r="Z60" s="403"/>
      <c r="AA60" s="403"/>
      <c r="AB60" s="403"/>
      <c r="AC60" s="403"/>
      <c r="AD60" s="403"/>
      <c r="AE60" s="403"/>
      <c r="AF60" s="403"/>
      <c r="AG60" s="403"/>
      <c r="AH60" s="403"/>
      <c r="AI60" s="403"/>
      <c r="AJ60" s="403"/>
      <c r="AK60" s="403"/>
      <c r="AL60" s="403"/>
      <c r="AM60" s="403"/>
      <c r="AN60" s="403"/>
      <c r="AO60" s="403"/>
      <c r="AP60" s="403"/>
      <c r="AQ60" s="403"/>
      <c r="AR60" s="403"/>
      <c r="AS60" s="403"/>
      <c r="AT60" s="403"/>
      <c r="AU60" s="403"/>
      <c r="AV60" s="403"/>
      <c r="AW60" s="403"/>
      <c r="AX60" s="403"/>
      <c r="AY60" s="403"/>
      <c r="AZ60" s="403"/>
      <c r="BA60" s="403"/>
      <c r="BB60" s="403"/>
      <c r="BC60" s="403"/>
      <c r="BD60" s="403"/>
      <c r="BE60" s="403"/>
      <c r="BF60" s="403"/>
      <c r="BG60" s="403"/>
      <c r="BH60" s="403"/>
      <c r="BI60" s="403"/>
      <c r="BJ60" s="403"/>
      <c r="BK60" s="403"/>
      <c r="BL60" s="403"/>
      <c r="BM60" s="403"/>
      <c r="BN60" s="403"/>
      <c r="BO60" s="403"/>
      <c r="BP60" s="403"/>
      <c r="BQ60" s="403"/>
      <c r="BR60" s="403"/>
      <c r="BS60" s="403"/>
      <c r="BT60" s="403"/>
      <c r="BU60" s="403"/>
      <c r="BV60" s="403"/>
      <c r="BW60" s="403"/>
      <c r="BX60" s="403"/>
      <c r="BY60" s="403"/>
      <c r="BZ60" s="403"/>
      <c r="CA60" s="403"/>
      <c r="CB60" s="403"/>
      <c r="CC60" s="403"/>
      <c r="CD60" s="403"/>
      <c r="CE60" s="403"/>
      <c r="CF60" s="403"/>
      <c r="CG60" s="403"/>
      <c r="CH60" s="403"/>
      <c r="CI60" s="403"/>
      <c r="CJ60" s="403"/>
      <c r="CK60" s="403"/>
      <c r="CL60" s="403"/>
      <c r="CM60" s="403"/>
      <c r="CN60" s="403"/>
      <c r="CO60" s="403"/>
      <c r="CP60" s="403"/>
      <c r="CQ60" s="403"/>
      <c r="CR60" s="403"/>
      <c r="CS60" s="403"/>
      <c r="CT60" s="403"/>
      <c r="CU60" s="403"/>
      <c r="CV60" s="403"/>
      <c r="CW60" s="403"/>
      <c r="CX60" s="403"/>
      <c r="CY60" s="403"/>
      <c r="CZ60" s="403"/>
      <c r="DA60" s="403"/>
      <c r="DB60" s="403"/>
      <c r="DC60" s="403"/>
      <c r="DD60" s="403"/>
      <c r="DE60" s="403"/>
      <c r="DF60" s="403"/>
      <c r="DG60" s="403"/>
      <c r="DH60" s="403"/>
      <c r="DI60" s="403"/>
      <c r="DJ60" s="403"/>
      <c r="DK60" s="403"/>
      <c r="DL60" s="403"/>
      <c r="DM60" s="403"/>
      <c r="DN60" s="403"/>
      <c r="DO60" s="403"/>
      <c r="DP60" s="403"/>
      <c r="DQ60" s="403"/>
      <c r="DR60" s="403"/>
      <c r="DS60" s="403"/>
      <c r="DT60" s="403"/>
      <c r="DU60" s="403"/>
      <c r="DV60" s="403"/>
      <c r="DW60" s="403"/>
      <c r="DX60" s="403"/>
      <c r="DY60" s="403"/>
      <c r="DZ60" s="403"/>
      <c r="EA60" s="403"/>
      <c r="EB60" s="403"/>
      <c r="EC60" s="403"/>
      <c r="ED60" s="403"/>
      <c r="EE60" s="403"/>
      <c r="EF60" s="403"/>
      <c r="EG60" s="403"/>
      <c r="EH60" s="403"/>
      <c r="EI60" s="403"/>
      <c r="EJ60" s="403"/>
      <c r="EK60" s="403"/>
      <c r="EL60" s="403"/>
      <c r="EM60" s="403"/>
      <c r="EN60" s="403"/>
      <c r="EO60" s="403"/>
      <c r="EP60" s="403"/>
      <c r="EQ60" s="403"/>
      <c r="ER60" s="403"/>
      <c r="ES60" s="403"/>
      <c r="ET60" s="403"/>
      <c r="EU60" s="403"/>
      <c r="EV60" s="403"/>
      <c r="EW60" s="403"/>
      <c r="EX60" s="403"/>
      <c r="EY60" s="403"/>
      <c r="EZ60" s="403"/>
      <c r="FA60" s="403"/>
      <c r="FB60" s="403"/>
      <c r="FC60" s="403"/>
      <c r="FD60" s="403"/>
      <c r="FE60" s="403"/>
      <c r="FF60" s="403"/>
      <c r="FG60" s="403"/>
      <c r="FH60" s="403"/>
      <c r="FI60" s="403"/>
      <c r="FJ60" s="403"/>
      <c r="FK60" s="403"/>
      <c r="FL60" s="403"/>
      <c r="FM60" s="403"/>
      <c r="FN60" s="403"/>
      <c r="FO60" s="403"/>
      <c r="FP60" s="403"/>
      <c r="FQ60" s="403"/>
      <c r="FR60" s="403"/>
      <c r="FS60" s="403"/>
      <c r="FT60" s="403"/>
      <c r="FU60" s="403"/>
      <c r="FV60" s="403"/>
      <c r="FW60" s="403"/>
      <c r="FX60" s="403"/>
      <c r="FY60" s="403"/>
      <c r="FZ60" s="403"/>
      <c r="GA60" s="403"/>
      <c r="GB60" s="403"/>
      <c r="GC60" s="403"/>
      <c r="GD60" s="403"/>
      <c r="GE60" s="403"/>
      <c r="GF60" s="403"/>
      <c r="GG60" s="403"/>
      <c r="GH60" s="403"/>
      <c r="GI60" s="403"/>
      <c r="GJ60" s="403"/>
      <c r="GK60" s="403"/>
      <c r="GL60" s="403"/>
      <c r="GM60" s="403"/>
      <c r="GN60" s="403"/>
      <c r="GO60" s="403"/>
      <c r="GP60" s="403"/>
      <c r="GQ60" s="403"/>
      <c r="GR60" s="403"/>
      <c r="GS60" s="403"/>
      <c r="GT60" s="403"/>
      <c r="GU60" s="403"/>
      <c r="GV60" s="403"/>
      <c r="GW60" s="403"/>
      <c r="GX60" s="403"/>
      <c r="GY60" s="403"/>
      <c r="GZ60" s="403"/>
      <c r="HA60" s="403"/>
      <c r="HB60" s="403"/>
      <c r="HC60" s="403"/>
      <c r="HD60" s="403"/>
      <c r="HE60" s="403"/>
      <c r="HF60" s="403"/>
      <c r="HG60" s="403"/>
      <c r="HH60" s="403"/>
      <c r="HI60" s="403"/>
      <c r="HJ60" s="403"/>
      <c r="HK60" s="403"/>
      <c r="HL60" s="403"/>
      <c r="HM60" s="403"/>
      <c r="HN60" s="403"/>
      <c r="HO60" s="403"/>
      <c r="HP60" s="403"/>
      <c r="HQ60" s="403"/>
      <c r="HR60" s="403"/>
      <c r="HS60" s="403"/>
      <c r="HT60" s="403"/>
      <c r="HU60" s="403"/>
      <c r="HV60" s="403"/>
      <c r="HW60" s="403"/>
      <c r="HX60" s="403"/>
      <c r="HY60" s="403"/>
      <c r="HZ60" s="403"/>
      <c r="IA60" s="403"/>
      <c r="IB60" s="403"/>
      <c r="IC60" s="403"/>
      <c r="ID60" s="403"/>
      <c r="IE60" s="403"/>
      <c r="IF60" s="403"/>
      <c r="IG60" s="403"/>
      <c r="IH60" s="403"/>
      <c r="II60" s="403"/>
      <c r="IJ60" s="403"/>
      <c r="IK60" s="403"/>
      <c r="IL60" s="403"/>
      <c r="IM60" s="403"/>
      <c r="IN60" s="403"/>
      <c r="IO60" s="403"/>
      <c r="IP60" s="403"/>
      <c r="IQ60" s="403"/>
      <c r="IR60" s="403"/>
      <c r="IS60" s="403"/>
      <c r="IT60" s="403"/>
      <c r="IU60" s="403"/>
      <c r="IV60" s="403"/>
      <c r="IW60" s="403"/>
    </row>
    <row r="61" customFormat="false" ht="11.25" hidden="false" customHeight="false" outlineLevel="0" collapsed="false">
      <c r="A61" s="419"/>
      <c r="B61" s="403"/>
      <c r="C61" s="403"/>
      <c r="D61" s="403"/>
      <c r="E61" s="419"/>
      <c r="F61" s="403"/>
      <c r="G61" s="403"/>
      <c r="H61" s="403"/>
      <c r="I61" s="403"/>
      <c r="J61" s="403"/>
      <c r="K61" s="403"/>
      <c r="L61" s="403"/>
      <c r="M61" s="403"/>
      <c r="N61" s="403"/>
      <c r="O61" s="403"/>
      <c r="P61" s="403"/>
      <c r="Q61" s="403"/>
      <c r="R61" s="403"/>
      <c r="S61" s="403"/>
      <c r="T61" s="403"/>
      <c r="U61" s="403"/>
      <c r="V61" s="403"/>
      <c r="W61" s="403"/>
      <c r="X61" s="403"/>
      <c r="Y61" s="403"/>
      <c r="Z61" s="403"/>
      <c r="AA61" s="403"/>
      <c r="AB61" s="403"/>
      <c r="AC61" s="403"/>
      <c r="AD61" s="403"/>
      <c r="AE61" s="403"/>
      <c r="AF61" s="403"/>
      <c r="AG61" s="403"/>
      <c r="AH61" s="403"/>
      <c r="AI61" s="403"/>
      <c r="AJ61" s="403"/>
      <c r="AK61" s="403"/>
      <c r="AL61" s="403"/>
      <c r="AM61" s="403"/>
      <c r="AN61" s="403"/>
      <c r="AO61" s="403"/>
      <c r="AP61" s="403"/>
      <c r="AQ61" s="403"/>
      <c r="AR61" s="403"/>
      <c r="AS61" s="403"/>
      <c r="AT61" s="403"/>
      <c r="AU61" s="403"/>
      <c r="AV61" s="403"/>
      <c r="AW61" s="403"/>
      <c r="AX61" s="403"/>
      <c r="AY61" s="403"/>
      <c r="AZ61" s="403"/>
      <c r="BA61" s="403"/>
      <c r="BB61" s="403"/>
      <c r="BC61" s="403"/>
      <c r="BD61" s="403"/>
      <c r="BE61" s="403"/>
      <c r="BF61" s="403"/>
      <c r="BG61" s="403"/>
      <c r="BH61" s="403"/>
      <c r="BI61" s="403"/>
      <c r="BJ61" s="403"/>
      <c r="BK61" s="403"/>
      <c r="BL61" s="403"/>
      <c r="BM61" s="403"/>
      <c r="BN61" s="403"/>
      <c r="BO61" s="403"/>
      <c r="BP61" s="403"/>
      <c r="BQ61" s="403"/>
      <c r="BR61" s="403"/>
      <c r="BS61" s="403"/>
      <c r="BT61" s="403"/>
      <c r="BU61" s="403"/>
      <c r="BV61" s="403"/>
      <c r="BW61" s="403"/>
      <c r="BX61" s="403"/>
      <c r="BY61" s="403"/>
      <c r="BZ61" s="403"/>
      <c r="CA61" s="403"/>
      <c r="CB61" s="403"/>
      <c r="CC61" s="403"/>
      <c r="CD61" s="403"/>
      <c r="CE61" s="403"/>
      <c r="CF61" s="403"/>
      <c r="CG61" s="403"/>
      <c r="CH61" s="403"/>
      <c r="CI61" s="403"/>
      <c r="CJ61" s="403"/>
      <c r="CK61" s="403"/>
      <c r="CL61" s="403"/>
      <c r="CM61" s="403"/>
      <c r="CN61" s="403"/>
      <c r="CO61" s="403"/>
      <c r="CP61" s="403"/>
      <c r="CQ61" s="403"/>
      <c r="CR61" s="403"/>
      <c r="CS61" s="403"/>
      <c r="CT61" s="403"/>
      <c r="CU61" s="403"/>
      <c r="CV61" s="403"/>
      <c r="CW61" s="403"/>
      <c r="CX61" s="403"/>
      <c r="CY61" s="403"/>
      <c r="CZ61" s="403"/>
      <c r="DA61" s="403"/>
      <c r="DB61" s="403"/>
      <c r="DC61" s="403"/>
      <c r="DD61" s="403"/>
      <c r="DE61" s="403"/>
      <c r="DF61" s="403"/>
      <c r="DG61" s="403"/>
      <c r="DH61" s="403"/>
      <c r="DI61" s="403"/>
      <c r="DJ61" s="403"/>
      <c r="DK61" s="403"/>
      <c r="DL61" s="403"/>
      <c r="DM61" s="403"/>
      <c r="DN61" s="403"/>
      <c r="DO61" s="403"/>
      <c r="DP61" s="403"/>
      <c r="DQ61" s="403"/>
      <c r="DR61" s="403"/>
      <c r="DS61" s="403"/>
      <c r="DT61" s="403"/>
      <c r="DU61" s="403"/>
      <c r="DV61" s="403"/>
      <c r="DW61" s="403"/>
      <c r="DX61" s="403"/>
      <c r="DY61" s="403"/>
      <c r="DZ61" s="403"/>
      <c r="EA61" s="403"/>
      <c r="EB61" s="403"/>
      <c r="EC61" s="403"/>
      <c r="ED61" s="403"/>
      <c r="EE61" s="403"/>
      <c r="EF61" s="403"/>
      <c r="EG61" s="403"/>
      <c r="EH61" s="403"/>
      <c r="EI61" s="403"/>
      <c r="EJ61" s="403"/>
      <c r="EK61" s="403"/>
      <c r="EL61" s="403"/>
      <c r="EM61" s="403"/>
      <c r="EN61" s="403"/>
      <c r="EO61" s="403"/>
      <c r="EP61" s="403"/>
      <c r="EQ61" s="403"/>
      <c r="ER61" s="403"/>
      <c r="ES61" s="403"/>
      <c r="ET61" s="403"/>
      <c r="EU61" s="403"/>
      <c r="EV61" s="403"/>
      <c r="EW61" s="403"/>
      <c r="EX61" s="403"/>
      <c r="EY61" s="403"/>
      <c r="EZ61" s="403"/>
      <c r="FA61" s="403"/>
      <c r="FB61" s="403"/>
      <c r="FC61" s="403"/>
      <c r="FD61" s="403"/>
      <c r="FE61" s="403"/>
      <c r="FF61" s="403"/>
      <c r="FG61" s="403"/>
      <c r="FH61" s="403"/>
      <c r="FI61" s="403"/>
      <c r="FJ61" s="403"/>
      <c r="FK61" s="403"/>
      <c r="FL61" s="403"/>
      <c r="FM61" s="403"/>
      <c r="FN61" s="403"/>
      <c r="FO61" s="403"/>
      <c r="FP61" s="403"/>
      <c r="FQ61" s="403"/>
      <c r="FR61" s="403"/>
      <c r="FS61" s="403"/>
      <c r="FT61" s="403"/>
      <c r="FU61" s="403"/>
      <c r="FV61" s="403"/>
      <c r="FW61" s="403"/>
      <c r="FX61" s="403"/>
      <c r="FY61" s="403"/>
      <c r="FZ61" s="403"/>
      <c r="GA61" s="403"/>
      <c r="GB61" s="403"/>
      <c r="GC61" s="403"/>
      <c r="GD61" s="403"/>
      <c r="GE61" s="403"/>
      <c r="GF61" s="403"/>
      <c r="GG61" s="403"/>
      <c r="GH61" s="403"/>
      <c r="GI61" s="403"/>
      <c r="GJ61" s="403"/>
      <c r="GK61" s="403"/>
      <c r="GL61" s="403"/>
      <c r="GM61" s="403"/>
      <c r="GN61" s="403"/>
      <c r="GO61" s="403"/>
      <c r="GP61" s="403"/>
      <c r="GQ61" s="403"/>
      <c r="GR61" s="403"/>
      <c r="GS61" s="403"/>
      <c r="GT61" s="403"/>
      <c r="GU61" s="403"/>
      <c r="GV61" s="403"/>
      <c r="GW61" s="403"/>
      <c r="GX61" s="403"/>
      <c r="GY61" s="403"/>
      <c r="GZ61" s="403"/>
      <c r="HA61" s="403"/>
      <c r="HB61" s="403"/>
      <c r="HC61" s="403"/>
      <c r="HD61" s="403"/>
      <c r="HE61" s="403"/>
      <c r="HF61" s="403"/>
      <c r="HG61" s="403"/>
      <c r="HH61" s="403"/>
      <c r="HI61" s="403"/>
      <c r="HJ61" s="403"/>
      <c r="HK61" s="403"/>
      <c r="HL61" s="403"/>
      <c r="HM61" s="403"/>
      <c r="HN61" s="403"/>
      <c r="HO61" s="403"/>
      <c r="HP61" s="403"/>
      <c r="HQ61" s="403"/>
      <c r="HR61" s="403"/>
      <c r="HS61" s="403"/>
      <c r="HT61" s="403"/>
      <c r="HU61" s="403"/>
      <c r="HV61" s="403"/>
      <c r="HW61" s="403"/>
      <c r="HX61" s="403"/>
      <c r="HY61" s="403"/>
      <c r="HZ61" s="403"/>
      <c r="IA61" s="403"/>
      <c r="IB61" s="403"/>
      <c r="IC61" s="403"/>
      <c r="ID61" s="403"/>
      <c r="IE61" s="403"/>
      <c r="IF61" s="403"/>
      <c r="IG61" s="403"/>
      <c r="IH61" s="403"/>
      <c r="II61" s="403"/>
      <c r="IJ61" s="403"/>
      <c r="IK61" s="403"/>
      <c r="IL61" s="403"/>
      <c r="IM61" s="403"/>
      <c r="IN61" s="403"/>
      <c r="IO61" s="403"/>
      <c r="IP61" s="403"/>
      <c r="IQ61" s="403"/>
      <c r="IR61" s="403"/>
      <c r="IS61" s="403"/>
      <c r="IT61" s="403"/>
      <c r="IU61" s="403"/>
      <c r="IV61" s="403"/>
      <c r="IW61" s="403"/>
    </row>
    <row r="62" customFormat="false" ht="11.25" hidden="false" customHeight="false" outlineLevel="0" collapsed="false">
      <c r="A62" s="419"/>
      <c r="B62" s="403"/>
      <c r="C62" s="403"/>
      <c r="D62" s="403"/>
      <c r="E62" s="419"/>
      <c r="F62" s="403"/>
      <c r="G62" s="403"/>
      <c r="H62" s="403"/>
      <c r="I62" s="403"/>
      <c r="J62" s="403"/>
      <c r="K62" s="403"/>
      <c r="L62" s="403"/>
      <c r="M62" s="403"/>
      <c r="N62" s="403"/>
      <c r="O62" s="403"/>
      <c r="P62" s="403"/>
      <c r="Q62" s="403"/>
      <c r="R62" s="403"/>
      <c r="S62" s="403"/>
      <c r="T62" s="403"/>
      <c r="U62" s="403"/>
      <c r="V62" s="403"/>
      <c r="W62" s="403"/>
      <c r="X62" s="403"/>
      <c r="Y62" s="403"/>
      <c r="Z62" s="403"/>
      <c r="AA62" s="403"/>
      <c r="AB62" s="403"/>
      <c r="AC62" s="403"/>
      <c r="AD62" s="403"/>
      <c r="AE62" s="403"/>
      <c r="AF62" s="403"/>
      <c r="AG62" s="403"/>
      <c r="AH62" s="403"/>
      <c r="AI62" s="403"/>
      <c r="AJ62" s="403"/>
      <c r="AK62" s="403"/>
      <c r="AL62" s="403"/>
      <c r="AM62" s="403"/>
      <c r="AN62" s="403"/>
      <c r="AO62" s="403"/>
      <c r="AP62" s="403"/>
      <c r="AQ62" s="403"/>
      <c r="AR62" s="403"/>
      <c r="AS62" s="403"/>
      <c r="AT62" s="403"/>
      <c r="AU62" s="403"/>
      <c r="AV62" s="403"/>
      <c r="AW62" s="403"/>
      <c r="AX62" s="403"/>
      <c r="AY62" s="403"/>
      <c r="AZ62" s="403"/>
      <c r="BA62" s="403"/>
      <c r="BB62" s="403"/>
      <c r="BC62" s="403"/>
      <c r="BD62" s="403"/>
      <c r="BE62" s="403"/>
      <c r="BF62" s="403"/>
      <c r="BG62" s="403"/>
      <c r="BH62" s="403"/>
      <c r="BI62" s="403"/>
      <c r="BJ62" s="403"/>
      <c r="BK62" s="403"/>
      <c r="BL62" s="403"/>
      <c r="BM62" s="403"/>
      <c r="BN62" s="403"/>
      <c r="BO62" s="403"/>
      <c r="BP62" s="403"/>
      <c r="BQ62" s="403"/>
      <c r="BR62" s="403"/>
      <c r="BS62" s="403"/>
      <c r="BT62" s="403"/>
      <c r="BU62" s="403"/>
      <c r="BV62" s="403"/>
      <c r="BW62" s="403"/>
      <c r="BX62" s="403"/>
      <c r="BY62" s="403"/>
      <c r="BZ62" s="403"/>
      <c r="CA62" s="403"/>
      <c r="CB62" s="403"/>
      <c r="CC62" s="403"/>
      <c r="CD62" s="403"/>
      <c r="CE62" s="403"/>
      <c r="CF62" s="403"/>
      <c r="CG62" s="403"/>
      <c r="CH62" s="403"/>
      <c r="CI62" s="403"/>
      <c r="CJ62" s="403"/>
      <c r="CK62" s="403"/>
      <c r="CL62" s="403"/>
      <c r="CM62" s="403"/>
      <c r="CN62" s="403"/>
      <c r="CO62" s="403"/>
      <c r="CP62" s="403"/>
      <c r="CQ62" s="403"/>
      <c r="CR62" s="403"/>
      <c r="CS62" s="403"/>
      <c r="CT62" s="403"/>
      <c r="CU62" s="403"/>
      <c r="CV62" s="403"/>
      <c r="CW62" s="403"/>
      <c r="CX62" s="403"/>
      <c r="CY62" s="403"/>
      <c r="CZ62" s="403"/>
      <c r="DA62" s="403"/>
      <c r="DB62" s="403"/>
      <c r="DC62" s="403"/>
      <c r="DD62" s="403"/>
      <c r="DE62" s="403"/>
      <c r="DF62" s="403"/>
      <c r="DG62" s="403"/>
      <c r="DH62" s="403"/>
      <c r="DI62" s="403"/>
      <c r="DJ62" s="403"/>
      <c r="DK62" s="403"/>
      <c r="DL62" s="403"/>
      <c r="DM62" s="403"/>
      <c r="DN62" s="403"/>
      <c r="DO62" s="403"/>
      <c r="DP62" s="403"/>
      <c r="DQ62" s="403"/>
      <c r="DR62" s="403"/>
      <c r="DS62" s="403"/>
      <c r="DT62" s="403"/>
      <c r="DU62" s="403"/>
      <c r="DV62" s="403"/>
      <c r="DW62" s="403"/>
      <c r="DX62" s="403"/>
      <c r="DY62" s="403"/>
      <c r="DZ62" s="403"/>
      <c r="EA62" s="403"/>
      <c r="EB62" s="403"/>
      <c r="EC62" s="403"/>
      <c r="ED62" s="403"/>
      <c r="EE62" s="403"/>
      <c r="EF62" s="403"/>
      <c r="EG62" s="403"/>
      <c r="EH62" s="403"/>
      <c r="EI62" s="403"/>
      <c r="EJ62" s="403"/>
      <c r="EK62" s="403"/>
      <c r="EL62" s="403"/>
      <c r="EM62" s="403"/>
      <c r="EN62" s="403"/>
      <c r="EO62" s="403"/>
      <c r="EP62" s="403"/>
      <c r="EQ62" s="403"/>
      <c r="ER62" s="403"/>
      <c r="ES62" s="403"/>
      <c r="ET62" s="403"/>
      <c r="EU62" s="403"/>
      <c r="EV62" s="403"/>
      <c r="EW62" s="403"/>
      <c r="EX62" s="403"/>
      <c r="EY62" s="403"/>
      <c r="EZ62" s="403"/>
      <c r="FA62" s="403"/>
      <c r="FB62" s="403"/>
      <c r="FC62" s="403"/>
      <c r="FD62" s="403"/>
      <c r="FE62" s="403"/>
      <c r="FF62" s="403"/>
      <c r="FG62" s="403"/>
      <c r="FH62" s="403"/>
      <c r="FI62" s="403"/>
      <c r="FJ62" s="403"/>
      <c r="FK62" s="403"/>
      <c r="FL62" s="403"/>
      <c r="FM62" s="403"/>
      <c r="FN62" s="403"/>
      <c r="FO62" s="403"/>
      <c r="FP62" s="403"/>
      <c r="FQ62" s="403"/>
      <c r="FR62" s="403"/>
      <c r="FS62" s="403"/>
      <c r="FT62" s="403"/>
      <c r="FU62" s="403"/>
      <c r="FV62" s="403"/>
      <c r="FW62" s="403"/>
      <c r="FX62" s="403"/>
      <c r="FY62" s="403"/>
      <c r="FZ62" s="403"/>
      <c r="GA62" s="403"/>
      <c r="GB62" s="403"/>
      <c r="GC62" s="403"/>
      <c r="GD62" s="403"/>
      <c r="GE62" s="403"/>
      <c r="GF62" s="403"/>
      <c r="GG62" s="403"/>
      <c r="GH62" s="403"/>
      <c r="GI62" s="403"/>
      <c r="GJ62" s="403"/>
      <c r="GK62" s="403"/>
      <c r="GL62" s="403"/>
      <c r="GM62" s="403"/>
      <c r="GN62" s="403"/>
      <c r="GO62" s="403"/>
      <c r="GP62" s="403"/>
      <c r="GQ62" s="403"/>
      <c r="GR62" s="403"/>
      <c r="GS62" s="403"/>
      <c r="GT62" s="403"/>
      <c r="GU62" s="403"/>
      <c r="GV62" s="403"/>
      <c r="GW62" s="403"/>
      <c r="GX62" s="403"/>
      <c r="GY62" s="403"/>
      <c r="GZ62" s="403"/>
      <c r="HA62" s="403"/>
      <c r="HB62" s="403"/>
      <c r="HC62" s="403"/>
      <c r="HD62" s="403"/>
      <c r="HE62" s="403"/>
      <c r="HF62" s="403"/>
      <c r="HG62" s="403"/>
      <c r="HH62" s="403"/>
      <c r="HI62" s="403"/>
      <c r="HJ62" s="403"/>
      <c r="HK62" s="403"/>
      <c r="HL62" s="403"/>
      <c r="HM62" s="403"/>
      <c r="HN62" s="403"/>
      <c r="HO62" s="403"/>
      <c r="HP62" s="403"/>
      <c r="HQ62" s="403"/>
      <c r="HR62" s="403"/>
      <c r="HS62" s="403"/>
      <c r="HT62" s="403"/>
      <c r="HU62" s="403"/>
      <c r="HV62" s="403"/>
      <c r="HW62" s="403"/>
      <c r="HX62" s="403"/>
      <c r="HY62" s="403"/>
      <c r="HZ62" s="403"/>
      <c r="IA62" s="403"/>
      <c r="IB62" s="403"/>
      <c r="IC62" s="403"/>
      <c r="ID62" s="403"/>
      <c r="IE62" s="403"/>
      <c r="IF62" s="403"/>
      <c r="IG62" s="403"/>
      <c r="IH62" s="403"/>
      <c r="II62" s="403"/>
      <c r="IJ62" s="403"/>
      <c r="IK62" s="403"/>
      <c r="IL62" s="403"/>
      <c r="IM62" s="403"/>
      <c r="IN62" s="403"/>
      <c r="IO62" s="403"/>
      <c r="IP62" s="403"/>
      <c r="IQ62" s="403"/>
      <c r="IR62" s="403"/>
      <c r="IS62" s="403"/>
      <c r="IT62" s="403"/>
      <c r="IU62" s="403"/>
      <c r="IV62" s="403"/>
      <c r="IW62" s="403"/>
    </row>
    <row r="63" customFormat="false" ht="11.25" hidden="false" customHeight="false" outlineLevel="0" collapsed="false">
      <c r="A63" s="419"/>
      <c r="B63" s="403"/>
      <c r="C63" s="403"/>
      <c r="D63" s="403"/>
      <c r="E63" s="419"/>
      <c r="F63" s="403"/>
      <c r="G63" s="403"/>
      <c r="H63" s="403"/>
      <c r="I63" s="403"/>
      <c r="J63" s="403"/>
      <c r="K63" s="403"/>
      <c r="L63" s="403"/>
      <c r="M63" s="403"/>
      <c r="N63" s="403"/>
      <c r="O63" s="403"/>
      <c r="P63" s="403"/>
      <c r="Q63" s="403"/>
      <c r="R63" s="403"/>
      <c r="S63" s="403"/>
      <c r="T63" s="403"/>
      <c r="U63" s="403"/>
      <c r="V63" s="403"/>
      <c r="W63" s="403"/>
      <c r="X63" s="403"/>
      <c r="Y63" s="403"/>
      <c r="Z63" s="403"/>
      <c r="AA63" s="403"/>
      <c r="AB63" s="403"/>
      <c r="AC63" s="403"/>
      <c r="AD63" s="403"/>
      <c r="AE63" s="403"/>
      <c r="AF63" s="403"/>
      <c r="AG63" s="403"/>
      <c r="AH63" s="403"/>
      <c r="AI63" s="403"/>
      <c r="AJ63" s="403"/>
      <c r="AK63" s="403"/>
      <c r="AL63" s="403"/>
      <c r="AM63" s="403"/>
      <c r="AN63" s="403"/>
      <c r="AO63" s="403"/>
      <c r="AP63" s="403"/>
      <c r="AQ63" s="403"/>
      <c r="AR63" s="403"/>
      <c r="AS63" s="403"/>
      <c r="AT63" s="403"/>
      <c r="AU63" s="403"/>
      <c r="AV63" s="403"/>
      <c r="AW63" s="403"/>
      <c r="AX63" s="403"/>
      <c r="AY63" s="403"/>
      <c r="AZ63" s="403"/>
      <c r="BA63" s="403"/>
      <c r="BB63" s="403"/>
      <c r="BC63" s="403"/>
      <c r="BD63" s="403"/>
      <c r="BE63" s="403"/>
      <c r="BF63" s="403"/>
      <c r="BG63" s="403"/>
      <c r="BH63" s="403"/>
      <c r="BI63" s="403"/>
      <c r="BJ63" s="403"/>
      <c r="BK63" s="403"/>
      <c r="BL63" s="403"/>
      <c r="BM63" s="403"/>
      <c r="BN63" s="403"/>
      <c r="BO63" s="403"/>
      <c r="BP63" s="403"/>
      <c r="BQ63" s="403"/>
      <c r="BR63" s="403"/>
      <c r="BS63" s="403"/>
      <c r="BT63" s="403"/>
      <c r="BU63" s="403"/>
      <c r="BV63" s="403"/>
      <c r="BW63" s="403"/>
      <c r="BX63" s="403"/>
      <c r="BY63" s="403"/>
      <c r="BZ63" s="403"/>
      <c r="CA63" s="403"/>
      <c r="CB63" s="403"/>
      <c r="CC63" s="403"/>
      <c r="CD63" s="403"/>
      <c r="CE63" s="403"/>
      <c r="CF63" s="403"/>
      <c r="CG63" s="403"/>
      <c r="CH63" s="403"/>
      <c r="CI63" s="403"/>
      <c r="CJ63" s="403"/>
      <c r="CK63" s="403"/>
      <c r="CL63" s="403"/>
      <c r="CM63" s="403"/>
      <c r="CN63" s="403"/>
      <c r="CO63" s="403"/>
      <c r="CP63" s="403"/>
      <c r="CQ63" s="403"/>
      <c r="CR63" s="403"/>
      <c r="CS63" s="403"/>
      <c r="CT63" s="403"/>
      <c r="CU63" s="403"/>
      <c r="CV63" s="403"/>
      <c r="CW63" s="403"/>
      <c r="CX63" s="403"/>
      <c r="CY63" s="403"/>
      <c r="CZ63" s="403"/>
      <c r="DA63" s="403"/>
      <c r="DB63" s="403"/>
      <c r="DC63" s="403"/>
      <c r="DD63" s="403"/>
      <c r="DE63" s="403"/>
      <c r="DF63" s="403"/>
      <c r="DG63" s="403"/>
      <c r="DH63" s="403"/>
      <c r="DI63" s="403"/>
      <c r="DJ63" s="403"/>
      <c r="DK63" s="403"/>
      <c r="DL63" s="403"/>
      <c r="DM63" s="403"/>
      <c r="DN63" s="403"/>
      <c r="DO63" s="403"/>
      <c r="DP63" s="403"/>
      <c r="DQ63" s="403"/>
      <c r="DR63" s="403"/>
      <c r="DS63" s="403"/>
      <c r="DT63" s="403"/>
      <c r="DU63" s="403"/>
      <c r="DV63" s="403"/>
      <c r="DW63" s="403"/>
      <c r="DX63" s="403"/>
      <c r="DY63" s="403"/>
      <c r="DZ63" s="403"/>
      <c r="EA63" s="403"/>
      <c r="EB63" s="403"/>
      <c r="EC63" s="403"/>
      <c r="ED63" s="403"/>
      <c r="EE63" s="403"/>
      <c r="EF63" s="403"/>
      <c r="EG63" s="403"/>
      <c r="EH63" s="403"/>
      <c r="EI63" s="403"/>
      <c r="EJ63" s="403"/>
      <c r="EK63" s="403"/>
      <c r="EL63" s="403"/>
      <c r="EM63" s="403"/>
      <c r="EN63" s="403"/>
      <c r="EO63" s="403"/>
      <c r="EP63" s="403"/>
      <c r="EQ63" s="403"/>
      <c r="ER63" s="403"/>
      <c r="ES63" s="403"/>
      <c r="ET63" s="403"/>
      <c r="EU63" s="403"/>
      <c r="EV63" s="403"/>
      <c r="EW63" s="403"/>
      <c r="EX63" s="403"/>
      <c r="EY63" s="403"/>
      <c r="EZ63" s="403"/>
      <c r="FA63" s="403"/>
      <c r="FB63" s="403"/>
      <c r="FC63" s="403"/>
      <c r="FD63" s="403"/>
      <c r="FE63" s="403"/>
      <c r="FF63" s="403"/>
      <c r="FG63" s="403"/>
      <c r="FH63" s="403"/>
      <c r="FI63" s="403"/>
      <c r="FJ63" s="403"/>
      <c r="FK63" s="403"/>
      <c r="FL63" s="403"/>
      <c r="FM63" s="403"/>
      <c r="FN63" s="403"/>
      <c r="FO63" s="403"/>
      <c r="FP63" s="403"/>
      <c r="FQ63" s="403"/>
      <c r="FR63" s="403"/>
      <c r="FS63" s="403"/>
      <c r="FT63" s="403"/>
      <c r="FU63" s="403"/>
      <c r="FV63" s="403"/>
      <c r="FW63" s="403"/>
      <c r="FX63" s="403"/>
      <c r="FY63" s="403"/>
      <c r="FZ63" s="403"/>
      <c r="GA63" s="403"/>
      <c r="GB63" s="403"/>
      <c r="GC63" s="403"/>
      <c r="GD63" s="403"/>
      <c r="GE63" s="403"/>
      <c r="GF63" s="403"/>
      <c r="GG63" s="403"/>
      <c r="GH63" s="403"/>
      <c r="GI63" s="403"/>
      <c r="GJ63" s="403"/>
      <c r="GK63" s="403"/>
      <c r="GL63" s="403"/>
      <c r="GM63" s="403"/>
      <c r="GN63" s="403"/>
      <c r="GO63" s="403"/>
      <c r="GP63" s="403"/>
      <c r="GQ63" s="403"/>
      <c r="GR63" s="403"/>
      <c r="GS63" s="403"/>
      <c r="GT63" s="403"/>
      <c r="GU63" s="403"/>
      <c r="GV63" s="403"/>
      <c r="GW63" s="403"/>
      <c r="GX63" s="403"/>
      <c r="GY63" s="403"/>
      <c r="GZ63" s="403"/>
      <c r="HA63" s="403"/>
      <c r="HB63" s="403"/>
      <c r="HC63" s="403"/>
      <c r="HD63" s="403"/>
      <c r="HE63" s="403"/>
      <c r="HF63" s="403"/>
      <c r="HG63" s="403"/>
      <c r="HH63" s="403"/>
      <c r="HI63" s="403"/>
      <c r="HJ63" s="403"/>
      <c r="HK63" s="403"/>
      <c r="HL63" s="403"/>
      <c r="HM63" s="403"/>
      <c r="HN63" s="403"/>
      <c r="HO63" s="403"/>
      <c r="HP63" s="403"/>
      <c r="HQ63" s="403"/>
      <c r="HR63" s="403"/>
      <c r="HS63" s="403"/>
      <c r="HT63" s="403"/>
      <c r="HU63" s="403"/>
      <c r="HV63" s="403"/>
      <c r="HW63" s="403"/>
      <c r="HX63" s="403"/>
      <c r="HY63" s="403"/>
      <c r="HZ63" s="403"/>
      <c r="IA63" s="403"/>
      <c r="IB63" s="403"/>
      <c r="IC63" s="403"/>
      <c r="ID63" s="403"/>
      <c r="IE63" s="403"/>
      <c r="IF63" s="403"/>
      <c r="IG63" s="403"/>
      <c r="IH63" s="403"/>
      <c r="II63" s="403"/>
      <c r="IJ63" s="403"/>
      <c r="IK63" s="403"/>
      <c r="IL63" s="403"/>
      <c r="IM63" s="403"/>
      <c r="IN63" s="403"/>
      <c r="IO63" s="403"/>
      <c r="IP63" s="403"/>
      <c r="IQ63" s="403"/>
      <c r="IR63" s="403"/>
      <c r="IS63" s="403"/>
      <c r="IT63" s="403"/>
      <c r="IU63" s="403"/>
      <c r="IV63" s="403"/>
      <c r="IW63" s="403"/>
    </row>
    <row r="64" customFormat="false" ht="11.25" hidden="false" customHeight="false" outlineLevel="0" collapsed="false">
      <c r="A64" s="419"/>
      <c r="B64" s="403"/>
      <c r="C64" s="403"/>
      <c r="D64" s="403"/>
      <c r="E64" s="419"/>
      <c r="F64" s="403"/>
      <c r="G64" s="403"/>
      <c r="H64" s="403"/>
      <c r="I64" s="403"/>
      <c r="J64" s="403"/>
      <c r="K64" s="403"/>
      <c r="L64" s="403"/>
      <c r="M64" s="403"/>
      <c r="N64" s="403"/>
      <c r="O64" s="403"/>
      <c r="P64" s="403"/>
      <c r="Q64" s="403"/>
      <c r="R64" s="403"/>
      <c r="S64" s="403"/>
      <c r="T64" s="403"/>
      <c r="U64" s="403"/>
      <c r="V64" s="403"/>
      <c r="W64" s="403"/>
      <c r="X64" s="403"/>
      <c r="Y64" s="403"/>
      <c r="Z64" s="403"/>
      <c r="AA64" s="403"/>
      <c r="AB64" s="403"/>
      <c r="AC64" s="403"/>
      <c r="AD64" s="403"/>
      <c r="AE64" s="403"/>
      <c r="AF64" s="403"/>
      <c r="AG64" s="403"/>
      <c r="AH64" s="403"/>
      <c r="AI64" s="403"/>
      <c r="AJ64" s="403"/>
      <c r="AK64" s="403"/>
      <c r="AL64" s="403"/>
      <c r="AM64" s="403"/>
      <c r="AN64" s="403"/>
      <c r="AO64" s="403"/>
      <c r="AP64" s="403"/>
      <c r="AQ64" s="403"/>
      <c r="AR64" s="403"/>
      <c r="AS64" s="403"/>
      <c r="AT64" s="403"/>
      <c r="AU64" s="403"/>
      <c r="AV64" s="403"/>
      <c r="AW64" s="403"/>
      <c r="AX64" s="403"/>
      <c r="AY64" s="403"/>
      <c r="AZ64" s="403"/>
      <c r="BA64" s="403"/>
      <c r="BB64" s="403"/>
      <c r="BC64" s="403"/>
      <c r="BD64" s="403"/>
      <c r="BE64" s="403"/>
      <c r="BF64" s="403"/>
      <c r="BG64" s="403"/>
      <c r="BH64" s="403"/>
      <c r="BI64" s="403"/>
      <c r="BJ64" s="403"/>
      <c r="BK64" s="403"/>
      <c r="BL64" s="403"/>
      <c r="BM64" s="403"/>
      <c r="BN64" s="403"/>
      <c r="BO64" s="403"/>
      <c r="BP64" s="403"/>
      <c r="BQ64" s="403"/>
      <c r="BR64" s="403"/>
      <c r="BS64" s="403"/>
      <c r="BT64" s="403"/>
      <c r="BU64" s="403"/>
      <c r="BV64" s="403"/>
      <c r="BW64" s="403"/>
      <c r="BX64" s="403"/>
      <c r="BY64" s="403"/>
      <c r="BZ64" s="403"/>
      <c r="CA64" s="403"/>
      <c r="CB64" s="403"/>
      <c r="CC64" s="403"/>
      <c r="CD64" s="403"/>
      <c r="CE64" s="403"/>
      <c r="CF64" s="403"/>
      <c r="CG64" s="403"/>
      <c r="CH64" s="403"/>
      <c r="CI64" s="403"/>
      <c r="CJ64" s="403"/>
      <c r="CK64" s="403"/>
      <c r="CL64" s="403"/>
      <c r="CM64" s="403"/>
      <c r="CN64" s="403"/>
      <c r="CO64" s="403"/>
      <c r="CP64" s="403"/>
      <c r="CQ64" s="403"/>
      <c r="CR64" s="403"/>
      <c r="CS64" s="403"/>
      <c r="CT64" s="403"/>
      <c r="CU64" s="403"/>
      <c r="CV64" s="403"/>
      <c r="CW64" s="403"/>
      <c r="CX64" s="403"/>
      <c r="CY64" s="403"/>
      <c r="CZ64" s="403"/>
      <c r="DA64" s="403"/>
      <c r="DB64" s="403"/>
      <c r="DC64" s="403"/>
      <c r="DD64" s="403"/>
      <c r="DE64" s="403"/>
      <c r="DF64" s="403"/>
      <c r="DG64" s="403"/>
      <c r="DH64" s="403"/>
      <c r="DI64" s="403"/>
      <c r="DJ64" s="403"/>
      <c r="DK64" s="403"/>
      <c r="DL64" s="403"/>
      <c r="DM64" s="403"/>
      <c r="DN64" s="403"/>
      <c r="DO64" s="403"/>
      <c r="DP64" s="403"/>
      <c r="DQ64" s="403"/>
      <c r="DR64" s="403"/>
      <c r="DS64" s="403"/>
      <c r="DT64" s="403"/>
      <c r="DU64" s="403"/>
      <c r="DV64" s="403"/>
      <c r="DW64" s="403"/>
      <c r="DX64" s="403"/>
      <c r="DY64" s="403"/>
      <c r="DZ64" s="403"/>
      <c r="EA64" s="403"/>
      <c r="EB64" s="403"/>
      <c r="EC64" s="403"/>
      <c r="ED64" s="403"/>
      <c r="EE64" s="403"/>
      <c r="EF64" s="403"/>
      <c r="EG64" s="403"/>
      <c r="EH64" s="403"/>
      <c r="EI64" s="403"/>
      <c r="EJ64" s="403"/>
      <c r="EK64" s="403"/>
      <c r="EL64" s="403"/>
      <c r="EM64" s="403"/>
      <c r="EN64" s="403"/>
      <c r="EO64" s="403"/>
      <c r="EP64" s="403"/>
      <c r="EQ64" s="403"/>
      <c r="ER64" s="403"/>
      <c r="ES64" s="403"/>
      <c r="ET64" s="403"/>
      <c r="EU64" s="403"/>
      <c r="EV64" s="403"/>
      <c r="EW64" s="403"/>
      <c r="EX64" s="403"/>
      <c r="EY64" s="403"/>
      <c r="EZ64" s="403"/>
      <c r="FA64" s="403"/>
      <c r="FB64" s="403"/>
      <c r="FC64" s="403"/>
      <c r="FD64" s="403"/>
      <c r="FE64" s="403"/>
      <c r="FF64" s="403"/>
      <c r="FG64" s="403"/>
      <c r="FH64" s="403"/>
      <c r="FI64" s="403"/>
      <c r="FJ64" s="403"/>
      <c r="FK64" s="403"/>
      <c r="FL64" s="403"/>
      <c r="FM64" s="403"/>
      <c r="FN64" s="403"/>
      <c r="FO64" s="403"/>
      <c r="FP64" s="403"/>
      <c r="FQ64" s="403"/>
      <c r="FR64" s="403"/>
      <c r="FS64" s="403"/>
      <c r="FT64" s="403"/>
      <c r="FU64" s="403"/>
      <c r="FV64" s="403"/>
      <c r="FW64" s="403"/>
      <c r="FX64" s="403"/>
      <c r="FY64" s="403"/>
      <c r="FZ64" s="403"/>
      <c r="GA64" s="403"/>
      <c r="GB64" s="403"/>
      <c r="GC64" s="403"/>
      <c r="GD64" s="403"/>
      <c r="GE64" s="403"/>
      <c r="GF64" s="403"/>
      <c r="GG64" s="403"/>
      <c r="GH64" s="403"/>
      <c r="GI64" s="403"/>
      <c r="GJ64" s="403"/>
      <c r="GK64" s="403"/>
      <c r="GL64" s="403"/>
      <c r="GM64" s="403"/>
      <c r="GN64" s="403"/>
      <c r="GO64" s="403"/>
      <c r="GP64" s="403"/>
      <c r="GQ64" s="403"/>
      <c r="GR64" s="403"/>
      <c r="GS64" s="403"/>
      <c r="GT64" s="403"/>
      <c r="GU64" s="403"/>
      <c r="GV64" s="403"/>
      <c r="GW64" s="403"/>
      <c r="GX64" s="403"/>
      <c r="GY64" s="403"/>
      <c r="GZ64" s="403"/>
      <c r="HA64" s="403"/>
      <c r="HB64" s="403"/>
      <c r="HC64" s="403"/>
      <c r="HD64" s="403"/>
      <c r="HE64" s="403"/>
      <c r="HF64" s="403"/>
      <c r="HG64" s="403"/>
      <c r="HH64" s="403"/>
      <c r="HI64" s="403"/>
      <c r="HJ64" s="403"/>
      <c r="HK64" s="403"/>
      <c r="HL64" s="403"/>
      <c r="HM64" s="403"/>
      <c r="HN64" s="403"/>
      <c r="HO64" s="403"/>
      <c r="HP64" s="403"/>
      <c r="HQ64" s="403"/>
      <c r="HR64" s="403"/>
      <c r="HS64" s="403"/>
      <c r="HT64" s="403"/>
      <c r="HU64" s="403"/>
      <c r="HV64" s="403"/>
      <c r="HW64" s="403"/>
      <c r="HX64" s="403"/>
      <c r="HY64" s="403"/>
      <c r="HZ64" s="403"/>
      <c r="IA64" s="403"/>
      <c r="IB64" s="403"/>
      <c r="IC64" s="403"/>
      <c r="ID64" s="403"/>
      <c r="IE64" s="403"/>
      <c r="IF64" s="403"/>
      <c r="IG64" s="403"/>
      <c r="IH64" s="403"/>
      <c r="II64" s="403"/>
      <c r="IJ64" s="403"/>
      <c r="IK64" s="403"/>
      <c r="IL64" s="403"/>
      <c r="IM64" s="403"/>
      <c r="IN64" s="403"/>
      <c r="IO64" s="403"/>
      <c r="IP64" s="403"/>
      <c r="IQ64" s="403"/>
      <c r="IR64" s="403"/>
      <c r="IS64" s="403"/>
      <c r="IT64" s="403"/>
      <c r="IU64" s="403"/>
      <c r="IV64" s="403"/>
      <c r="IW64" s="403"/>
    </row>
    <row r="65" customFormat="false" ht="11.25" hidden="false" customHeight="false" outlineLevel="0" collapsed="false">
      <c r="A65" s="419"/>
      <c r="B65" s="403"/>
      <c r="C65" s="403"/>
      <c r="D65" s="403"/>
      <c r="E65" s="419"/>
      <c r="F65" s="403"/>
      <c r="G65" s="403"/>
      <c r="H65" s="403"/>
      <c r="I65" s="403"/>
      <c r="J65" s="403"/>
      <c r="K65" s="403"/>
      <c r="L65" s="403"/>
      <c r="M65" s="403"/>
      <c r="N65" s="403"/>
      <c r="O65" s="403"/>
      <c r="P65" s="403"/>
      <c r="Q65" s="403"/>
      <c r="R65" s="403"/>
      <c r="S65" s="403"/>
      <c r="T65" s="403"/>
      <c r="U65" s="403"/>
      <c r="V65" s="403"/>
      <c r="W65" s="403"/>
      <c r="X65" s="403"/>
      <c r="Y65" s="403"/>
      <c r="Z65" s="403"/>
      <c r="AA65" s="403"/>
      <c r="AB65" s="403"/>
      <c r="AC65" s="403"/>
      <c r="AD65" s="403"/>
      <c r="AE65" s="403"/>
      <c r="AF65" s="403"/>
      <c r="AG65" s="403"/>
      <c r="AH65" s="403"/>
      <c r="AI65" s="403"/>
      <c r="AJ65" s="403"/>
      <c r="AK65" s="403"/>
      <c r="AL65" s="403"/>
      <c r="AM65" s="403"/>
      <c r="AN65" s="403"/>
      <c r="AO65" s="403"/>
      <c r="AP65" s="403"/>
      <c r="AQ65" s="403"/>
      <c r="AR65" s="403"/>
      <c r="AS65" s="403"/>
      <c r="AT65" s="403"/>
      <c r="AU65" s="403"/>
      <c r="AV65" s="403"/>
      <c r="AW65" s="403"/>
      <c r="AX65" s="403"/>
      <c r="AY65" s="403"/>
      <c r="AZ65" s="403"/>
      <c r="BA65" s="403"/>
      <c r="BB65" s="403"/>
      <c r="BC65" s="403"/>
      <c r="BD65" s="403"/>
      <c r="BE65" s="403"/>
      <c r="BF65" s="403"/>
      <c r="BG65" s="403"/>
      <c r="BH65" s="403"/>
      <c r="BI65" s="403"/>
      <c r="BJ65" s="403"/>
      <c r="BK65" s="403"/>
      <c r="BL65" s="403"/>
      <c r="BM65" s="403"/>
      <c r="BN65" s="403"/>
      <c r="BO65" s="403"/>
      <c r="BP65" s="403"/>
      <c r="BQ65" s="403"/>
      <c r="BR65" s="403"/>
      <c r="BS65" s="403"/>
      <c r="BT65" s="403"/>
      <c r="BU65" s="403"/>
      <c r="BV65" s="403"/>
      <c r="BW65" s="403"/>
      <c r="BX65" s="403"/>
      <c r="BY65" s="403"/>
      <c r="BZ65" s="403"/>
      <c r="CA65" s="403"/>
      <c r="CB65" s="403"/>
      <c r="CC65" s="403"/>
      <c r="CD65" s="403"/>
      <c r="CE65" s="403"/>
      <c r="CF65" s="403"/>
      <c r="CG65" s="403"/>
      <c r="CH65" s="403"/>
      <c r="CI65" s="403"/>
      <c r="CJ65" s="403"/>
      <c r="CK65" s="403"/>
      <c r="CL65" s="403"/>
      <c r="CM65" s="403"/>
      <c r="CN65" s="403"/>
      <c r="CO65" s="403"/>
      <c r="CP65" s="403"/>
      <c r="CQ65" s="403"/>
      <c r="CR65" s="403"/>
      <c r="CS65" s="403"/>
      <c r="CT65" s="403"/>
      <c r="CU65" s="403"/>
      <c r="CV65" s="403"/>
      <c r="CW65" s="403"/>
      <c r="CX65" s="403"/>
      <c r="CY65" s="403"/>
      <c r="CZ65" s="403"/>
      <c r="DA65" s="403"/>
      <c r="DB65" s="403"/>
      <c r="DC65" s="403"/>
      <c r="DD65" s="403"/>
      <c r="DE65" s="403"/>
      <c r="DF65" s="403"/>
      <c r="DG65" s="403"/>
      <c r="DH65" s="403"/>
      <c r="DI65" s="403"/>
      <c r="DJ65" s="403"/>
      <c r="DK65" s="403"/>
      <c r="DL65" s="403"/>
      <c r="DM65" s="403"/>
      <c r="DN65" s="403"/>
      <c r="DO65" s="403"/>
      <c r="DP65" s="403"/>
      <c r="DQ65" s="403"/>
      <c r="DR65" s="403"/>
      <c r="DS65" s="403"/>
      <c r="DT65" s="403"/>
      <c r="DU65" s="403"/>
      <c r="DV65" s="403"/>
      <c r="DW65" s="403"/>
      <c r="DX65" s="403"/>
      <c r="DY65" s="403"/>
      <c r="DZ65" s="403"/>
      <c r="EA65" s="403"/>
      <c r="EB65" s="403"/>
      <c r="EC65" s="403"/>
      <c r="ED65" s="403"/>
      <c r="EE65" s="403"/>
      <c r="EF65" s="403"/>
      <c r="EG65" s="403"/>
      <c r="EH65" s="403"/>
      <c r="EI65" s="403"/>
      <c r="EJ65" s="403"/>
      <c r="EK65" s="403"/>
      <c r="EL65" s="403"/>
      <c r="EM65" s="403"/>
      <c r="EN65" s="403"/>
      <c r="EO65" s="403"/>
      <c r="EP65" s="403"/>
      <c r="EQ65" s="403"/>
      <c r="ER65" s="403"/>
      <c r="ES65" s="403"/>
      <c r="ET65" s="403"/>
      <c r="EU65" s="403"/>
      <c r="EV65" s="403"/>
      <c r="EW65" s="403"/>
      <c r="EX65" s="403"/>
      <c r="EY65" s="403"/>
      <c r="EZ65" s="403"/>
      <c r="FA65" s="403"/>
      <c r="FB65" s="403"/>
      <c r="FC65" s="403"/>
      <c r="FD65" s="403"/>
      <c r="FE65" s="403"/>
      <c r="FF65" s="403"/>
      <c r="FG65" s="403"/>
      <c r="FH65" s="403"/>
      <c r="FI65" s="403"/>
      <c r="FJ65" s="403"/>
      <c r="FK65" s="403"/>
      <c r="FL65" s="403"/>
      <c r="FM65" s="403"/>
      <c r="FN65" s="403"/>
      <c r="FO65" s="403"/>
      <c r="FP65" s="403"/>
      <c r="FQ65" s="403"/>
      <c r="FR65" s="403"/>
      <c r="FS65" s="403"/>
      <c r="FT65" s="403"/>
      <c r="FU65" s="403"/>
      <c r="FV65" s="403"/>
      <c r="FW65" s="403"/>
      <c r="FX65" s="403"/>
      <c r="FY65" s="403"/>
      <c r="FZ65" s="403"/>
      <c r="GA65" s="403"/>
      <c r="GB65" s="403"/>
      <c r="GC65" s="403"/>
      <c r="GD65" s="403"/>
      <c r="GE65" s="403"/>
      <c r="GF65" s="403"/>
      <c r="GG65" s="403"/>
      <c r="GH65" s="403"/>
      <c r="GI65" s="403"/>
      <c r="GJ65" s="403"/>
      <c r="GK65" s="403"/>
      <c r="GL65" s="403"/>
      <c r="GM65" s="403"/>
      <c r="GN65" s="403"/>
      <c r="GO65" s="403"/>
      <c r="GP65" s="403"/>
      <c r="GQ65" s="403"/>
      <c r="GR65" s="403"/>
      <c r="GS65" s="403"/>
      <c r="GT65" s="403"/>
      <c r="GU65" s="403"/>
      <c r="GV65" s="403"/>
      <c r="GW65" s="403"/>
      <c r="GX65" s="403"/>
      <c r="GY65" s="403"/>
      <c r="GZ65" s="403"/>
      <c r="HA65" s="403"/>
      <c r="HB65" s="403"/>
      <c r="HC65" s="403"/>
      <c r="HD65" s="403"/>
      <c r="HE65" s="403"/>
      <c r="HF65" s="403"/>
      <c r="HG65" s="403"/>
      <c r="HH65" s="403"/>
      <c r="HI65" s="403"/>
      <c r="HJ65" s="403"/>
      <c r="HK65" s="403"/>
      <c r="HL65" s="403"/>
      <c r="HM65" s="403"/>
      <c r="HN65" s="403"/>
      <c r="HO65" s="403"/>
      <c r="HP65" s="403"/>
      <c r="HQ65" s="403"/>
      <c r="HR65" s="403"/>
      <c r="HS65" s="403"/>
      <c r="HT65" s="403"/>
      <c r="HU65" s="403"/>
      <c r="HV65" s="403"/>
      <c r="HW65" s="403"/>
      <c r="HX65" s="403"/>
      <c r="HY65" s="403"/>
      <c r="HZ65" s="403"/>
      <c r="IA65" s="403"/>
      <c r="IB65" s="403"/>
      <c r="IC65" s="403"/>
      <c r="ID65" s="403"/>
      <c r="IE65" s="403"/>
      <c r="IF65" s="403"/>
      <c r="IG65" s="403"/>
      <c r="IH65" s="403"/>
      <c r="II65" s="403"/>
      <c r="IJ65" s="403"/>
      <c r="IK65" s="403"/>
      <c r="IL65" s="403"/>
      <c r="IM65" s="403"/>
      <c r="IN65" s="403"/>
      <c r="IO65" s="403"/>
      <c r="IP65" s="403"/>
      <c r="IQ65" s="403"/>
      <c r="IR65" s="403"/>
      <c r="IS65" s="403"/>
      <c r="IT65" s="403"/>
      <c r="IU65" s="403"/>
      <c r="IV65" s="403"/>
      <c r="IW65" s="403"/>
    </row>
    <row r="66" customFormat="false" ht="11.25" hidden="false" customHeight="false" outlineLevel="0" collapsed="false">
      <c r="A66" s="419"/>
      <c r="B66" s="403"/>
      <c r="C66" s="403"/>
      <c r="D66" s="403"/>
      <c r="E66" s="419"/>
      <c r="F66" s="403"/>
      <c r="G66" s="403"/>
      <c r="H66" s="403"/>
      <c r="I66" s="403"/>
      <c r="J66" s="403"/>
      <c r="K66" s="403"/>
      <c r="L66" s="403"/>
      <c r="M66" s="403"/>
      <c r="N66" s="403"/>
      <c r="O66" s="403"/>
      <c r="P66" s="403"/>
      <c r="Q66" s="403"/>
      <c r="R66" s="403"/>
      <c r="S66" s="403"/>
      <c r="T66" s="403"/>
      <c r="U66" s="403"/>
      <c r="V66" s="403"/>
      <c r="W66" s="403"/>
      <c r="X66" s="403"/>
      <c r="Y66" s="403"/>
      <c r="Z66" s="403"/>
      <c r="AA66" s="403"/>
      <c r="AB66" s="403"/>
      <c r="AC66" s="403"/>
      <c r="AD66" s="403"/>
      <c r="AE66" s="403"/>
      <c r="AF66" s="403"/>
      <c r="AG66" s="403"/>
      <c r="AH66" s="403"/>
      <c r="AI66" s="403"/>
      <c r="AJ66" s="403"/>
      <c r="AK66" s="403"/>
      <c r="AL66" s="403"/>
      <c r="AM66" s="403"/>
      <c r="AN66" s="403"/>
      <c r="AO66" s="403"/>
      <c r="AP66" s="403"/>
      <c r="AQ66" s="403"/>
      <c r="AR66" s="403"/>
      <c r="AS66" s="403"/>
      <c r="AT66" s="403"/>
      <c r="AU66" s="403"/>
      <c r="AV66" s="403"/>
      <c r="AW66" s="403"/>
      <c r="AX66" s="403"/>
      <c r="AY66" s="403"/>
      <c r="AZ66" s="403"/>
      <c r="BA66" s="403"/>
      <c r="BB66" s="403"/>
      <c r="BC66" s="403"/>
      <c r="BD66" s="403"/>
      <c r="BE66" s="403"/>
      <c r="BF66" s="403"/>
      <c r="BG66" s="403"/>
      <c r="BH66" s="403"/>
      <c r="BI66" s="403"/>
      <c r="BJ66" s="403"/>
      <c r="BK66" s="403"/>
      <c r="BL66" s="403"/>
      <c r="BM66" s="403"/>
      <c r="BN66" s="403"/>
      <c r="BO66" s="403"/>
      <c r="BP66" s="403"/>
      <c r="BQ66" s="403"/>
      <c r="BR66" s="403"/>
      <c r="BS66" s="403"/>
      <c r="BT66" s="403"/>
      <c r="BU66" s="403"/>
      <c r="BV66" s="403"/>
      <c r="BW66" s="403"/>
      <c r="BX66" s="403"/>
      <c r="BY66" s="403"/>
      <c r="BZ66" s="403"/>
      <c r="CA66" s="403"/>
      <c r="CB66" s="403"/>
      <c r="CC66" s="403"/>
      <c r="CD66" s="403"/>
      <c r="CE66" s="403"/>
      <c r="CF66" s="403"/>
      <c r="CG66" s="403"/>
      <c r="CH66" s="403"/>
      <c r="CI66" s="403"/>
      <c r="CJ66" s="403"/>
      <c r="CK66" s="403"/>
      <c r="CL66" s="403"/>
      <c r="CM66" s="403"/>
      <c r="CN66" s="403"/>
      <c r="CO66" s="403"/>
      <c r="CP66" s="403"/>
      <c r="CQ66" s="403"/>
      <c r="CR66" s="403"/>
      <c r="CS66" s="403"/>
      <c r="CT66" s="403"/>
      <c r="CU66" s="403"/>
      <c r="CV66" s="403"/>
      <c r="CW66" s="403"/>
      <c r="CX66" s="403"/>
      <c r="CY66" s="403"/>
      <c r="CZ66" s="403"/>
      <c r="DA66" s="403"/>
      <c r="DB66" s="403"/>
      <c r="DC66" s="403"/>
      <c r="DD66" s="403"/>
      <c r="DE66" s="403"/>
      <c r="DF66" s="403"/>
      <c r="DG66" s="403"/>
      <c r="DH66" s="403"/>
      <c r="DI66" s="403"/>
      <c r="DJ66" s="403"/>
      <c r="DK66" s="403"/>
      <c r="DL66" s="403"/>
      <c r="DM66" s="403"/>
      <c r="DN66" s="403"/>
      <c r="DO66" s="403"/>
      <c r="DP66" s="403"/>
      <c r="DQ66" s="403"/>
      <c r="DR66" s="403"/>
      <c r="DS66" s="403"/>
      <c r="DT66" s="403"/>
      <c r="DU66" s="403"/>
      <c r="DV66" s="403"/>
      <c r="DW66" s="403"/>
      <c r="DX66" s="403"/>
      <c r="DY66" s="403"/>
      <c r="DZ66" s="403"/>
      <c r="EA66" s="403"/>
      <c r="EB66" s="403"/>
      <c r="EC66" s="403"/>
      <c r="ED66" s="403"/>
      <c r="EE66" s="403"/>
      <c r="EF66" s="403"/>
      <c r="EG66" s="403"/>
      <c r="EH66" s="403"/>
      <c r="EI66" s="403"/>
      <c r="EJ66" s="403"/>
      <c r="EK66" s="403"/>
      <c r="EL66" s="403"/>
      <c r="EM66" s="403"/>
      <c r="EN66" s="403"/>
      <c r="EO66" s="403"/>
      <c r="EP66" s="403"/>
      <c r="EQ66" s="403"/>
      <c r="ER66" s="403"/>
      <c r="ES66" s="403"/>
      <c r="ET66" s="403"/>
      <c r="EU66" s="403"/>
      <c r="EV66" s="403"/>
      <c r="EW66" s="403"/>
      <c r="EX66" s="403"/>
      <c r="EY66" s="403"/>
      <c r="EZ66" s="403"/>
      <c r="FA66" s="403"/>
      <c r="FB66" s="403"/>
      <c r="FC66" s="403"/>
      <c r="FD66" s="403"/>
      <c r="FE66" s="403"/>
      <c r="FF66" s="403"/>
      <c r="FG66" s="403"/>
      <c r="FH66" s="403"/>
      <c r="FI66" s="403"/>
      <c r="FJ66" s="403"/>
      <c r="FK66" s="403"/>
      <c r="FL66" s="403"/>
      <c r="FM66" s="403"/>
      <c r="FN66" s="403"/>
      <c r="FO66" s="403"/>
      <c r="FP66" s="403"/>
      <c r="FQ66" s="403"/>
      <c r="FR66" s="403"/>
      <c r="FS66" s="403"/>
      <c r="FT66" s="403"/>
      <c r="FU66" s="403"/>
      <c r="FV66" s="403"/>
      <c r="FW66" s="403"/>
      <c r="FX66" s="403"/>
      <c r="FY66" s="403"/>
      <c r="FZ66" s="403"/>
      <c r="GA66" s="403"/>
      <c r="GB66" s="403"/>
      <c r="GC66" s="403"/>
      <c r="GD66" s="403"/>
      <c r="GE66" s="403"/>
      <c r="GF66" s="403"/>
      <c r="GG66" s="403"/>
      <c r="GH66" s="403"/>
      <c r="GI66" s="403"/>
      <c r="GJ66" s="403"/>
      <c r="GK66" s="403"/>
      <c r="GL66" s="403"/>
      <c r="GM66" s="403"/>
      <c r="GN66" s="403"/>
      <c r="GO66" s="403"/>
      <c r="GP66" s="403"/>
      <c r="GQ66" s="403"/>
      <c r="GR66" s="403"/>
      <c r="GS66" s="403"/>
      <c r="GT66" s="403"/>
      <c r="GU66" s="403"/>
      <c r="GV66" s="403"/>
      <c r="GW66" s="403"/>
      <c r="GX66" s="403"/>
      <c r="GY66" s="403"/>
      <c r="GZ66" s="403"/>
      <c r="HA66" s="403"/>
      <c r="HB66" s="403"/>
      <c r="HC66" s="403"/>
      <c r="HD66" s="403"/>
      <c r="HE66" s="403"/>
      <c r="HF66" s="403"/>
      <c r="HG66" s="403"/>
      <c r="HH66" s="403"/>
      <c r="HI66" s="403"/>
      <c r="HJ66" s="403"/>
      <c r="HK66" s="403"/>
      <c r="HL66" s="403"/>
      <c r="HM66" s="403"/>
      <c r="HN66" s="403"/>
      <c r="HO66" s="403"/>
      <c r="HP66" s="403"/>
      <c r="HQ66" s="403"/>
      <c r="HR66" s="403"/>
      <c r="HS66" s="403"/>
      <c r="HT66" s="403"/>
      <c r="HU66" s="403"/>
      <c r="HV66" s="403"/>
      <c r="HW66" s="403"/>
      <c r="HX66" s="403"/>
      <c r="HY66" s="403"/>
      <c r="HZ66" s="403"/>
      <c r="IA66" s="403"/>
      <c r="IB66" s="403"/>
      <c r="IC66" s="403"/>
      <c r="ID66" s="403"/>
      <c r="IE66" s="403"/>
      <c r="IF66" s="403"/>
      <c r="IG66" s="403"/>
      <c r="IH66" s="403"/>
      <c r="II66" s="403"/>
      <c r="IJ66" s="403"/>
      <c r="IK66" s="403"/>
      <c r="IL66" s="403"/>
      <c r="IM66" s="403"/>
      <c r="IN66" s="403"/>
      <c r="IO66" s="403"/>
      <c r="IP66" s="403"/>
      <c r="IQ66" s="403"/>
      <c r="IR66" s="403"/>
      <c r="IS66" s="403"/>
      <c r="IT66" s="403"/>
      <c r="IU66" s="403"/>
      <c r="IV66" s="403"/>
      <c r="IW66" s="403"/>
    </row>
    <row r="67" customFormat="false" ht="11.25" hidden="false" customHeight="false" outlineLevel="0" collapsed="false">
      <c r="A67" s="419"/>
      <c r="B67" s="403"/>
      <c r="C67" s="403"/>
      <c r="D67" s="403"/>
      <c r="E67" s="419"/>
      <c r="F67" s="403"/>
      <c r="G67" s="403"/>
      <c r="H67" s="403"/>
      <c r="I67" s="403"/>
      <c r="J67" s="403"/>
      <c r="K67" s="403"/>
      <c r="L67" s="403"/>
      <c r="M67" s="403"/>
      <c r="N67" s="403"/>
      <c r="O67" s="403"/>
      <c r="P67" s="403"/>
      <c r="Q67" s="403"/>
      <c r="R67" s="403"/>
      <c r="S67" s="403"/>
      <c r="T67" s="403"/>
      <c r="U67" s="403"/>
      <c r="V67" s="403"/>
      <c r="W67" s="403"/>
      <c r="X67" s="403"/>
      <c r="Y67" s="403"/>
      <c r="Z67" s="403"/>
      <c r="AA67" s="403"/>
      <c r="AB67" s="403"/>
      <c r="AC67" s="403"/>
      <c r="AD67" s="403"/>
      <c r="AE67" s="403"/>
      <c r="AF67" s="403"/>
      <c r="AG67" s="403"/>
      <c r="AH67" s="403"/>
      <c r="AI67" s="403"/>
      <c r="AJ67" s="403"/>
      <c r="AK67" s="403"/>
      <c r="AL67" s="403"/>
      <c r="AM67" s="403"/>
      <c r="AN67" s="403"/>
      <c r="AO67" s="403"/>
      <c r="AP67" s="403"/>
      <c r="AQ67" s="403"/>
      <c r="AR67" s="403"/>
      <c r="AS67" s="403"/>
      <c r="AT67" s="403"/>
      <c r="AU67" s="403"/>
      <c r="AV67" s="403"/>
      <c r="AW67" s="403"/>
      <c r="AX67" s="403"/>
      <c r="AY67" s="403"/>
      <c r="AZ67" s="403"/>
      <c r="BA67" s="403"/>
      <c r="BB67" s="403"/>
      <c r="BC67" s="403"/>
      <c r="BD67" s="403"/>
      <c r="BE67" s="403"/>
      <c r="BF67" s="403"/>
      <c r="BG67" s="403"/>
      <c r="BH67" s="403"/>
      <c r="BI67" s="403"/>
      <c r="BJ67" s="403"/>
      <c r="BK67" s="403"/>
      <c r="BL67" s="403"/>
      <c r="BM67" s="403"/>
      <c r="BN67" s="403"/>
      <c r="BO67" s="403"/>
      <c r="BP67" s="403"/>
      <c r="BQ67" s="403"/>
      <c r="BR67" s="403"/>
      <c r="BS67" s="403"/>
      <c r="BT67" s="403"/>
      <c r="BU67" s="403"/>
      <c r="BV67" s="403"/>
      <c r="BW67" s="403"/>
      <c r="BX67" s="403"/>
      <c r="BY67" s="403"/>
      <c r="BZ67" s="403"/>
      <c r="CA67" s="403"/>
      <c r="CB67" s="403"/>
      <c r="CC67" s="403"/>
      <c r="CD67" s="403"/>
      <c r="CE67" s="403"/>
      <c r="CF67" s="403"/>
      <c r="CG67" s="403"/>
      <c r="CH67" s="403"/>
      <c r="CI67" s="403"/>
      <c r="CJ67" s="403"/>
      <c r="CK67" s="403"/>
      <c r="CL67" s="403"/>
      <c r="CM67" s="403"/>
      <c r="CN67" s="403"/>
      <c r="CO67" s="403"/>
      <c r="CP67" s="403"/>
      <c r="CQ67" s="403"/>
      <c r="CR67" s="403"/>
      <c r="CS67" s="403"/>
      <c r="CT67" s="403"/>
      <c r="CU67" s="403"/>
      <c r="CV67" s="403"/>
      <c r="CW67" s="403"/>
      <c r="CX67" s="403"/>
      <c r="CY67" s="403"/>
      <c r="CZ67" s="403"/>
      <c r="DA67" s="403"/>
      <c r="DB67" s="403"/>
      <c r="DC67" s="403"/>
      <c r="DD67" s="403"/>
      <c r="DE67" s="403"/>
      <c r="DF67" s="403"/>
      <c r="DG67" s="403"/>
      <c r="DH67" s="403"/>
      <c r="DI67" s="403"/>
      <c r="DJ67" s="403"/>
      <c r="DK67" s="403"/>
      <c r="DL67" s="403"/>
      <c r="DM67" s="403"/>
      <c r="DN67" s="403"/>
      <c r="DO67" s="403"/>
      <c r="DP67" s="403"/>
      <c r="DQ67" s="403"/>
      <c r="DR67" s="403"/>
      <c r="DS67" s="403"/>
      <c r="DT67" s="403"/>
      <c r="DU67" s="403"/>
      <c r="DV67" s="403"/>
      <c r="DW67" s="403"/>
      <c r="DX67" s="403"/>
      <c r="DY67" s="403"/>
      <c r="DZ67" s="403"/>
      <c r="EA67" s="403"/>
      <c r="EB67" s="403"/>
      <c r="EC67" s="403"/>
      <c r="ED67" s="403"/>
      <c r="EE67" s="403"/>
      <c r="EF67" s="403"/>
      <c r="EG67" s="403"/>
      <c r="EH67" s="403"/>
      <c r="EI67" s="403"/>
      <c r="EJ67" s="403"/>
      <c r="EK67" s="403"/>
      <c r="EL67" s="403"/>
      <c r="EM67" s="403"/>
      <c r="EN67" s="403"/>
      <c r="EO67" s="403"/>
      <c r="EP67" s="403"/>
      <c r="EQ67" s="403"/>
      <c r="ER67" s="403"/>
      <c r="ES67" s="403"/>
      <c r="ET67" s="403"/>
      <c r="EU67" s="403"/>
      <c r="EV67" s="403"/>
      <c r="EW67" s="403"/>
      <c r="EX67" s="403"/>
      <c r="EY67" s="403"/>
      <c r="EZ67" s="403"/>
      <c r="FA67" s="403"/>
      <c r="FB67" s="403"/>
      <c r="FC67" s="403"/>
      <c r="FD67" s="403"/>
      <c r="FE67" s="403"/>
      <c r="FF67" s="403"/>
      <c r="FG67" s="403"/>
      <c r="FH67" s="403"/>
      <c r="FI67" s="403"/>
      <c r="FJ67" s="403"/>
      <c r="FK67" s="403"/>
      <c r="FL67" s="403"/>
      <c r="FM67" s="403"/>
      <c r="FN67" s="403"/>
      <c r="FO67" s="403"/>
      <c r="FP67" s="403"/>
      <c r="FQ67" s="403"/>
      <c r="FR67" s="403"/>
      <c r="FS67" s="403"/>
      <c r="FT67" s="403"/>
      <c r="FU67" s="403"/>
      <c r="FV67" s="403"/>
      <c r="FW67" s="403"/>
      <c r="FX67" s="403"/>
      <c r="FY67" s="403"/>
      <c r="FZ67" s="403"/>
      <c r="GA67" s="403"/>
      <c r="GB67" s="403"/>
      <c r="GC67" s="403"/>
      <c r="GD67" s="403"/>
      <c r="GE67" s="403"/>
      <c r="GF67" s="403"/>
      <c r="GG67" s="403"/>
      <c r="GH67" s="403"/>
      <c r="GI67" s="403"/>
      <c r="GJ67" s="403"/>
      <c r="GK67" s="403"/>
      <c r="GL67" s="403"/>
      <c r="GM67" s="403"/>
      <c r="GN67" s="403"/>
      <c r="GO67" s="403"/>
      <c r="GP67" s="403"/>
      <c r="GQ67" s="403"/>
      <c r="GR67" s="403"/>
      <c r="GS67" s="403"/>
      <c r="GT67" s="403"/>
      <c r="GU67" s="403"/>
      <c r="GV67" s="403"/>
      <c r="GW67" s="403"/>
      <c r="GX67" s="403"/>
      <c r="GY67" s="403"/>
      <c r="GZ67" s="403"/>
      <c r="HA67" s="403"/>
      <c r="HB67" s="403"/>
      <c r="HC67" s="403"/>
      <c r="HD67" s="403"/>
      <c r="HE67" s="403"/>
      <c r="HF67" s="403"/>
      <c r="HG67" s="403"/>
      <c r="HH67" s="403"/>
      <c r="HI67" s="403"/>
      <c r="HJ67" s="403"/>
      <c r="HK67" s="403"/>
      <c r="HL67" s="403"/>
      <c r="HM67" s="403"/>
      <c r="HN67" s="403"/>
      <c r="HO67" s="403"/>
      <c r="HP67" s="403"/>
      <c r="HQ67" s="403"/>
      <c r="HR67" s="403"/>
      <c r="HS67" s="403"/>
      <c r="HT67" s="403"/>
      <c r="HU67" s="403"/>
      <c r="HV67" s="403"/>
      <c r="HW67" s="403"/>
      <c r="HX67" s="403"/>
      <c r="HY67" s="403"/>
      <c r="HZ67" s="403"/>
      <c r="IA67" s="403"/>
      <c r="IB67" s="403"/>
      <c r="IC67" s="403"/>
      <c r="ID67" s="403"/>
      <c r="IE67" s="403"/>
      <c r="IF67" s="403"/>
      <c r="IG67" s="403"/>
      <c r="IH67" s="403"/>
      <c r="II67" s="403"/>
      <c r="IJ67" s="403"/>
      <c r="IK67" s="403"/>
      <c r="IL67" s="403"/>
      <c r="IM67" s="403"/>
      <c r="IN67" s="403"/>
      <c r="IO67" s="403"/>
      <c r="IP67" s="403"/>
      <c r="IQ67" s="403"/>
      <c r="IR67" s="403"/>
      <c r="IS67" s="403"/>
      <c r="IT67" s="403"/>
      <c r="IU67" s="403"/>
      <c r="IV67" s="403"/>
      <c r="IW67" s="403"/>
    </row>
    <row r="68" customFormat="false" ht="11.25" hidden="false" customHeight="false" outlineLevel="0" collapsed="false">
      <c r="A68" s="419"/>
      <c r="B68" s="403"/>
      <c r="C68" s="403"/>
      <c r="D68" s="403"/>
      <c r="E68" s="419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  <c r="S68" s="403"/>
      <c r="T68" s="403"/>
      <c r="U68" s="403"/>
      <c r="V68" s="403"/>
      <c r="W68" s="403"/>
      <c r="X68" s="403"/>
      <c r="Y68" s="403"/>
      <c r="Z68" s="403"/>
      <c r="AA68" s="403"/>
      <c r="AB68" s="403"/>
      <c r="AC68" s="403"/>
      <c r="AD68" s="403"/>
      <c r="AE68" s="403"/>
      <c r="AF68" s="403"/>
      <c r="AG68" s="403"/>
      <c r="AH68" s="403"/>
      <c r="AI68" s="403"/>
      <c r="AJ68" s="403"/>
      <c r="AK68" s="403"/>
      <c r="AL68" s="403"/>
      <c r="AM68" s="403"/>
      <c r="AN68" s="403"/>
      <c r="AO68" s="403"/>
      <c r="AP68" s="403"/>
      <c r="AQ68" s="403"/>
      <c r="AR68" s="403"/>
      <c r="AS68" s="403"/>
      <c r="AT68" s="403"/>
      <c r="AU68" s="403"/>
      <c r="AV68" s="403"/>
      <c r="AW68" s="403"/>
      <c r="AX68" s="403"/>
      <c r="AY68" s="403"/>
      <c r="AZ68" s="403"/>
      <c r="BA68" s="403"/>
      <c r="BB68" s="403"/>
      <c r="BC68" s="403"/>
      <c r="BD68" s="403"/>
      <c r="BE68" s="403"/>
      <c r="BF68" s="403"/>
      <c r="BG68" s="403"/>
      <c r="BH68" s="403"/>
      <c r="BI68" s="403"/>
      <c r="BJ68" s="403"/>
      <c r="BK68" s="403"/>
      <c r="BL68" s="403"/>
      <c r="BM68" s="403"/>
      <c r="BN68" s="403"/>
      <c r="BO68" s="403"/>
      <c r="BP68" s="403"/>
      <c r="BQ68" s="403"/>
      <c r="BR68" s="403"/>
      <c r="BS68" s="403"/>
      <c r="BT68" s="403"/>
      <c r="BU68" s="403"/>
      <c r="BV68" s="403"/>
      <c r="BW68" s="403"/>
      <c r="BX68" s="403"/>
      <c r="BY68" s="403"/>
      <c r="BZ68" s="403"/>
      <c r="CA68" s="403"/>
      <c r="CB68" s="403"/>
      <c r="CC68" s="403"/>
      <c r="CD68" s="403"/>
      <c r="CE68" s="403"/>
      <c r="CF68" s="403"/>
      <c r="CG68" s="403"/>
      <c r="CH68" s="403"/>
      <c r="CI68" s="403"/>
      <c r="CJ68" s="403"/>
      <c r="CK68" s="403"/>
      <c r="CL68" s="403"/>
      <c r="CM68" s="403"/>
      <c r="CN68" s="403"/>
      <c r="CO68" s="403"/>
      <c r="CP68" s="403"/>
      <c r="CQ68" s="403"/>
      <c r="CR68" s="403"/>
      <c r="CS68" s="403"/>
      <c r="CT68" s="403"/>
      <c r="CU68" s="403"/>
      <c r="CV68" s="403"/>
      <c r="CW68" s="403"/>
      <c r="CX68" s="403"/>
      <c r="CY68" s="403"/>
      <c r="CZ68" s="403"/>
      <c r="DA68" s="403"/>
      <c r="DB68" s="403"/>
      <c r="DC68" s="403"/>
      <c r="DD68" s="403"/>
      <c r="DE68" s="403"/>
      <c r="DF68" s="403"/>
      <c r="DG68" s="403"/>
      <c r="DH68" s="403"/>
      <c r="DI68" s="403"/>
      <c r="DJ68" s="403"/>
      <c r="DK68" s="403"/>
      <c r="DL68" s="403"/>
      <c r="DM68" s="403"/>
      <c r="DN68" s="403"/>
      <c r="DO68" s="403"/>
      <c r="DP68" s="403"/>
      <c r="DQ68" s="403"/>
      <c r="DR68" s="403"/>
      <c r="DS68" s="403"/>
      <c r="DT68" s="403"/>
      <c r="DU68" s="403"/>
      <c r="DV68" s="403"/>
      <c r="DW68" s="403"/>
      <c r="DX68" s="403"/>
      <c r="DY68" s="403"/>
      <c r="DZ68" s="403"/>
      <c r="EA68" s="403"/>
      <c r="EB68" s="403"/>
      <c r="EC68" s="403"/>
      <c r="ED68" s="403"/>
      <c r="EE68" s="403"/>
      <c r="EF68" s="403"/>
      <c r="EG68" s="403"/>
      <c r="EH68" s="403"/>
      <c r="EI68" s="403"/>
      <c r="EJ68" s="403"/>
      <c r="EK68" s="403"/>
      <c r="EL68" s="403"/>
      <c r="EM68" s="403"/>
      <c r="EN68" s="403"/>
      <c r="EO68" s="403"/>
      <c r="EP68" s="403"/>
      <c r="EQ68" s="403"/>
      <c r="ER68" s="403"/>
      <c r="ES68" s="403"/>
      <c r="ET68" s="403"/>
      <c r="EU68" s="403"/>
      <c r="EV68" s="403"/>
      <c r="EW68" s="403"/>
      <c r="EX68" s="403"/>
      <c r="EY68" s="403"/>
      <c r="EZ68" s="403"/>
      <c r="FA68" s="403"/>
      <c r="FB68" s="403"/>
      <c r="FC68" s="403"/>
      <c r="FD68" s="403"/>
      <c r="FE68" s="403"/>
      <c r="FF68" s="403"/>
      <c r="FG68" s="403"/>
      <c r="FH68" s="403"/>
      <c r="FI68" s="403"/>
      <c r="FJ68" s="403"/>
      <c r="FK68" s="403"/>
      <c r="FL68" s="403"/>
      <c r="FM68" s="403"/>
      <c r="FN68" s="403"/>
      <c r="FO68" s="403"/>
      <c r="FP68" s="403"/>
      <c r="FQ68" s="403"/>
      <c r="FR68" s="403"/>
      <c r="FS68" s="403"/>
      <c r="FT68" s="403"/>
      <c r="FU68" s="403"/>
      <c r="FV68" s="403"/>
      <c r="FW68" s="403"/>
      <c r="FX68" s="403"/>
      <c r="FY68" s="403"/>
      <c r="FZ68" s="403"/>
      <c r="GA68" s="403"/>
      <c r="GB68" s="403"/>
      <c r="GC68" s="403"/>
      <c r="GD68" s="403"/>
      <c r="GE68" s="403"/>
      <c r="GF68" s="403"/>
      <c r="GG68" s="403"/>
      <c r="GH68" s="403"/>
      <c r="GI68" s="403"/>
      <c r="GJ68" s="403"/>
      <c r="GK68" s="403"/>
      <c r="GL68" s="403"/>
      <c r="GM68" s="403"/>
      <c r="GN68" s="403"/>
      <c r="GO68" s="403"/>
      <c r="GP68" s="403"/>
      <c r="GQ68" s="403"/>
      <c r="GR68" s="403"/>
      <c r="GS68" s="403"/>
      <c r="GT68" s="403"/>
      <c r="GU68" s="403"/>
      <c r="GV68" s="403"/>
      <c r="GW68" s="403"/>
      <c r="GX68" s="403"/>
      <c r="GY68" s="403"/>
      <c r="GZ68" s="403"/>
      <c r="HA68" s="403"/>
      <c r="HB68" s="403"/>
      <c r="HC68" s="403"/>
      <c r="HD68" s="403"/>
      <c r="HE68" s="403"/>
      <c r="HF68" s="403"/>
      <c r="HG68" s="403"/>
      <c r="HH68" s="403"/>
      <c r="HI68" s="403"/>
      <c r="HJ68" s="403"/>
      <c r="HK68" s="403"/>
      <c r="HL68" s="403"/>
      <c r="HM68" s="403"/>
      <c r="HN68" s="403"/>
      <c r="HO68" s="403"/>
      <c r="HP68" s="403"/>
      <c r="HQ68" s="403"/>
      <c r="HR68" s="403"/>
      <c r="HS68" s="403"/>
      <c r="HT68" s="403"/>
      <c r="HU68" s="403"/>
      <c r="HV68" s="403"/>
      <c r="HW68" s="403"/>
      <c r="HX68" s="403"/>
      <c r="HY68" s="403"/>
      <c r="HZ68" s="403"/>
      <c r="IA68" s="403"/>
      <c r="IB68" s="403"/>
      <c r="IC68" s="403"/>
      <c r="ID68" s="403"/>
      <c r="IE68" s="403"/>
      <c r="IF68" s="403"/>
      <c r="IG68" s="403"/>
      <c r="IH68" s="403"/>
      <c r="II68" s="403"/>
      <c r="IJ68" s="403"/>
      <c r="IK68" s="403"/>
      <c r="IL68" s="403"/>
      <c r="IM68" s="403"/>
      <c r="IN68" s="403"/>
      <c r="IO68" s="403"/>
      <c r="IP68" s="403"/>
      <c r="IQ68" s="403"/>
      <c r="IR68" s="403"/>
      <c r="IS68" s="403"/>
      <c r="IT68" s="403"/>
      <c r="IU68" s="403"/>
      <c r="IV68" s="403"/>
      <c r="IW68" s="403"/>
    </row>
    <row r="69" customFormat="false" ht="11.25" hidden="false" customHeight="false" outlineLevel="0" collapsed="false">
      <c r="A69" s="419"/>
      <c r="B69" s="403"/>
      <c r="C69" s="403"/>
      <c r="D69" s="403"/>
      <c r="E69" s="419"/>
      <c r="F69" s="403"/>
      <c r="G69" s="403"/>
      <c r="H69" s="403"/>
      <c r="I69" s="403"/>
      <c r="J69" s="403"/>
      <c r="K69" s="403"/>
      <c r="L69" s="403"/>
      <c r="M69" s="403"/>
      <c r="N69" s="403"/>
      <c r="O69" s="403"/>
      <c r="P69" s="403"/>
      <c r="Q69" s="403"/>
      <c r="R69" s="403"/>
      <c r="S69" s="403"/>
      <c r="T69" s="403"/>
      <c r="U69" s="403"/>
      <c r="V69" s="403"/>
      <c r="W69" s="403"/>
      <c r="X69" s="403"/>
      <c r="Y69" s="403"/>
      <c r="Z69" s="403"/>
      <c r="AA69" s="403"/>
      <c r="AB69" s="403"/>
      <c r="AC69" s="403"/>
      <c r="AD69" s="403"/>
      <c r="AE69" s="403"/>
      <c r="AF69" s="403"/>
      <c r="AG69" s="403"/>
      <c r="AH69" s="403"/>
      <c r="AI69" s="403"/>
      <c r="AJ69" s="403"/>
      <c r="AK69" s="403"/>
      <c r="AL69" s="403"/>
      <c r="AM69" s="403"/>
      <c r="AN69" s="403"/>
      <c r="AO69" s="403"/>
      <c r="AP69" s="403"/>
      <c r="AQ69" s="403"/>
      <c r="AR69" s="403"/>
      <c r="AS69" s="403"/>
      <c r="AT69" s="403"/>
      <c r="AU69" s="403"/>
      <c r="AV69" s="403"/>
      <c r="AW69" s="403"/>
      <c r="AX69" s="403"/>
      <c r="AY69" s="403"/>
      <c r="AZ69" s="403"/>
      <c r="BA69" s="403"/>
      <c r="BB69" s="403"/>
      <c r="BC69" s="403"/>
      <c r="BD69" s="403"/>
      <c r="BE69" s="403"/>
      <c r="BF69" s="403"/>
      <c r="BG69" s="403"/>
      <c r="BH69" s="403"/>
      <c r="BI69" s="403"/>
      <c r="BJ69" s="403"/>
      <c r="BK69" s="403"/>
      <c r="BL69" s="403"/>
      <c r="BM69" s="403"/>
      <c r="BN69" s="403"/>
      <c r="BO69" s="403"/>
      <c r="BP69" s="403"/>
      <c r="BQ69" s="403"/>
      <c r="BR69" s="403"/>
      <c r="BS69" s="403"/>
      <c r="BT69" s="403"/>
      <c r="BU69" s="403"/>
      <c r="BV69" s="403"/>
      <c r="BW69" s="403"/>
      <c r="BX69" s="403"/>
      <c r="BY69" s="403"/>
      <c r="BZ69" s="403"/>
      <c r="CA69" s="403"/>
      <c r="CB69" s="403"/>
      <c r="CC69" s="403"/>
      <c r="CD69" s="403"/>
      <c r="CE69" s="403"/>
      <c r="CF69" s="403"/>
      <c r="CG69" s="403"/>
      <c r="CH69" s="403"/>
      <c r="CI69" s="403"/>
      <c r="CJ69" s="403"/>
      <c r="CK69" s="403"/>
      <c r="CL69" s="403"/>
      <c r="CM69" s="403"/>
      <c r="CN69" s="403"/>
      <c r="CO69" s="403"/>
      <c r="CP69" s="403"/>
      <c r="CQ69" s="403"/>
      <c r="CR69" s="403"/>
      <c r="CS69" s="403"/>
      <c r="CT69" s="403"/>
      <c r="CU69" s="403"/>
      <c r="CV69" s="403"/>
      <c r="CW69" s="403"/>
      <c r="CX69" s="403"/>
      <c r="CY69" s="403"/>
      <c r="CZ69" s="403"/>
      <c r="DA69" s="403"/>
      <c r="DB69" s="403"/>
      <c r="DC69" s="403"/>
      <c r="DD69" s="403"/>
      <c r="DE69" s="403"/>
      <c r="DF69" s="403"/>
      <c r="DG69" s="403"/>
      <c r="DH69" s="403"/>
      <c r="DI69" s="403"/>
      <c r="DJ69" s="403"/>
      <c r="DK69" s="403"/>
      <c r="DL69" s="403"/>
      <c r="DM69" s="403"/>
      <c r="DN69" s="403"/>
      <c r="DO69" s="403"/>
      <c r="DP69" s="403"/>
      <c r="DQ69" s="403"/>
      <c r="DR69" s="403"/>
      <c r="DS69" s="403"/>
      <c r="DT69" s="403"/>
      <c r="DU69" s="403"/>
      <c r="DV69" s="403"/>
      <c r="DW69" s="403"/>
      <c r="DX69" s="403"/>
      <c r="DY69" s="403"/>
      <c r="DZ69" s="403"/>
      <c r="EA69" s="403"/>
      <c r="EB69" s="403"/>
      <c r="EC69" s="403"/>
      <c r="ED69" s="403"/>
      <c r="EE69" s="403"/>
      <c r="EF69" s="403"/>
      <c r="EG69" s="403"/>
      <c r="EH69" s="403"/>
      <c r="EI69" s="403"/>
      <c r="EJ69" s="403"/>
      <c r="EK69" s="403"/>
      <c r="EL69" s="403"/>
      <c r="EM69" s="403"/>
      <c r="EN69" s="403"/>
      <c r="EO69" s="403"/>
      <c r="EP69" s="403"/>
      <c r="EQ69" s="403"/>
      <c r="ER69" s="403"/>
      <c r="ES69" s="403"/>
      <c r="ET69" s="403"/>
      <c r="EU69" s="403"/>
      <c r="EV69" s="403"/>
      <c r="EW69" s="403"/>
      <c r="EX69" s="403"/>
      <c r="EY69" s="403"/>
      <c r="EZ69" s="403"/>
      <c r="FA69" s="403"/>
      <c r="FB69" s="403"/>
      <c r="FC69" s="403"/>
      <c r="FD69" s="403"/>
      <c r="FE69" s="403"/>
      <c r="FF69" s="403"/>
      <c r="FG69" s="403"/>
      <c r="FH69" s="403"/>
      <c r="FI69" s="403"/>
      <c r="FJ69" s="403"/>
      <c r="FK69" s="403"/>
      <c r="FL69" s="403"/>
      <c r="FM69" s="403"/>
      <c r="FN69" s="403"/>
      <c r="FO69" s="403"/>
      <c r="FP69" s="403"/>
      <c r="FQ69" s="403"/>
      <c r="FR69" s="403"/>
      <c r="FS69" s="403"/>
      <c r="FT69" s="403"/>
      <c r="FU69" s="403"/>
      <c r="FV69" s="403"/>
      <c r="FW69" s="403"/>
      <c r="FX69" s="403"/>
      <c r="FY69" s="403"/>
      <c r="FZ69" s="403"/>
      <c r="GA69" s="403"/>
      <c r="GB69" s="403"/>
      <c r="GC69" s="403"/>
      <c r="GD69" s="403"/>
      <c r="GE69" s="403"/>
      <c r="GF69" s="403"/>
      <c r="GG69" s="403"/>
      <c r="GH69" s="403"/>
      <c r="GI69" s="403"/>
      <c r="GJ69" s="403"/>
      <c r="GK69" s="403"/>
      <c r="GL69" s="403"/>
      <c r="GM69" s="403"/>
      <c r="GN69" s="403"/>
      <c r="GO69" s="403"/>
      <c r="GP69" s="403"/>
      <c r="GQ69" s="403"/>
      <c r="GR69" s="403"/>
      <c r="GS69" s="403"/>
      <c r="GT69" s="403"/>
      <c r="GU69" s="403"/>
      <c r="GV69" s="403"/>
      <c r="GW69" s="403"/>
      <c r="GX69" s="403"/>
      <c r="GY69" s="403"/>
      <c r="GZ69" s="403"/>
      <c r="HA69" s="403"/>
      <c r="HB69" s="403"/>
      <c r="HC69" s="403"/>
      <c r="HD69" s="403"/>
      <c r="HE69" s="403"/>
      <c r="HF69" s="403"/>
      <c r="HG69" s="403"/>
      <c r="HH69" s="403"/>
      <c r="HI69" s="403"/>
      <c r="HJ69" s="403"/>
      <c r="HK69" s="403"/>
      <c r="HL69" s="403"/>
      <c r="HM69" s="403"/>
      <c r="HN69" s="403"/>
      <c r="HO69" s="403"/>
      <c r="HP69" s="403"/>
      <c r="HQ69" s="403"/>
      <c r="HR69" s="403"/>
      <c r="HS69" s="403"/>
      <c r="HT69" s="403"/>
      <c r="HU69" s="403"/>
      <c r="HV69" s="403"/>
      <c r="HW69" s="403"/>
      <c r="HX69" s="403"/>
      <c r="HY69" s="403"/>
      <c r="HZ69" s="403"/>
      <c r="IA69" s="403"/>
      <c r="IB69" s="403"/>
      <c r="IC69" s="403"/>
      <c r="ID69" s="403"/>
      <c r="IE69" s="403"/>
      <c r="IF69" s="403"/>
      <c r="IG69" s="403"/>
      <c r="IH69" s="403"/>
      <c r="II69" s="403"/>
      <c r="IJ69" s="403"/>
      <c r="IK69" s="403"/>
      <c r="IL69" s="403"/>
      <c r="IM69" s="403"/>
      <c r="IN69" s="403"/>
      <c r="IO69" s="403"/>
      <c r="IP69" s="403"/>
      <c r="IQ69" s="403"/>
      <c r="IR69" s="403"/>
      <c r="IS69" s="403"/>
      <c r="IT69" s="403"/>
      <c r="IU69" s="403"/>
      <c r="IV69" s="403"/>
      <c r="IW69" s="403"/>
    </row>
    <row r="70" customFormat="false" ht="11.25" hidden="false" customHeight="false" outlineLevel="0" collapsed="false">
      <c r="A70" s="419"/>
      <c r="B70" s="403"/>
      <c r="C70" s="403"/>
      <c r="D70" s="403"/>
      <c r="E70" s="419"/>
      <c r="F70" s="403"/>
      <c r="G70" s="403"/>
      <c r="H70" s="403"/>
      <c r="I70" s="403"/>
      <c r="J70" s="403"/>
      <c r="K70" s="403"/>
      <c r="L70" s="403"/>
      <c r="M70" s="403"/>
      <c r="N70" s="403"/>
      <c r="O70" s="403"/>
      <c r="P70" s="403"/>
      <c r="Q70" s="403"/>
      <c r="R70" s="403"/>
      <c r="S70" s="403"/>
      <c r="T70" s="403"/>
      <c r="U70" s="403"/>
      <c r="V70" s="403"/>
      <c r="W70" s="403"/>
      <c r="X70" s="403"/>
      <c r="Y70" s="403"/>
      <c r="Z70" s="403"/>
      <c r="AA70" s="403"/>
      <c r="AB70" s="403"/>
      <c r="AC70" s="403"/>
      <c r="AD70" s="403"/>
      <c r="AE70" s="403"/>
      <c r="AF70" s="403"/>
      <c r="AG70" s="403"/>
      <c r="AH70" s="403"/>
      <c r="AI70" s="403"/>
      <c r="AJ70" s="403"/>
      <c r="AK70" s="403"/>
      <c r="AL70" s="403"/>
      <c r="AM70" s="403"/>
      <c r="AN70" s="403"/>
      <c r="AO70" s="403"/>
      <c r="AP70" s="403"/>
      <c r="AQ70" s="403"/>
      <c r="AR70" s="403"/>
      <c r="AS70" s="403"/>
      <c r="AT70" s="403"/>
      <c r="AU70" s="403"/>
      <c r="AV70" s="403"/>
      <c r="AW70" s="403"/>
      <c r="AX70" s="403"/>
      <c r="AY70" s="403"/>
      <c r="AZ70" s="403"/>
      <c r="BA70" s="403"/>
      <c r="BB70" s="403"/>
      <c r="BC70" s="403"/>
      <c r="BD70" s="403"/>
      <c r="BE70" s="403"/>
      <c r="BF70" s="403"/>
      <c r="BG70" s="403"/>
      <c r="BH70" s="403"/>
      <c r="BI70" s="403"/>
      <c r="BJ70" s="403"/>
      <c r="BK70" s="403"/>
      <c r="BL70" s="403"/>
      <c r="BM70" s="403"/>
      <c r="BN70" s="403"/>
      <c r="BO70" s="403"/>
      <c r="BP70" s="403"/>
      <c r="BQ70" s="403"/>
      <c r="BR70" s="403"/>
      <c r="BS70" s="403"/>
      <c r="BT70" s="403"/>
      <c r="BU70" s="403"/>
      <c r="BV70" s="403"/>
      <c r="BW70" s="403"/>
      <c r="BX70" s="403"/>
      <c r="BY70" s="403"/>
      <c r="BZ70" s="403"/>
      <c r="CA70" s="403"/>
      <c r="CB70" s="403"/>
      <c r="CC70" s="403"/>
      <c r="CD70" s="403"/>
      <c r="CE70" s="403"/>
      <c r="CF70" s="403"/>
      <c r="CG70" s="403"/>
      <c r="CH70" s="403"/>
      <c r="CI70" s="403"/>
      <c r="CJ70" s="403"/>
      <c r="CK70" s="403"/>
      <c r="CL70" s="403"/>
      <c r="CM70" s="403"/>
      <c r="CN70" s="403"/>
      <c r="CO70" s="403"/>
      <c r="CP70" s="403"/>
      <c r="CQ70" s="403"/>
      <c r="CR70" s="403"/>
      <c r="CS70" s="403"/>
      <c r="CT70" s="403"/>
      <c r="CU70" s="403"/>
      <c r="CV70" s="403"/>
      <c r="CW70" s="403"/>
      <c r="CX70" s="403"/>
      <c r="CY70" s="403"/>
      <c r="CZ70" s="403"/>
      <c r="DA70" s="403"/>
      <c r="DB70" s="403"/>
      <c r="DC70" s="403"/>
      <c r="DD70" s="403"/>
      <c r="DE70" s="403"/>
      <c r="DF70" s="403"/>
      <c r="DG70" s="403"/>
      <c r="DH70" s="403"/>
      <c r="DI70" s="403"/>
      <c r="DJ70" s="403"/>
      <c r="DK70" s="403"/>
      <c r="DL70" s="403"/>
      <c r="DM70" s="403"/>
      <c r="DN70" s="403"/>
      <c r="DO70" s="403"/>
      <c r="DP70" s="403"/>
      <c r="DQ70" s="403"/>
      <c r="DR70" s="403"/>
      <c r="DS70" s="403"/>
      <c r="DT70" s="403"/>
      <c r="DU70" s="403"/>
      <c r="DV70" s="403"/>
      <c r="DW70" s="403"/>
      <c r="DX70" s="403"/>
      <c r="DY70" s="403"/>
      <c r="DZ70" s="403"/>
      <c r="EA70" s="403"/>
      <c r="EB70" s="403"/>
      <c r="EC70" s="403"/>
      <c r="ED70" s="403"/>
      <c r="EE70" s="403"/>
      <c r="EF70" s="403"/>
      <c r="EG70" s="403"/>
      <c r="EH70" s="403"/>
      <c r="EI70" s="403"/>
      <c r="EJ70" s="403"/>
      <c r="EK70" s="403"/>
      <c r="EL70" s="403"/>
      <c r="EM70" s="403"/>
      <c r="EN70" s="403"/>
      <c r="EO70" s="403"/>
      <c r="EP70" s="403"/>
      <c r="EQ70" s="403"/>
      <c r="ER70" s="403"/>
      <c r="ES70" s="403"/>
      <c r="ET70" s="403"/>
      <c r="EU70" s="403"/>
      <c r="EV70" s="403"/>
      <c r="EW70" s="403"/>
      <c r="EX70" s="403"/>
      <c r="EY70" s="403"/>
      <c r="EZ70" s="403"/>
      <c r="FA70" s="403"/>
      <c r="FB70" s="403"/>
      <c r="FC70" s="403"/>
      <c r="FD70" s="403"/>
      <c r="FE70" s="403"/>
      <c r="FF70" s="403"/>
      <c r="FG70" s="403"/>
      <c r="FH70" s="403"/>
      <c r="FI70" s="403"/>
      <c r="FJ70" s="403"/>
      <c r="FK70" s="403"/>
      <c r="FL70" s="403"/>
      <c r="FM70" s="403"/>
      <c r="FN70" s="403"/>
      <c r="FO70" s="403"/>
      <c r="FP70" s="403"/>
      <c r="FQ70" s="403"/>
      <c r="FR70" s="403"/>
      <c r="FS70" s="403"/>
      <c r="FT70" s="403"/>
      <c r="FU70" s="403"/>
      <c r="FV70" s="403"/>
      <c r="FW70" s="403"/>
      <c r="FX70" s="403"/>
      <c r="FY70" s="403"/>
      <c r="FZ70" s="403"/>
      <c r="GA70" s="403"/>
      <c r="GB70" s="403"/>
      <c r="GC70" s="403"/>
      <c r="GD70" s="403"/>
      <c r="GE70" s="403"/>
      <c r="GF70" s="403"/>
      <c r="GG70" s="403"/>
      <c r="GH70" s="403"/>
      <c r="GI70" s="403"/>
      <c r="GJ70" s="403"/>
      <c r="GK70" s="403"/>
      <c r="GL70" s="403"/>
      <c r="GM70" s="403"/>
      <c r="GN70" s="403"/>
      <c r="GO70" s="403"/>
      <c r="GP70" s="403"/>
      <c r="GQ70" s="403"/>
      <c r="GR70" s="403"/>
      <c r="GS70" s="403"/>
      <c r="GT70" s="403"/>
      <c r="GU70" s="403"/>
      <c r="GV70" s="403"/>
      <c r="GW70" s="403"/>
      <c r="GX70" s="403"/>
      <c r="GY70" s="403"/>
      <c r="GZ70" s="403"/>
      <c r="HA70" s="403"/>
      <c r="HB70" s="403"/>
      <c r="HC70" s="403"/>
      <c r="HD70" s="403"/>
      <c r="HE70" s="403"/>
      <c r="HF70" s="403"/>
      <c r="HG70" s="403"/>
      <c r="HH70" s="403"/>
      <c r="HI70" s="403"/>
      <c r="HJ70" s="403"/>
      <c r="HK70" s="403"/>
      <c r="HL70" s="403"/>
      <c r="HM70" s="403"/>
      <c r="HN70" s="403"/>
      <c r="HO70" s="403"/>
      <c r="HP70" s="403"/>
      <c r="HQ70" s="403"/>
      <c r="HR70" s="403"/>
      <c r="HS70" s="403"/>
      <c r="HT70" s="403"/>
      <c r="HU70" s="403"/>
      <c r="HV70" s="403"/>
      <c r="HW70" s="403"/>
      <c r="HX70" s="403"/>
      <c r="HY70" s="403"/>
      <c r="HZ70" s="403"/>
      <c r="IA70" s="403"/>
      <c r="IB70" s="403"/>
      <c r="IC70" s="403"/>
      <c r="ID70" s="403"/>
      <c r="IE70" s="403"/>
      <c r="IF70" s="403"/>
      <c r="IG70" s="403"/>
      <c r="IH70" s="403"/>
      <c r="II70" s="403"/>
      <c r="IJ70" s="403"/>
      <c r="IK70" s="403"/>
      <c r="IL70" s="403"/>
      <c r="IM70" s="403"/>
      <c r="IN70" s="403"/>
      <c r="IO70" s="403"/>
      <c r="IP70" s="403"/>
      <c r="IQ70" s="403"/>
      <c r="IR70" s="403"/>
      <c r="IS70" s="403"/>
      <c r="IT70" s="403"/>
      <c r="IU70" s="403"/>
      <c r="IV70" s="403"/>
      <c r="IW70" s="403"/>
    </row>
    <row r="71" customFormat="false" ht="11.25" hidden="false" customHeight="false" outlineLevel="0" collapsed="false">
      <c r="A71" s="419"/>
      <c r="B71" s="403"/>
      <c r="C71" s="403"/>
      <c r="D71" s="403"/>
      <c r="E71" s="419"/>
      <c r="F71" s="403"/>
      <c r="G71" s="403"/>
      <c r="H71" s="403"/>
      <c r="I71" s="403"/>
      <c r="J71" s="403"/>
      <c r="K71" s="403"/>
      <c r="L71" s="403"/>
      <c r="M71" s="403"/>
      <c r="N71" s="403"/>
      <c r="O71" s="403"/>
      <c r="P71" s="403"/>
      <c r="Q71" s="403"/>
      <c r="R71" s="403"/>
      <c r="S71" s="403"/>
      <c r="T71" s="403"/>
      <c r="U71" s="403"/>
      <c r="V71" s="403"/>
      <c r="W71" s="403"/>
      <c r="X71" s="403"/>
      <c r="Y71" s="403"/>
      <c r="Z71" s="403"/>
      <c r="AA71" s="403"/>
      <c r="AB71" s="403"/>
      <c r="AC71" s="403"/>
      <c r="AD71" s="403"/>
      <c r="AE71" s="403"/>
      <c r="AF71" s="403"/>
      <c r="AG71" s="403"/>
      <c r="AH71" s="403"/>
      <c r="AI71" s="403"/>
      <c r="AJ71" s="403"/>
      <c r="AK71" s="403"/>
      <c r="AL71" s="403"/>
      <c r="AM71" s="403"/>
      <c r="AN71" s="403"/>
      <c r="AO71" s="403"/>
      <c r="AP71" s="403"/>
      <c r="AQ71" s="403"/>
      <c r="AR71" s="403"/>
      <c r="AS71" s="403"/>
      <c r="AT71" s="403"/>
      <c r="AU71" s="403"/>
      <c r="AV71" s="403"/>
      <c r="AW71" s="403"/>
      <c r="AX71" s="403"/>
      <c r="AY71" s="403"/>
      <c r="AZ71" s="403"/>
      <c r="BA71" s="403"/>
      <c r="BB71" s="403"/>
      <c r="BC71" s="403"/>
      <c r="BD71" s="403"/>
      <c r="BE71" s="403"/>
      <c r="BF71" s="403"/>
      <c r="BG71" s="403"/>
      <c r="BH71" s="403"/>
      <c r="BI71" s="403"/>
      <c r="BJ71" s="403"/>
      <c r="BK71" s="403"/>
      <c r="BL71" s="403"/>
      <c r="BM71" s="403"/>
      <c r="BN71" s="403"/>
      <c r="BO71" s="403"/>
      <c r="BP71" s="403"/>
      <c r="BQ71" s="403"/>
      <c r="BR71" s="403"/>
      <c r="BS71" s="403"/>
      <c r="BT71" s="403"/>
      <c r="BU71" s="403"/>
      <c r="BV71" s="403"/>
      <c r="BW71" s="403"/>
      <c r="BX71" s="403"/>
      <c r="BY71" s="403"/>
      <c r="BZ71" s="403"/>
      <c r="CA71" s="403"/>
      <c r="CB71" s="403"/>
      <c r="CC71" s="403"/>
      <c r="CD71" s="403"/>
      <c r="CE71" s="403"/>
      <c r="CF71" s="403"/>
      <c r="CG71" s="403"/>
      <c r="CH71" s="403"/>
      <c r="CI71" s="403"/>
      <c r="CJ71" s="403"/>
      <c r="CK71" s="403"/>
      <c r="CL71" s="403"/>
      <c r="CM71" s="403"/>
      <c r="CN71" s="403"/>
      <c r="CO71" s="403"/>
      <c r="CP71" s="403"/>
      <c r="CQ71" s="403"/>
      <c r="CR71" s="403"/>
      <c r="CS71" s="403"/>
      <c r="CT71" s="403"/>
      <c r="CU71" s="403"/>
      <c r="CV71" s="403"/>
      <c r="CW71" s="403"/>
      <c r="CX71" s="403"/>
      <c r="CY71" s="403"/>
      <c r="CZ71" s="403"/>
      <c r="DA71" s="403"/>
      <c r="DB71" s="403"/>
      <c r="DC71" s="403"/>
      <c r="DD71" s="403"/>
      <c r="DE71" s="403"/>
      <c r="DF71" s="403"/>
      <c r="DG71" s="403"/>
      <c r="DH71" s="403"/>
      <c r="DI71" s="403"/>
      <c r="DJ71" s="403"/>
      <c r="DK71" s="403"/>
      <c r="DL71" s="403"/>
      <c r="DM71" s="403"/>
      <c r="DN71" s="403"/>
      <c r="DO71" s="403"/>
      <c r="DP71" s="403"/>
      <c r="DQ71" s="403"/>
      <c r="DR71" s="403"/>
      <c r="DS71" s="403"/>
      <c r="DT71" s="403"/>
      <c r="DU71" s="403"/>
      <c r="DV71" s="403"/>
      <c r="DW71" s="403"/>
      <c r="DX71" s="403"/>
      <c r="DY71" s="403"/>
      <c r="DZ71" s="403"/>
      <c r="EA71" s="403"/>
      <c r="EB71" s="403"/>
      <c r="EC71" s="403"/>
      <c r="ED71" s="403"/>
      <c r="EE71" s="403"/>
      <c r="EF71" s="403"/>
      <c r="EG71" s="403"/>
      <c r="EH71" s="403"/>
      <c r="EI71" s="403"/>
      <c r="EJ71" s="403"/>
      <c r="EK71" s="403"/>
      <c r="EL71" s="403"/>
      <c r="EM71" s="403"/>
      <c r="EN71" s="403"/>
      <c r="EO71" s="403"/>
      <c r="EP71" s="403"/>
      <c r="EQ71" s="403"/>
      <c r="ER71" s="403"/>
      <c r="ES71" s="403"/>
      <c r="ET71" s="403"/>
      <c r="EU71" s="403"/>
      <c r="EV71" s="403"/>
      <c r="EW71" s="403"/>
      <c r="EX71" s="403"/>
      <c r="EY71" s="403"/>
      <c r="EZ71" s="403"/>
      <c r="FA71" s="403"/>
      <c r="FB71" s="403"/>
      <c r="FC71" s="403"/>
      <c r="FD71" s="403"/>
      <c r="FE71" s="403"/>
      <c r="FF71" s="403"/>
      <c r="FG71" s="403"/>
      <c r="FH71" s="403"/>
      <c r="FI71" s="403"/>
      <c r="FJ71" s="403"/>
      <c r="FK71" s="403"/>
      <c r="FL71" s="403"/>
      <c r="FM71" s="403"/>
      <c r="FN71" s="403"/>
      <c r="FO71" s="403"/>
      <c r="FP71" s="403"/>
      <c r="FQ71" s="403"/>
      <c r="FR71" s="403"/>
      <c r="FS71" s="403"/>
      <c r="FT71" s="403"/>
      <c r="FU71" s="403"/>
      <c r="FV71" s="403"/>
      <c r="FW71" s="403"/>
      <c r="FX71" s="403"/>
      <c r="FY71" s="403"/>
      <c r="FZ71" s="403"/>
      <c r="GA71" s="403"/>
      <c r="GB71" s="403"/>
      <c r="GC71" s="403"/>
      <c r="GD71" s="403"/>
      <c r="GE71" s="403"/>
      <c r="GF71" s="403"/>
      <c r="GG71" s="403"/>
      <c r="GH71" s="403"/>
      <c r="GI71" s="403"/>
      <c r="GJ71" s="403"/>
      <c r="GK71" s="403"/>
      <c r="GL71" s="403"/>
      <c r="GM71" s="403"/>
      <c r="GN71" s="403"/>
      <c r="GO71" s="403"/>
      <c r="GP71" s="403"/>
      <c r="GQ71" s="403"/>
      <c r="GR71" s="403"/>
      <c r="GS71" s="403"/>
      <c r="GT71" s="403"/>
      <c r="GU71" s="403"/>
      <c r="GV71" s="403"/>
      <c r="GW71" s="403"/>
      <c r="GX71" s="403"/>
      <c r="GY71" s="403"/>
      <c r="GZ71" s="403"/>
      <c r="HA71" s="403"/>
      <c r="HB71" s="403"/>
      <c r="HC71" s="403"/>
      <c r="HD71" s="403"/>
      <c r="HE71" s="403"/>
      <c r="HF71" s="403"/>
      <c r="HG71" s="403"/>
      <c r="HH71" s="403"/>
      <c r="HI71" s="403"/>
      <c r="HJ71" s="403"/>
      <c r="HK71" s="403"/>
      <c r="HL71" s="403"/>
      <c r="HM71" s="403"/>
      <c r="HN71" s="403"/>
      <c r="HO71" s="403"/>
      <c r="HP71" s="403"/>
      <c r="HQ71" s="403"/>
      <c r="HR71" s="403"/>
      <c r="HS71" s="403"/>
      <c r="HT71" s="403"/>
      <c r="HU71" s="403"/>
      <c r="HV71" s="403"/>
      <c r="HW71" s="403"/>
      <c r="HX71" s="403"/>
      <c r="HY71" s="403"/>
      <c r="HZ71" s="403"/>
      <c r="IA71" s="403"/>
      <c r="IB71" s="403"/>
      <c r="IC71" s="403"/>
      <c r="ID71" s="403"/>
      <c r="IE71" s="403"/>
      <c r="IF71" s="403"/>
      <c r="IG71" s="403"/>
      <c r="IH71" s="403"/>
      <c r="II71" s="403"/>
      <c r="IJ71" s="403"/>
      <c r="IK71" s="403"/>
      <c r="IL71" s="403"/>
      <c r="IM71" s="403"/>
      <c r="IN71" s="403"/>
      <c r="IO71" s="403"/>
      <c r="IP71" s="403"/>
      <c r="IQ71" s="403"/>
      <c r="IR71" s="403"/>
      <c r="IS71" s="403"/>
      <c r="IT71" s="403"/>
      <c r="IU71" s="403"/>
      <c r="IV71" s="403"/>
      <c r="IW71" s="403"/>
    </row>
    <row r="72" customFormat="false" ht="11.25" hidden="false" customHeight="false" outlineLevel="0" collapsed="false">
      <c r="A72" s="419"/>
      <c r="B72" s="403"/>
      <c r="C72" s="403"/>
      <c r="D72" s="403"/>
      <c r="E72" s="419"/>
      <c r="F72" s="403"/>
      <c r="G72" s="403"/>
      <c r="H72" s="403"/>
      <c r="I72" s="403"/>
      <c r="J72" s="403"/>
      <c r="K72" s="403"/>
      <c r="L72" s="403"/>
      <c r="M72" s="403"/>
      <c r="N72" s="403"/>
      <c r="O72" s="403"/>
      <c r="P72" s="403"/>
      <c r="Q72" s="403"/>
      <c r="R72" s="403"/>
      <c r="S72" s="403"/>
      <c r="T72" s="403"/>
      <c r="U72" s="403"/>
      <c r="V72" s="403"/>
      <c r="W72" s="403"/>
      <c r="X72" s="403"/>
      <c r="Y72" s="403"/>
      <c r="Z72" s="403"/>
      <c r="AA72" s="403"/>
      <c r="AB72" s="403"/>
      <c r="AC72" s="403"/>
      <c r="AD72" s="403"/>
      <c r="AE72" s="403"/>
      <c r="AF72" s="403"/>
      <c r="AG72" s="403"/>
      <c r="AH72" s="403"/>
      <c r="AI72" s="403"/>
      <c r="AJ72" s="403"/>
      <c r="AK72" s="403"/>
      <c r="AL72" s="403"/>
      <c r="AM72" s="403"/>
      <c r="AN72" s="403"/>
      <c r="AO72" s="403"/>
      <c r="AP72" s="403"/>
      <c r="AQ72" s="403"/>
      <c r="AR72" s="403"/>
      <c r="AS72" s="403"/>
      <c r="AT72" s="403"/>
      <c r="AU72" s="403"/>
      <c r="AV72" s="403"/>
      <c r="AW72" s="403"/>
      <c r="AX72" s="403"/>
      <c r="AY72" s="403"/>
      <c r="AZ72" s="403"/>
      <c r="BA72" s="403"/>
      <c r="BB72" s="403"/>
      <c r="BC72" s="403"/>
      <c r="BD72" s="403"/>
      <c r="BE72" s="403"/>
      <c r="BF72" s="403"/>
      <c r="BG72" s="403"/>
      <c r="BH72" s="403"/>
      <c r="BI72" s="403"/>
      <c r="BJ72" s="403"/>
      <c r="BK72" s="403"/>
      <c r="BL72" s="403"/>
      <c r="BM72" s="403"/>
      <c r="BN72" s="403"/>
      <c r="BO72" s="403"/>
      <c r="BP72" s="403"/>
      <c r="BQ72" s="403"/>
      <c r="BR72" s="403"/>
      <c r="BS72" s="403"/>
      <c r="BT72" s="403"/>
      <c r="BU72" s="403"/>
      <c r="BV72" s="403"/>
      <c r="BW72" s="403"/>
      <c r="BX72" s="403"/>
      <c r="BY72" s="403"/>
      <c r="BZ72" s="403"/>
      <c r="CA72" s="403"/>
      <c r="CB72" s="403"/>
      <c r="CC72" s="403"/>
      <c r="CD72" s="403"/>
      <c r="CE72" s="403"/>
      <c r="CF72" s="403"/>
      <c r="CG72" s="403"/>
      <c r="CH72" s="403"/>
      <c r="CI72" s="403"/>
      <c r="CJ72" s="403"/>
      <c r="CK72" s="403"/>
      <c r="CL72" s="403"/>
      <c r="CM72" s="403"/>
      <c r="CN72" s="403"/>
      <c r="CO72" s="403"/>
      <c r="CP72" s="403"/>
      <c r="CQ72" s="403"/>
      <c r="CR72" s="403"/>
      <c r="CS72" s="403"/>
      <c r="CT72" s="403"/>
      <c r="CU72" s="403"/>
      <c r="CV72" s="403"/>
      <c r="CW72" s="403"/>
      <c r="CX72" s="403"/>
      <c r="CY72" s="403"/>
      <c r="CZ72" s="403"/>
      <c r="DA72" s="403"/>
      <c r="DB72" s="403"/>
      <c r="DC72" s="403"/>
      <c r="DD72" s="403"/>
      <c r="DE72" s="403"/>
      <c r="DF72" s="403"/>
      <c r="DG72" s="403"/>
      <c r="DH72" s="403"/>
      <c r="DI72" s="403"/>
      <c r="DJ72" s="403"/>
      <c r="DK72" s="403"/>
      <c r="DL72" s="403"/>
      <c r="DM72" s="403"/>
      <c r="DN72" s="403"/>
      <c r="DO72" s="403"/>
      <c r="DP72" s="403"/>
      <c r="DQ72" s="403"/>
      <c r="DR72" s="403"/>
      <c r="DS72" s="403"/>
      <c r="DT72" s="403"/>
      <c r="DU72" s="403"/>
      <c r="DV72" s="403"/>
      <c r="DW72" s="403"/>
      <c r="DX72" s="403"/>
      <c r="DY72" s="403"/>
      <c r="DZ72" s="403"/>
      <c r="EA72" s="403"/>
      <c r="EB72" s="403"/>
      <c r="EC72" s="403"/>
      <c r="ED72" s="403"/>
      <c r="EE72" s="403"/>
      <c r="EF72" s="403"/>
      <c r="EG72" s="403"/>
      <c r="EH72" s="403"/>
      <c r="EI72" s="403"/>
      <c r="EJ72" s="403"/>
      <c r="EK72" s="403"/>
      <c r="EL72" s="403"/>
      <c r="EM72" s="403"/>
      <c r="EN72" s="403"/>
      <c r="EO72" s="403"/>
      <c r="EP72" s="403"/>
      <c r="EQ72" s="403"/>
      <c r="ER72" s="403"/>
      <c r="ES72" s="403"/>
      <c r="ET72" s="403"/>
      <c r="EU72" s="403"/>
      <c r="EV72" s="403"/>
      <c r="EW72" s="403"/>
      <c r="EX72" s="403"/>
      <c r="EY72" s="403"/>
      <c r="EZ72" s="403"/>
      <c r="FA72" s="403"/>
      <c r="FB72" s="403"/>
      <c r="FC72" s="403"/>
      <c r="FD72" s="403"/>
      <c r="FE72" s="403"/>
      <c r="FF72" s="403"/>
      <c r="FG72" s="403"/>
      <c r="FH72" s="403"/>
      <c r="FI72" s="403"/>
      <c r="FJ72" s="403"/>
      <c r="FK72" s="403"/>
      <c r="FL72" s="403"/>
      <c r="FM72" s="403"/>
      <c r="FN72" s="403"/>
      <c r="FO72" s="403"/>
      <c r="FP72" s="403"/>
      <c r="FQ72" s="403"/>
      <c r="FR72" s="403"/>
      <c r="FS72" s="403"/>
      <c r="FT72" s="403"/>
      <c r="FU72" s="403"/>
      <c r="FV72" s="403"/>
      <c r="FW72" s="403"/>
      <c r="FX72" s="403"/>
      <c r="FY72" s="403"/>
      <c r="FZ72" s="403"/>
      <c r="GA72" s="403"/>
      <c r="GB72" s="403"/>
      <c r="GC72" s="403"/>
      <c r="GD72" s="403"/>
      <c r="GE72" s="403"/>
      <c r="GF72" s="403"/>
      <c r="GG72" s="403"/>
      <c r="GH72" s="403"/>
      <c r="GI72" s="403"/>
      <c r="GJ72" s="403"/>
      <c r="GK72" s="403"/>
      <c r="GL72" s="403"/>
      <c r="GM72" s="403"/>
      <c r="GN72" s="403"/>
      <c r="GO72" s="403"/>
      <c r="GP72" s="403"/>
      <c r="GQ72" s="403"/>
      <c r="GR72" s="403"/>
      <c r="GS72" s="403"/>
      <c r="GT72" s="403"/>
      <c r="GU72" s="403"/>
      <c r="GV72" s="403"/>
      <c r="GW72" s="403"/>
      <c r="GX72" s="403"/>
      <c r="GY72" s="403"/>
      <c r="GZ72" s="403"/>
      <c r="HA72" s="403"/>
      <c r="HB72" s="403"/>
      <c r="HC72" s="403"/>
      <c r="HD72" s="403"/>
      <c r="HE72" s="403"/>
      <c r="HF72" s="403"/>
      <c r="HG72" s="403"/>
      <c r="HH72" s="403"/>
      <c r="HI72" s="403"/>
      <c r="HJ72" s="403"/>
      <c r="HK72" s="403"/>
      <c r="HL72" s="403"/>
      <c r="HM72" s="403"/>
      <c r="HN72" s="403"/>
      <c r="HO72" s="403"/>
      <c r="HP72" s="403"/>
      <c r="HQ72" s="403"/>
      <c r="HR72" s="403"/>
      <c r="HS72" s="403"/>
      <c r="HT72" s="403"/>
      <c r="HU72" s="403"/>
      <c r="HV72" s="403"/>
      <c r="HW72" s="403"/>
      <c r="HX72" s="403"/>
      <c r="HY72" s="403"/>
      <c r="HZ72" s="403"/>
      <c r="IA72" s="403"/>
      <c r="IB72" s="403"/>
      <c r="IC72" s="403"/>
      <c r="ID72" s="403"/>
      <c r="IE72" s="403"/>
      <c r="IF72" s="403"/>
      <c r="IG72" s="403"/>
      <c r="IH72" s="403"/>
      <c r="II72" s="403"/>
      <c r="IJ72" s="403"/>
      <c r="IK72" s="403"/>
      <c r="IL72" s="403"/>
      <c r="IM72" s="403"/>
      <c r="IN72" s="403"/>
      <c r="IO72" s="403"/>
      <c r="IP72" s="403"/>
      <c r="IQ72" s="403"/>
      <c r="IR72" s="403"/>
      <c r="IS72" s="403"/>
      <c r="IT72" s="403"/>
      <c r="IU72" s="403"/>
      <c r="IV72" s="403"/>
      <c r="IW72" s="403"/>
    </row>
    <row r="73" customFormat="false" ht="11.25" hidden="false" customHeight="false" outlineLevel="0" collapsed="false">
      <c r="A73" s="419"/>
      <c r="B73" s="403"/>
      <c r="C73" s="403"/>
      <c r="D73" s="403"/>
      <c r="E73" s="419"/>
      <c r="F73" s="403"/>
      <c r="G73" s="403"/>
      <c r="H73" s="403"/>
      <c r="I73" s="403"/>
      <c r="J73" s="403"/>
      <c r="K73" s="403"/>
      <c r="L73" s="403"/>
      <c r="M73" s="403"/>
      <c r="N73" s="403"/>
      <c r="O73" s="403"/>
      <c r="P73" s="403"/>
      <c r="Q73" s="403"/>
      <c r="R73" s="403"/>
      <c r="S73" s="403"/>
      <c r="T73" s="403"/>
      <c r="U73" s="403"/>
      <c r="V73" s="403"/>
      <c r="W73" s="403"/>
      <c r="X73" s="403"/>
      <c r="Y73" s="403"/>
      <c r="Z73" s="403"/>
      <c r="AA73" s="403"/>
      <c r="AB73" s="403"/>
      <c r="AC73" s="403"/>
      <c r="AD73" s="403"/>
      <c r="AE73" s="403"/>
      <c r="AF73" s="403"/>
      <c r="AG73" s="403"/>
      <c r="AH73" s="403"/>
      <c r="AI73" s="403"/>
      <c r="AJ73" s="403"/>
      <c r="AK73" s="403"/>
      <c r="AL73" s="403"/>
      <c r="AM73" s="403"/>
      <c r="AN73" s="403"/>
      <c r="AO73" s="403"/>
      <c r="AP73" s="403"/>
      <c r="AQ73" s="403"/>
      <c r="AR73" s="403"/>
      <c r="AS73" s="403"/>
      <c r="AT73" s="403"/>
      <c r="AU73" s="403"/>
      <c r="AV73" s="403"/>
      <c r="AW73" s="403"/>
      <c r="AX73" s="403"/>
      <c r="AY73" s="403"/>
      <c r="AZ73" s="403"/>
      <c r="BA73" s="403"/>
      <c r="BB73" s="403"/>
      <c r="BC73" s="403"/>
      <c r="BD73" s="403"/>
      <c r="BE73" s="403"/>
      <c r="BF73" s="403"/>
      <c r="BG73" s="403"/>
      <c r="BH73" s="403"/>
      <c r="BI73" s="403"/>
      <c r="BJ73" s="403"/>
      <c r="BK73" s="403"/>
      <c r="BL73" s="403"/>
      <c r="BM73" s="403"/>
      <c r="BN73" s="403"/>
      <c r="BO73" s="403"/>
      <c r="BP73" s="403"/>
      <c r="BQ73" s="403"/>
      <c r="BR73" s="403"/>
      <c r="BS73" s="403"/>
      <c r="BT73" s="403"/>
      <c r="BU73" s="403"/>
      <c r="BV73" s="403"/>
      <c r="BW73" s="403"/>
      <c r="BX73" s="403"/>
      <c r="BY73" s="403"/>
      <c r="BZ73" s="403"/>
      <c r="CA73" s="403"/>
      <c r="CB73" s="403"/>
      <c r="CC73" s="403"/>
      <c r="CD73" s="403"/>
      <c r="CE73" s="403"/>
      <c r="CF73" s="403"/>
      <c r="CG73" s="403"/>
      <c r="CH73" s="403"/>
      <c r="CI73" s="403"/>
      <c r="CJ73" s="403"/>
      <c r="CK73" s="403"/>
      <c r="CL73" s="403"/>
      <c r="CM73" s="403"/>
      <c r="CN73" s="403"/>
      <c r="CO73" s="403"/>
      <c r="CP73" s="403"/>
      <c r="CQ73" s="403"/>
      <c r="CR73" s="403"/>
      <c r="CS73" s="403"/>
      <c r="CT73" s="403"/>
      <c r="CU73" s="403"/>
      <c r="CV73" s="403"/>
      <c r="CW73" s="403"/>
      <c r="CX73" s="403"/>
      <c r="CY73" s="403"/>
      <c r="CZ73" s="403"/>
      <c r="DA73" s="403"/>
      <c r="DB73" s="403"/>
      <c r="DC73" s="403"/>
      <c r="DD73" s="403"/>
      <c r="DE73" s="403"/>
      <c r="DF73" s="403"/>
      <c r="DG73" s="403"/>
      <c r="DH73" s="403"/>
      <c r="DI73" s="403"/>
      <c r="DJ73" s="403"/>
      <c r="DK73" s="403"/>
      <c r="DL73" s="403"/>
      <c r="DM73" s="403"/>
      <c r="DN73" s="403"/>
      <c r="DO73" s="403"/>
      <c r="DP73" s="403"/>
      <c r="DQ73" s="403"/>
      <c r="DR73" s="403"/>
      <c r="DS73" s="403"/>
      <c r="DT73" s="403"/>
      <c r="DU73" s="403"/>
      <c r="DV73" s="403"/>
      <c r="DW73" s="403"/>
      <c r="DX73" s="403"/>
      <c r="DY73" s="403"/>
      <c r="DZ73" s="403"/>
      <c r="EA73" s="403"/>
      <c r="EB73" s="403"/>
      <c r="EC73" s="403"/>
      <c r="ED73" s="403"/>
      <c r="EE73" s="403"/>
      <c r="EF73" s="403"/>
      <c r="EG73" s="403"/>
      <c r="EH73" s="403"/>
      <c r="EI73" s="403"/>
      <c r="EJ73" s="403"/>
      <c r="EK73" s="403"/>
      <c r="EL73" s="403"/>
      <c r="EM73" s="403"/>
      <c r="EN73" s="403"/>
      <c r="EO73" s="403"/>
      <c r="EP73" s="403"/>
      <c r="EQ73" s="403"/>
      <c r="ER73" s="403"/>
      <c r="ES73" s="403"/>
      <c r="ET73" s="403"/>
      <c r="EU73" s="403"/>
      <c r="EV73" s="403"/>
      <c r="EW73" s="403"/>
      <c r="EX73" s="403"/>
      <c r="EY73" s="403"/>
      <c r="EZ73" s="403"/>
      <c r="FA73" s="403"/>
      <c r="FB73" s="403"/>
      <c r="FC73" s="403"/>
      <c r="FD73" s="403"/>
      <c r="FE73" s="403"/>
      <c r="FF73" s="403"/>
      <c r="FG73" s="403"/>
      <c r="FH73" s="403"/>
      <c r="FI73" s="403"/>
      <c r="FJ73" s="403"/>
      <c r="FK73" s="403"/>
      <c r="FL73" s="403"/>
      <c r="FM73" s="403"/>
      <c r="FN73" s="403"/>
      <c r="FO73" s="403"/>
      <c r="FP73" s="403"/>
      <c r="FQ73" s="403"/>
      <c r="FR73" s="403"/>
      <c r="FS73" s="403"/>
      <c r="FT73" s="403"/>
      <c r="FU73" s="403"/>
      <c r="FV73" s="403"/>
      <c r="FW73" s="403"/>
      <c r="FX73" s="403"/>
      <c r="FY73" s="403"/>
      <c r="FZ73" s="403"/>
      <c r="GA73" s="403"/>
      <c r="GB73" s="403"/>
      <c r="GC73" s="403"/>
      <c r="GD73" s="403"/>
      <c r="GE73" s="403"/>
      <c r="GF73" s="403"/>
      <c r="GG73" s="403"/>
      <c r="GH73" s="403"/>
      <c r="GI73" s="403"/>
      <c r="GJ73" s="403"/>
      <c r="GK73" s="403"/>
      <c r="GL73" s="403"/>
      <c r="GM73" s="403"/>
      <c r="GN73" s="403"/>
      <c r="GO73" s="403"/>
      <c r="GP73" s="403"/>
      <c r="GQ73" s="403"/>
      <c r="GR73" s="403"/>
      <c r="GS73" s="403"/>
      <c r="GT73" s="403"/>
      <c r="GU73" s="403"/>
      <c r="GV73" s="403"/>
      <c r="GW73" s="403"/>
      <c r="GX73" s="403"/>
      <c r="GY73" s="403"/>
      <c r="GZ73" s="403"/>
      <c r="HA73" s="403"/>
      <c r="HB73" s="403"/>
      <c r="HC73" s="403"/>
      <c r="HD73" s="403"/>
      <c r="HE73" s="403"/>
      <c r="HF73" s="403"/>
      <c r="HG73" s="403"/>
      <c r="HH73" s="403"/>
      <c r="HI73" s="403"/>
      <c r="HJ73" s="403"/>
      <c r="HK73" s="403"/>
      <c r="HL73" s="403"/>
      <c r="HM73" s="403"/>
      <c r="HN73" s="403"/>
      <c r="HO73" s="403"/>
      <c r="HP73" s="403"/>
      <c r="HQ73" s="403"/>
      <c r="HR73" s="403"/>
      <c r="HS73" s="403"/>
      <c r="HT73" s="403"/>
      <c r="HU73" s="403"/>
      <c r="HV73" s="403"/>
      <c r="HW73" s="403"/>
      <c r="HX73" s="403"/>
      <c r="HY73" s="403"/>
      <c r="HZ73" s="403"/>
      <c r="IA73" s="403"/>
      <c r="IB73" s="403"/>
      <c r="IC73" s="403"/>
      <c r="ID73" s="403"/>
      <c r="IE73" s="403"/>
      <c r="IF73" s="403"/>
      <c r="IG73" s="403"/>
      <c r="IH73" s="403"/>
      <c r="II73" s="403"/>
      <c r="IJ73" s="403"/>
      <c r="IK73" s="403"/>
      <c r="IL73" s="403"/>
      <c r="IM73" s="403"/>
      <c r="IN73" s="403"/>
      <c r="IO73" s="403"/>
      <c r="IP73" s="403"/>
      <c r="IQ73" s="403"/>
      <c r="IR73" s="403"/>
      <c r="IS73" s="403"/>
      <c r="IT73" s="403"/>
      <c r="IU73" s="403"/>
      <c r="IV73" s="403"/>
      <c r="IW73" s="403"/>
    </row>
    <row r="74" customFormat="false" ht="11.25" hidden="false" customHeight="false" outlineLevel="0" collapsed="false">
      <c r="A74" s="419"/>
      <c r="B74" s="403"/>
      <c r="C74" s="403"/>
      <c r="D74" s="403"/>
      <c r="E74" s="419"/>
      <c r="F74" s="403"/>
      <c r="G74" s="403"/>
      <c r="H74" s="403"/>
      <c r="I74" s="403"/>
      <c r="J74" s="403"/>
      <c r="K74" s="403"/>
      <c r="L74" s="403"/>
      <c r="M74" s="403"/>
      <c r="N74" s="403"/>
      <c r="O74" s="403"/>
      <c r="P74" s="403"/>
      <c r="Q74" s="403"/>
      <c r="R74" s="403"/>
      <c r="S74" s="403"/>
      <c r="T74" s="403"/>
      <c r="U74" s="403"/>
      <c r="V74" s="403"/>
      <c r="W74" s="403"/>
      <c r="X74" s="403"/>
      <c r="Y74" s="403"/>
      <c r="Z74" s="403"/>
      <c r="AA74" s="403"/>
      <c r="AB74" s="403"/>
      <c r="AC74" s="403"/>
      <c r="AD74" s="403"/>
      <c r="AE74" s="403"/>
      <c r="AF74" s="403"/>
      <c r="AG74" s="403"/>
      <c r="AH74" s="403"/>
      <c r="AI74" s="403"/>
      <c r="AJ74" s="403"/>
      <c r="AK74" s="403"/>
      <c r="AL74" s="403"/>
      <c r="AM74" s="403"/>
      <c r="AN74" s="403"/>
      <c r="AO74" s="403"/>
      <c r="AP74" s="403"/>
      <c r="AQ74" s="403"/>
      <c r="AR74" s="403"/>
      <c r="AS74" s="403"/>
      <c r="AT74" s="403"/>
      <c r="AU74" s="403"/>
      <c r="AV74" s="403"/>
      <c r="AW74" s="403"/>
      <c r="AX74" s="403"/>
      <c r="AY74" s="403"/>
      <c r="AZ74" s="403"/>
      <c r="BA74" s="403"/>
      <c r="BB74" s="403"/>
      <c r="BC74" s="403"/>
      <c r="BD74" s="403"/>
      <c r="BE74" s="403"/>
      <c r="BF74" s="403"/>
      <c r="BG74" s="403"/>
      <c r="BH74" s="403"/>
      <c r="BI74" s="403"/>
      <c r="BJ74" s="403"/>
      <c r="BK74" s="403"/>
      <c r="BL74" s="403"/>
      <c r="BM74" s="403"/>
      <c r="BN74" s="403"/>
      <c r="BO74" s="403"/>
      <c r="BP74" s="403"/>
      <c r="BQ74" s="403"/>
      <c r="BR74" s="403"/>
      <c r="BS74" s="403"/>
      <c r="BT74" s="403"/>
      <c r="BU74" s="403"/>
      <c r="BV74" s="403"/>
      <c r="BW74" s="403"/>
      <c r="BX74" s="403"/>
      <c r="BY74" s="403"/>
      <c r="BZ74" s="403"/>
      <c r="CA74" s="403"/>
      <c r="CB74" s="403"/>
      <c r="CC74" s="403"/>
      <c r="CD74" s="403"/>
      <c r="CE74" s="403"/>
      <c r="CF74" s="403"/>
      <c r="CG74" s="403"/>
      <c r="CH74" s="403"/>
      <c r="CI74" s="403"/>
      <c r="CJ74" s="403"/>
      <c r="CK74" s="403"/>
      <c r="CL74" s="403"/>
      <c r="CM74" s="403"/>
      <c r="CN74" s="403"/>
      <c r="CO74" s="403"/>
      <c r="CP74" s="403"/>
      <c r="CQ74" s="403"/>
      <c r="CR74" s="403"/>
      <c r="CS74" s="403"/>
      <c r="CT74" s="403"/>
      <c r="CU74" s="403"/>
      <c r="CV74" s="403"/>
      <c r="CW74" s="403"/>
      <c r="CX74" s="403"/>
      <c r="CY74" s="403"/>
      <c r="CZ74" s="403"/>
      <c r="DA74" s="403"/>
      <c r="DB74" s="403"/>
      <c r="DC74" s="403"/>
      <c r="DD74" s="403"/>
      <c r="DE74" s="403"/>
      <c r="DF74" s="403"/>
      <c r="DG74" s="403"/>
      <c r="DH74" s="403"/>
      <c r="DI74" s="403"/>
      <c r="DJ74" s="403"/>
      <c r="DK74" s="403"/>
      <c r="DL74" s="403"/>
      <c r="DM74" s="403"/>
      <c r="DN74" s="403"/>
      <c r="DO74" s="403"/>
      <c r="DP74" s="403"/>
      <c r="DQ74" s="403"/>
      <c r="DR74" s="403"/>
      <c r="DS74" s="403"/>
      <c r="DT74" s="403"/>
      <c r="DU74" s="403"/>
      <c r="DV74" s="403"/>
      <c r="DW74" s="403"/>
      <c r="DX74" s="403"/>
      <c r="DY74" s="403"/>
      <c r="DZ74" s="403"/>
      <c r="EA74" s="403"/>
      <c r="EB74" s="403"/>
      <c r="EC74" s="403"/>
      <c r="ED74" s="403"/>
      <c r="EE74" s="403"/>
      <c r="EF74" s="403"/>
      <c r="EG74" s="403"/>
      <c r="EH74" s="403"/>
      <c r="EI74" s="403"/>
      <c r="EJ74" s="403"/>
      <c r="EK74" s="403"/>
      <c r="EL74" s="403"/>
      <c r="EM74" s="403"/>
      <c r="EN74" s="403"/>
      <c r="EO74" s="403"/>
      <c r="EP74" s="403"/>
      <c r="EQ74" s="403"/>
      <c r="ER74" s="403"/>
      <c r="ES74" s="403"/>
      <c r="ET74" s="403"/>
      <c r="EU74" s="403"/>
      <c r="EV74" s="403"/>
      <c r="EW74" s="403"/>
      <c r="EX74" s="403"/>
      <c r="EY74" s="403"/>
      <c r="EZ74" s="403"/>
      <c r="FA74" s="403"/>
      <c r="FB74" s="403"/>
      <c r="FC74" s="403"/>
      <c r="FD74" s="403"/>
      <c r="FE74" s="403"/>
      <c r="FF74" s="403"/>
      <c r="FG74" s="403"/>
      <c r="FH74" s="403"/>
      <c r="FI74" s="403"/>
      <c r="FJ74" s="403"/>
      <c r="FK74" s="403"/>
      <c r="FL74" s="403"/>
      <c r="FM74" s="403"/>
      <c r="FN74" s="403"/>
      <c r="FO74" s="403"/>
      <c r="FP74" s="403"/>
      <c r="FQ74" s="403"/>
      <c r="FR74" s="403"/>
      <c r="FS74" s="403"/>
      <c r="FT74" s="403"/>
      <c r="FU74" s="403"/>
      <c r="FV74" s="403"/>
      <c r="FW74" s="403"/>
      <c r="FX74" s="403"/>
      <c r="FY74" s="403"/>
      <c r="FZ74" s="403"/>
      <c r="GA74" s="403"/>
      <c r="GB74" s="403"/>
      <c r="GC74" s="403"/>
      <c r="GD74" s="403"/>
      <c r="GE74" s="403"/>
      <c r="GF74" s="403"/>
      <c r="GG74" s="403"/>
      <c r="GH74" s="403"/>
      <c r="GI74" s="403"/>
      <c r="GJ74" s="403"/>
      <c r="GK74" s="403"/>
      <c r="GL74" s="403"/>
      <c r="GM74" s="403"/>
      <c r="GN74" s="403"/>
      <c r="GO74" s="403"/>
      <c r="GP74" s="403"/>
      <c r="GQ74" s="403"/>
      <c r="GR74" s="403"/>
      <c r="GS74" s="403"/>
      <c r="GT74" s="403"/>
      <c r="GU74" s="403"/>
      <c r="GV74" s="403"/>
      <c r="GW74" s="403"/>
      <c r="GX74" s="403"/>
      <c r="GY74" s="403"/>
      <c r="GZ74" s="403"/>
      <c r="HA74" s="403"/>
      <c r="HB74" s="403"/>
      <c r="HC74" s="403"/>
      <c r="HD74" s="403"/>
      <c r="HE74" s="403"/>
      <c r="HF74" s="403"/>
      <c r="HG74" s="403"/>
      <c r="HH74" s="403"/>
      <c r="HI74" s="403"/>
      <c r="HJ74" s="403"/>
      <c r="HK74" s="403"/>
      <c r="HL74" s="403"/>
      <c r="HM74" s="403"/>
      <c r="HN74" s="403"/>
      <c r="HO74" s="403"/>
      <c r="HP74" s="403"/>
      <c r="HQ74" s="403"/>
      <c r="HR74" s="403"/>
      <c r="HS74" s="403"/>
      <c r="HT74" s="403"/>
      <c r="HU74" s="403"/>
      <c r="HV74" s="403"/>
      <c r="HW74" s="403"/>
      <c r="HX74" s="403"/>
      <c r="HY74" s="403"/>
      <c r="HZ74" s="403"/>
      <c r="IA74" s="403"/>
      <c r="IB74" s="403"/>
      <c r="IC74" s="403"/>
      <c r="ID74" s="403"/>
      <c r="IE74" s="403"/>
      <c r="IF74" s="403"/>
      <c r="IG74" s="403"/>
      <c r="IH74" s="403"/>
      <c r="II74" s="403"/>
      <c r="IJ74" s="403"/>
      <c r="IK74" s="403"/>
      <c r="IL74" s="403"/>
      <c r="IM74" s="403"/>
      <c r="IN74" s="403"/>
      <c r="IO74" s="403"/>
      <c r="IP74" s="403"/>
      <c r="IQ74" s="403"/>
      <c r="IR74" s="403"/>
      <c r="IS74" s="403"/>
      <c r="IT74" s="403"/>
      <c r="IU74" s="403"/>
      <c r="IV74" s="403"/>
      <c r="IW74" s="403"/>
    </row>
    <row r="75" customFormat="false" ht="11.25" hidden="false" customHeight="false" outlineLevel="0" collapsed="false">
      <c r="A75" s="419"/>
      <c r="B75" s="403"/>
      <c r="C75" s="403"/>
      <c r="D75" s="403"/>
      <c r="E75" s="419"/>
      <c r="F75" s="403"/>
      <c r="G75" s="403"/>
      <c r="H75" s="403"/>
      <c r="I75" s="403"/>
      <c r="J75" s="403"/>
      <c r="K75" s="403"/>
      <c r="L75" s="403"/>
      <c r="M75" s="403"/>
      <c r="N75" s="403"/>
      <c r="O75" s="403"/>
      <c r="P75" s="403"/>
      <c r="Q75" s="403"/>
      <c r="R75" s="403"/>
      <c r="S75" s="403"/>
      <c r="T75" s="403"/>
      <c r="U75" s="403"/>
      <c r="V75" s="403"/>
      <c r="W75" s="403"/>
      <c r="X75" s="403"/>
      <c r="Y75" s="403"/>
      <c r="Z75" s="403"/>
      <c r="AA75" s="403"/>
      <c r="AB75" s="403"/>
      <c r="AC75" s="403"/>
      <c r="AD75" s="403"/>
      <c r="AE75" s="403"/>
      <c r="AF75" s="403"/>
      <c r="AG75" s="403"/>
      <c r="AH75" s="403"/>
      <c r="AI75" s="403"/>
      <c r="AJ75" s="403"/>
      <c r="AK75" s="403"/>
      <c r="AL75" s="403"/>
      <c r="AM75" s="403"/>
      <c r="AN75" s="403"/>
      <c r="AO75" s="403"/>
      <c r="AP75" s="403"/>
      <c r="AQ75" s="403"/>
      <c r="AR75" s="403"/>
      <c r="AS75" s="403"/>
      <c r="AT75" s="403"/>
      <c r="AU75" s="403"/>
      <c r="AV75" s="403"/>
      <c r="AW75" s="403"/>
      <c r="AX75" s="403"/>
      <c r="AY75" s="403"/>
      <c r="AZ75" s="403"/>
      <c r="BA75" s="403"/>
      <c r="BB75" s="403"/>
      <c r="BC75" s="403"/>
      <c r="BD75" s="403"/>
      <c r="BE75" s="403"/>
      <c r="BF75" s="403"/>
      <c r="BG75" s="403"/>
      <c r="BH75" s="403"/>
      <c r="BI75" s="403"/>
      <c r="BJ75" s="403"/>
      <c r="BK75" s="403"/>
      <c r="BL75" s="403"/>
      <c r="BM75" s="403"/>
      <c r="BN75" s="403"/>
      <c r="BO75" s="403"/>
      <c r="BP75" s="403"/>
      <c r="BQ75" s="403"/>
      <c r="BR75" s="403"/>
      <c r="BS75" s="403"/>
      <c r="BT75" s="403"/>
      <c r="BU75" s="403"/>
      <c r="BV75" s="403"/>
      <c r="BW75" s="403"/>
      <c r="BX75" s="403"/>
      <c r="BY75" s="403"/>
      <c r="BZ75" s="403"/>
      <c r="CA75" s="403"/>
      <c r="CB75" s="403"/>
      <c r="CC75" s="403"/>
      <c r="CD75" s="403"/>
      <c r="CE75" s="403"/>
      <c r="CF75" s="403"/>
      <c r="CG75" s="403"/>
      <c r="CH75" s="403"/>
      <c r="CI75" s="403"/>
      <c r="CJ75" s="403"/>
      <c r="CK75" s="403"/>
      <c r="CL75" s="403"/>
      <c r="CM75" s="403"/>
      <c r="CN75" s="403"/>
      <c r="CO75" s="403"/>
      <c r="CP75" s="403"/>
      <c r="CQ75" s="403"/>
      <c r="CR75" s="403"/>
      <c r="CS75" s="403"/>
      <c r="CT75" s="403"/>
      <c r="CU75" s="403"/>
      <c r="CV75" s="403"/>
      <c r="CW75" s="403"/>
      <c r="CX75" s="403"/>
      <c r="CY75" s="403"/>
      <c r="CZ75" s="403"/>
      <c r="DA75" s="403"/>
      <c r="DB75" s="403"/>
      <c r="DC75" s="403"/>
      <c r="DD75" s="403"/>
      <c r="DE75" s="403"/>
      <c r="DF75" s="403"/>
      <c r="DG75" s="403"/>
      <c r="DH75" s="403"/>
      <c r="DI75" s="403"/>
      <c r="DJ75" s="403"/>
      <c r="DK75" s="403"/>
      <c r="DL75" s="403"/>
      <c r="DM75" s="403"/>
      <c r="DN75" s="403"/>
      <c r="DO75" s="403"/>
      <c r="DP75" s="403"/>
      <c r="DQ75" s="403"/>
      <c r="DR75" s="403"/>
      <c r="DS75" s="403"/>
      <c r="DT75" s="403"/>
      <c r="DU75" s="403"/>
      <c r="DV75" s="403"/>
      <c r="DW75" s="403"/>
      <c r="DX75" s="403"/>
      <c r="DY75" s="403"/>
      <c r="DZ75" s="403"/>
      <c r="EA75" s="403"/>
      <c r="EB75" s="403"/>
      <c r="EC75" s="403"/>
      <c r="ED75" s="403"/>
      <c r="EE75" s="403"/>
      <c r="EF75" s="403"/>
      <c r="EG75" s="403"/>
      <c r="EH75" s="403"/>
      <c r="EI75" s="403"/>
      <c r="EJ75" s="403"/>
      <c r="EK75" s="403"/>
      <c r="EL75" s="403"/>
      <c r="EM75" s="403"/>
      <c r="EN75" s="403"/>
      <c r="EO75" s="403"/>
      <c r="EP75" s="403"/>
      <c r="EQ75" s="403"/>
      <c r="ER75" s="403"/>
      <c r="ES75" s="403"/>
      <c r="ET75" s="403"/>
      <c r="EU75" s="403"/>
      <c r="EV75" s="403"/>
      <c r="EW75" s="403"/>
      <c r="EX75" s="403"/>
      <c r="EY75" s="403"/>
      <c r="EZ75" s="403"/>
      <c r="FA75" s="403"/>
      <c r="FB75" s="403"/>
      <c r="FC75" s="403"/>
      <c r="FD75" s="403"/>
      <c r="FE75" s="403"/>
      <c r="FF75" s="403"/>
      <c r="FG75" s="403"/>
      <c r="FH75" s="403"/>
      <c r="FI75" s="403"/>
      <c r="FJ75" s="403"/>
      <c r="FK75" s="403"/>
      <c r="FL75" s="403"/>
      <c r="FM75" s="403"/>
      <c r="FN75" s="403"/>
      <c r="FO75" s="403"/>
      <c r="FP75" s="403"/>
      <c r="FQ75" s="403"/>
      <c r="FR75" s="403"/>
      <c r="FS75" s="403"/>
      <c r="FT75" s="403"/>
      <c r="FU75" s="403"/>
      <c r="FV75" s="403"/>
      <c r="FW75" s="403"/>
      <c r="FX75" s="403"/>
      <c r="FY75" s="403"/>
      <c r="FZ75" s="403"/>
      <c r="GA75" s="403"/>
      <c r="GB75" s="403"/>
      <c r="GC75" s="403"/>
      <c r="GD75" s="403"/>
      <c r="GE75" s="403"/>
      <c r="GF75" s="403"/>
      <c r="GG75" s="403"/>
      <c r="GH75" s="403"/>
      <c r="GI75" s="403"/>
      <c r="GJ75" s="403"/>
      <c r="GK75" s="403"/>
      <c r="GL75" s="403"/>
      <c r="GM75" s="403"/>
      <c r="GN75" s="403"/>
      <c r="GO75" s="403"/>
      <c r="GP75" s="403"/>
      <c r="GQ75" s="403"/>
      <c r="GR75" s="403"/>
      <c r="GS75" s="403"/>
      <c r="GT75" s="403"/>
      <c r="GU75" s="403"/>
      <c r="GV75" s="403"/>
      <c r="GW75" s="403"/>
      <c r="GX75" s="403"/>
      <c r="GY75" s="403"/>
      <c r="GZ75" s="403"/>
      <c r="HA75" s="403"/>
      <c r="HB75" s="403"/>
      <c r="HC75" s="403"/>
      <c r="HD75" s="403"/>
      <c r="HE75" s="403"/>
      <c r="HF75" s="403"/>
      <c r="HG75" s="403"/>
      <c r="HH75" s="403"/>
      <c r="HI75" s="403"/>
      <c r="HJ75" s="403"/>
      <c r="HK75" s="403"/>
      <c r="HL75" s="403"/>
      <c r="HM75" s="403"/>
      <c r="HN75" s="403"/>
      <c r="HO75" s="403"/>
      <c r="HP75" s="403"/>
      <c r="HQ75" s="403"/>
      <c r="HR75" s="403"/>
      <c r="HS75" s="403"/>
      <c r="HT75" s="403"/>
      <c r="HU75" s="403"/>
      <c r="HV75" s="403"/>
      <c r="HW75" s="403"/>
      <c r="HX75" s="403"/>
      <c r="HY75" s="403"/>
      <c r="HZ75" s="403"/>
      <c r="IA75" s="403"/>
      <c r="IB75" s="403"/>
      <c r="IC75" s="403"/>
      <c r="ID75" s="403"/>
      <c r="IE75" s="403"/>
      <c r="IF75" s="403"/>
      <c r="IG75" s="403"/>
      <c r="IH75" s="403"/>
      <c r="II75" s="403"/>
      <c r="IJ75" s="403"/>
      <c r="IK75" s="403"/>
      <c r="IL75" s="403"/>
      <c r="IM75" s="403"/>
      <c r="IN75" s="403"/>
      <c r="IO75" s="403"/>
      <c r="IP75" s="403"/>
      <c r="IQ75" s="403"/>
      <c r="IR75" s="403"/>
      <c r="IS75" s="403"/>
      <c r="IT75" s="403"/>
      <c r="IU75" s="403"/>
      <c r="IV75" s="403"/>
      <c r="IW75" s="403"/>
    </row>
    <row r="76" customFormat="false" ht="11.25" hidden="false" customHeight="false" outlineLevel="0" collapsed="false">
      <c r="A76" s="419"/>
      <c r="B76" s="403"/>
      <c r="C76" s="403"/>
      <c r="D76" s="403"/>
      <c r="E76" s="419"/>
      <c r="F76" s="403"/>
      <c r="G76" s="403"/>
      <c r="H76" s="403"/>
      <c r="I76" s="403"/>
      <c r="J76" s="403"/>
      <c r="K76" s="403"/>
      <c r="L76" s="403"/>
      <c r="M76" s="403"/>
      <c r="N76" s="403"/>
      <c r="O76" s="403"/>
      <c r="P76" s="403"/>
      <c r="Q76" s="403"/>
      <c r="R76" s="403"/>
      <c r="S76" s="403"/>
      <c r="T76" s="403"/>
      <c r="U76" s="403"/>
      <c r="V76" s="403"/>
      <c r="W76" s="403"/>
      <c r="X76" s="403"/>
      <c r="Y76" s="403"/>
      <c r="Z76" s="403"/>
      <c r="AA76" s="403"/>
      <c r="AB76" s="403"/>
      <c r="AC76" s="403"/>
      <c r="AD76" s="403"/>
      <c r="AE76" s="403"/>
      <c r="AF76" s="403"/>
      <c r="AG76" s="403"/>
      <c r="AH76" s="403"/>
      <c r="AI76" s="403"/>
      <c r="AJ76" s="403"/>
      <c r="AK76" s="403"/>
      <c r="AL76" s="403"/>
      <c r="AM76" s="403"/>
      <c r="AN76" s="403"/>
      <c r="AO76" s="403"/>
      <c r="AP76" s="403"/>
      <c r="AQ76" s="403"/>
      <c r="AR76" s="403"/>
      <c r="AS76" s="403"/>
      <c r="AT76" s="403"/>
      <c r="AU76" s="403"/>
      <c r="AV76" s="403"/>
      <c r="AW76" s="403"/>
      <c r="AX76" s="403"/>
      <c r="AY76" s="403"/>
      <c r="AZ76" s="403"/>
      <c r="BA76" s="403"/>
      <c r="BB76" s="403"/>
      <c r="BC76" s="403"/>
      <c r="BD76" s="403"/>
      <c r="BE76" s="403"/>
      <c r="BF76" s="403"/>
      <c r="BG76" s="403"/>
      <c r="BH76" s="403"/>
      <c r="BI76" s="403"/>
      <c r="BJ76" s="403"/>
      <c r="BK76" s="403"/>
      <c r="BL76" s="403"/>
      <c r="BM76" s="403"/>
      <c r="BN76" s="403"/>
      <c r="BO76" s="403"/>
      <c r="BP76" s="403"/>
      <c r="BQ76" s="403"/>
      <c r="BR76" s="403"/>
      <c r="BS76" s="403"/>
      <c r="BT76" s="403"/>
      <c r="BU76" s="403"/>
      <c r="BV76" s="403"/>
      <c r="BW76" s="403"/>
      <c r="BX76" s="403"/>
      <c r="BY76" s="403"/>
      <c r="BZ76" s="403"/>
      <c r="CA76" s="403"/>
      <c r="CB76" s="403"/>
      <c r="CC76" s="403"/>
      <c r="CD76" s="403"/>
      <c r="CE76" s="403"/>
      <c r="CF76" s="403"/>
      <c r="CG76" s="403"/>
      <c r="CH76" s="403"/>
      <c r="CI76" s="403"/>
      <c r="CJ76" s="403"/>
      <c r="CK76" s="403"/>
      <c r="CL76" s="403"/>
      <c r="CM76" s="403"/>
      <c r="CN76" s="403"/>
      <c r="CO76" s="403"/>
      <c r="CP76" s="403"/>
      <c r="CQ76" s="403"/>
      <c r="CR76" s="403"/>
      <c r="CS76" s="403"/>
      <c r="CT76" s="403"/>
      <c r="CU76" s="403"/>
      <c r="CV76" s="403"/>
      <c r="CW76" s="403"/>
      <c r="CX76" s="403"/>
      <c r="CY76" s="403"/>
      <c r="CZ76" s="403"/>
      <c r="DA76" s="403"/>
      <c r="DB76" s="403"/>
      <c r="DC76" s="403"/>
      <c r="DD76" s="403"/>
      <c r="DE76" s="403"/>
      <c r="DF76" s="403"/>
      <c r="DG76" s="403"/>
      <c r="DH76" s="403"/>
      <c r="DI76" s="403"/>
      <c r="DJ76" s="403"/>
      <c r="DK76" s="403"/>
      <c r="DL76" s="403"/>
      <c r="DM76" s="403"/>
      <c r="DN76" s="403"/>
      <c r="DO76" s="403"/>
      <c r="DP76" s="403"/>
      <c r="DQ76" s="403"/>
      <c r="DR76" s="403"/>
      <c r="DS76" s="403"/>
      <c r="DT76" s="403"/>
      <c r="DU76" s="403"/>
      <c r="DV76" s="403"/>
      <c r="DW76" s="403"/>
      <c r="DX76" s="403"/>
      <c r="DY76" s="403"/>
      <c r="DZ76" s="403"/>
      <c r="EA76" s="403"/>
      <c r="EB76" s="403"/>
      <c r="EC76" s="403"/>
      <c r="ED76" s="403"/>
      <c r="EE76" s="403"/>
      <c r="EF76" s="403"/>
      <c r="EG76" s="403"/>
      <c r="EH76" s="403"/>
      <c r="EI76" s="403"/>
      <c r="EJ76" s="403"/>
      <c r="EK76" s="403"/>
      <c r="EL76" s="403"/>
      <c r="EM76" s="403"/>
      <c r="EN76" s="403"/>
      <c r="EO76" s="403"/>
      <c r="EP76" s="403"/>
      <c r="EQ76" s="403"/>
      <c r="ER76" s="403"/>
      <c r="ES76" s="403"/>
      <c r="ET76" s="403"/>
      <c r="EU76" s="403"/>
      <c r="EV76" s="403"/>
      <c r="EW76" s="403"/>
      <c r="EX76" s="403"/>
      <c r="EY76" s="403"/>
      <c r="EZ76" s="403"/>
      <c r="FA76" s="403"/>
      <c r="FB76" s="403"/>
      <c r="FC76" s="403"/>
      <c r="FD76" s="403"/>
      <c r="FE76" s="403"/>
      <c r="FF76" s="403"/>
      <c r="FG76" s="403"/>
      <c r="FH76" s="403"/>
      <c r="FI76" s="403"/>
      <c r="FJ76" s="403"/>
      <c r="FK76" s="403"/>
      <c r="FL76" s="403"/>
      <c r="FM76" s="403"/>
      <c r="FN76" s="403"/>
      <c r="FO76" s="403"/>
      <c r="FP76" s="403"/>
      <c r="FQ76" s="403"/>
      <c r="FR76" s="403"/>
      <c r="FS76" s="403"/>
      <c r="FT76" s="403"/>
      <c r="FU76" s="403"/>
      <c r="FV76" s="403"/>
      <c r="FW76" s="403"/>
      <c r="FX76" s="403"/>
      <c r="FY76" s="403"/>
      <c r="FZ76" s="403"/>
      <c r="GA76" s="403"/>
      <c r="GB76" s="403"/>
      <c r="GC76" s="403"/>
      <c r="GD76" s="403"/>
      <c r="GE76" s="403"/>
      <c r="GF76" s="403"/>
      <c r="GG76" s="403"/>
      <c r="GH76" s="403"/>
      <c r="GI76" s="403"/>
      <c r="GJ76" s="403"/>
      <c r="GK76" s="403"/>
      <c r="GL76" s="403"/>
      <c r="GM76" s="403"/>
      <c r="GN76" s="403"/>
      <c r="GO76" s="403"/>
      <c r="GP76" s="403"/>
      <c r="GQ76" s="403"/>
      <c r="GR76" s="403"/>
      <c r="GS76" s="403"/>
      <c r="GT76" s="403"/>
      <c r="GU76" s="403"/>
      <c r="GV76" s="403"/>
      <c r="GW76" s="403"/>
      <c r="GX76" s="403"/>
      <c r="GY76" s="403"/>
      <c r="GZ76" s="403"/>
      <c r="HA76" s="403"/>
      <c r="HB76" s="403"/>
      <c r="HC76" s="403"/>
      <c r="HD76" s="403"/>
      <c r="HE76" s="403"/>
      <c r="HF76" s="403"/>
      <c r="HG76" s="403"/>
      <c r="HH76" s="403"/>
      <c r="HI76" s="403"/>
      <c r="HJ76" s="403"/>
      <c r="HK76" s="403"/>
      <c r="HL76" s="403"/>
      <c r="HM76" s="403"/>
      <c r="HN76" s="403"/>
      <c r="HO76" s="403"/>
      <c r="HP76" s="403"/>
      <c r="HQ76" s="403"/>
      <c r="HR76" s="403"/>
      <c r="HS76" s="403"/>
      <c r="HT76" s="403"/>
      <c r="HU76" s="403"/>
      <c r="HV76" s="403"/>
      <c r="HW76" s="403"/>
      <c r="HX76" s="403"/>
      <c r="HY76" s="403"/>
      <c r="HZ76" s="403"/>
      <c r="IA76" s="403"/>
      <c r="IB76" s="403"/>
      <c r="IC76" s="403"/>
      <c r="ID76" s="403"/>
      <c r="IE76" s="403"/>
      <c r="IF76" s="403"/>
      <c r="IG76" s="403"/>
      <c r="IH76" s="403"/>
      <c r="II76" s="403"/>
      <c r="IJ76" s="403"/>
      <c r="IK76" s="403"/>
      <c r="IL76" s="403"/>
      <c r="IM76" s="403"/>
      <c r="IN76" s="403"/>
      <c r="IO76" s="403"/>
      <c r="IP76" s="403"/>
      <c r="IQ76" s="403"/>
      <c r="IR76" s="403"/>
      <c r="IS76" s="403"/>
      <c r="IT76" s="403"/>
      <c r="IU76" s="403"/>
      <c r="IV76" s="403"/>
      <c r="IW76" s="403"/>
    </row>
    <row r="77" customFormat="false" ht="11.25" hidden="false" customHeight="false" outlineLevel="0" collapsed="false">
      <c r="A77" s="419"/>
      <c r="B77" s="403"/>
      <c r="C77" s="403"/>
      <c r="D77" s="403"/>
      <c r="E77" s="419"/>
      <c r="F77" s="403"/>
      <c r="G77" s="403"/>
      <c r="H77" s="403"/>
      <c r="I77" s="403"/>
      <c r="J77" s="403"/>
      <c r="K77" s="403"/>
      <c r="L77" s="403"/>
      <c r="M77" s="403"/>
      <c r="N77" s="403"/>
      <c r="O77" s="403"/>
      <c r="P77" s="403"/>
      <c r="Q77" s="403"/>
      <c r="R77" s="403"/>
      <c r="S77" s="403"/>
      <c r="T77" s="403"/>
      <c r="U77" s="403"/>
      <c r="V77" s="403"/>
      <c r="W77" s="403"/>
      <c r="X77" s="403"/>
      <c r="Y77" s="403"/>
      <c r="Z77" s="403"/>
      <c r="AA77" s="403"/>
      <c r="AB77" s="403"/>
      <c r="AC77" s="403"/>
      <c r="AD77" s="403"/>
      <c r="AE77" s="403"/>
      <c r="AF77" s="403"/>
      <c r="AG77" s="403"/>
      <c r="AH77" s="403"/>
      <c r="AI77" s="403"/>
      <c r="AJ77" s="403"/>
      <c r="AK77" s="403"/>
      <c r="AL77" s="403"/>
      <c r="AM77" s="403"/>
      <c r="AN77" s="403"/>
      <c r="AO77" s="403"/>
      <c r="AP77" s="403"/>
      <c r="AQ77" s="403"/>
      <c r="AR77" s="403"/>
      <c r="AS77" s="403"/>
      <c r="AT77" s="403"/>
      <c r="AU77" s="403"/>
      <c r="AV77" s="403"/>
      <c r="AW77" s="403"/>
      <c r="AX77" s="403"/>
      <c r="AY77" s="403"/>
      <c r="AZ77" s="403"/>
      <c r="BA77" s="403"/>
      <c r="BB77" s="403"/>
      <c r="BC77" s="403"/>
      <c r="BD77" s="403"/>
      <c r="BE77" s="403"/>
      <c r="BF77" s="403"/>
      <c r="BG77" s="403"/>
      <c r="BH77" s="403"/>
      <c r="BI77" s="403"/>
      <c r="BJ77" s="403"/>
      <c r="BK77" s="403"/>
      <c r="BL77" s="403"/>
      <c r="BM77" s="403"/>
      <c r="BN77" s="403"/>
      <c r="BO77" s="403"/>
      <c r="BP77" s="403"/>
      <c r="BQ77" s="403"/>
      <c r="BR77" s="403"/>
      <c r="BS77" s="403"/>
      <c r="BT77" s="403"/>
      <c r="BU77" s="403"/>
      <c r="BV77" s="403"/>
      <c r="BW77" s="403"/>
      <c r="BX77" s="403"/>
      <c r="BY77" s="403"/>
      <c r="BZ77" s="403"/>
      <c r="CA77" s="403"/>
      <c r="CB77" s="403"/>
      <c r="CC77" s="403"/>
      <c r="CD77" s="403"/>
      <c r="CE77" s="403"/>
      <c r="CF77" s="403"/>
      <c r="CG77" s="403"/>
      <c r="CH77" s="403"/>
      <c r="CI77" s="403"/>
      <c r="CJ77" s="403"/>
      <c r="CK77" s="403"/>
      <c r="CL77" s="403"/>
      <c r="CM77" s="403"/>
      <c r="CN77" s="403"/>
      <c r="CO77" s="403"/>
      <c r="CP77" s="403"/>
      <c r="CQ77" s="403"/>
      <c r="CR77" s="403"/>
      <c r="CS77" s="403"/>
      <c r="CT77" s="403"/>
      <c r="CU77" s="403"/>
      <c r="CV77" s="403"/>
      <c r="CW77" s="403"/>
      <c r="CX77" s="403"/>
      <c r="CY77" s="403"/>
      <c r="CZ77" s="403"/>
      <c r="DA77" s="403"/>
      <c r="DB77" s="403"/>
      <c r="DC77" s="403"/>
      <c r="DD77" s="403"/>
      <c r="DE77" s="403"/>
      <c r="DF77" s="403"/>
      <c r="DG77" s="403"/>
      <c r="DH77" s="403"/>
      <c r="DI77" s="403"/>
      <c r="DJ77" s="403"/>
      <c r="DK77" s="403"/>
      <c r="DL77" s="403"/>
      <c r="DM77" s="403"/>
      <c r="DN77" s="403"/>
      <c r="DO77" s="403"/>
      <c r="DP77" s="403"/>
      <c r="DQ77" s="403"/>
      <c r="DR77" s="403"/>
      <c r="DS77" s="403"/>
      <c r="DT77" s="403"/>
      <c r="DU77" s="403"/>
      <c r="DV77" s="403"/>
      <c r="DW77" s="403"/>
      <c r="DX77" s="403"/>
      <c r="DY77" s="403"/>
      <c r="DZ77" s="403"/>
      <c r="EA77" s="403"/>
      <c r="EB77" s="403"/>
      <c r="EC77" s="403"/>
      <c r="ED77" s="403"/>
      <c r="EE77" s="403"/>
      <c r="EF77" s="403"/>
      <c r="EG77" s="403"/>
      <c r="EH77" s="403"/>
      <c r="EI77" s="403"/>
      <c r="EJ77" s="403"/>
      <c r="EK77" s="403"/>
      <c r="EL77" s="403"/>
      <c r="EM77" s="403"/>
      <c r="EN77" s="403"/>
      <c r="EO77" s="403"/>
      <c r="EP77" s="403"/>
      <c r="EQ77" s="403"/>
      <c r="ER77" s="403"/>
      <c r="ES77" s="403"/>
      <c r="ET77" s="403"/>
      <c r="EU77" s="403"/>
      <c r="EV77" s="403"/>
      <c r="EW77" s="403"/>
      <c r="EX77" s="403"/>
      <c r="EY77" s="403"/>
      <c r="EZ77" s="403"/>
      <c r="FA77" s="403"/>
      <c r="FB77" s="403"/>
      <c r="FC77" s="403"/>
      <c r="FD77" s="403"/>
      <c r="FE77" s="403"/>
      <c r="FF77" s="403"/>
      <c r="FG77" s="403"/>
      <c r="FH77" s="403"/>
      <c r="FI77" s="403"/>
      <c r="FJ77" s="403"/>
      <c r="FK77" s="403"/>
      <c r="FL77" s="403"/>
      <c r="FM77" s="403"/>
      <c r="FN77" s="403"/>
      <c r="FO77" s="403"/>
      <c r="FP77" s="403"/>
      <c r="FQ77" s="403"/>
      <c r="FR77" s="403"/>
      <c r="FS77" s="403"/>
      <c r="FT77" s="403"/>
      <c r="FU77" s="403"/>
      <c r="FV77" s="403"/>
      <c r="FW77" s="403"/>
      <c r="FX77" s="403"/>
      <c r="FY77" s="403"/>
      <c r="FZ77" s="403"/>
      <c r="GA77" s="403"/>
      <c r="GB77" s="403"/>
      <c r="GC77" s="403"/>
      <c r="GD77" s="403"/>
      <c r="GE77" s="403"/>
      <c r="GF77" s="403"/>
      <c r="GG77" s="403"/>
      <c r="GH77" s="403"/>
      <c r="GI77" s="403"/>
      <c r="GJ77" s="403"/>
      <c r="GK77" s="403"/>
      <c r="GL77" s="403"/>
      <c r="GM77" s="403"/>
      <c r="GN77" s="403"/>
      <c r="GO77" s="403"/>
      <c r="GP77" s="403"/>
      <c r="GQ77" s="403"/>
      <c r="GR77" s="403"/>
      <c r="GS77" s="403"/>
      <c r="GT77" s="403"/>
      <c r="GU77" s="403"/>
      <c r="GV77" s="403"/>
      <c r="GW77" s="403"/>
      <c r="GX77" s="403"/>
      <c r="GY77" s="403"/>
      <c r="GZ77" s="403"/>
      <c r="HA77" s="403"/>
      <c r="HB77" s="403"/>
      <c r="HC77" s="403"/>
      <c r="HD77" s="403"/>
      <c r="HE77" s="403"/>
      <c r="HF77" s="403"/>
      <c r="HG77" s="403"/>
      <c r="HH77" s="403"/>
      <c r="HI77" s="403"/>
      <c r="HJ77" s="403"/>
      <c r="HK77" s="403"/>
      <c r="HL77" s="403"/>
      <c r="HM77" s="403"/>
      <c r="HN77" s="403"/>
      <c r="HO77" s="403"/>
      <c r="HP77" s="403"/>
      <c r="HQ77" s="403"/>
      <c r="HR77" s="403"/>
      <c r="HS77" s="403"/>
      <c r="HT77" s="403"/>
      <c r="HU77" s="403"/>
      <c r="HV77" s="403"/>
      <c r="HW77" s="403"/>
      <c r="HX77" s="403"/>
      <c r="HY77" s="403"/>
      <c r="HZ77" s="403"/>
      <c r="IA77" s="403"/>
      <c r="IB77" s="403"/>
      <c r="IC77" s="403"/>
      <c r="ID77" s="403"/>
      <c r="IE77" s="403"/>
      <c r="IF77" s="403"/>
      <c r="IG77" s="403"/>
      <c r="IH77" s="403"/>
      <c r="II77" s="403"/>
      <c r="IJ77" s="403"/>
      <c r="IK77" s="403"/>
      <c r="IL77" s="403"/>
      <c r="IM77" s="403"/>
      <c r="IN77" s="403"/>
      <c r="IO77" s="403"/>
      <c r="IP77" s="403"/>
      <c r="IQ77" s="403"/>
      <c r="IR77" s="403"/>
      <c r="IS77" s="403"/>
      <c r="IT77" s="403"/>
      <c r="IU77" s="403"/>
      <c r="IV77" s="403"/>
      <c r="IW77" s="403"/>
    </row>
    <row r="78" customFormat="false" ht="11.25" hidden="false" customHeight="false" outlineLevel="0" collapsed="false">
      <c r="A78" s="419"/>
      <c r="B78" s="403"/>
      <c r="C78" s="403"/>
      <c r="D78" s="403"/>
      <c r="E78" s="419"/>
      <c r="F78" s="403"/>
      <c r="G78" s="403"/>
      <c r="H78" s="403"/>
      <c r="I78" s="403"/>
      <c r="J78" s="403"/>
      <c r="K78" s="403"/>
      <c r="L78" s="403"/>
      <c r="M78" s="403"/>
      <c r="N78" s="403"/>
      <c r="O78" s="403"/>
      <c r="P78" s="403"/>
      <c r="Q78" s="403"/>
      <c r="R78" s="403"/>
      <c r="S78" s="403"/>
      <c r="T78" s="403"/>
      <c r="U78" s="403"/>
      <c r="V78" s="403"/>
      <c r="W78" s="403"/>
      <c r="X78" s="403"/>
      <c r="Y78" s="403"/>
      <c r="Z78" s="403"/>
      <c r="AA78" s="403"/>
      <c r="AB78" s="403"/>
      <c r="AC78" s="403"/>
      <c r="AD78" s="403"/>
      <c r="AE78" s="403"/>
      <c r="AF78" s="403"/>
      <c r="AG78" s="403"/>
      <c r="AH78" s="403"/>
      <c r="AI78" s="403"/>
      <c r="AJ78" s="403"/>
      <c r="AK78" s="403"/>
      <c r="AL78" s="403"/>
      <c r="AM78" s="403"/>
      <c r="AN78" s="403"/>
      <c r="AO78" s="403"/>
      <c r="AP78" s="403"/>
      <c r="AQ78" s="403"/>
      <c r="AR78" s="403"/>
      <c r="AS78" s="403"/>
      <c r="AT78" s="403"/>
      <c r="AU78" s="403"/>
      <c r="AV78" s="403"/>
      <c r="AW78" s="403"/>
      <c r="AX78" s="403"/>
      <c r="AY78" s="403"/>
      <c r="AZ78" s="403"/>
      <c r="BA78" s="403"/>
      <c r="BB78" s="403"/>
      <c r="BC78" s="403"/>
      <c r="BD78" s="403"/>
      <c r="BE78" s="403"/>
      <c r="BF78" s="403"/>
      <c r="BG78" s="403"/>
      <c r="BH78" s="403"/>
      <c r="BI78" s="403"/>
      <c r="BJ78" s="403"/>
      <c r="BK78" s="403"/>
      <c r="BL78" s="403"/>
      <c r="BM78" s="403"/>
      <c r="BN78" s="403"/>
      <c r="BO78" s="403"/>
      <c r="BP78" s="403"/>
      <c r="BQ78" s="403"/>
      <c r="BR78" s="403"/>
      <c r="BS78" s="403"/>
      <c r="BT78" s="403"/>
      <c r="BU78" s="403"/>
      <c r="BV78" s="403"/>
      <c r="BW78" s="403"/>
      <c r="BX78" s="403"/>
      <c r="BY78" s="403"/>
      <c r="BZ78" s="403"/>
      <c r="CA78" s="403"/>
      <c r="CB78" s="403"/>
      <c r="CC78" s="403"/>
      <c r="CD78" s="403"/>
      <c r="CE78" s="403"/>
      <c r="CF78" s="403"/>
      <c r="CG78" s="403"/>
      <c r="CH78" s="403"/>
      <c r="CI78" s="403"/>
      <c r="CJ78" s="403"/>
      <c r="CK78" s="403"/>
      <c r="CL78" s="403"/>
      <c r="CM78" s="403"/>
      <c r="CN78" s="403"/>
      <c r="CO78" s="403"/>
      <c r="CP78" s="403"/>
      <c r="CQ78" s="403"/>
      <c r="CR78" s="403"/>
      <c r="CS78" s="403"/>
      <c r="CT78" s="403"/>
      <c r="CU78" s="403"/>
      <c r="CV78" s="403"/>
      <c r="CW78" s="403"/>
      <c r="CX78" s="403"/>
      <c r="CY78" s="403"/>
      <c r="CZ78" s="403"/>
      <c r="DA78" s="403"/>
      <c r="DB78" s="403"/>
      <c r="DC78" s="403"/>
      <c r="DD78" s="403"/>
      <c r="DE78" s="403"/>
      <c r="DF78" s="403"/>
      <c r="DG78" s="403"/>
      <c r="DH78" s="403"/>
      <c r="DI78" s="403"/>
      <c r="DJ78" s="403"/>
      <c r="DK78" s="403"/>
      <c r="DL78" s="403"/>
      <c r="DM78" s="403"/>
      <c r="DN78" s="403"/>
      <c r="DO78" s="403"/>
      <c r="DP78" s="403"/>
      <c r="DQ78" s="403"/>
      <c r="DR78" s="403"/>
      <c r="DS78" s="403"/>
      <c r="DT78" s="403"/>
      <c r="DU78" s="403"/>
      <c r="DV78" s="403"/>
      <c r="DW78" s="403"/>
      <c r="DX78" s="403"/>
      <c r="DY78" s="403"/>
      <c r="DZ78" s="403"/>
      <c r="EA78" s="403"/>
      <c r="EB78" s="403"/>
      <c r="EC78" s="403"/>
      <c r="ED78" s="403"/>
      <c r="EE78" s="403"/>
      <c r="EF78" s="403"/>
      <c r="EG78" s="403"/>
      <c r="EH78" s="403"/>
      <c r="EI78" s="403"/>
      <c r="EJ78" s="403"/>
      <c r="EK78" s="403"/>
      <c r="EL78" s="403"/>
      <c r="EM78" s="403"/>
      <c r="EN78" s="403"/>
      <c r="EO78" s="403"/>
      <c r="EP78" s="403"/>
      <c r="EQ78" s="403"/>
      <c r="ER78" s="403"/>
      <c r="ES78" s="403"/>
      <c r="ET78" s="403"/>
      <c r="EU78" s="403"/>
      <c r="EV78" s="403"/>
      <c r="EW78" s="403"/>
      <c r="EX78" s="403"/>
      <c r="EY78" s="403"/>
      <c r="EZ78" s="403"/>
      <c r="FA78" s="403"/>
      <c r="FB78" s="403"/>
      <c r="FC78" s="403"/>
      <c r="FD78" s="403"/>
      <c r="FE78" s="403"/>
      <c r="FF78" s="403"/>
      <c r="FG78" s="403"/>
      <c r="FH78" s="403"/>
      <c r="FI78" s="403"/>
      <c r="FJ78" s="403"/>
      <c r="FK78" s="403"/>
      <c r="FL78" s="403"/>
      <c r="FM78" s="403"/>
      <c r="FN78" s="403"/>
      <c r="FO78" s="403"/>
      <c r="FP78" s="403"/>
      <c r="FQ78" s="403"/>
      <c r="FR78" s="403"/>
      <c r="FS78" s="403"/>
      <c r="FT78" s="403"/>
      <c r="FU78" s="403"/>
      <c r="FV78" s="403"/>
      <c r="FW78" s="403"/>
      <c r="FX78" s="403"/>
      <c r="FY78" s="403"/>
      <c r="FZ78" s="403"/>
      <c r="GA78" s="403"/>
      <c r="GB78" s="403"/>
      <c r="GC78" s="403"/>
      <c r="GD78" s="403"/>
      <c r="GE78" s="403"/>
      <c r="GF78" s="403"/>
      <c r="GG78" s="403"/>
      <c r="GH78" s="403"/>
      <c r="GI78" s="403"/>
      <c r="GJ78" s="403"/>
      <c r="GK78" s="403"/>
      <c r="GL78" s="403"/>
      <c r="GM78" s="403"/>
      <c r="GN78" s="403"/>
      <c r="GO78" s="403"/>
      <c r="GP78" s="403"/>
      <c r="GQ78" s="403"/>
      <c r="GR78" s="403"/>
      <c r="GS78" s="403"/>
      <c r="GT78" s="403"/>
      <c r="GU78" s="403"/>
      <c r="GV78" s="403"/>
      <c r="GW78" s="403"/>
      <c r="GX78" s="403"/>
      <c r="GY78" s="403"/>
      <c r="GZ78" s="403"/>
      <c r="HA78" s="403"/>
      <c r="HB78" s="403"/>
      <c r="HC78" s="403"/>
      <c r="HD78" s="403"/>
      <c r="HE78" s="403"/>
      <c r="HF78" s="403"/>
      <c r="HG78" s="403"/>
      <c r="HH78" s="403"/>
      <c r="HI78" s="403"/>
      <c r="HJ78" s="403"/>
      <c r="HK78" s="403"/>
      <c r="HL78" s="403"/>
      <c r="HM78" s="403"/>
      <c r="HN78" s="403"/>
      <c r="HO78" s="403"/>
      <c r="HP78" s="403"/>
      <c r="HQ78" s="403"/>
      <c r="HR78" s="403"/>
      <c r="HS78" s="403"/>
      <c r="HT78" s="403"/>
      <c r="HU78" s="403"/>
      <c r="HV78" s="403"/>
      <c r="HW78" s="403"/>
      <c r="HX78" s="403"/>
      <c r="HY78" s="403"/>
      <c r="HZ78" s="403"/>
      <c r="IA78" s="403"/>
      <c r="IB78" s="403"/>
      <c r="IC78" s="403"/>
      <c r="ID78" s="403"/>
      <c r="IE78" s="403"/>
      <c r="IF78" s="403"/>
      <c r="IG78" s="403"/>
      <c r="IH78" s="403"/>
      <c r="II78" s="403"/>
      <c r="IJ78" s="403"/>
      <c r="IK78" s="403"/>
      <c r="IL78" s="403"/>
      <c r="IM78" s="403"/>
      <c r="IN78" s="403"/>
      <c r="IO78" s="403"/>
      <c r="IP78" s="403"/>
      <c r="IQ78" s="403"/>
      <c r="IR78" s="403"/>
      <c r="IS78" s="403"/>
      <c r="IT78" s="403"/>
      <c r="IU78" s="403"/>
      <c r="IV78" s="403"/>
      <c r="IW78" s="403"/>
    </row>
    <row r="79" customFormat="false" ht="11.25" hidden="false" customHeight="false" outlineLevel="0" collapsed="false">
      <c r="A79" s="419"/>
      <c r="B79" s="403"/>
      <c r="C79" s="403"/>
      <c r="D79" s="403"/>
      <c r="E79" s="419"/>
      <c r="F79" s="403"/>
      <c r="G79" s="403"/>
      <c r="H79" s="403"/>
      <c r="I79" s="403"/>
      <c r="J79" s="403"/>
      <c r="K79" s="403"/>
      <c r="L79" s="403"/>
      <c r="M79" s="403"/>
      <c r="N79" s="403"/>
      <c r="O79" s="403"/>
      <c r="P79" s="403"/>
      <c r="Q79" s="403"/>
      <c r="R79" s="403"/>
      <c r="S79" s="403"/>
      <c r="T79" s="403"/>
      <c r="U79" s="403"/>
      <c r="V79" s="403"/>
      <c r="W79" s="403"/>
      <c r="X79" s="403"/>
      <c r="Y79" s="403"/>
      <c r="Z79" s="403"/>
      <c r="AA79" s="403"/>
      <c r="AB79" s="403"/>
      <c r="AC79" s="403"/>
      <c r="AD79" s="403"/>
      <c r="AE79" s="403"/>
      <c r="AF79" s="403"/>
      <c r="AG79" s="403"/>
      <c r="AH79" s="403"/>
      <c r="AI79" s="403"/>
      <c r="AJ79" s="403"/>
      <c r="AK79" s="403"/>
      <c r="AL79" s="403"/>
      <c r="AM79" s="403"/>
      <c r="AN79" s="403"/>
      <c r="AO79" s="403"/>
      <c r="AP79" s="403"/>
      <c r="AQ79" s="403"/>
      <c r="AR79" s="403"/>
      <c r="AS79" s="403"/>
      <c r="AT79" s="403"/>
      <c r="AU79" s="403"/>
      <c r="AV79" s="403"/>
      <c r="AW79" s="403"/>
      <c r="AX79" s="403"/>
      <c r="AY79" s="403"/>
      <c r="AZ79" s="403"/>
      <c r="BA79" s="403"/>
      <c r="BB79" s="403"/>
      <c r="BC79" s="403"/>
      <c r="BD79" s="403"/>
      <c r="BE79" s="403"/>
      <c r="BF79" s="403"/>
      <c r="BG79" s="403"/>
      <c r="BH79" s="403"/>
      <c r="BI79" s="403"/>
      <c r="BJ79" s="403"/>
      <c r="BK79" s="403"/>
      <c r="BL79" s="403"/>
      <c r="BM79" s="403"/>
      <c r="BN79" s="403"/>
      <c r="BO79" s="403"/>
      <c r="BP79" s="403"/>
      <c r="BQ79" s="403"/>
      <c r="BR79" s="403"/>
      <c r="BS79" s="403"/>
      <c r="BT79" s="403"/>
      <c r="BU79" s="403"/>
      <c r="BV79" s="403"/>
      <c r="BW79" s="403"/>
      <c r="BX79" s="403"/>
      <c r="BY79" s="403"/>
      <c r="BZ79" s="403"/>
      <c r="CA79" s="403"/>
      <c r="CB79" s="403"/>
      <c r="CC79" s="403"/>
      <c r="CD79" s="403"/>
      <c r="CE79" s="403"/>
      <c r="CF79" s="403"/>
      <c r="CG79" s="403"/>
      <c r="CH79" s="403"/>
      <c r="CI79" s="403"/>
      <c r="CJ79" s="403"/>
      <c r="CK79" s="403"/>
      <c r="CL79" s="403"/>
      <c r="CM79" s="403"/>
      <c r="CN79" s="403"/>
      <c r="CO79" s="403"/>
      <c r="CP79" s="403"/>
      <c r="CQ79" s="403"/>
      <c r="CR79" s="403"/>
      <c r="CS79" s="403"/>
      <c r="CT79" s="403"/>
      <c r="CU79" s="403"/>
      <c r="CV79" s="403"/>
      <c r="CW79" s="403"/>
      <c r="CX79" s="403"/>
      <c r="CY79" s="403"/>
      <c r="CZ79" s="403"/>
      <c r="DA79" s="403"/>
      <c r="DB79" s="403"/>
      <c r="DC79" s="403"/>
      <c r="DD79" s="403"/>
      <c r="DE79" s="403"/>
      <c r="DF79" s="403"/>
      <c r="DG79" s="403"/>
      <c r="DH79" s="403"/>
      <c r="DI79" s="403"/>
      <c r="DJ79" s="403"/>
      <c r="DK79" s="403"/>
      <c r="DL79" s="403"/>
      <c r="DM79" s="403"/>
      <c r="DN79" s="403"/>
      <c r="DO79" s="403"/>
      <c r="DP79" s="403"/>
      <c r="DQ79" s="403"/>
      <c r="DR79" s="403"/>
      <c r="DS79" s="403"/>
      <c r="DT79" s="403"/>
      <c r="DU79" s="403"/>
      <c r="DV79" s="403"/>
      <c r="DW79" s="403"/>
      <c r="DX79" s="403"/>
      <c r="DY79" s="403"/>
      <c r="DZ79" s="403"/>
      <c r="EA79" s="403"/>
      <c r="EB79" s="403"/>
      <c r="EC79" s="403"/>
      <c r="ED79" s="403"/>
      <c r="EE79" s="403"/>
      <c r="EF79" s="403"/>
      <c r="EG79" s="403"/>
      <c r="EH79" s="403"/>
      <c r="EI79" s="403"/>
      <c r="EJ79" s="403"/>
      <c r="EK79" s="403"/>
      <c r="EL79" s="403"/>
      <c r="EM79" s="403"/>
      <c r="EN79" s="403"/>
      <c r="EO79" s="403"/>
      <c r="EP79" s="403"/>
      <c r="EQ79" s="403"/>
      <c r="ER79" s="403"/>
      <c r="ES79" s="403"/>
      <c r="ET79" s="403"/>
      <c r="EU79" s="403"/>
      <c r="EV79" s="403"/>
      <c r="EW79" s="403"/>
      <c r="EX79" s="403"/>
      <c r="EY79" s="403"/>
      <c r="EZ79" s="403"/>
      <c r="FA79" s="403"/>
      <c r="FB79" s="403"/>
      <c r="FC79" s="403"/>
      <c r="FD79" s="403"/>
      <c r="FE79" s="403"/>
      <c r="FF79" s="403"/>
      <c r="FG79" s="403"/>
      <c r="FH79" s="403"/>
      <c r="FI79" s="403"/>
      <c r="FJ79" s="403"/>
      <c r="FK79" s="403"/>
      <c r="FL79" s="403"/>
      <c r="FM79" s="403"/>
      <c r="FN79" s="403"/>
      <c r="FO79" s="403"/>
      <c r="FP79" s="403"/>
      <c r="FQ79" s="403"/>
      <c r="FR79" s="403"/>
      <c r="FS79" s="403"/>
      <c r="FT79" s="403"/>
      <c r="FU79" s="403"/>
      <c r="FV79" s="403"/>
      <c r="FW79" s="403"/>
      <c r="FX79" s="403"/>
      <c r="FY79" s="403"/>
      <c r="FZ79" s="403"/>
      <c r="GA79" s="403"/>
      <c r="GB79" s="403"/>
      <c r="GC79" s="403"/>
      <c r="GD79" s="403"/>
      <c r="GE79" s="403"/>
      <c r="GF79" s="403"/>
      <c r="GG79" s="403"/>
      <c r="GH79" s="403"/>
      <c r="GI79" s="403"/>
      <c r="GJ79" s="403"/>
      <c r="GK79" s="403"/>
      <c r="GL79" s="403"/>
      <c r="GM79" s="403"/>
      <c r="GN79" s="403"/>
      <c r="GO79" s="403"/>
      <c r="GP79" s="403"/>
      <c r="GQ79" s="403"/>
      <c r="GR79" s="403"/>
      <c r="GS79" s="403"/>
      <c r="GT79" s="403"/>
      <c r="GU79" s="403"/>
      <c r="GV79" s="403"/>
      <c r="GW79" s="403"/>
      <c r="GX79" s="403"/>
      <c r="GY79" s="403"/>
      <c r="GZ79" s="403"/>
      <c r="HA79" s="403"/>
      <c r="HB79" s="403"/>
      <c r="HC79" s="403"/>
      <c r="HD79" s="403"/>
      <c r="HE79" s="403"/>
      <c r="HF79" s="403"/>
      <c r="HG79" s="403"/>
      <c r="HH79" s="403"/>
      <c r="HI79" s="403"/>
      <c r="HJ79" s="403"/>
      <c r="HK79" s="403"/>
      <c r="HL79" s="403"/>
      <c r="HM79" s="403"/>
      <c r="HN79" s="403"/>
      <c r="HO79" s="403"/>
      <c r="HP79" s="403"/>
      <c r="HQ79" s="403"/>
      <c r="HR79" s="403"/>
      <c r="HS79" s="403"/>
      <c r="HT79" s="403"/>
      <c r="HU79" s="403"/>
      <c r="HV79" s="403"/>
      <c r="HW79" s="403"/>
      <c r="HX79" s="403"/>
      <c r="HY79" s="403"/>
      <c r="HZ79" s="403"/>
      <c r="IA79" s="403"/>
      <c r="IB79" s="403"/>
      <c r="IC79" s="403"/>
      <c r="ID79" s="403"/>
      <c r="IE79" s="403"/>
      <c r="IF79" s="403"/>
      <c r="IG79" s="403"/>
      <c r="IH79" s="403"/>
      <c r="II79" s="403"/>
      <c r="IJ79" s="403"/>
      <c r="IK79" s="403"/>
      <c r="IL79" s="403"/>
      <c r="IM79" s="403"/>
      <c r="IN79" s="403"/>
      <c r="IO79" s="403"/>
      <c r="IP79" s="403"/>
      <c r="IQ79" s="403"/>
      <c r="IR79" s="403"/>
      <c r="IS79" s="403"/>
      <c r="IT79" s="403"/>
      <c r="IU79" s="403"/>
      <c r="IV79" s="403"/>
      <c r="IW79" s="403"/>
    </row>
    <row r="80" customFormat="false" ht="11.25" hidden="false" customHeight="false" outlineLevel="0" collapsed="false">
      <c r="A80" s="419"/>
      <c r="B80" s="403"/>
      <c r="C80" s="403"/>
      <c r="D80" s="403"/>
      <c r="E80" s="419"/>
      <c r="F80" s="403"/>
      <c r="G80" s="403"/>
      <c r="H80" s="403"/>
      <c r="I80" s="403"/>
      <c r="J80" s="403"/>
      <c r="K80" s="403"/>
      <c r="L80" s="403"/>
      <c r="M80" s="403"/>
      <c r="N80" s="403"/>
      <c r="O80" s="403"/>
      <c r="P80" s="403"/>
      <c r="Q80" s="403"/>
      <c r="R80" s="403"/>
      <c r="S80" s="403"/>
      <c r="T80" s="403"/>
      <c r="U80" s="403"/>
      <c r="V80" s="403"/>
      <c r="W80" s="403"/>
      <c r="X80" s="403"/>
      <c r="Y80" s="403"/>
      <c r="Z80" s="403"/>
      <c r="AA80" s="403"/>
      <c r="AB80" s="403"/>
      <c r="AC80" s="403"/>
      <c r="AD80" s="403"/>
      <c r="AE80" s="403"/>
      <c r="AF80" s="403"/>
      <c r="AG80" s="403"/>
      <c r="AH80" s="403"/>
      <c r="AI80" s="403"/>
      <c r="AJ80" s="403"/>
      <c r="AK80" s="403"/>
      <c r="AL80" s="403"/>
      <c r="AM80" s="403"/>
      <c r="AN80" s="403"/>
      <c r="AO80" s="403"/>
      <c r="AP80" s="403"/>
      <c r="AQ80" s="403"/>
      <c r="AR80" s="403"/>
      <c r="AS80" s="403"/>
      <c r="AT80" s="403"/>
      <c r="AU80" s="403"/>
      <c r="AV80" s="403"/>
      <c r="AW80" s="403"/>
      <c r="AX80" s="403"/>
      <c r="AY80" s="403"/>
      <c r="AZ80" s="403"/>
      <c r="BA80" s="403"/>
      <c r="BB80" s="403"/>
      <c r="BC80" s="403"/>
      <c r="BD80" s="403"/>
      <c r="BE80" s="403"/>
      <c r="BF80" s="403"/>
      <c r="BG80" s="403"/>
      <c r="BH80" s="403"/>
      <c r="BI80" s="403"/>
      <c r="BJ80" s="403"/>
      <c r="BK80" s="403"/>
      <c r="BL80" s="403"/>
      <c r="BM80" s="403"/>
      <c r="BN80" s="403"/>
      <c r="BO80" s="403"/>
      <c r="BP80" s="403"/>
      <c r="BQ80" s="403"/>
      <c r="BR80" s="403"/>
      <c r="BS80" s="403"/>
      <c r="BT80" s="403"/>
      <c r="BU80" s="403"/>
      <c r="BV80" s="403"/>
      <c r="BW80" s="403"/>
      <c r="BX80" s="403"/>
      <c r="BY80" s="403"/>
      <c r="BZ80" s="403"/>
      <c r="CA80" s="403"/>
      <c r="CB80" s="403"/>
      <c r="CC80" s="403"/>
      <c r="CD80" s="403"/>
      <c r="CE80" s="403"/>
      <c r="CF80" s="403"/>
      <c r="CG80" s="403"/>
      <c r="CH80" s="403"/>
      <c r="CI80" s="403"/>
      <c r="CJ80" s="403"/>
      <c r="CK80" s="403"/>
      <c r="CL80" s="403"/>
      <c r="CM80" s="403"/>
      <c r="CN80" s="403"/>
      <c r="CO80" s="403"/>
      <c r="CP80" s="403"/>
      <c r="CQ80" s="403"/>
      <c r="CR80" s="403"/>
      <c r="CS80" s="403"/>
      <c r="CT80" s="403"/>
      <c r="CU80" s="403"/>
      <c r="CV80" s="403"/>
      <c r="CW80" s="403"/>
      <c r="CX80" s="403"/>
      <c r="CY80" s="403"/>
      <c r="CZ80" s="403"/>
      <c r="DA80" s="403"/>
      <c r="DB80" s="403"/>
      <c r="DC80" s="403"/>
      <c r="DD80" s="403"/>
      <c r="DE80" s="403"/>
      <c r="DF80" s="403"/>
      <c r="DG80" s="403"/>
      <c r="DH80" s="403"/>
      <c r="DI80" s="403"/>
      <c r="DJ80" s="403"/>
      <c r="DK80" s="403"/>
      <c r="DL80" s="403"/>
      <c r="DM80" s="403"/>
      <c r="DN80" s="403"/>
      <c r="DO80" s="403"/>
      <c r="DP80" s="403"/>
      <c r="DQ80" s="403"/>
      <c r="DR80" s="403"/>
      <c r="DS80" s="403"/>
      <c r="DT80" s="403"/>
      <c r="DU80" s="403"/>
      <c r="DV80" s="403"/>
      <c r="DW80" s="403"/>
      <c r="DX80" s="403"/>
      <c r="DY80" s="403"/>
      <c r="DZ80" s="403"/>
      <c r="EA80" s="403"/>
      <c r="EB80" s="403"/>
      <c r="EC80" s="403"/>
      <c r="ED80" s="403"/>
      <c r="EE80" s="403"/>
      <c r="EF80" s="403"/>
      <c r="EG80" s="403"/>
      <c r="EH80" s="403"/>
      <c r="EI80" s="403"/>
      <c r="EJ80" s="403"/>
      <c r="EK80" s="403"/>
      <c r="EL80" s="403"/>
      <c r="EM80" s="403"/>
      <c r="EN80" s="403"/>
      <c r="EO80" s="403"/>
      <c r="EP80" s="403"/>
      <c r="EQ80" s="403"/>
      <c r="ER80" s="403"/>
      <c r="ES80" s="403"/>
      <c r="ET80" s="403"/>
      <c r="EU80" s="403"/>
      <c r="EV80" s="403"/>
      <c r="EW80" s="403"/>
      <c r="EX80" s="403"/>
      <c r="EY80" s="403"/>
      <c r="EZ80" s="403"/>
      <c r="FA80" s="403"/>
      <c r="FB80" s="403"/>
      <c r="FC80" s="403"/>
      <c r="FD80" s="403"/>
      <c r="FE80" s="403"/>
      <c r="FF80" s="403"/>
      <c r="FG80" s="403"/>
      <c r="FH80" s="403"/>
      <c r="FI80" s="403"/>
      <c r="FJ80" s="403"/>
      <c r="FK80" s="403"/>
      <c r="FL80" s="403"/>
      <c r="FM80" s="403"/>
      <c r="FN80" s="403"/>
      <c r="FO80" s="403"/>
      <c r="FP80" s="403"/>
      <c r="FQ80" s="403"/>
      <c r="FR80" s="403"/>
      <c r="FS80" s="403"/>
      <c r="FT80" s="403"/>
      <c r="FU80" s="403"/>
      <c r="FV80" s="403"/>
      <c r="FW80" s="403"/>
      <c r="FX80" s="403"/>
      <c r="FY80" s="403"/>
      <c r="FZ80" s="403"/>
      <c r="GA80" s="403"/>
      <c r="GB80" s="403"/>
      <c r="GC80" s="403"/>
      <c r="GD80" s="403"/>
      <c r="GE80" s="403"/>
      <c r="GF80" s="403"/>
      <c r="GG80" s="403"/>
      <c r="GH80" s="403"/>
      <c r="GI80" s="403"/>
      <c r="GJ80" s="403"/>
      <c r="GK80" s="403"/>
      <c r="GL80" s="403"/>
      <c r="GM80" s="403"/>
      <c r="GN80" s="403"/>
      <c r="GO80" s="403"/>
      <c r="GP80" s="403"/>
      <c r="GQ80" s="403"/>
      <c r="GR80" s="403"/>
      <c r="GS80" s="403"/>
      <c r="GT80" s="403"/>
      <c r="GU80" s="403"/>
      <c r="GV80" s="403"/>
      <c r="GW80" s="403"/>
      <c r="GX80" s="403"/>
      <c r="GY80" s="403"/>
      <c r="GZ80" s="403"/>
      <c r="HA80" s="403"/>
      <c r="HB80" s="403"/>
      <c r="HC80" s="403"/>
      <c r="HD80" s="403"/>
      <c r="HE80" s="403"/>
      <c r="HF80" s="403"/>
      <c r="HG80" s="403"/>
      <c r="HH80" s="403"/>
      <c r="HI80" s="403"/>
      <c r="HJ80" s="403"/>
      <c r="HK80" s="403"/>
      <c r="HL80" s="403"/>
      <c r="HM80" s="403"/>
      <c r="HN80" s="403"/>
      <c r="HO80" s="403"/>
      <c r="HP80" s="403"/>
      <c r="HQ80" s="403"/>
      <c r="HR80" s="403"/>
      <c r="HS80" s="403"/>
      <c r="HT80" s="403"/>
      <c r="HU80" s="403"/>
      <c r="HV80" s="403"/>
      <c r="HW80" s="403"/>
      <c r="HX80" s="403"/>
      <c r="HY80" s="403"/>
      <c r="HZ80" s="403"/>
      <c r="IA80" s="403"/>
      <c r="IB80" s="403"/>
      <c r="IC80" s="403"/>
      <c r="ID80" s="403"/>
      <c r="IE80" s="403"/>
      <c r="IF80" s="403"/>
      <c r="IG80" s="403"/>
      <c r="IH80" s="403"/>
      <c r="II80" s="403"/>
      <c r="IJ80" s="403"/>
      <c r="IK80" s="403"/>
      <c r="IL80" s="403"/>
      <c r="IM80" s="403"/>
      <c r="IN80" s="403"/>
      <c r="IO80" s="403"/>
      <c r="IP80" s="403"/>
      <c r="IQ80" s="403"/>
      <c r="IR80" s="403"/>
      <c r="IS80" s="403"/>
      <c r="IT80" s="403"/>
      <c r="IU80" s="403"/>
      <c r="IV80" s="403"/>
      <c r="IW80" s="403"/>
    </row>
    <row r="81" customFormat="false" ht="11.25" hidden="false" customHeight="false" outlineLevel="0" collapsed="false">
      <c r="A81" s="419"/>
      <c r="B81" s="403"/>
      <c r="C81" s="403"/>
      <c r="D81" s="403"/>
      <c r="E81" s="419"/>
      <c r="F81" s="403"/>
      <c r="G81" s="403"/>
      <c r="H81" s="403"/>
      <c r="I81" s="403"/>
      <c r="J81" s="403"/>
      <c r="K81" s="403"/>
      <c r="L81" s="403"/>
      <c r="M81" s="403"/>
      <c r="N81" s="403"/>
      <c r="O81" s="403"/>
      <c r="P81" s="403"/>
      <c r="Q81" s="403"/>
      <c r="R81" s="403"/>
      <c r="S81" s="403"/>
      <c r="T81" s="403"/>
      <c r="U81" s="403"/>
      <c r="V81" s="403"/>
      <c r="W81" s="403"/>
      <c r="X81" s="403"/>
      <c r="Y81" s="403"/>
      <c r="Z81" s="403"/>
      <c r="AA81" s="403"/>
      <c r="AB81" s="403"/>
      <c r="AC81" s="403"/>
      <c r="AD81" s="403"/>
      <c r="AE81" s="403"/>
      <c r="AF81" s="403"/>
      <c r="AG81" s="403"/>
      <c r="AH81" s="403"/>
      <c r="AI81" s="403"/>
      <c r="AJ81" s="403"/>
      <c r="AK81" s="403"/>
      <c r="AL81" s="403"/>
      <c r="AM81" s="403"/>
      <c r="AN81" s="403"/>
      <c r="AO81" s="403"/>
      <c r="AP81" s="403"/>
      <c r="AQ81" s="403"/>
      <c r="AR81" s="403"/>
      <c r="AS81" s="403"/>
      <c r="AT81" s="403"/>
      <c r="AU81" s="403"/>
      <c r="AV81" s="403"/>
      <c r="AW81" s="403"/>
      <c r="AX81" s="403"/>
      <c r="AY81" s="403"/>
      <c r="AZ81" s="403"/>
      <c r="BA81" s="403"/>
      <c r="BB81" s="403"/>
      <c r="BC81" s="403"/>
      <c r="BD81" s="403"/>
      <c r="BE81" s="403"/>
      <c r="BF81" s="403"/>
      <c r="BG81" s="403"/>
      <c r="BH81" s="403"/>
      <c r="BI81" s="403"/>
      <c r="BJ81" s="403"/>
      <c r="BK81" s="403"/>
      <c r="BL81" s="403"/>
      <c r="BM81" s="403"/>
      <c r="BN81" s="403"/>
      <c r="BO81" s="403"/>
      <c r="BP81" s="403"/>
      <c r="BQ81" s="403"/>
      <c r="BR81" s="403"/>
      <c r="BS81" s="403"/>
      <c r="BT81" s="403"/>
      <c r="BU81" s="403"/>
      <c r="BV81" s="403"/>
      <c r="BW81" s="403"/>
      <c r="BX81" s="403"/>
      <c r="BY81" s="403"/>
      <c r="BZ81" s="403"/>
      <c r="CA81" s="403"/>
      <c r="CB81" s="403"/>
      <c r="CC81" s="403"/>
      <c r="CD81" s="403"/>
      <c r="CE81" s="403"/>
      <c r="CF81" s="403"/>
      <c r="CG81" s="403"/>
      <c r="CH81" s="403"/>
      <c r="CI81" s="403"/>
      <c r="CJ81" s="403"/>
      <c r="CK81" s="403"/>
      <c r="CL81" s="403"/>
      <c r="CM81" s="403"/>
      <c r="CN81" s="403"/>
      <c r="CO81" s="403"/>
      <c r="CP81" s="403"/>
      <c r="CQ81" s="403"/>
      <c r="CR81" s="403"/>
      <c r="CS81" s="403"/>
      <c r="CT81" s="403"/>
      <c r="CU81" s="403"/>
      <c r="CV81" s="403"/>
      <c r="CW81" s="403"/>
      <c r="CX81" s="403"/>
      <c r="CY81" s="403"/>
      <c r="CZ81" s="403"/>
      <c r="DA81" s="403"/>
      <c r="DB81" s="403"/>
      <c r="DC81" s="403"/>
      <c r="DD81" s="403"/>
      <c r="DE81" s="403"/>
      <c r="DF81" s="403"/>
      <c r="DG81" s="403"/>
      <c r="DH81" s="403"/>
      <c r="DI81" s="403"/>
      <c r="DJ81" s="403"/>
      <c r="DK81" s="403"/>
      <c r="DL81" s="403"/>
      <c r="DM81" s="403"/>
      <c r="DN81" s="403"/>
      <c r="DO81" s="403"/>
      <c r="DP81" s="403"/>
      <c r="DQ81" s="403"/>
      <c r="DR81" s="403"/>
      <c r="DS81" s="403"/>
      <c r="DT81" s="403"/>
      <c r="DU81" s="403"/>
      <c r="DV81" s="403"/>
      <c r="DW81" s="403"/>
      <c r="DX81" s="403"/>
      <c r="DY81" s="403"/>
      <c r="DZ81" s="403"/>
      <c r="EA81" s="403"/>
      <c r="EB81" s="403"/>
      <c r="EC81" s="403"/>
      <c r="ED81" s="403"/>
      <c r="EE81" s="403"/>
      <c r="EF81" s="403"/>
      <c r="EG81" s="403"/>
      <c r="EH81" s="403"/>
      <c r="EI81" s="403"/>
      <c r="EJ81" s="403"/>
      <c r="EK81" s="403"/>
      <c r="EL81" s="403"/>
      <c r="EM81" s="403"/>
      <c r="EN81" s="403"/>
      <c r="EO81" s="403"/>
      <c r="EP81" s="403"/>
      <c r="EQ81" s="403"/>
      <c r="ER81" s="403"/>
      <c r="ES81" s="403"/>
      <c r="ET81" s="403"/>
      <c r="EU81" s="403"/>
      <c r="EV81" s="403"/>
      <c r="EW81" s="403"/>
      <c r="EX81" s="403"/>
      <c r="EY81" s="403"/>
      <c r="EZ81" s="403"/>
      <c r="FA81" s="403"/>
      <c r="FB81" s="403"/>
      <c r="FC81" s="403"/>
      <c r="FD81" s="403"/>
      <c r="FE81" s="403"/>
      <c r="FF81" s="403"/>
      <c r="FG81" s="403"/>
      <c r="FH81" s="403"/>
      <c r="FI81" s="403"/>
      <c r="FJ81" s="403"/>
      <c r="FK81" s="403"/>
      <c r="FL81" s="403"/>
      <c r="FM81" s="403"/>
      <c r="FN81" s="403"/>
      <c r="FO81" s="403"/>
      <c r="FP81" s="403"/>
      <c r="FQ81" s="403"/>
      <c r="FR81" s="403"/>
      <c r="FS81" s="403"/>
      <c r="FT81" s="403"/>
      <c r="FU81" s="403"/>
      <c r="FV81" s="403"/>
      <c r="FW81" s="403"/>
      <c r="FX81" s="403"/>
      <c r="FY81" s="403"/>
      <c r="FZ81" s="403"/>
      <c r="GA81" s="403"/>
      <c r="GB81" s="403"/>
      <c r="GC81" s="403"/>
      <c r="GD81" s="403"/>
      <c r="GE81" s="403"/>
      <c r="GF81" s="403"/>
      <c r="GG81" s="403"/>
      <c r="GH81" s="403"/>
      <c r="GI81" s="403"/>
      <c r="GJ81" s="403"/>
      <c r="GK81" s="403"/>
      <c r="GL81" s="403"/>
      <c r="GM81" s="403"/>
      <c r="GN81" s="403"/>
      <c r="GO81" s="403"/>
      <c r="GP81" s="403"/>
      <c r="GQ81" s="403"/>
      <c r="GR81" s="403"/>
      <c r="GS81" s="403"/>
      <c r="GT81" s="403"/>
      <c r="GU81" s="403"/>
      <c r="GV81" s="403"/>
      <c r="GW81" s="403"/>
      <c r="GX81" s="403"/>
      <c r="GY81" s="403"/>
      <c r="GZ81" s="403"/>
      <c r="HA81" s="403"/>
      <c r="HB81" s="403"/>
      <c r="HC81" s="403"/>
      <c r="HD81" s="403"/>
      <c r="HE81" s="403"/>
      <c r="HF81" s="403"/>
      <c r="HG81" s="403"/>
      <c r="HH81" s="403"/>
      <c r="HI81" s="403"/>
      <c r="HJ81" s="403"/>
      <c r="HK81" s="403"/>
      <c r="HL81" s="403"/>
      <c r="HM81" s="403"/>
      <c r="HN81" s="403"/>
      <c r="HO81" s="403"/>
      <c r="HP81" s="403"/>
      <c r="HQ81" s="403"/>
      <c r="HR81" s="403"/>
      <c r="HS81" s="403"/>
      <c r="HT81" s="403"/>
      <c r="HU81" s="403"/>
      <c r="HV81" s="403"/>
      <c r="HW81" s="403"/>
      <c r="HX81" s="403"/>
      <c r="HY81" s="403"/>
      <c r="HZ81" s="403"/>
      <c r="IA81" s="403"/>
      <c r="IB81" s="403"/>
      <c r="IC81" s="403"/>
      <c r="ID81" s="403"/>
      <c r="IE81" s="403"/>
      <c r="IF81" s="403"/>
      <c r="IG81" s="403"/>
      <c r="IH81" s="403"/>
      <c r="II81" s="403"/>
      <c r="IJ81" s="403"/>
      <c r="IK81" s="403"/>
      <c r="IL81" s="403"/>
      <c r="IM81" s="403"/>
      <c r="IN81" s="403"/>
      <c r="IO81" s="403"/>
      <c r="IP81" s="403"/>
      <c r="IQ81" s="403"/>
      <c r="IR81" s="403"/>
      <c r="IS81" s="403"/>
      <c r="IT81" s="403"/>
      <c r="IU81" s="403"/>
      <c r="IV81" s="403"/>
      <c r="IW81" s="403"/>
    </row>
    <row r="82" customFormat="false" ht="11.25" hidden="false" customHeight="false" outlineLevel="0" collapsed="false">
      <c r="A82" s="419"/>
      <c r="B82" s="403"/>
      <c r="C82" s="403"/>
      <c r="D82" s="403"/>
      <c r="E82" s="419"/>
      <c r="F82" s="403"/>
      <c r="G82" s="403"/>
      <c r="H82" s="403"/>
      <c r="I82" s="403"/>
      <c r="J82" s="403"/>
      <c r="K82" s="403"/>
      <c r="L82" s="403"/>
      <c r="M82" s="403"/>
      <c r="N82" s="403"/>
      <c r="O82" s="403"/>
      <c r="P82" s="403"/>
      <c r="Q82" s="403"/>
      <c r="R82" s="403"/>
      <c r="S82" s="403"/>
      <c r="T82" s="403"/>
      <c r="U82" s="403"/>
      <c r="V82" s="403"/>
      <c r="W82" s="403"/>
      <c r="X82" s="403"/>
      <c r="Y82" s="403"/>
      <c r="Z82" s="403"/>
      <c r="AA82" s="403"/>
      <c r="AB82" s="403"/>
      <c r="AC82" s="403"/>
      <c r="AD82" s="403"/>
      <c r="AE82" s="403"/>
      <c r="AF82" s="403"/>
      <c r="AG82" s="403"/>
      <c r="AH82" s="403"/>
      <c r="AI82" s="403"/>
      <c r="AJ82" s="403"/>
      <c r="AK82" s="403"/>
      <c r="AL82" s="403"/>
      <c r="AM82" s="403"/>
      <c r="AN82" s="403"/>
      <c r="AO82" s="403"/>
      <c r="AP82" s="403"/>
      <c r="AQ82" s="403"/>
      <c r="AR82" s="403"/>
      <c r="AS82" s="403"/>
      <c r="AT82" s="403"/>
      <c r="AU82" s="403"/>
      <c r="AV82" s="403"/>
      <c r="AW82" s="403"/>
      <c r="AX82" s="403"/>
      <c r="AY82" s="403"/>
      <c r="AZ82" s="403"/>
      <c r="BA82" s="403"/>
      <c r="BB82" s="403"/>
      <c r="BC82" s="403"/>
      <c r="BD82" s="403"/>
      <c r="BE82" s="403"/>
      <c r="BF82" s="403"/>
      <c r="BG82" s="403"/>
      <c r="BH82" s="403"/>
      <c r="BI82" s="403"/>
      <c r="BJ82" s="403"/>
      <c r="BK82" s="403"/>
      <c r="BL82" s="403"/>
      <c r="BM82" s="403"/>
      <c r="BN82" s="403"/>
      <c r="BO82" s="403"/>
      <c r="BP82" s="403"/>
      <c r="BQ82" s="403"/>
      <c r="BR82" s="403"/>
      <c r="BS82" s="403"/>
      <c r="BT82" s="403"/>
      <c r="BU82" s="403"/>
      <c r="BV82" s="403"/>
      <c r="BW82" s="403"/>
      <c r="BX82" s="403"/>
      <c r="BY82" s="403"/>
      <c r="BZ82" s="403"/>
      <c r="CA82" s="403"/>
      <c r="CB82" s="403"/>
      <c r="CC82" s="403"/>
      <c r="CD82" s="403"/>
      <c r="CE82" s="403"/>
      <c r="CF82" s="403"/>
      <c r="CG82" s="403"/>
      <c r="CH82" s="403"/>
      <c r="CI82" s="403"/>
      <c r="CJ82" s="403"/>
      <c r="CK82" s="403"/>
      <c r="CL82" s="403"/>
      <c r="CM82" s="403"/>
      <c r="CN82" s="403"/>
      <c r="CO82" s="403"/>
      <c r="CP82" s="403"/>
      <c r="CQ82" s="403"/>
      <c r="CR82" s="403"/>
      <c r="CS82" s="403"/>
      <c r="CT82" s="403"/>
      <c r="CU82" s="403"/>
      <c r="CV82" s="403"/>
      <c r="CW82" s="403"/>
      <c r="CX82" s="403"/>
      <c r="CY82" s="403"/>
      <c r="CZ82" s="403"/>
      <c r="DA82" s="403"/>
      <c r="DB82" s="403"/>
      <c r="DC82" s="403"/>
      <c r="DD82" s="403"/>
      <c r="DE82" s="403"/>
      <c r="DF82" s="403"/>
      <c r="DG82" s="403"/>
      <c r="DH82" s="403"/>
      <c r="DI82" s="403"/>
      <c r="DJ82" s="403"/>
      <c r="DK82" s="403"/>
      <c r="DL82" s="403"/>
      <c r="DM82" s="403"/>
      <c r="DN82" s="403"/>
      <c r="DO82" s="403"/>
      <c r="DP82" s="403"/>
      <c r="DQ82" s="403"/>
      <c r="DR82" s="403"/>
      <c r="DS82" s="403"/>
      <c r="DT82" s="403"/>
      <c r="DU82" s="403"/>
      <c r="DV82" s="403"/>
      <c r="DW82" s="403"/>
      <c r="DX82" s="403"/>
      <c r="DY82" s="403"/>
      <c r="DZ82" s="403"/>
      <c r="EA82" s="403"/>
      <c r="EB82" s="403"/>
      <c r="EC82" s="403"/>
      <c r="ED82" s="403"/>
      <c r="EE82" s="403"/>
      <c r="EF82" s="403"/>
      <c r="EG82" s="403"/>
      <c r="EH82" s="403"/>
      <c r="EI82" s="403"/>
      <c r="EJ82" s="403"/>
      <c r="EK82" s="403"/>
      <c r="EL82" s="403"/>
      <c r="EM82" s="403"/>
      <c r="EN82" s="403"/>
      <c r="EO82" s="403"/>
      <c r="EP82" s="403"/>
      <c r="EQ82" s="403"/>
      <c r="ER82" s="403"/>
      <c r="ES82" s="403"/>
      <c r="ET82" s="403"/>
      <c r="EU82" s="403"/>
      <c r="EV82" s="403"/>
      <c r="EW82" s="403"/>
      <c r="EX82" s="403"/>
      <c r="EY82" s="403"/>
      <c r="EZ82" s="403"/>
      <c r="FA82" s="403"/>
      <c r="FB82" s="403"/>
      <c r="FC82" s="403"/>
      <c r="FD82" s="403"/>
      <c r="FE82" s="403"/>
      <c r="FF82" s="403"/>
      <c r="FG82" s="403"/>
      <c r="FH82" s="403"/>
      <c r="FI82" s="403"/>
      <c r="FJ82" s="403"/>
      <c r="FK82" s="403"/>
      <c r="FL82" s="403"/>
      <c r="FM82" s="403"/>
      <c r="FN82" s="403"/>
      <c r="FO82" s="403"/>
      <c r="FP82" s="403"/>
      <c r="FQ82" s="403"/>
      <c r="FR82" s="403"/>
      <c r="FS82" s="403"/>
      <c r="FT82" s="403"/>
      <c r="FU82" s="403"/>
      <c r="FV82" s="403"/>
      <c r="FW82" s="403"/>
      <c r="FX82" s="403"/>
      <c r="FY82" s="403"/>
      <c r="FZ82" s="403"/>
      <c r="GA82" s="403"/>
      <c r="GB82" s="403"/>
      <c r="GC82" s="403"/>
      <c r="GD82" s="403"/>
      <c r="GE82" s="403"/>
      <c r="GF82" s="403"/>
      <c r="GG82" s="403"/>
      <c r="GH82" s="403"/>
      <c r="GI82" s="403"/>
      <c r="GJ82" s="403"/>
      <c r="GK82" s="403"/>
      <c r="GL82" s="403"/>
      <c r="GM82" s="403"/>
      <c r="GN82" s="403"/>
      <c r="GO82" s="403"/>
      <c r="GP82" s="403"/>
      <c r="GQ82" s="403"/>
      <c r="GR82" s="403"/>
      <c r="GS82" s="403"/>
      <c r="GT82" s="403"/>
      <c r="GU82" s="403"/>
      <c r="GV82" s="403"/>
      <c r="GW82" s="403"/>
      <c r="GX82" s="403"/>
      <c r="GY82" s="403"/>
      <c r="GZ82" s="403"/>
      <c r="HA82" s="403"/>
      <c r="HB82" s="403"/>
      <c r="HC82" s="403"/>
      <c r="HD82" s="403"/>
      <c r="HE82" s="403"/>
      <c r="HF82" s="403"/>
      <c r="HG82" s="403"/>
      <c r="HH82" s="403"/>
      <c r="HI82" s="403"/>
      <c r="HJ82" s="403"/>
      <c r="HK82" s="403"/>
      <c r="HL82" s="403"/>
      <c r="HM82" s="403"/>
      <c r="HN82" s="403"/>
      <c r="HO82" s="403"/>
      <c r="HP82" s="403"/>
      <c r="HQ82" s="403"/>
      <c r="HR82" s="403"/>
      <c r="HS82" s="403"/>
      <c r="HT82" s="403"/>
      <c r="HU82" s="403"/>
      <c r="HV82" s="403"/>
      <c r="HW82" s="403"/>
      <c r="HX82" s="403"/>
      <c r="HY82" s="403"/>
      <c r="HZ82" s="403"/>
      <c r="IA82" s="403"/>
      <c r="IB82" s="403"/>
      <c r="IC82" s="403"/>
      <c r="ID82" s="403"/>
      <c r="IE82" s="403"/>
      <c r="IF82" s="403"/>
      <c r="IG82" s="403"/>
      <c r="IH82" s="403"/>
      <c r="II82" s="403"/>
      <c r="IJ82" s="403"/>
      <c r="IK82" s="403"/>
      <c r="IL82" s="403"/>
      <c r="IM82" s="403"/>
      <c r="IN82" s="403"/>
      <c r="IO82" s="403"/>
      <c r="IP82" s="403"/>
      <c r="IQ82" s="403"/>
      <c r="IR82" s="403"/>
      <c r="IS82" s="403"/>
      <c r="IT82" s="403"/>
      <c r="IU82" s="403"/>
      <c r="IV82" s="403"/>
      <c r="IW82" s="403"/>
    </row>
    <row r="83" customFormat="false" ht="11.25" hidden="false" customHeight="false" outlineLevel="0" collapsed="false">
      <c r="A83" s="419"/>
      <c r="B83" s="403"/>
      <c r="C83" s="403"/>
      <c r="D83" s="403"/>
      <c r="E83" s="419"/>
      <c r="F83" s="403"/>
      <c r="G83" s="403"/>
      <c r="H83" s="403"/>
      <c r="I83" s="403"/>
      <c r="J83" s="403"/>
      <c r="K83" s="403"/>
      <c r="L83" s="403"/>
      <c r="M83" s="403"/>
      <c r="N83" s="403"/>
      <c r="O83" s="403"/>
      <c r="P83" s="403"/>
      <c r="Q83" s="403"/>
      <c r="R83" s="403"/>
      <c r="S83" s="403"/>
      <c r="T83" s="403"/>
      <c r="U83" s="403"/>
      <c r="V83" s="403"/>
      <c r="W83" s="403"/>
      <c r="X83" s="403"/>
      <c r="Y83" s="403"/>
      <c r="Z83" s="403"/>
      <c r="AA83" s="403"/>
      <c r="AB83" s="403"/>
      <c r="AC83" s="403"/>
      <c r="AD83" s="403"/>
      <c r="AE83" s="403"/>
      <c r="AF83" s="403"/>
      <c r="AG83" s="403"/>
      <c r="AH83" s="403"/>
      <c r="AI83" s="403"/>
      <c r="AJ83" s="403"/>
      <c r="AK83" s="403"/>
      <c r="AL83" s="403"/>
      <c r="AM83" s="403"/>
      <c r="AN83" s="403"/>
      <c r="AO83" s="403"/>
      <c r="AP83" s="403"/>
      <c r="AQ83" s="403"/>
      <c r="AR83" s="403"/>
      <c r="AS83" s="403"/>
      <c r="AT83" s="403"/>
      <c r="AU83" s="403"/>
      <c r="AV83" s="403"/>
      <c r="AW83" s="403"/>
      <c r="AX83" s="403"/>
      <c r="AY83" s="403"/>
      <c r="AZ83" s="403"/>
      <c r="BA83" s="403"/>
      <c r="BB83" s="403"/>
      <c r="BC83" s="403"/>
      <c r="BD83" s="403"/>
      <c r="BE83" s="403"/>
      <c r="BF83" s="403"/>
      <c r="BG83" s="403"/>
      <c r="BH83" s="403"/>
      <c r="BI83" s="403"/>
      <c r="BJ83" s="403"/>
      <c r="BK83" s="403"/>
      <c r="BL83" s="403"/>
      <c r="BM83" s="403"/>
      <c r="BN83" s="403"/>
      <c r="BO83" s="403"/>
      <c r="BP83" s="403"/>
      <c r="BQ83" s="403"/>
      <c r="BR83" s="403"/>
      <c r="BS83" s="403"/>
      <c r="BT83" s="403"/>
      <c r="BU83" s="403"/>
      <c r="BV83" s="403"/>
      <c r="BW83" s="403"/>
      <c r="BX83" s="403"/>
      <c r="BY83" s="403"/>
      <c r="BZ83" s="403"/>
      <c r="CA83" s="403"/>
      <c r="CB83" s="403"/>
      <c r="CC83" s="403"/>
      <c r="CD83" s="403"/>
      <c r="CE83" s="403"/>
      <c r="CF83" s="403"/>
      <c r="CG83" s="403"/>
      <c r="CH83" s="403"/>
      <c r="CI83" s="403"/>
      <c r="CJ83" s="403"/>
      <c r="CK83" s="403"/>
      <c r="CL83" s="403"/>
      <c r="CM83" s="403"/>
      <c r="CN83" s="403"/>
      <c r="CO83" s="403"/>
      <c r="CP83" s="403"/>
      <c r="CQ83" s="403"/>
      <c r="CR83" s="403"/>
      <c r="CS83" s="403"/>
      <c r="CT83" s="403"/>
      <c r="CU83" s="403"/>
      <c r="CV83" s="403"/>
      <c r="CW83" s="403"/>
      <c r="CX83" s="403"/>
      <c r="CY83" s="403"/>
      <c r="CZ83" s="403"/>
      <c r="DA83" s="403"/>
      <c r="DB83" s="403"/>
      <c r="DC83" s="403"/>
      <c r="DD83" s="403"/>
      <c r="DE83" s="403"/>
      <c r="DF83" s="403"/>
      <c r="DG83" s="403"/>
      <c r="DH83" s="403"/>
      <c r="DI83" s="403"/>
      <c r="DJ83" s="403"/>
      <c r="DK83" s="403"/>
      <c r="DL83" s="403"/>
      <c r="DM83" s="403"/>
      <c r="DN83" s="403"/>
      <c r="DO83" s="403"/>
      <c r="DP83" s="403"/>
      <c r="DQ83" s="403"/>
      <c r="DR83" s="403"/>
      <c r="DS83" s="403"/>
      <c r="DT83" s="403"/>
      <c r="DU83" s="403"/>
      <c r="DV83" s="403"/>
      <c r="DW83" s="403"/>
      <c r="DX83" s="403"/>
      <c r="DY83" s="403"/>
      <c r="DZ83" s="403"/>
      <c r="EA83" s="403"/>
      <c r="EB83" s="403"/>
      <c r="EC83" s="403"/>
      <c r="ED83" s="403"/>
      <c r="EE83" s="403"/>
      <c r="EF83" s="403"/>
      <c r="EG83" s="403"/>
      <c r="EH83" s="403"/>
      <c r="EI83" s="403"/>
      <c r="EJ83" s="403"/>
      <c r="EK83" s="403"/>
      <c r="EL83" s="403"/>
      <c r="EM83" s="403"/>
      <c r="EN83" s="403"/>
      <c r="EO83" s="403"/>
      <c r="EP83" s="403"/>
      <c r="EQ83" s="403"/>
      <c r="ER83" s="403"/>
      <c r="ES83" s="403"/>
      <c r="ET83" s="403"/>
      <c r="EU83" s="403"/>
      <c r="EV83" s="403"/>
      <c r="EW83" s="403"/>
      <c r="EX83" s="403"/>
      <c r="EY83" s="403"/>
      <c r="EZ83" s="403"/>
      <c r="FA83" s="403"/>
      <c r="FB83" s="403"/>
      <c r="FC83" s="403"/>
      <c r="FD83" s="403"/>
      <c r="FE83" s="403"/>
      <c r="FF83" s="403"/>
      <c r="FG83" s="403"/>
      <c r="FH83" s="403"/>
      <c r="FI83" s="403"/>
      <c r="FJ83" s="403"/>
      <c r="FK83" s="403"/>
      <c r="FL83" s="403"/>
      <c r="FM83" s="403"/>
      <c r="FN83" s="403"/>
      <c r="FO83" s="403"/>
      <c r="FP83" s="403"/>
      <c r="FQ83" s="403"/>
      <c r="FR83" s="403"/>
      <c r="FS83" s="403"/>
      <c r="FT83" s="403"/>
      <c r="FU83" s="403"/>
      <c r="FV83" s="403"/>
      <c r="FW83" s="403"/>
      <c r="FX83" s="403"/>
      <c r="FY83" s="403"/>
      <c r="FZ83" s="403"/>
      <c r="GA83" s="403"/>
      <c r="GB83" s="403"/>
      <c r="GC83" s="403"/>
      <c r="GD83" s="403"/>
      <c r="GE83" s="403"/>
      <c r="GF83" s="403"/>
      <c r="GG83" s="403"/>
      <c r="GH83" s="403"/>
      <c r="GI83" s="403"/>
      <c r="GJ83" s="403"/>
      <c r="GK83" s="403"/>
      <c r="GL83" s="403"/>
      <c r="GM83" s="403"/>
      <c r="GN83" s="403"/>
      <c r="GO83" s="403"/>
      <c r="GP83" s="403"/>
      <c r="GQ83" s="403"/>
      <c r="GR83" s="403"/>
      <c r="GS83" s="403"/>
      <c r="GT83" s="403"/>
      <c r="GU83" s="403"/>
      <c r="GV83" s="403"/>
      <c r="GW83" s="403"/>
      <c r="GX83" s="403"/>
      <c r="GY83" s="403"/>
      <c r="GZ83" s="403"/>
      <c r="HA83" s="403"/>
      <c r="HB83" s="403"/>
      <c r="HC83" s="403"/>
      <c r="HD83" s="403"/>
      <c r="HE83" s="403"/>
      <c r="HF83" s="403"/>
      <c r="HG83" s="403"/>
      <c r="HH83" s="403"/>
      <c r="HI83" s="403"/>
      <c r="HJ83" s="403"/>
      <c r="HK83" s="403"/>
      <c r="HL83" s="403"/>
      <c r="HM83" s="403"/>
      <c r="HN83" s="403"/>
      <c r="HO83" s="403"/>
      <c r="HP83" s="403"/>
      <c r="HQ83" s="403"/>
      <c r="HR83" s="403"/>
      <c r="HS83" s="403"/>
      <c r="HT83" s="403"/>
      <c r="HU83" s="403"/>
      <c r="HV83" s="403"/>
      <c r="HW83" s="403"/>
      <c r="HX83" s="403"/>
      <c r="HY83" s="403"/>
      <c r="HZ83" s="403"/>
      <c r="IA83" s="403"/>
      <c r="IB83" s="403"/>
      <c r="IC83" s="403"/>
      <c r="ID83" s="403"/>
      <c r="IE83" s="403"/>
      <c r="IF83" s="403"/>
      <c r="IG83" s="403"/>
      <c r="IH83" s="403"/>
      <c r="II83" s="403"/>
      <c r="IJ83" s="403"/>
      <c r="IK83" s="403"/>
      <c r="IL83" s="403"/>
      <c r="IM83" s="403"/>
      <c r="IN83" s="403"/>
      <c r="IO83" s="403"/>
      <c r="IP83" s="403"/>
      <c r="IQ83" s="403"/>
      <c r="IR83" s="403"/>
      <c r="IS83" s="403"/>
      <c r="IT83" s="403"/>
      <c r="IU83" s="403"/>
      <c r="IV83" s="403"/>
      <c r="IW83" s="403"/>
    </row>
    <row r="84" customFormat="false" ht="11.25" hidden="false" customHeight="false" outlineLevel="0" collapsed="false">
      <c r="A84" s="419"/>
      <c r="B84" s="403"/>
      <c r="C84" s="403"/>
      <c r="D84" s="403"/>
      <c r="E84" s="419"/>
      <c r="F84" s="403"/>
      <c r="G84" s="403"/>
      <c r="H84" s="403"/>
      <c r="I84" s="403"/>
      <c r="J84" s="403"/>
      <c r="K84" s="403"/>
      <c r="L84" s="403"/>
      <c r="M84" s="403"/>
      <c r="N84" s="403"/>
      <c r="O84" s="403"/>
      <c r="P84" s="403"/>
      <c r="Q84" s="403"/>
      <c r="R84" s="403"/>
      <c r="S84" s="403"/>
      <c r="T84" s="403"/>
      <c r="U84" s="403"/>
      <c r="V84" s="403"/>
      <c r="W84" s="403"/>
      <c r="X84" s="403"/>
      <c r="Y84" s="403"/>
      <c r="Z84" s="403"/>
      <c r="AA84" s="403"/>
      <c r="AB84" s="403"/>
      <c r="AC84" s="403"/>
      <c r="AD84" s="403"/>
      <c r="AE84" s="403"/>
      <c r="AF84" s="403"/>
      <c r="AG84" s="403"/>
      <c r="AH84" s="403"/>
      <c r="AI84" s="403"/>
      <c r="AJ84" s="403"/>
      <c r="AK84" s="403"/>
      <c r="AL84" s="403"/>
      <c r="AM84" s="403"/>
      <c r="AN84" s="403"/>
      <c r="AO84" s="403"/>
      <c r="AP84" s="403"/>
      <c r="AQ84" s="403"/>
      <c r="AR84" s="403"/>
      <c r="AS84" s="403"/>
      <c r="AT84" s="403"/>
      <c r="AU84" s="403"/>
      <c r="AV84" s="403"/>
      <c r="AW84" s="403"/>
      <c r="AX84" s="403"/>
      <c r="AY84" s="403"/>
      <c r="AZ84" s="403"/>
      <c r="BA84" s="403"/>
      <c r="BB84" s="403"/>
      <c r="BC84" s="403"/>
      <c r="BD84" s="403"/>
      <c r="BE84" s="403"/>
      <c r="BF84" s="403"/>
      <c r="BG84" s="403"/>
      <c r="BH84" s="403"/>
      <c r="BI84" s="403"/>
      <c r="BJ84" s="403"/>
      <c r="BK84" s="403"/>
      <c r="BL84" s="403"/>
      <c r="BM84" s="403"/>
      <c r="BN84" s="403"/>
      <c r="BO84" s="403"/>
      <c r="BP84" s="403"/>
      <c r="BQ84" s="403"/>
      <c r="BR84" s="403"/>
      <c r="BS84" s="403"/>
      <c r="BT84" s="403"/>
      <c r="BU84" s="403"/>
      <c r="BV84" s="403"/>
      <c r="BW84" s="403"/>
      <c r="BX84" s="403"/>
      <c r="BY84" s="403"/>
      <c r="BZ84" s="403"/>
      <c r="CA84" s="403"/>
      <c r="CB84" s="403"/>
      <c r="CC84" s="403"/>
      <c r="CD84" s="403"/>
      <c r="CE84" s="403"/>
      <c r="CF84" s="403"/>
      <c r="CG84" s="403"/>
      <c r="CH84" s="403"/>
      <c r="CI84" s="403"/>
      <c r="CJ84" s="403"/>
      <c r="CK84" s="403"/>
      <c r="CL84" s="403"/>
      <c r="CM84" s="403"/>
      <c r="CN84" s="403"/>
      <c r="CO84" s="403"/>
      <c r="CP84" s="403"/>
      <c r="CQ84" s="403"/>
      <c r="CR84" s="403"/>
      <c r="CS84" s="403"/>
      <c r="CT84" s="403"/>
      <c r="CU84" s="403"/>
      <c r="CV84" s="403"/>
      <c r="CW84" s="403"/>
      <c r="CX84" s="403"/>
      <c r="CY84" s="403"/>
      <c r="CZ84" s="403"/>
      <c r="DA84" s="403"/>
      <c r="DB84" s="403"/>
      <c r="DC84" s="403"/>
      <c r="DD84" s="403"/>
      <c r="DE84" s="403"/>
      <c r="DF84" s="403"/>
      <c r="DG84" s="403"/>
      <c r="DH84" s="403"/>
      <c r="DI84" s="403"/>
      <c r="DJ84" s="403"/>
      <c r="DK84" s="403"/>
      <c r="DL84" s="403"/>
      <c r="DM84" s="403"/>
      <c r="DN84" s="403"/>
      <c r="DO84" s="403"/>
      <c r="DP84" s="403"/>
      <c r="DQ84" s="403"/>
      <c r="DR84" s="403"/>
      <c r="DS84" s="403"/>
      <c r="DT84" s="403"/>
      <c r="DU84" s="403"/>
      <c r="DV84" s="403"/>
      <c r="DW84" s="403"/>
      <c r="DX84" s="403"/>
      <c r="DY84" s="403"/>
      <c r="DZ84" s="403"/>
      <c r="EA84" s="403"/>
      <c r="EB84" s="403"/>
      <c r="EC84" s="403"/>
      <c r="ED84" s="403"/>
      <c r="EE84" s="403"/>
      <c r="EF84" s="403"/>
      <c r="EG84" s="403"/>
      <c r="EH84" s="403"/>
      <c r="EI84" s="403"/>
      <c r="EJ84" s="403"/>
      <c r="EK84" s="403"/>
      <c r="EL84" s="403"/>
      <c r="EM84" s="403"/>
      <c r="EN84" s="403"/>
      <c r="EO84" s="403"/>
      <c r="EP84" s="403"/>
      <c r="EQ84" s="403"/>
      <c r="ER84" s="403"/>
      <c r="ES84" s="403"/>
      <c r="ET84" s="403"/>
      <c r="EU84" s="403"/>
      <c r="EV84" s="403"/>
      <c r="EW84" s="403"/>
      <c r="EX84" s="403"/>
      <c r="EY84" s="403"/>
      <c r="EZ84" s="403"/>
      <c r="FA84" s="403"/>
      <c r="FB84" s="403"/>
      <c r="FC84" s="403"/>
      <c r="FD84" s="403"/>
      <c r="FE84" s="403"/>
      <c r="FF84" s="403"/>
      <c r="FG84" s="403"/>
      <c r="FH84" s="403"/>
      <c r="FI84" s="403"/>
      <c r="FJ84" s="403"/>
      <c r="FK84" s="403"/>
      <c r="FL84" s="403"/>
      <c r="FM84" s="403"/>
      <c r="FN84" s="403"/>
      <c r="FO84" s="403"/>
      <c r="FP84" s="403"/>
      <c r="FQ84" s="403"/>
      <c r="FR84" s="403"/>
      <c r="FS84" s="403"/>
      <c r="FT84" s="403"/>
      <c r="FU84" s="403"/>
      <c r="FV84" s="403"/>
      <c r="FW84" s="403"/>
      <c r="FX84" s="403"/>
      <c r="FY84" s="403"/>
      <c r="FZ84" s="403"/>
      <c r="GA84" s="403"/>
      <c r="GB84" s="403"/>
      <c r="GC84" s="403"/>
      <c r="GD84" s="403"/>
      <c r="GE84" s="403"/>
      <c r="GF84" s="403"/>
      <c r="GG84" s="403"/>
      <c r="GH84" s="403"/>
      <c r="GI84" s="403"/>
      <c r="GJ84" s="403"/>
      <c r="GK84" s="403"/>
      <c r="GL84" s="403"/>
      <c r="GM84" s="403"/>
      <c r="GN84" s="403"/>
      <c r="GO84" s="403"/>
      <c r="GP84" s="403"/>
      <c r="GQ84" s="403"/>
      <c r="GR84" s="403"/>
      <c r="GS84" s="403"/>
      <c r="GT84" s="403"/>
      <c r="GU84" s="403"/>
      <c r="GV84" s="403"/>
      <c r="GW84" s="403"/>
      <c r="GX84" s="403"/>
      <c r="GY84" s="403"/>
      <c r="GZ84" s="403"/>
      <c r="HA84" s="403"/>
      <c r="HB84" s="403"/>
      <c r="HC84" s="403"/>
      <c r="HD84" s="403"/>
      <c r="HE84" s="403"/>
      <c r="HF84" s="403"/>
      <c r="HG84" s="403"/>
      <c r="HH84" s="403"/>
      <c r="HI84" s="403"/>
      <c r="HJ84" s="403"/>
      <c r="HK84" s="403"/>
      <c r="HL84" s="403"/>
      <c r="HM84" s="403"/>
      <c r="HN84" s="403"/>
      <c r="HO84" s="403"/>
      <c r="HP84" s="403"/>
      <c r="HQ84" s="403"/>
      <c r="HR84" s="403"/>
      <c r="HS84" s="403"/>
      <c r="HT84" s="403"/>
      <c r="HU84" s="403"/>
      <c r="HV84" s="403"/>
      <c r="HW84" s="403"/>
      <c r="HX84" s="403"/>
      <c r="HY84" s="403"/>
      <c r="HZ84" s="403"/>
      <c r="IA84" s="403"/>
      <c r="IB84" s="403"/>
      <c r="IC84" s="403"/>
      <c r="ID84" s="403"/>
      <c r="IE84" s="403"/>
      <c r="IF84" s="403"/>
      <c r="IG84" s="403"/>
      <c r="IH84" s="403"/>
      <c r="II84" s="403"/>
      <c r="IJ84" s="403"/>
      <c r="IK84" s="403"/>
      <c r="IL84" s="403"/>
      <c r="IM84" s="403"/>
      <c r="IN84" s="403"/>
      <c r="IO84" s="403"/>
      <c r="IP84" s="403"/>
      <c r="IQ84" s="403"/>
      <c r="IR84" s="403"/>
      <c r="IS84" s="403"/>
      <c r="IT84" s="403"/>
      <c r="IU84" s="403"/>
      <c r="IV84" s="403"/>
      <c r="IW84" s="403"/>
    </row>
    <row r="85" customFormat="false" ht="11.25" hidden="false" customHeight="false" outlineLevel="0" collapsed="false">
      <c r="A85" s="419"/>
      <c r="B85" s="403"/>
      <c r="C85" s="403"/>
      <c r="D85" s="403"/>
      <c r="E85" s="419"/>
      <c r="F85" s="403"/>
      <c r="G85" s="403"/>
      <c r="H85" s="403"/>
      <c r="I85" s="403"/>
      <c r="J85" s="403"/>
      <c r="K85" s="403"/>
      <c r="L85" s="403"/>
      <c r="M85" s="403"/>
      <c r="N85" s="403"/>
      <c r="O85" s="403"/>
      <c r="P85" s="403"/>
      <c r="Q85" s="403"/>
      <c r="R85" s="403"/>
      <c r="S85" s="403"/>
      <c r="T85" s="403"/>
      <c r="U85" s="403"/>
      <c r="V85" s="403"/>
      <c r="W85" s="403"/>
      <c r="X85" s="403"/>
      <c r="Y85" s="403"/>
      <c r="Z85" s="403"/>
      <c r="AA85" s="403"/>
      <c r="AB85" s="403"/>
      <c r="AC85" s="403"/>
      <c r="AD85" s="403"/>
      <c r="AE85" s="403"/>
      <c r="AF85" s="403"/>
      <c r="AG85" s="403"/>
      <c r="AH85" s="403"/>
      <c r="AI85" s="403"/>
      <c r="AJ85" s="403"/>
      <c r="AK85" s="403"/>
      <c r="AL85" s="403"/>
      <c r="AM85" s="403"/>
      <c r="AN85" s="403"/>
      <c r="AO85" s="403"/>
      <c r="AP85" s="403"/>
      <c r="AQ85" s="403"/>
      <c r="AR85" s="403"/>
      <c r="AS85" s="403"/>
      <c r="AT85" s="403"/>
      <c r="AU85" s="403"/>
      <c r="AV85" s="403"/>
      <c r="AW85" s="403"/>
      <c r="AX85" s="403"/>
      <c r="AY85" s="403"/>
      <c r="AZ85" s="403"/>
      <c r="BA85" s="403"/>
      <c r="BB85" s="403"/>
      <c r="BC85" s="403"/>
      <c r="BD85" s="403"/>
      <c r="BE85" s="403"/>
      <c r="BF85" s="403"/>
      <c r="BG85" s="403"/>
      <c r="BH85" s="403"/>
      <c r="BI85" s="403"/>
      <c r="BJ85" s="403"/>
      <c r="BK85" s="403"/>
      <c r="BL85" s="403"/>
      <c r="BM85" s="403"/>
      <c r="BN85" s="403"/>
      <c r="BO85" s="403"/>
      <c r="BP85" s="403"/>
      <c r="BQ85" s="403"/>
      <c r="BR85" s="403"/>
      <c r="BS85" s="403"/>
      <c r="BT85" s="403"/>
      <c r="BU85" s="403"/>
      <c r="BV85" s="403"/>
      <c r="BW85" s="403"/>
      <c r="BX85" s="403"/>
      <c r="BY85" s="403"/>
      <c r="BZ85" s="403"/>
      <c r="CA85" s="403"/>
      <c r="CB85" s="403"/>
      <c r="CC85" s="403"/>
      <c r="CD85" s="403"/>
      <c r="CE85" s="403"/>
      <c r="CF85" s="403"/>
      <c r="CG85" s="403"/>
      <c r="CH85" s="403"/>
      <c r="CI85" s="403"/>
      <c r="CJ85" s="403"/>
      <c r="CK85" s="403"/>
      <c r="CL85" s="403"/>
      <c r="CM85" s="403"/>
      <c r="CN85" s="403"/>
      <c r="CO85" s="403"/>
      <c r="CP85" s="403"/>
      <c r="CQ85" s="403"/>
      <c r="CR85" s="403"/>
      <c r="CS85" s="403"/>
      <c r="CT85" s="403"/>
      <c r="CU85" s="403"/>
      <c r="CV85" s="403"/>
      <c r="CW85" s="403"/>
      <c r="CX85" s="403"/>
      <c r="CY85" s="403"/>
      <c r="CZ85" s="403"/>
      <c r="DA85" s="403"/>
      <c r="DB85" s="403"/>
      <c r="DC85" s="403"/>
      <c r="DD85" s="403"/>
      <c r="DE85" s="403"/>
      <c r="DF85" s="403"/>
      <c r="DG85" s="403"/>
      <c r="DH85" s="403"/>
      <c r="DI85" s="403"/>
      <c r="DJ85" s="403"/>
      <c r="DK85" s="403"/>
      <c r="DL85" s="403"/>
      <c r="DM85" s="403"/>
      <c r="DN85" s="403"/>
      <c r="DO85" s="403"/>
      <c r="DP85" s="403"/>
      <c r="DQ85" s="403"/>
      <c r="DR85" s="403"/>
      <c r="DS85" s="403"/>
      <c r="DT85" s="403"/>
      <c r="DU85" s="403"/>
      <c r="DV85" s="403"/>
      <c r="DW85" s="403"/>
      <c r="DX85" s="403"/>
      <c r="DY85" s="403"/>
      <c r="DZ85" s="403"/>
      <c r="EA85" s="403"/>
      <c r="EB85" s="403"/>
      <c r="EC85" s="403"/>
      <c r="ED85" s="403"/>
      <c r="EE85" s="403"/>
      <c r="EF85" s="403"/>
      <c r="EG85" s="403"/>
      <c r="EH85" s="403"/>
      <c r="EI85" s="403"/>
      <c r="EJ85" s="403"/>
      <c r="EK85" s="403"/>
      <c r="EL85" s="403"/>
      <c r="EM85" s="403"/>
      <c r="EN85" s="403"/>
      <c r="EO85" s="403"/>
      <c r="EP85" s="403"/>
      <c r="EQ85" s="403"/>
      <c r="ER85" s="403"/>
      <c r="ES85" s="403"/>
      <c r="ET85" s="403"/>
      <c r="EU85" s="403"/>
      <c r="EV85" s="403"/>
      <c r="EW85" s="403"/>
      <c r="EX85" s="403"/>
      <c r="EY85" s="403"/>
      <c r="EZ85" s="403"/>
      <c r="FA85" s="403"/>
      <c r="FB85" s="403"/>
      <c r="FC85" s="403"/>
      <c r="FD85" s="403"/>
      <c r="FE85" s="403"/>
      <c r="FF85" s="403"/>
      <c r="FG85" s="403"/>
      <c r="FH85" s="403"/>
      <c r="FI85" s="403"/>
      <c r="FJ85" s="403"/>
      <c r="FK85" s="403"/>
      <c r="FL85" s="403"/>
      <c r="FM85" s="403"/>
      <c r="FN85" s="403"/>
      <c r="FO85" s="403"/>
      <c r="FP85" s="403"/>
      <c r="FQ85" s="403"/>
      <c r="FR85" s="403"/>
      <c r="FS85" s="403"/>
      <c r="FT85" s="403"/>
      <c r="FU85" s="403"/>
      <c r="FV85" s="403"/>
      <c r="FW85" s="403"/>
      <c r="FX85" s="403"/>
      <c r="FY85" s="403"/>
      <c r="FZ85" s="403"/>
      <c r="GA85" s="403"/>
      <c r="GB85" s="403"/>
      <c r="GC85" s="403"/>
      <c r="GD85" s="403"/>
      <c r="GE85" s="403"/>
      <c r="GF85" s="403"/>
      <c r="GG85" s="403"/>
      <c r="GH85" s="403"/>
      <c r="GI85" s="403"/>
      <c r="GJ85" s="403"/>
      <c r="GK85" s="403"/>
      <c r="GL85" s="403"/>
      <c r="GM85" s="403"/>
      <c r="GN85" s="403"/>
      <c r="GO85" s="403"/>
      <c r="GP85" s="403"/>
      <c r="GQ85" s="403"/>
      <c r="GR85" s="403"/>
      <c r="GS85" s="403"/>
      <c r="GT85" s="403"/>
      <c r="GU85" s="403"/>
      <c r="GV85" s="403"/>
      <c r="GW85" s="403"/>
      <c r="GX85" s="403"/>
      <c r="GY85" s="403"/>
      <c r="GZ85" s="403"/>
      <c r="HA85" s="403"/>
      <c r="HB85" s="403"/>
      <c r="HC85" s="403"/>
      <c r="HD85" s="403"/>
      <c r="HE85" s="403"/>
      <c r="HF85" s="403"/>
      <c r="HG85" s="403"/>
      <c r="HH85" s="403"/>
      <c r="HI85" s="403"/>
      <c r="HJ85" s="403"/>
      <c r="HK85" s="403"/>
      <c r="HL85" s="403"/>
      <c r="HM85" s="403"/>
      <c r="HN85" s="403"/>
      <c r="HO85" s="403"/>
      <c r="HP85" s="403"/>
      <c r="HQ85" s="403"/>
      <c r="HR85" s="403"/>
      <c r="HS85" s="403"/>
      <c r="HT85" s="403"/>
      <c r="HU85" s="403"/>
      <c r="HV85" s="403"/>
      <c r="HW85" s="403"/>
      <c r="HX85" s="403"/>
      <c r="HY85" s="403"/>
      <c r="HZ85" s="403"/>
      <c r="IA85" s="403"/>
      <c r="IB85" s="403"/>
      <c r="IC85" s="403"/>
      <c r="ID85" s="403"/>
      <c r="IE85" s="403"/>
      <c r="IF85" s="403"/>
      <c r="IG85" s="403"/>
      <c r="IH85" s="403"/>
      <c r="II85" s="403"/>
      <c r="IJ85" s="403"/>
      <c r="IK85" s="403"/>
      <c r="IL85" s="403"/>
      <c r="IM85" s="403"/>
      <c r="IN85" s="403"/>
      <c r="IO85" s="403"/>
      <c r="IP85" s="403"/>
      <c r="IQ85" s="403"/>
      <c r="IR85" s="403"/>
      <c r="IS85" s="403"/>
      <c r="IT85" s="403"/>
      <c r="IU85" s="403"/>
      <c r="IV85" s="403"/>
      <c r="IW85" s="403"/>
    </row>
    <row r="86" customFormat="false" ht="11.25" hidden="false" customHeight="false" outlineLevel="0" collapsed="false">
      <c r="A86" s="419"/>
      <c r="B86" s="403"/>
      <c r="C86" s="403"/>
      <c r="D86" s="403"/>
      <c r="E86" s="419"/>
      <c r="F86" s="403"/>
      <c r="G86" s="403"/>
      <c r="H86" s="403"/>
      <c r="I86" s="403"/>
      <c r="J86" s="403"/>
      <c r="K86" s="403"/>
      <c r="L86" s="403"/>
      <c r="M86" s="403"/>
      <c r="N86" s="403"/>
      <c r="O86" s="403"/>
      <c r="P86" s="403"/>
      <c r="Q86" s="403"/>
      <c r="R86" s="403"/>
      <c r="S86" s="403"/>
      <c r="T86" s="403"/>
      <c r="U86" s="403"/>
      <c r="V86" s="403"/>
      <c r="W86" s="403"/>
      <c r="X86" s="403"/>
      <c r="Y86" s="403"/>
      <c r="Z86" s="403"/>
      <c r="AA86" s="403"/>
      <c r="AB86" s="403"/>
      <c r="AC86" s="403"/>
      <c r="AD86" s="403"/>
      <c r="AE86" s="403"/>
      <c r="AF86" s="403"/>
      <c r="AG86" s="403"/>
      <c r="AH86" s="403"/>
      <c r="AI86" s="403"/>
      <c r="AJ86" s="403"/>
      <c r="AK86" s="403"/>
      <c r="AL86" s="403"/>
      <c r="AM86" s="403"/>
      <c r="AN86" s="403"/>
      <c r="AO86" s="403"/>
      <c r="AP86" s="403"/>
      <c r="AQ86" s="403"/>
      <c r="AR86" s="403"/>
      <c r="AS86" s="403"/>
      <c r="AT86" s="403"/>
      <c r="AU86" s="403"/>
      <c r="AV86" s="403"/>
      <c r="AW86" s="403"/>
      <c r="AX86" s="403"/>
      <c r="AY86" s="403"/>
      <c r="AZ86" s="403"/>
      <c r="BA86" s="403"/>
      <c r="BB86" s="403"/>
      <c r="BC86" s="403"/>
      <c r="BD86" s="403"/>
      <c r="BE86" s="403"/>
      <c r="BF86" s="403"/>
      <c r="BG86" s="403"/>
      <c r="BH86" s="403"/>
      <c r="BI86" s="403"/>
      <c r="BJ86" s="403"/>
      <c r="BK86" s="403"/>
      <c r="BL86" s="403"/>
      <c r="BM86" s="403"/>
      <c r="BN86" s="403"/>
      <c r="BO86" s="403"/>
      <c r="BP86" s="403"/>
      <c r="BQ86" s="403"/>
      <c r="BR86" s="403"/>
      <c r="BS86" s="403"/>
      <c r="BT86" s="403"/>
      <c r="BU86" s="403"/>
      <c r="BV86" s="403"/>
      <c r="BW86" s="403"/>
      <c r="BX86" s="403"/>
      <c r="BY86" s="403"/>
      <c r="BZ86" s="403"/>
      <c r="CA86" s="403"/>
      <c r="CB86" s="403"/>
      <c r="CC86" s="403"/>
      <c r="CD86" s="403"/>
      <c r="CE86" s="403"/>
      <c r="CF86" s="403"/>
      <c r="CG86" s="403"/>
      <c r="CH86" s="403"/>
      <c r="CI86" s="403"/>
      <c r="CJ86" s="403"/>
      <c r="CK86" s="403"/>
      <c r="CL86" s="403"/>
      <c r="CM86" s="403"/>
      <c r="CN86" s="403"/>
      <c r="CO86" s="403"/>
      <c r="CP86" s="403"/>
      <c r="CQ86" s="403"/>
      <c r="CR86" s="403"/>
      <c r="CS86" s="403"/>
      <c r="CT86" s="403"/>
      <c r="CU86" s="403"/>
      <c r="CV86" s="403"/>
      <c r="CW86" s="403"/>
      <c r="CX86" s="403"/>
      <c r="CY86" s="403"/>
      <c r="CZ86" s="403"/>
      <c r="DA86" s="403"/>
      <c r="DB86" s="403"/>
      <c r="DC86" s="403"/>
      <c r="DD86" s="403"/>
      <c r="DE86" s="403"/>
      <c r="DF86" s="403"/>
      <c r="DG86" s="403"/>
      <c r="DH86" s="403"/>
      <c r="DI86" s="403"/>
      <c r="DJ86" s="403"/>
      <c r="DK86" s="403"/>
      <c r="DL86" s="403"/>
      <c r="DM86" s="403"/>
      <c r="DN86" s="403"/>
      <c r="DO86" s="403"/>
      <c r="DP86" s="403"/>
      <c r="DQ86" s="403"/>
      <c r="DR86" s="403"/>
      <c r="DS86" s="403"/>
      <c r="DT86" s="403"/>
      <c r="DU86" s="403"/>
      <c r="DV86" s="403"/>
      <c r="DW86" s="403"/>
      <c r="DX86" s="403"/>
      <c r="DY86" s="403"/>
      <c r="DZ86" s="403"/>
      <c r="EA86" s="403"/>
      <c r="EB86" s="403"/>
      <c r="EC86" s="403"/>
      <c r="ED86" s="403"/>
      <c r="EE86" s="403"/>
      <c r="EF86" s="403"/>
      <c r="EG86" s="403"/>
      <c r="EH86" s="403"/>
      <c r="EI86" s="403"/>
      <c r="EJ86" s="403"/>
      <c r="EK86" s="403"/>
      <c r="EL86" s="403"/>
      <c r="EM86" s="403"/>
      <c r="EN86" s="403"/>
      <c r="EO86" s="403"/>
      <c r="EP86" s="403"/>
      <c r="EQ86" s="403"/>
      <c r="ER86" s="403"/>
      <c r="ES86" s="403"/>
      <c r="ET86" s="403"/>
      <c r="EU86" s="403"/>
      <c r="EV86" s="403"/>
      <c r="EW86" s="403"/>
      <c r="EX86" s="403"/>
      <c r="EY86" s="403"/>
      <c r="EZ86" s="403"/>
      <c r="FA86" s="403"/>
      <c r="FB86" s="403"/>
      <c r="FC86" s="403"/>
      <c r="FD86" s="403"/>
      <c r="FE86" s="403"/>
      <c r="FF86" s="403"/>
      <c r="FG86" s="403"/>
      <c r="FH86" s="403"/>
      <c r="FI86" s="403"/>
      <c r="FJ86" s="403"/>
      <c r="FK86" s="403"/>
      <c r="FL86" s="403"/>
      <c r="FM86" s="403"/>
      <c r="FN86" s="403"/>
      <c r="FO86" s="403"/>
      <c r="FP86" s="403"/>
      <c r="FQ86" s="403"/>
      <c r="FR86" s="403"/>
      <c r="FS86" s="403"/>
      <c r="FT86" s="403"/>
      <c r="FU86" s="403"/>
      <c r="FV86" s="403"/>
      <c r="FW86" s="403"/>
      <c r="FX86" s="403"/>
      <c r="FY86" s="403"/>
      <c r="FZ86" s="403"/>
      <c r="GA86" s="403"/>
      <c r="GB86" s="403"/>
      <c r="GC86" s="403"/>
      <c r="GD86" s="403"/>
      <c r="GE86" s="403"/>
      <c r="GF86" s="403"/>
      <c r="GG86" s="403"/>
      <c r="GH86" s="403"/>
      <c r="GI86" s="403"/>
      <c r="GJ86" s="403"/>
      <c r="GK86" s="403"/>
      <c r="GL86" s="403"/>
      <c r="GM86" s="403"/>
      <c r="GN86" s="403"/>
      <c r="GO86" s="403"/>
      <c r="GP86" s="403"/>
      <c r="GQ86" s="403"/>
      <c r="GR86" s="403"/>
      <c r="GS86" s="403"/>
      <c r="GT86" s="403"/>
      <c r="GU86" s="403"/>
      <c r="GV86" s="403"/>
      <c r="GW86" s="403"/>
      <c r="GX86" s="403"/>
      <c r="GY86" s="403"/>
      <c r="GZ86" s="403"/>
      <c r="HA86" s="403"/>
      <c r="HB86" s="403"/>
      <c r="HC86" s="403"/>
      <c r="HD86" s="403"/>
      <c r="HE86" s="403"/>
      <c r="HF86" s="403"/>
      <c r="HG86" s="403"/>
      <c r="HH86" s="403"/>
      <c r="HI86" s="403"/>
      <c r="HJ86" s="403"/>
      <c r="HK86" s="403"/>
      <c r="HL86" s="403"/>
      <c r="HM86" s="403"/>
      <c r="HN86" s="403"/>
      <c r="HO86" s="403"/>
      <c r="HP86" s="403"/>
      <c r="HQ86" s="403"/>
      <c r="HR86" s="403"/>
      <c r="HS86" s="403"/>
      <c r="HT86" s="403"/>
      <c r="HU86" s="403"/>
      <c r="HV86" s="403"/>
      <c r="HW86" s="403"/>
      <c r="HX86" s="403"/>
      <c r="HY86" s="403"/>
      <c r="HZ86" s="403"/>
      <c r="IA86" s="403"/>
      <c r="IB86" s="403"/>
      <c r="IC86" s="403"/>
      <c r="ID86" s="403"/>
      <c r="IE86" s="403"/>
      <c r="IF86" s="403"/>
      <c r="IG86" s="403"/>
      <c r="IH86" s="403"/>
      <c r="II86" s="403"/>
      <c r="IJ86" s="403"/>
      <c r="IK86" s="403"/>
      <c r="IL86" s="403"/>
      <c r="IM86" s="403"/>
      <c r="IN86" s="403"/>
      <c r="IO86" s="403"/>
      <c r="IP86" s="403"/>
      <c r="IQ86" s="403"/>
      <c r="IR86" s="403"/>
      <c r="IS86" s="403"/>
      <c r="IT86" s="403"/>
      <c r="IU86" s="403"/>
      <c r="IV86" s="403"/>
      <c r="IW86" s="403"/>
    </row>
    <row r="87" customFormat="false" ht="11.25" hidden="false" customHeight="false" outlineLevel="0" collapsed="false">
      <c r="A87" s="419"/>
      <c r="B87" s="403"/>
      <c r="C87" s="403"/>
      <c r="D87" s="403"/>
      <c r="E87" s="419"/>
      <c r="F87" s="403"/>
      <c r="G87" s="403"/>
      <c r="H87" s="403"/>
      <c r="I87" s="403"/>
      <c r="J87" s="403"/>
      <c r="K87" s="403"/>
      <c r="L87" s="403"/>
      <c r="M87" s="403"/>
      <c r="N87" s="403"/>
      <c r="O87" s="403"/>
      <c r="P87" s="403"/>
      <c r="Q87" s="403"/>
      <c r="R87" s="403"/>
      <c r="S87" s="403"/>
      <c r="T87" s="403"/>
      <c r="U87" s="403"/>
      <c r="V87" s="403"/>
      <c r="W87" s="403"/>
      <c r="X87" s="403"/>
      <c r="Y87" s="403"/>
      <c r="Z87" s="403"/>
      <c r="AA87" s="403"/>
      <c r="AB87" s="403"/>
      <c r="AC87" s="403"/>
      <c r="AD87" s="403"/>
      <c r="AE87" s="403"/>
      <c r="AF87" s="403"/>
      <c r="AG87" s="403"/>
      <c r="AH87" s="403"/>
      <c r="AI87" s="403"/>
      <c r="AJ87" s="403"/>
      <c r="AK87" s="403"/>
      <c r="AL87" s="403"/>
      <c r="AM87" s="403"/>
      <c r="AN87" s="403"/>
      <c r="AO87" s="403"/>
      <c r="AP87" s="403"/>
      <c r="AQ87" s="403"/>
      <c r="AR87" s="403"/>
      <c r="AS87" s="403"/>
      <c r="AT87" s="403"/>
      <c r="AU87" s="403"/>
      <c r="AV87" s="403"/>
      <c r="AW87" s="403"/>
      <c r="AX87" s="403"/>
      <c r="AY87" s="403"/>
      <c r="AZ87" s="403"/>
      <c r="BA87" s="403"/>
      <c r="BB87" s="403"/>
      <c r="BC87" s="403"/>
      <c r="BD87" s="403"/>
      <c r="BE87" s="403"/>
      <c r="BF87" s="403"/>
      <c r="BG87" s="403"/>
      <c r="BH87" s="403"/>
      <c r="BI87" s="403"/>
      <c r="BJ87" s="403"/>
      <c r="BK87" s="403"/>
      <c r="BL87" s="403"/>
      <c r="BM87" s="403"/>
      <c r="BN87" s="403"/>
      <c r="BO87" s="403"/>
      <c r="BP87" s="403"/>
      <c r="BQ87" s="403"/>
      <c r="BR87" s="403"/>
      <c r="BS87" s="403"/>
      <c r="BT87" s="403"/>
      <c r="BU87" s="403"/>
      <c r="BV87" s="403"/>
      <c r="BW87" s="403"/>
      <c r="BX87" s="403"/>
      <c r="BY87" s="403"/>
      <c r="BZ87" s="403"/>
      <c r="CA87" s="403"/>
      <c r="CB87" s="403"/>
      <c r="CC87" s="403"/>
      <c r="CD87" s="403"/>
      <c r="CE87" s="403"/>
      <c r="CF87" s="403"/>
      <c r="CG87" s="403"/>
      <c r="CH87" s="403"/>
      <c r="CI87" s="403"/>
      <c r="CJ87" s="403"/>
      <c r="CK87" s="403"/>
      <c r="CL87" s="403"/>
      <c r="CM87" s="403"/>
      <c r="CN87" s="403"/>
      <c r="CO87" s="403"/>
      <c r="CP87" s="403"/>
      <c r="CQ87" s="403"/>
      <c r="CR87" s="403"/>
      <c r="CS87" s="403"/>
      <c r="CT87" s="403"/>
      <c r="CU87" s="403"/>
      <c r="CV87" s="403"/>
      <c r="CW87" s="403"/>
      <c r="CX87" s="403"/>
      <c r="CY87" s="403"/>
      <c r="CZ87" s="403"/>
      <c r="DA87" s="403"/>
      <c r="DB87" s="403"/>
      <c r="DC87" s="403"/>
      <c r="DD87" s="403"/>
      <c r="DE87" s="403"/>
      <c r="DF87" s="403"/>
      <c r="DG87" s="403"/>
      <c r="DH87" s="403"/>
      <c r="DI87" s="403"/>
      <c r="DJ87" s="403"/>
      <c r="DK87" s="403"/>
      <c r="DL87" s="403"/>
      <c r="DM87" s="403"/>
      <c r="DN87" s="403"/>
      <c r="DO87" s="403"/>
      <c r="DP87" s="403"/>
      <c r="DQ87" s="403"/>
      <c r="DR87" s="403"/>
      <c r="DS87" s="403"/>
      <c r="DT87" s="403"/>
      <c r="DU87" s="403"/>
      <c r="DV87" s="403"/>
      <c r="DW87" s="403"/>
      <c r="DX87" s="403"/>
      <c r="DY87" s="403"/>
      <c r="DZ87" s="403"/>
      <c r="EA87" s="403"/>
      <c r="EB87" s="403"/>
      <c r="EC87" s="403"/>
      <c r="ED87" s="403"/>
      <c r="EE87" s="403"/>
      <c r="EF87" s="403"/>
      <c r="EG87" s="403"/>
      <c r="EH87" s="403"/>
      <c r="EI87" s="403"/>
      <c r="EJ87" s="403"/>
      <c r="EK87" s="403"/>
      <c r="EL87" s="403"/>
      <c r="EM87" s="403"/>
      <c r="EN87" s="403"/>
      <c r="EO87" s="403"/>
      <c r="EP87" s="403"/>
      <c r="EQ87" s="403"/>
      <c r="ER87" s="403"/>
      <c r="ES87" s="403"/>
      <c r="ET87" s="403"/>
      <c r="EU87" s="403"/>
      <c r="EV87" s="403"/>
      <c r="EW87" s="403"/>
      <c r="EX87" s="403"/>
      <c r="EY87" s="403"/>
      <c r="EZ87" s="403"/>
      <c r="FA87" s="403"/>
      <c r="FB87" s="403"/>
      <c r="FC87" s="403"/>
      <c r="FD87" s="403"/>
      <c r="FE87" s="403"/>
      <c r="FF87" s="403"/>
      <c r="FG87" s="403"/>
      <c r="FH87" s="403"/>
      <c r="FI87" s="403"/>
      <c r="FJ87" s="403"/>
      <c r="FK87" s="403"/>
      <c r="FL87" s="403"/>
      <c r="FM87" s="403"/>
      <c r="FN87" s="403"/>
      <c r="FO87" s="403"/>
      <c r="FP87" s="403"/>
      <c r="FQ87" s="403"/>
      <c r="FR87" s="403"/>
      <c r="FS87" s="403"/>
      <c r="FT87" s="403"/>
      <c r="FU87" s="403"/>
      <c r="FV87" s="403"/>
      <c r="FW87" s="403"/>
      <c r="FX87" s="403"/>
      <c r="FY87" s="403"/>
      <c r="FZ87" s="403"/>
      <c r="GA87" s="403"/>
      <c r="GB87" s="403"/>
      <c r="GC87" s="403"/>
      <c r="GD87" s="403"/>
      <c r="GE87" s="403"/>
      <c r="GF87" s="403"/>
      <c r="GG87" s="403"/>
      <c r="GH87" s="403"/>
      <c r="GI87" s="403"/>
      <c r="GJ87" s="403"/>
      <c r="GK87" s="403"/>
      <c r="GL87" s="403"/>
      <c r="GM87" s="403"/>
      <c r="GN87" s="403"/>
      <c r="GO87" s="403"/>
      <c r="GP87" s="403"/>
      <c r="GQ87" s="403"/>
      <c r="GR87" s="403"/>
      <c r="GS87" s="403"/>
      <c r="GT87" s="403"/>
      <c r="GU87" s="403"/>
      <c r="GV87" s="403"/>
      <c r="GW87" s="403"/>
      <c r="GX87" s="403"/>
      <c r="GY87" s="403"/>
      <c r="GZ87" s="403"/>
      <c r="HA87" s="403"/>
      <c r="HB87" s="403"/>
      <c r="HC87" s="403"/>
      <c r="HD87" s="403"/>
      <c r="HE87" s="403"/>
      <c r="HF87" s="403"/>
      <c r="HG87" s="403"/>
      <c r="HH87" s="403"/>
      <c r="HI87" s="403"/>
      <c r="HJ87" s="403"/>
      <c r="HK87" s="403"/>
      <c r="HL87" s="403"/>
      <c r="HM87" s="403"/>
      <c r="HN87" s="403"/>
      <c r="HO87" s="403"/>
      <c r="HP87" s="403"/>
      <c r="HQ87" s="403"/>
      <c r="HR87" s="403"/>
      <c r="HS87" s="403"/>
      <c r="HT87" s="403"/>
      <c r="HU87" s="403"/>
      <c r="HV87" s="403"/>
      <c r="HW87" s="403"/>
      <c r="HX87" s="403"/>
      <c r="HY87" s="403"/>
      <c r="HZ87" s="403"/>
      <c r="IA87" s="403"/>
      <c r="IB87" s="403"/>
      <c r="IC87" s="403"/>
      <c r="ID87" s="403"/>
      <c r="IE87" s="403"/>
      <c r="IF87" s="403"/>
      <c r="IG87" s="403"/>
      <c r="IH87" s="403"/>
      <c r="II87" s="403"/>
      <c r="IJ87" s="403"/>
      <c r="IK87" s="403"/>
      <c r="IL87" s="403"/>
      <c r="IM87" s="403"/>
      <c r="IN87" s="403"/>
      <c r="IO87" s="403"/>
      <c r="IP87" s="403"/>
      <c r="IQ87" s="403"/>
      <c r="IR87" s="403"/>
      <c r="IS87" s="403"/>
      <c r="IT87" s="403"/>
      <c r="IU87" s="403"/>
      <c r="IV87" s="403"/>
      <c r="IW87" s="403"/>
    </row>
    <row r="88" customFormat="false" ht="11.25" hidden="false" customHeight="false" outlineLevel="0" collapsed="false">
      <c r="A88" s="419"/>
      <c r="B88" s="403"/>
      <c r="C88" s="403"/>
      <c r="D88" s="403"/>
      <c r="E88" s="419"/>
      <c r="F88" s="403"/>
      <c r="G88" s="403"/>
      <c r="H88" s="403"/>
      <c r="I88" s="403"/>
      <c r="J88" s="403"/>
      <c r="K88" s="403"/>
      <c r="L88" s="403"/>
      <c r="M88" s="403"/>
      <c r="N88" s="403"/>
      <c r="O88" s="403"/>
      <c r="P88" s="403"/>
      <c r="Q88" s="403"/>
      <c r="R88" s="403"/>
      <c r="S88" s="403"/>
      <c r="T88" s="403"/>
      <c r="U88" s="403"/>
      <c r="V88" s="403"/>
      <c r="W88" s="403"/>
      <c r="X88" s="403"/>
      <c r="Y88" s="403"/>
      <c r="Z88" s="403"/>
      <c r="AA88" s="403"/>
      <c r="AB88" s="403"/>
      <c r="AC88" s="403"/>
      <c r="AD88" s="403"/>
      <c r="AE88" s="403"/>
      <c r="AF88" s="403"/>
      <c r="AG88" s="403"/>
      <c r="AH88" s="403"/>
      <c r="AI88" s="403"/>
      <c r="AJ88" s="403"/>
      <c r="AK88" s="403"/>
      <c r="AL88" s="403"/>
      <c r="AM88" s="403"/>
      <c r="AN88" s="403"/>
      <c r="AO88" s="403"/>
      <c r="AP88" s="403"/>
      <c r="AQ88" s="403"/>
      <c r="AR88" s="403"/>
      <c r="AS88" s="403"/>
      <c r="AT88" s="403"/>
      <c r="AU88" s="403"/>
      <c r="AV88" s="403"/>
      <c r="AW88" s="403"/>
      <c r="AX88" s="403"/>
      <c r="AY88" s="403"/>
      <c r="AZ88" s="403"/>
      <c r="BA88" s="403"/>
      <c r="BB88" s="403"/>
      <c r="BC88" s="403"/>
      <c r="BD88" s="403"/>
      <c r="BE88" s="403"/>
      <c r="BF88" s="403"/>
      <c r="BG88" s="403"/>
      <c r="BH88" s="403"/>
      <c r="BI88" s="403"/>
      <c r="BJ88" s="403"/>
      <c r="BK88" s="403"/>
      <c r="BL88" s="403"/>
      <c r="BM88" s="403"/>
      <c r="BN88" s="403"/>
      <c r="BO88" s="403"/>
      <c r="BP88" s="403"/>
      <c r="BQ88" s="403"/>
      <c r="BR88" s="403"/>
      <c r="BS88" s="403"/>
      <c r="BT88" s="403"/>
      <c r="BU88" s="403"/>
      <c r="BV88" s="403"/>
      <c r="BW88" s="403"/>
      <c r="BX88" s="403"/>
      <c r="BY88" s="403"/>
      <c r="BZ88" s="403"/>
      <c r="CA88" s="403"/>
      <c r="CB88" s="403"/>
      <c r="CC88" s="403"/>
      <c r="CD88" s="403"/>
      <c r="CE88" s="403"/>
      <c r="CF88" s="403"/>
      <c r="CG88" s="403"/>
      <c r="CH88" s="403"/>
      <c r="CI88" s="403"/>
      <c r="CJ88" s="403"/>
      <c r="CK88" s="403"/>
      <c r="CL88" s="403"/>
      <c r="CM88" s="403"/>
      <c r="CN88" s="403"/>
      <c r="CO88" s="403"/>
      <c r="CP88" s="403"/>
      <c r="CQ88" s="403"/>
      <c r="CR88" s="403"/>
      <c r="CS88" s="403"/>
      <c r="CT88" s="403"/>
      <c r="CU88" s="403"/>
      <c r="CV88" s="403"/>
      <c r="CW88" s="403"/>
      <c r="CX88" s="403"/>
      <c r="CY88" s="403"/>
      <c r="CZ88" s="403"/>
      <c r="DA88" s="403"/>
      <c r="DB88" s="403"/>
      <c r="DC88" s="403"/>
      <c r="DD88" s="403"/>
      <c r="DE88" s="403"/>
      <c r="DF88" s="403"/>
      <c r="DG88" s="403"/>
      <c r="DH88" s="403"/>
      <c r="DI88" s="403"/>
      <c r="DJ88" s="403"/>
      <c r="DK88" s="403"/>
      <c r="DL88" s="403"/>
      <c r="DM88" s="403"/>
      <c r="DN88" s="403"/>
      <c r="DO88" s="403"/>
      <c r="DP88" s="403"/>
      <c r="DQ88" s="403"/>
      <c r="DR88" s="403"/>
      <c r="DS88" s="403"/>
      <c r="DT88" s="403"/>
      <c r="DU88" s="403"/>
      <c r="DV88" s="403"/>
      <c r="DW88" s="403"/>
      <c r="DX88" s="403"/>
      <c r="DY88" s="403"/>
      <c r="DZ88" s="403"/>
      <c r="EA88" s="403"/>
      <c r="EB88" s="403"/>
      <c r="EC88" s="403"/>
      <c r="ED88" s="403"/>
      <c r="EE88" s="403"/>
      <c r="EF88" s="403"/>
      <c r="EG88" s="403"/>
      <c r="EH88" s="403"/>
      <c r="EI88" s="403"/>
      <c r="EJ88" s="403"/>
      <c r="EK88" s="403"/>
      <c r="EL88" s="403"/>
      <c r="EM88" s="403"/>
      <c r="EN88" s="403"/>
      <c r="EO88" s="403"/>
      <c r="EP88" s="403"/>
      <c r="EQ88" s="403"/>
      <c r="ER88" s="403"/>
      <c r="ES88" s="403"/>
      <c r="ET88" s="403"/>
      <c r="EU88" s="403"/>
      <c r="EV88" s="403"/>
      <c r="EW88" s="403"/>
      <c r="EX88" s="403"/>
      <c r="EY88" s="403"/>
      <c r="EZ88" s="403"/>
      <c r="FA88" s="403"/>
      <c r="FB88" s="403"/>
      <c r="FC88" s="403"/>
      <c r="FD88" s="403"/>
      <c r="FE88" s="403"/>
      <c r="FF88" s="403"/>
      <c r="FG88" s="403"/>
      <c r="FH88" s="403"/>
      <c r="FI88" s="403"/>
      <c r="FJ88" s="403"/>
      <c r="FK88" s="403"/>
      <c r="FL88" s="403"/>
      <c r="FM88" s="403"/>
      <c r="FN88" s="403"/>
      <c r="FO88" s="403"/>
      <c r="FP88" s="403"/>
      <c r="FQ88" s="403"/>
      <c r="FR88" s="403"/>
      <c r="FS88" s="403"/>
      <c r="FT88" s="403"/>
      <c r="FU88" s="403"/>
      <c r="FV88" s="403"/>
      <c r="FW88" s="403"/>
      <c r="FX88" s="403"/>
      <c r="FY88" s="403"/>
      <c r="FZ88" s="403"/>
      <c r="GA88" s="403"/>
      <c r="GB88" s="403"/>
      <c r="GC88" s="403"/>
      <c r="GD88" s="403"/>
      <c r="GE88" s="403"/>
      <c r="GF88" s="403"/>
      <c r="GG88" s="403"/>
      <c r="GH88" s="403"/>
      <c r="GI88" s="403"/>
      <c r="GJ88" s="403"/>
      <c r="GK88" s="403"/>
      <c r="GL88" s="403"/>
      <c r="GM88" s="403"/>
      <c r="GN88" s="403"/>
      <c r="GO88" s="403"/>
      <c r="GP88" s="403"/>
      <c r="GQ88" s="403"/>
      <c r="GR88" s="403"/>
      <c r="GS88" s="403"/>
      <c r="GT88" s="403"/>
      <c r="GU88" s="403"/>
      <c r="GV88" s="403"/>
      <c r="GW88" s="403"/>
      <c r="GX88" s="403"/>
      <c r="GY88" s="403"/>
      <c r="GZ88" s="403"/>
      <c r="HA88" s="403"/>
      <c r="HB88" s="403"/>
      <c r="HC88" s="403"/>
      <c r="HD88" s="403"/>
      <c r="HE88" s="403"/>
      <c r="HF88" s="403"/>
      <c r="HG88" s="403"/>
      <c r="HH88" s="403"/>
      <c r="HI88" s="403"/>
      <c r="HJ88" s="403"/>
      <c r="HK88" s="403"/>
      <c r="HL88" s="403"/>
      <c r="HM88" s="403"/>
      <c r="HN88" s="403"/>
      <c r="HO88" s="403"/>
      <c r="HP88" s="403"/>
      <c r="HQ88" s="403"/>
      <c r="HR88" s="403"/>
      <c r="HS88" s="403"/>
      <c r="HT88" s="403"/>
      <c r="HU88" s="403"/>
      <c r="HV88" s="403"/>
      <c r="HW88" s="403"/>
      <c r="HX88" s="403"/>
      <c r="HY88" s="403"/>
      <c r="HZ88" s="403"/>
      <c r="IA88" s="403"/>
      <c r="IB88" s="403"/>
      <c r="IC88" s="403"/>
      <c r="ID88" s="403"/>
      <c r="IE88" s="403"/>
      <c r="IF88" s="403"/>
      <c r="IG88" s="403"/>
      <c r="IH88" s="403"/>
      <c r="II88" s="403"/>
      <c r="IJ88" s="403"/>
      <c r="IK88" s="403"/>
      <c r="IL88" s="403"/>
      <c r="IM88" s="403"/>
      <c r="IN88" s="403"/>
      <c r="IO88" s="403"/>
      <c r="IP88" s="403"/>
      <c r="IQ88" s="403"/>
      <c r="IR88" s="403"/>
      <c r="IS88" s="403"/>
      <c r="IT88" s="403"/>
      <c r="IU88" s="403"/>
      <c r="IV88" s="403"/>
      <c r="IW88" s="403"/>
    </row>
    <row r="89" customFormat="false" ht="11.25" hidden="false" customHeight="false" outlineLevel="0" collapsed="false">
      <c r="A89" s="419"/>
      <c r="B89" s="403"/>
      <c r="C89" s="403"/>
      <c r="D89" s="403"/>
      <c r="E89" s="419"/>
      <c r="F89" s="403"/>
      <c r="G89" s="403"/>
      <c r="H89" s="403"/>
      <c r="I89" s="403"/>
      <c r="J89" s="403"/>
      <c r="K89" s="403"/>
      <c r="L89" s="403"/>
      <c r="M89" s="403"/>
      <c r="N89" s="403"/>
      <c r="O89" s="403"/>
      <c r="P89" s="403"/>
      <c r="Q89" s="403"/>
      <c r="R89" s="403"/>
      <c r="S89" s="403"/>
      <c r="T89" s="403"/>
      <c r="U89" s="403"/>
      <c r="V89" s="403"/>
      <c r="W89" s="403"/>
      <c r="X89" s="403"/>
      <c r="Y89" s="403"/>
      <c r="Z89" s="403"/>
      <c r="AA89" s="403"/>
      <c r="AB89" s="403"/>
      <c r="AC89" s="403"/>
      <c r="AD89" s="403"/>
      <c r="AE89" s="403"/>
      <c r="AF89" s="403"/>
      <c r="AG89" s="403"/>
      <c r="AH89" s="403"/>
      <c r="AI89" s="403"/>
      <c r="AJ89" s="403"/>
      <c r="AK89" s="403"/>
      <c r="AL89" s="403"/>
      <c r="AM89" s="403"/>
      <c r="AN89" s="403"/>
      <c r="AO89" s="403"/>
      <c r="AP89" s="403"/>
      <c r="AQ89" s="403"/>
      <c r="AR89" s="403"/>
      <c r="AS89" s="403"/>
      <c r="AT89" s="403"/>
      <c r="AU89" s="403"/>
      <c r="AV89" s="403"/>
      <c r="AW89" s="403"/>
      <c r="AX89" s="403"/>
      <c r="AY89" s="403"/>
      <c r="AZ89" s="403"/>
      <c r="BA89" s="403"/>
      <c r="BB89" s="403"/>
      <c r="BC89" s="403"/>
      <c r="BD89" s="403"/>
      <c r="BE89" s="403"/>
      <c r="BF89" s="403"/>
      <c r="BG89" s="403"/>
      <c r="BH89" s="403"/>
      <c r="BI89" s="403"/>
      <c r="BJ89" s="403"/>
      <c r="BK89" s="403"/>
      <c r="BL89" s="403"/>
      <c r="BM89" s="403"/>
      <c r="BN89" s="403"/>
      <c r="BO89" s="403"/>
      <c r="BP89" s="403"/>
      <c r="BQ89" s="403"/>
      <c r="BR89" s="403"/>
      <c r="BS89" s="403"/>
      <c r="BT89" s="403"/>
      <c r="BU89" s="403"/>
      <c r="BV89" s="403"/>
      <c r="BW89" s="403"/>
      <c r="BX89" s="403"/>
      <c r="BY89" s="403"/>
      <c r="BZ89" s="403"/>
      <c r="CA89" s="403"/>
      <c r="CB89" s="403"/>
      <c r="CC89" s="403"/>
      <c r="CD89" s="403"/>
      <c r="CE89" s="403"/>
      <c r="CF89" s="403"/>
      <c r="CG89" s="403"/>
      <c r="CH89" s="403"/>
      <c r="CI89" s="403"/>
      <c r="CJ89" s="403"/>
      <c r="CK89" s="403"/>
      <c r="CL89" s="403"/>
      <c r="CM89" s="403"/>
      <c r="CN89" s="403"/>
      <c r="CO89" s="403"/>
      <c r="CP89" s="403"/>
      <c r="CQ89" s="403"/>
      <c r="CR89" s="403"/>
      <c r="CS89" s="403"/>
      <c r="CT89" s="403"/>
      <c r="CU89" s="403"/>
      <c r="CV89" s="403"/>
      <c r="CW89" s="403"/>
      <c r="CX89" s="403"/>
      <c r="CY89" s="403"/>
      <c r="CZ89" s="403"/>
      <c r="DA89" s="403"/>
      <c r="DB89" s="403"/>
      <c r="DC89" s="403"/>
      <c r="DD89" s="403"/>
      <c r="DE89" s="403"/>
      <c r="DF89" s="403"/>
      <c r="DG89" s="403"/>
      <c r="DH89" s="403"/>
      <c r="DI89" s="403"/>
      <c r="DJ89" s="403"/>
      <c r="DK89" s="403"/>
      <c r="DL89" s="403"/>
      <c r="DM89" s="403"/>
      <c r="DN89" s="403"/>
      <c r="DO89" s="403"/>
      <c r="DP89" s="403"/>
      <c r="DQ89" s="403"/>
      <c r="DR89" s="403"/>
      <c r="DS89" s="403"/>
      <c r="DT89" s="403"/>
      <c r="DU89" s="403"/>
      <c r="DV89" s="403"/>
      <c r="DW89" s="403"/>
      <c r="DX89" s="403"/>
      <c r="DY89" s="403"/>
      <c r="DZ89" s="403"/>
      <c r="EA89" s="403"/>
      <c r="EB89" s="403"/>
      <c r="EC89" s="403"/>
      <c r="ED89" s="403"/>
      <c r="EE89" s="403"/>
      <c r="EF89" s="403"/>
      <c r="EG89" s="403"/>
      <c r="EH89" s="403"/>
      <c r="EI89" s="403"/>
      <c r="EJ89" s="403"/>
      <c r="EK89" s="403"/>
      <c r="EL89" s="403"/>
      <c r="EM89" s="403"/>
      <c r="EN89" s="403"/>
      <c r="EO89" s="403"/>
      <c r="EP89" s="403"/>
      <c r="EQ89" s="403"/>
      <c r="ER89" s="403"/>
      <c r="ES89" s="403"/>
      <c r="ET89" s="403"/>
      <c r="EU89" s="403"/>
      <c r="EV89" s="403"/>
      <c r="EW89" s="403"/>
      <c r="EX89" s="403"/>
      <c r="EY89" s="403"/>
      <c r="EZ89" s="403"/>
      <c r="FA89" s="403"/>
      <c r="FB89" s="403"/>
      <c r="FC89" s="403"/>
      <c r="FD89" s="403"/>
      <c r="FE89" s="403"/>
      <c r="FF89" s="403"/>
      <c r="FG89" s="403"/>
      <c r="FH89" s="403"/>
      <c r="FI89" s="403"/>
      <c r="FJ89" s="403"/>
      <c r="FK89" s="403"/>
      <c r="FL89" s="403"/>
      <c r="FM89" s="403"/>
      <c r="FN89" s="403"/>
      <c r="FO89" s="403"/>
      <c r="FP89" s="403"/>
      <c r="FQ89" s="403"/>
      <c r="FR89" s="403"/>
      <c r="FS89" s="403"/>
      <c r="FT89" s="403"/>
      <c r="FU89" s="403"/>
      <c r="FV89" s="403"/>
      <c r="FW89" s="403"/>
      <c r="FX89" s="403"/>
      <c r="FY89" s="403"/>
      <c r="FZ89" s="403"/>
      <c r="GA89" s="403"/>
      <c r="GB89" s="403"/>
      <c r="GC89" s="403"/>
      <c r="GD89" s="403"/>
      <c r="GE89" s="403"/>
      <c r="GF89" s="403"/>
      <c r="GG89" s="403"/>
      <c r="GH89" s="403"/>
      <c r="GI89" s="403"/>
      <c r="GJ89" s="403"/>
      <c r="GK89" s="403"/>
      <c r="GL89" s="403"/>
      <c r="GM89" s="403"/>
      <c r="GN89" s="403"/>
      <c r="GO89" s="403"/>
      <c r="GP89" s="403"/>
      <c r="GQ89" s="403"/>
      <c r="GR89" s="403"/>
      <c r="GS89" s="403"/>
      <c r="GT89" s="403"/>
      <c r="GU89" s="403"/>
      <c r="GV89" s="403"/>
      <c r="GW89" s="403"/>
      <c r="GX89" s="403"/>
      <c r="GY89" s="403"/>
      <c r="GZ89" s="403"/>
      <c r="HA89" s="403"/>
      <c r="HB89" s="403"/>
      <c r="HC89" s="403"/>
      <c r="HD89" s="403"/>
      <c r="HE89" s="403"/>
      <c r="HF89" s="403"/>
      <c r="HG89" s="403"/>
      <c r="HH89" s="403"/>
      <c r="HI89" s="403"/>
      <c r="HJ89" s="403"/>
      <c r="HK89" s="403"/>
      <c r="HL89" s="403"/>
      <c r="HM89" s="403"/>
      <c r="HN89" s="403"/>
      <c r="HO89" s="403"/>
      <c r="HP89" s="403"/>
      <c r="HQ89" s="403"/>
      <c r="HR89" s="403"/>
      <c r="HS89" s="403"/>
      <c r="HT89" s="403"/>
      <c r="HU89" s="403"/>
      <c r="HV89" s="403"/>
      <c r="HW89" s="403"/>
      <c r="HX89" s="403"/>
      <c r="HY89" s="403"/>
      <c r="HZ89" s="403"/>
      <c r="IA89" s="403"/>
      <c r="IB89" s="403"/>
      <c r="IC89" s="403"/>
      <c r="ID89" s="403"/>
      <c r="IE89" s="403"/>
      <c r="IF89" s="403"/>
      <c r="IG89" s="403"/>
      <c r="IH89" s="403"/>
      <c r="II89" s="403"/>
      <c r="IJ89" s="403"/>
      <c r="IK89" s="403"/>
      <c r="IL89" s="403"/>
      <c r="IM89" s="403"/>
      <c r="IN89" s="403"/>
      <c r="IO89" s="403"/>
      <c r="IP89" s="403"/>
      <c r="IQ89" s="403"/>
      <c r="IR89" s="403"/>
      <c r="IS89" s="403"/>
      <c r="IT89" s="403"/>
      <c r="IU89" s="403"/>
      <c r="IV89" s="403"/>
      <c r="IW89" s="403"/>
    </row>
    <row r="90" customFormat="false" ht="11.25" hidden="false" customHeight="false" outlineLevel="0" collapsed="false">
      <c r="A90" s="419"/>
      <c r="B90" s="403"/>
      <c r="C90" s="403"/>
      <c r="D90" s="403"/>
      <c r="E90" s="419"/>
      <c r="F90" s="403"/>
      <c r="G90" s="403"/>
      <c r="H90" s="403"/>
      <c r="I90" s="403"/>
      <c r="J90" s="403"/>
      <c r="K90" s="403"/>
      <c r="L90" s="403"/>
      <c r="M90" s="403"/>
      <c r="N90" s="403"/>
      <c r="O90" s="403"/>
      <c r="P90" s="403"/>
      <c r="Q90" s="403"/>
      <c r="R90" s="403"/>
      <c r="S90" s="403"/>
      <c r="T90" s="403"/>
      <c r="U90" s="403"/>
      <c r="V90" s="403"/>
      <c r="W90" s="403"/>
      <c r="X90" s="403"/>
      <c r="Y90" s="403"/>
      <c r="Z90" s="403"/>
      <c r="AA90" s="403"/>
      <c r="AB90" s="403"/>
      <c r="AC90" s="403"/>
      <c r="AD90" s="403"/>
      <c r="AE90" s="403"/>
      <c r="AF90" s="403"/>
      <c r="AG90" s="403"/>
      <c r="AH90" s="403"/>
      <c r="AI90" s="403"/>
      <c r="AJ90" s="403"/>
      <c r="AK90" s="403"/>
      <c r="AL90" s="403"/>
      <c r="AM90" s="403"/>
      <c r="AN90" s="403"/>
      <c r="AO90" s="403"/>
      <c r="AP90" s="403"/>
      <c r="AQ90" s="403"/>
      <c r="AR90" s="403"/>
      <c r="AS90" s="403"/>
      <c r="AT90" s="403"/>
      <c r="AU90" s="403"/>
      <c r="AV90" s="403"/>
      <c r="AW90" s="403"/>
      <c r="AX90" s="403"/>
      <c r="AY90" s="403"/>
      <c r="AZ90" s="403"/>
      <c r="BA90" s="403"/>
      <c r="BB90" s="403"/>
      <c r="BC90" s="403"/>
      <c r="BD90" s="403"/>
      <c r="BE90" s="403"/>
      <c r="BF90" s="403"/>
      <c r="BG90" s="403"/>
      <c r="BH90" s="403"/>
      <c r="BI90" s="403"/>
      <c r="BJ90" s="403"/>
      <c r="BK90" s="403"/>
      <c r="BL90" s="403"/>
      <c r="BM90" s="403"/>
      <c r="BN90" s="403"/>
      <c r="BO90" s="403"/>
      <c r="BP90" s="403"/>
      <c r="BQ90" s="403"/>
      <c r="BR90" s="403"/>
      <c r="BS90" s="403"/>
      <c r="BT90" s="403"/>
      <c r="BU90" s="403"/>
      <c r="BV90" s="403"/>
      <c r="BW90" s="403"/>
      <c r="BX90" s="403"/>
      <c r="BY90" s="403"/>
      <c r="BZ90" s="403"/>
      <c r="CA90" s="403"/>
      <c r="CB90" s="403"/>
      <c r="CC90" s="403"/>
      <c r="CD90" s="403"/>
      <c r="CE90" s="403"/>
      <c r="CF90" s="403"/>
      <c r="CG90" s="403"/>
      <c r="CH90" s="403"/>
      <c r="CI90" s="403"/>
      <c r="CJ90" s="403"/>
      <c r="CK90" s="403"/>
      <c r="CL90" s="403"/>
      <c r="CM90" s="403"/>
      <c r="CN90" s="403"/>
      <c r="CO90" s="403"/>
      <c r="CP90" s="403"/>
      <c r="CQ90" s="403"/>
      <c r="CR90" s="403"/>
      <c r="CS90" s="403"/>
      <c r="CT90" s="403"/>
      <c r="CU90" s="403"/>
      <c r="CV90" s="403"/>
      <c r="CW90" s="403"/>
      <c r="CX90" s="403"/>
      <c r="CY90" s="403"/>
      <c r="CZ90" s="403"/>
      <c r="DA90" s="403"/>
      <c r="DB90" s="403"/>
      <c r="DC90" s="403"/>
      <c r="DD90" s="403"/>
      <c r="DE90" s="403"/>
      <c r="DF90" s="403"/>
      <c r="DG90" s="403"/>
      <c r="DH90" s="403"/>
      <c r="DI90" s="403"/>
      <c r="DJ90" s="403"/>
      <c r="DK90" s="403"/>
      <c r="DL90" s="403"/>
      <c r="DM90" s="403"/>
      <c r="DN90" s="403"/>
      <c r="DO90" s="403"/>
      <c r="DP90" s="403"/>
      <c r="DQ90" s="403"/>
      <c r="DR90" s="403"/>
      <c r="DS90" s="403"/>
      <c r="DT90" s="403"/>
      <c r="DU90" s="403"/>
      <c r="DV90" s="403"/>
      <c r="DW90" s="403"/>
      <c r="DX90" s="403"/>
      <c r="DY90" s="403"/>
      <c r="DZ90" s="403"/>
      <c r="EA90" s="403"/>
      <c r="EB90" s="403"/>
      <c r="EC90" s="403"/>
      <c r="ED90" s="403"/>
      <c r="EE90" s="403"/>
      <c r="EF90" s="403"/>
      <c r="EG90" s="403"/>
      <c r="EH90" s="403"/>
      <c r="EI90" s="403"/>
      <c r="EJ90" s="403"/>
      <c r="EK90" s="403"/>
      <c r="EL90" s="403"/>
      <c r="EM90" s="403"/>
      <c r="EN90" s="403"/>
      <c r="EO90" s="403"/>
      <c r="EP90" s="403"/>
      <c r="EQ90" s="403"/>
      <c r="ER90" s="403"/>
      <c r="ES90" s="403"/>
      <c r="ET90" s="403"/>
      <c r="EU90" s="403"/>
      <c r="EV90" s="403"/>
      <c r="EW90" s="403"/>
      <c r="EX90" s="403"/>
      <c r="EY90" s="403"/>
      <c r="EZ90" s="403"/>
      <c r="FA90" s="403"/>
      <c r="FB90" s="403"/>
      <c r="FC90" s="403"/>
      <c r="FD90" s="403"/>
      <c r="FE90" s="403"/>
      <c r="FF90" s="403"/>
      <c r="FG90" s="403"/>
      <c r="FH90" s="403"/>
      <c r="FI90" s="403"/>
      <c r="FJ90" s="403"/>
      <c r="FK90" s="403"/>
      <c r="FL90" s="403"/>
      <c r="FM90" s="403"/>
      <c r="FN90" s="403"/>
      <c r="FO90" s="403"/>
      <c r="FP90" s="403"/>
      <c r="FQ90" s="403"/>
      <c r="FR90" s="403"/>
      <c r="FS90" s="403"/>
      <c r="FT90" s="403"/>
      <c r="FU90" s="403"/>
      <c r="FV90" s="403"/>
      <c r="FW90" s="403"/>
      <c r="FX90" s="403"/>
      <c r="FY90" s="403"/>
      <c r="FZ90" s="403"/>
      <c r="GA90" s="403"/>
      <c r="GB90" s="403"/>
      <c r="GC90" s="403"/>
      <c r="GD90" s="403"/>
      <c r="GE90" s="403"/>
      <c r="GF90" s="403"/>
      <c r="GG90" s="403"/>
      <c r="GH90" s="403"/>
      <c r="GI90" s="403"/>
      <c r="GJ90" s="403"/>
      <c r="GK90" s="403"/>
      <c r="GL90" s="403"/>
      <c r="GM90" s="403"/>
      <c r="GN90" s="403"/>
      <c r="GO90" s="403"/>
      <c r="GP90" s="403"/>
      <c r="GQ90" s="403"/>
      <c r="GR90" s="403"/>
      <c r="GS90" s="403"/>
      <c r="GT90" s="403"/>
      <c r="GU90" s="403"/>
      <c r="GV90" s="403"/>
      <c r="GW90" s="403"/>
      <c r="GX90" s="403"/>
      <c r="GY90" s="403"/>
      <c r="GZ90" s="403"/>
      <c r="HA90" s="403"/>
      <c r="HB90" s="403"/>
      <c r="HC90" s="403"/>
      <c r="HD90" s="403"/>
      <c r="HE90" s="403"/>
      <c r="HF90" s="403"/>
      <c r="HG90" s="403"/>
      <c r="HH90" s="403"/>
      <c r="HI90" s="403"/>
      <c r="HJ90" s="403"/>
      <c r="HK90" s="403"/>
      <c r="HL90" s="403"/>
      <c r="HM90" s="403"/>
      <c r="HN90" s="403"/>
      <c r="HO90" s="403"/>
      <c r="HP90" s="403"/>
      <c r="HQ90" s="403"/>
      <c r="HR90" s="403"/>
      <c r="HS90" s="403"/>
      <c r="HT90" s="403"/>
      <c r="HU90" s="403"/>
      <c r="HV90" s="403"/>
      <c r="HW90" s="403"/>
      <c r="HX90" s="403"/>
      <c r="HY90" s="403"/>
      <c r="HZ90" s="403"/>
      <c r="IA90" s="403"/>
      <c r="IB90" s="403"/>
      <c r="IC90" s="403"/>
      <c r="ID90" s="403"/>
      <c r="IE90" s="403"/>
      <c r="IF90" s="403"/>
      <c r="IG90" s="403"/>
      <c r="IH90" s="403"/>
      <c r="II90" s="403"/>
      <c r="IJ90" s="403"/>
      <c r="IK90" s="403"/>
      <c r="IL90" s="403"/>
      <c r="IM90" s="403"/>
      <c r="IN90" s="403"/>
      <c r="IO90" s="403"/>
      <c r="IP90" s="403"/>
      <c r="IQ90" s="403"/>
      <c r="IR90" s="403"/>
      <c r="IS90" s="403"/>
      <c r="IT90" s="403"/>
      <c r="IU90" s="403"/>
      <c r="IV90" s="403"/>
      <c r="IW90" s="403"/>
    </row>
    <row r="91" customFormat="false" ht="11.25" hidden="false" customHeight="false" outlineLevel="0" collapsed="false">
      <c r="A91" s="419"/>
      <c r="B91" s="403"/>
      <c r="C91" s="403"/>
      <c r="D91" s="403"/>
      <c r="E91" s="419"/>
      <c r="F91" s="403"/>
      <c r="G91" s="403"/>
      <c r="H91" s="403"/>
      <c r="I91" s="403"/>
      <c r="J91" s="403"/>
      <c r="K91" s="403"/>
      <c r="L91" s="403"/>
      <c r="M91" s="403"/>
      <c r="N91" s="403"/>
      <c r="O91" s="403"/>
      <c r="P91" s="403"/>
      <c r="Q91" s="403"/>
      <c r="R91" s="403"/>
      <c r="S91" s="403"/>
      <c r="T91" s="403"/>
      <c r="U91" s="403"/>
      <c r="V91" s="403"/>
      <c r="W91" s="403"/>
      <c r="X91" s="403"/>
      <c r="Y91" s="403"/>
      <c r="Z91" s="403"/>
      <c r="AA91" s="403"/>
      <c r="AB91" s="403"/>
      <c r="AC91" s="403"/>
      <c r="AD91" s="403"/>
      <c r="AE91" s="403"/>
      <c r="AF91" s="403"/>
      <c r="AG91" s="403"/>
      <c r="AH91" s="403"/>
      <c r="AI91" s="403"/>
      <c r="AJ91" s="403"/>
      <c r="AK91" s="403"/>
      <c r="AL91" s="403"/>
      <c r="AM91" s="403"/>
      <c r="AN91" s="403"/>
      <c r="AO91" s="403"/>
      <c r="AP91" s="403"/>
      <c r="AQ91" s="403"/>
      <c r="AR91" s="403"/>
      <c r="AS91" s="403"/>
      <c r="AT91" s="403"/>
      <c r="AU91" s="403"/>
      <c r="AV91" s="403"/>
      <c r="AW91" s="403"/>
      <c r="AX91" s="403"/>
      <c r="AY91" s="403"/>
      <c r="AZ91" s="403"/>
      <c r="BA91" s="403"/>
      <c r="BB91" s="403"/>
      <c r="BC91" s="403"/>
      <c r="BD91" s="403"/>
      <c r="BE91" s="403"/>
      <c r="BF91" s="403"/>
      <c r="BG91" s="403"/>
      <c r="BH91" s="403"/>
      <c r="BI91" s="403"/>
      <c r="BJ91" s="403"/>
      <c r="BK91" s="403"/>
      <c r="BL91" s="403"/>
      <c r="BM91" s="403"/>
      <c r="BN91" s="403"/>
      <c r="BO91" s="403"/>
      <c r="BP91" s="403"/>
      <c r="BQ91" s="403"/>
      <c r="BR91" s="403"/>
      <c r="BS91" s="403"/>
      <c r="BT91" s="403"/>
      <c r="BU91" s="403"/>
      <c r="BV91" s="403"/>
      <c r="BW91" s="403"/>
      <c r="BX91" s="403"/>
      <c r="BY91" s="403"/>
      <c r="BZ91" s="403"/>
      <c r="CA91" s="403"/>
      <c r="CB91" s="403"/>
      <c r="CC91" s="403"/>
      <c r="CD91" s="403"/>
      <c r="CE91" s="403"/>
      <c r="CF91" s="403"/>
      <c r="CG91" s="403"/>
      <c r="CH91" s="403"/>
      <c r="CI91" s="403"/>
      <c r="CJ91" s="403"/>
      <c r="CK91" s="403"/>
      <c r="CL91" s="403"/>
      <c r="CM91" s="403"/>
      <c r="CN91" s="403"/>
      <c r="CO91" s="403"/>
      <c r="CP91" s="403"/>
      <c r="CQ91" s="403"/>
      <c r="CR91" s="403"/>
      <c r="CS91" s="403"/>
      <c r="CT91" s="403"/>
      <c r="CU91" s="403"/>
      <c r="CV91" s="403"/>
      <c r="CW91" s="403"/>
      <c r="CX91" s="403"/>
      <c r="CY91" s="403"/>
      <c r="CZ91" s="403"/>
      <c r="DA91" s="403"/>
      <c r="DB91" s="403"/>
      <c r="DC91" s="403"/>
      <c r="DD91" s="403"/>
      <c r="DE91" s="403"/>
      <c r="DF91" s="403"/>
      <c r="DG91" s="403"/>
      <c r="DH91" s="403"/>
      <c r="DI91" s="403"/>
      <c r="DJ91" s="403"/>
      <c r="DK91" s="403"/>
      <c r="DL91" s="403"/>
      <c r="DM91" s="403"/>
      <c r="DN91" s="403"/>
      <c r="DO91" s="403"/>
      <c r="DP91" s="403"/>
      <c r="DQ91" s="403"/>
      <c r="DR91" s="403"/>
      <c r="DS91" s="403"/>
      <c r="DT91" s="403"/>
      <c r="DU91" s="403"/>
      <c r="DV91" s="403"/>
      <c r="DW91" s="403"/>
      <c r="DX91" s="403"/>
      <c r="DY91" s="403"/>
      <c r="DZ91" s="403"/>
      <c r="EA91" s="403"/>
      <c r="EB91" s="403"/>
      <c r="EC91" s="403"/>
      <c r="ED91" s="403"/>
      <c r="EE91" s="403"/>
      <c r="EF91" s="403"/>
      <c r="EG91" s="403"/>
      <c r="EH91" s="403"/>
      <c r="EI91" s="403"/>
      <c r="EJ91" s="403"/>
      <c r="EK91" s="403"/>
      <c r="EL91" s="403"/>
      <c r="EM91" s="403"/>
      <c r="EN91" s="403"/>
      <c r="EO91" s="403"/>
      <c r="EP91" s="403"/>
      <c r="EQ91" s="403"/>
      <c r="ER91" s="403"/>
      <c r="ES91" s="403"/>
      <c r="ET91" s="403"/>
      <c r="EU91" s="403"/>
      <c r="EV91" s="403"/>
      <c r="EW91" s="403"/>
      <c r="EX91" s="403"/>
      <c r="EY91" s="403"/>
      <c r="EZ91" s="403"/>
      <c r="FA91" s="403"/>
      <c r="FB91" s="403"/>
      <c r="FC91" s="403"/>
      <c r="FD91" s="403"/>
      <c r="FE91" s="403"/>
      <c r="FF91" s="403"/>
      <c r="FG91" s="403"/>
      <c r="FH91" s="403"/>
      <c r="FI91" s="403"/>
      <c r="FJ91" s="403"/>
      <c r="FK91" s="403"/>
      <c r="FL91" s="403"/>
      <c r="FM91" s="403"/>
      <c r="FN91" s="403"/>
      <c r="FO91" s="403"/>
      <c r="FP91" s="403"/>
      <c r="FQ91" s="403"/>
      <c r="FR91" s="403"/>
      <c r="FS91" s="403"/>
      <c r="FT91" s="403"/>
      <c r="FU91" s="403"/>
      <c r="FV91" s="403"/>
      <c r="FW91" s="403"/>
      <c r="FX91" s="403"/>
      <c r="FY91" s="403"/>
      <c r="FZ91" s="403"/>
      <c r="GA91" s="403"/>
      <c r="GB91" s="403"/>
      <c r="GC91" s="403"/>
      <c r="GD91" s="403"/>
      <c r="GE91" s="403"/>
      <c r="GF91" s="403"/>
      <c r="GG91" s="403"/>
      <c r="GH91" s="403"/>
      <c r="GI91" s="403"/>
      <c r="GJ91" s="403"/>
      <c r="GK91" s="403"/>
      <c r="GL91" s="403"/>
      <c r="GM91" s="403"/>
      <c r="GN91" s="403"/>
      <c r="GO91" s="403"/>
      <c r="GP91" s="403"/>
      <c r="GQ91" s="403"/>
      <c r="GR91" s="403"/>
      <c r="GS91" s="403"/>
      <c r="GT91" s="403"/>
      <c r="GU91" s="403"/>
      <c r="GV91" s="403"/>
      <c r="GW91" s="403"/>
      <c r="GX91" s="403"/>
      <c r="GY91" s="403"/>
      <c r="GZ91" s="403"/>
      <c r="HA91" s="403"/>
      <c r="HB91" s="403"/>
      <c r="HC91" s="403"/>
      <c r="HD91" s="403"/>
      <c r="HE91" s="403"/>
      <c r="HF91" s="403"/>
      <c r="HG91" s="403"/>
      <c r="HH91" s="403"/>
      <c r="HI91" s="403"/>
      <c r="HJ91" s="403"/>
      <c r="HK91" s="403"/>
      <c r="HL91" s="403"/>
      <c r="HM91" s="403"/>
      <c r="HN91" s="403"/>
      <c r="HO91" s="403"/>
      <c r="HP91" s="403"/>
      <c r="HQ91" s="403"/>
      <c r="HR91" s="403"/>
      <c r="HS91" s="403"/>
      <c r="HT91" s="403"/>
      <c r="HU91" s="403"/>
      <c r="HV91" s="403"/>
      <c r="HW91" s="403"/>
      <c r="HX91" s="403"/>
      <c r="HY91" s="403"/>
      <c r="HZ91" s="403"/>
      <c r="IA91" s="403"/>
      <c r="IB91" s="403"/>
      <c r="IC91" s="403"/>
      <c r="ID91" s="403"/>
      <c r="IE91" s="403"/>
      <c r="IF91" s="403"/>
      <c r="IG91" s="403"/>
      <c r="IH91" s="403"/>
      <c r="II91" s="403"/>
      <c r="IJ91" s="403"/>
      <c r="IK91" s="403"/>
      <c r="IL91" s="403"/>
      <c r="IM91" s="403"/>
      <c r="IN91" s="403"/>
      <c r="IO91" s="403"/>
      <c r="IP91" s="403"/>
      <c r="IQ91" s="403"/>
      <c r="IR91" s="403"/>
      <c r="IS91" s="403"/>
      <c r="IT91" s="403"/>
      <c r="IU91" s="403"/>
      <c r="IV91" s="403"/>
      <c r="IW91" s="403"/>
    </row>
  </sheetData>
  <mergeCells count="2">
    <mergeCell ref="A5:C5"/>
    <mergeCell ref="E5:G5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&amp;L&amp;F, &amp;A&amp;CPage &amp;P of 1&amp;R&amp;D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2000-07-17T17:07:10Z</dcterms:created>
  <dc:creator>ECT</dc:creator>
  <dc:description/>
  <dc:language>en-US</dc:language>
  <cp:lastModifiedBy>Rick Hill</cp:lastModifiedBy>
  <cp:lastPrinted>2000-11-07T21:34:10Z</cp:lastPrinted>
  <cp:revision>0</cp:revision>
  <dc:subject/>
  <dc:title/>
</cp:coreProperties>
</file>