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9.xml" ContentType="application/vnd.openxmlformats-officedocument.drawingml.chart+xml"/>
  <Override PartName="/xl/charts/chart13.xml" ContentType="application/vnd.openxmlformats-officedocument.drawingml.chart+xml"/>
  <Override PartName="/xl/charts/chart8.xml" ContentType="application/vnd.openxmlformats-officedocument.drawingml.chart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ge1" sheetId="1" state="visible" r:id="rId3"/>
    <sheet name="Page2" sheetId="2" state="visible" r:id="rId4"/>
    <sheet name="Page3" sheetId="3" state="visible" r:id="rId5"/>
    <sheet name="Page4" sheetId="4" state="hidden" r:id="rId6"/>
    <sheet name="Data" sheetId="5" state="hidden" r:id="rId7"/>
  </sheets>
  <externalReferences>
    <externalReference r:id="rId8"/>
  </externalReferences>
  <definedNames>
    <definedName function="false" hidden="false" localSheetId="4" name="_xlnm.Print_Area" vbProcedure="false">Data!$A$1:$Y$25</definedName>
    <definedName function="false" hidden="false" localSheetId="0" name="_xlnm.Print_Area" vbProcedure="false">Page1!$A$1:$R$98</definedName>
    <definedName function="false" hidden="false" localSheetId="1" name="_xlnm.Print_Area" vbProcedure="false">Page2!$A$1:$V$111</definedName>
    <definedName function="false" hidden="false" localSheetId="2" name="_xlnm.Print_Area" vbProcedure="false">Page3!$A$1:$Y$76</definedName>
    <definedName function="false" hidden="false" localSheetId="3" name="_xlnm.Print_Area" vbProcedure="false">Page4!$A$1:$AA$73</definedName>
    <definedName function="false" hidden="false" localSheetId="1" name="Excel_BuiltIn__FilterDatabase" vbProcedure="false">Page2!$L$4:$V$23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5" authorId="0">
      <text>
        <r>
          <rPr>
            <b val="true"/>
            <sz val="8"/>
            <color rgb="FF000000"/>
            <rFont val="Tahoma"/>
            <family val="0"/>
          </rPr>
          <t xml:space="preserve">Guy Ishikawa:
</t>
        </r>
        <r>
          <rPr>
            <sz val="8"/>
            <color rgb="FF000000"/>
            <rFont val="Tahoma"/>
            <family val="0"/>
          </rPr>
          <t xml:space="preserve">According Supply Database Angra I e II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71</xdr:colOff>
                <xdr:row>3</xdr:row>
                <xdr:rowOff>8</xdr:rowOff>
              </xdr:from>
              <xdr:to>
                <xdr:col>15</xdr:col>
                <xdr:colOff>62</xdr:colOff>
                <xdr:row>6</xdr:row>
                <xdr:rowOff>6</xdr:rowOff>
              </xdr:to>
            </anchor>
          </commentPr>
        </mc:Choice>
        <mc:Fallback/>
      </mc:AlternateContent>
    </comment>
    <comment ref="O7" authorId="0">
      <text>
        <r>
          <rPr>
            <b val="true"/>
            <sz val="8"/>
            <color rgb="FF000000"/>
            <rFont val="Tahoma"/>
            <family val="0"/>
          </rPr>
          <t xml:space="preserve">Guy Ishikawa:
</t>
        </r>
        <r>
          <rPr>
            <sz val="8"/>
            <color rgb="FF000000"/>
            <rFont val="Tahoma"/>
            <family val="0"/>
          </rPr>
          <t xml:space="preserve">According to supply data base -  Uruguaiana (Phase 1)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21</xdr:colOff>
                <xdr:row>5</xdr:row>
                <xdr:rowOff>7</xdr:rowOff>
              </xdr:from>
              <xdr:to>
                <xdr:col>17</xdr:col>
                <xdr:colOff>43</xdr:colOff>
                <xdr:row>8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1" authorId="0">
      <text>
        <r>
          <rPr>
            <sz val="8"/>
            <color rgb="FF000000"/>
            <rFont val="Tahoma"/>
            <family val="0"/>
          </rPr>
          <t xml:space="preserve">Valor d'Água Sudeste
Igual a TMO fora de ponta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19</xdr:row>
                <xdr:rowOff>7</xdr:rowOff>
              </xdr:from>
              <xdr:to>
                <xdr:col>7</xdr:col>
                <xdr:colOff>36</xdr:colOff>
                <xdr:row>21</xdr:row>
                <xdr:rowOff>4</xdr:rowOff>
              </xdr:to>
            </anchor>
          </commentPr>
        </mc:Choice>
        <mc:Fallback/>
      </mc:AlternateContent>
    </comment>
    <comment ref="K21" authorId="0">
      <text>
        <r>
          <rPr>
            <sz val="8"/>
            <color rgb="FF000000"/>
            <rFont val="Tahoma"/>
            <family val="0"/>
          </rPr>
          <t xml:space="preserve">Valor d'Água Sudeste
Igual a TMO fora de ponta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13</xdr:colOff>
                <xdr:row>19</xdr:row>
                <xdr:rowOff>7</xdr:rowOff>
              </xdr:from>
              <xdr:to>
                <xdr:col>13</xdr:col>
                <xdr:colOff>33</xdr:colOff>
                <xdr:row>21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<sst xmlns="http://schemas.openxmlformats.org/spreadsheetml/2006/main" count="819" uniqueCount="312">
  <si>
    <t xml:space="preserve">BRAZIL POWER TRADING AND RISK MANAGEMENT DAILY REPORT</t>
  </si>
  <si>
    <t xml:space="preserve"> Date as of March 7th, 2001</t>
  </si>
  <si>
    <t xml:space="preserve">1 - Balance of Energy - Average MW</t>
  </si>
  <si>
    <t xml:space="preserve">5 - Reservoir Levels</t>
  </si>
  <si>
    <t xml:space="preserve">7 - Storage Energy (%)</t>
  </si>
  <si>
    <t xml:space="preserve">RIVER</t>
  </si>
  <si>
    <t xml:space="preserve">VOLUME</t>
  </si>
  <si>
    <t xml:space="preserve">FLOW - M3/S</t>
  </si>
  <si>
    <t xml:space="preserve">SOUTHEAST</t>
  </si>
  <si>
    <t xml:space="preserve">(%)</t>
  </si>
  <si>
    <t xml:space="preserve">INFLOW</t>
  </si>
  <si>
    <t xml:space="preserve">OUTFLOW</t>
  </si>
  <si>
    <t xml:space="preserve">NET INFLOW</t>
  </si>
  <si>
    <t xml:space="preserve">SHED</t>
  </si>
  <si>
    <t xml:space="preserve">SOUTH + SOUTHEAST</t>
  </si>
  <si>
    <t xml:space="preserve">Itens</t>
  </si>
  <si>
    <t xml:space="preserve">Schedule</t>
  </si>
  <si>
    <t xml:space="preserve">Actual</t>
  </si>
  <si>
    <t xml:space="preserve">Dif %</t>
  </si>
  <si>
    <t xml:space="preserve">Southeast</t>
  </si>
  <si>
    <t xml:space="preserve">Month</t>
  </si>
  <si>
    <t xml:space="preserve">2001</t>
  </si>
  <si>
    <t xml:space="preserve">2000 / 2001</t>
  </si>
  <si>
    <t xml:space="preserve">Hydro Gen</t>
  </si>
  <si>
    <t xml:space="preserve">GRANDE</t>
  </si>
  <si>
    <t xml:space="preserve">FURNAS</t>
  </si>
  <si>
    <t xml:space="preserve">JAN</t>
  </si>
  <si>
    <t xml:space="preserve">Thermo Gen</t>
  </si>
  <si>
    <t xml:space="preserve">M.MORAES</t>
  </si>
  <si>
    <t xml:space="preserve">FEB</t>
  </si>
  <si>
    <t xml:space="preserve">Angra Gen</t>
  </si>
  <si>
    <t xml:space="preserve">MARIMBONDO</t>
  </si>
  <si>
    <t xml:space="preserve">MAR</t>
  </si>
  <si>
    <t xml:space="preserve">Total Gen</t>
  </si>
  <si>
    <t xml:space="preserve">AGUA VERMELHA</t>
  </si>
  <si>
    <t xml:space="preserve">APR</t>
  </si>
  <si>
    <t xml:space="preserve">Itaipu</t>
  </si>
  <si>
    <t xml:space="preserve">PARANAÍBA</t>
  </si>
  <si>
    <t xml:space="preserve">EMBORCAÇÃO</t>
  </si>
  <si>
    <t xml:space="preserve">MAY</t>
  </si>
  <si>
    <t xml:space="preserve">Load</t>
  </si>
  <si>
    <t xml:space="preserve">NOVA PONTE</t>
  </si>
  <si>
    <t xml:space="preserve">JUN</t>
  </si>
  <si>
    <t xml:space="preserve">Interc. SE to S</t>
  </si>
  <si>
    <t xml:space="preserve">ITUMBIARA</t>
  </si>
  <si>
    <t xml:space="preserve">JUL</t>
  </si>
  <si>
    <t xml:space="preserve">Interc. SE to N</t>
  </si>
  <si>
    <t xml:space="preserve">SÃO SIMÃO</t>
  </si>
  <si>
    <t xml:space="preserve">AUG</t>
  </si>
  <si>
    <t xml:space="preserve">Interc. SE to NE</t>
  </si>
  <si>
    <t xml:space="preserve">PARANÁ</t>
  </si>
  <si>
    <t xml:space="preserve">ILHA SOLTEIRA</t>
  </si>
  <si>
    <t xml:space="preserve">SEP</t>
  </si>
  <si>
    <t xml:space="preserve">JUPIÁ</t>
  </si>
  <si>
    <t xml:space="preserve">OCT</t>
  </si>
  <si>
    <t xml:space="preserve">SOUTH</t>
  </si>
  <si>
    <t xml:space="preserve">ITAIPU</t>
  </si>
  <si>
    <t xml:space="preserve">NOV</t>
  </si>
  <si>
    <t xml:space="preserve">TIETE</t>
  </si>
  <si>
    <t xml:space="preserve">BARRA BONITA</t>
  </si>
  <si>
    <t xml:space="preserve">DEC</t>
  </si>
  <si>
    <t xml:space="preserve">PROMISSÃO</t>
  </si>
  <si>
    <t xml:space="preserve">TRÊS IRMÃOS</t>
  </si>
  <si>
    <t xml:space="preserve">NORTH + NORTHEAST</t>
  </si>
  <si>
    <t xml:space="preserve">PARANAPANEMA</t>
  </si>
  <si>
    <t xml:space="preserve">JURUMIRIM</t>
  </si>
  <si>
    <t xml:space="preserve">CHAVANTES</t>
  </si>
  <si>
    <t xml:space="preserve">Interc S to SE</t>
  </si>
  <si>
    <t xml:space="preserve">CAPIVARA</t>
  </si>
  <si>
    <t xml:space="preserve">Intern. Interc. to S</t>
  </si>
  <si>
    <t xml:space="preserve">South</t>
  </si>
  <si>
    <t xml:space="preserve">IGUAÇU</t>
  </si>
  <si>
    <t xml:space="preserve">G.B.MUNHOZ</t>
  </si>
  <si>
    <t xml:space="preserve">NORTH *</t>
  </si>
  <si>
    <t xml:space="preserve">SALTO SANTIAGO</t>
  </si>
  <si>
    <t xml:space="preserve">Northeast</t>
  </si>
  <si>
    <t xml:space="preserve">S.FRANCISCO</t>
  </si>
  <si>
    <t xml:space="preserve">TRES MARIAS</t>
  </si>
  <si>
    <t xml:space="preserve">SOBRADINHO</t>
  </si>
  <si>
    <t xml:space="preserve">LUIZ GONZAGA</t>
  </si>
  <si>
    <t xml:space="preserve">Midwest</t>
  </si>
  <si>
    <t xml:space="preserve">Interc. N to NE</t>
  </si>
  <si>
    <t xml:space="preserve">TOCANTINS</t>
  </si>
  <si>
    <t xml:space="preserve">SERRA DA MESA</t>
  </si>
  <si>
    <t xml:space="preserve">Interc. N to SE</t>
  </si>
  <si>
    <t xml:space="preserve">TUCURUI</t>
  </si>
  <si>
    <t xml:space="preserve">NORTHEAST</t>
  </si>
  <si>
    <t xml:space="preserve">6 - Historical Generation</t>
  </si>
  <si>
    <t xml:space="preserve">8 - Historical Load - GWh</t>
  </si>
  <si>
    <t xml:space="preserve">Hydro Generation - GWh</t>
  </si>
  <si>
    <t xml:space="preserve">YoY change</t>
  </si>
  <si>
    <t xml:space="preserve">Interconnected System</t>
  </si>
  <si>
    <t xml:space="preserve">1999 / 2000</t>
  </si>
  <si>
    <t xml:space="preserve">Interc. NE to N</t>
  </si>
  <si>
    <t xml:space="preserve">Interc. NE to SE</t>
  </si>
  <si>
    <t xml:space="preserve">Itaipu 50 Hz</t>
  </si>
  <si>
    <t xml:space="preserve">Itaipu 60 Hz</t>
  </si>
  <si>
    <t xml:space="preserve">* North submarket is unbalanced due to an inconsistency in ONS report</t>
  </si>
  <si>
    <t xml:space="preserve">2 - Available generation per system (MW)</t>
  </si>
  <si>
    <t xml:space="preserve">System</t>
  </si>
  <si>
    <t xml:space="preserve">Hydro</t>
  </si>
  <si>
    <t xml:space="preserve">Thermo</t>
  </si>
  <si>
    <t xml:space="preserve">Total</t>
  </si>
  <si>
    <t xml:space="preserve">TOTAL</t>
  </si>
  <si>
    <t xml:space="preserve">S</t>
  </si>
  <si>
    <t xml:space="preserve">SE + MW</t>
  </si>
  <si>
    <t xml:space="preserve">Thermo Generation - GWh</t>
  </si>
  <si>
    <t xml:space="preserve">9 - ENA and EAR March Forecast (according ONS)</t>
  </si>
  <si>
    <t xml:space="preserve">S + SE + MW</t>
  </si>
  <si>
    <t xml:space="preserve">N</t>
  </si>
  <si>
    <t xml:space="preserve">ENA (Water Inflow as % of MLT)</t>
  </si>
  <si>
    <t xml:space="preserve">NE</t>
  </si>
  <si>
    <t xml:space="preserve">Feb 20th</t>
  </si>
  <si>
    <t xml:space="preserve">Mar 1st</t>
  </si>
  <si>
    <t xml:space="preserve">Mar 9th</t>
  </si>
  <si>
    <t xml:space="preserve">N + NE</t>
  </si>
  <si>
    <t xml:space="preserve">North</t>
  </si>
  <si>
    <t xml:space="preserve">3 - International Interconnections (MW)</t>
  </si>
  <si>
    <t xml:space="preserve">EAR (Storage Energy as % of Max Capacity - end of month)</t>
  </si>
  <si>
    <t xml:space="preserve">Paraguai to Copel</t>
  </si>
  <si>
    <t xml:space="preserve">Argentina to Eletrosul</t>
  </si>
  <si>
    <t xml:space="preserve">4 - Transmission Capacity (MW)</t>
  </si>
  <si>
    <t xml:space="preserve">                      Average</t>
  </si>
  <si>
    <t xml:space="preserve">      Heavy Load</t>
  </si>
  <si>
    <t xml:space="preserve">                  Medium Load</t>
  </si>
  <si>
    <t xml:space="preserve">      Light Load</t>
  </si>
  <si>
    <t xml:space="preserve">10 - Generation</t>
  </si>
  <si>
    <t xml:space="preserve">10.1. Hydro generation and availability per plant</t>
  </si>
  <si>
    <t xml:space="preserve">10.2. Thermo generation</t>
  </si>
  <si>
    <t xml:space="preserve">Plant</t>
  </si>
  <si>
    <t xml:space="preserve">%</t>
  </si>
  <si>
    <t xml:space="preserve">Inst Cap</t>
  </si>
  <si>
    <t xml:space="preserve">Availab Cap</t>
  </si>
  <si>
    <t xml:space="preserve">Dif (MW)</t>
  </si>
  <si>
    <t xml:space="preserve">Exc Inst Cap </t>
  </si>
  <si>
    <t xml:space="preserve">Exc Av Cap</t>
  </si>
  <si>
    <t xml:space="preserve">Cost(R$/MWh)</t>
  </si>
  <si>
    <t xml:space="preserve">PCH CEB</t>
  </si>
  <si>
    <t xml:space="preserve">PUS CEB</t>
  </si>
  <si>
    <t xml:space="preserve">Angra</t>
  </si>
  <si>
    <t xml:space="preserve">CAMARGOS</t>
  </si>
  <si>
    <t xml:space="preserve">P.Médici</t>
  </si>
  <si>
    <t xml:space="preserve">Uruguaiana</t>
  </si>
  <si>
    <t xml:space="preserve">Uruguaiana***</t>
  </si>
  <si>
    <t xml:space="preserve">G.AMORIM</t>
  </si>
  <si>
    <t xml:space="preserve">J.Lacerda C</t>
  </si>
  <si>
    <t xml:space="preserve">IGARAPAVA</t>
  </si>
  <si>
    <t xml:space="preserve">J.Lacerda B</t>
  </si>
  <si>
    <t xml:space="preserve">ITUTINGA</t>
  </si>
  <si>
    <t xml:space="preserve">J.Lacerda A</t>
  </si>
  <si>
    <t xml:space="preserve">JAGUARA</t>
  </si>
  <si>
    <t xml:space="preserve">Charqueadas</t>
  </si>
  <si>
    <t xml:space="preserve">MIRANDA</t>
  </si>
  <si>
    <t xml:space="preserve">Campos</t>
  </si>
  <si>
    <t xml:space="preserve">Igarapé</t>
  </si>
  <si>
    <t xml:space="preserve">PCH CEMIG</t>
  </si>
  <si>
    <t xml:space="preserve">Figueira</t>
  </si>
  <si>
    <t xml:space="preserve">S.GRANDE</t>
  </si>
  <si>
    <t xml:space="preserve">S.Jerônimo</t>
  </si>
  <si>
    <t xml:space="preserve">SÃO JERÔNIMO</t>
  </si>
  <si>
    <t xml:space="preserve">S.SIMÃO</t>
  </si>
  <si>
    <t xml:space="preserve">Sta Cruz</t>
  </si>
  <si>
    <t xml:space="preserve">SOBRAGI</t>
  </si>
  <si>
    <t xml:space="preserve">Piratininga</t>
  </si>
  <si>
    <t xml:space="preserve">T.MARIAS</t>
  </si>
  <si>
    <t xml:space="preserve">Alegrete</t>
  </si>
  <si>
    <t xml:space="preserve">V.GRANDE</t>
  </si>
  <si>
    <t xml:space="preserve">Carioba</t>
  </si>
  <si>
    <t xml:space="preserve">Carioba*</t>
  </si>
  <si>
    <t xml:space="preserve">PCH CELG</t>
  </si>
  <si>
    <t xml:space="preserve">PUS CELG</t>
  </si>
  <si>
    <t xml:space="preserve">Cuiabá</t>
  </si>
  <si>
    <t xml:space="preserve">PCH CPFL</t>
  </si>
  <si>
    <t xml:space="preserve">Nutepa</t>
  </si>
  <si>
    <t xml:space="preserve">PCH CERJ</t>
  </si>
  <si>
    <t xml:space="preserve">Camaçari</t>
  </si>
  <si>
    <t xml:space="preserve">A.VERMELHA</t>
  </si>
  <si>
    <t xml:space="preserve">W.Arjona</t>
  </si>
  <si>
    <t xml:space="preserve">B.BONITA</t>
  </si>
  <si>
    <t xml:space="preserve">BARIRI</t>
  </si>
  <si>
    <t xml:space="preserve">CACONDE</t>
  </si>
  <si>
    <t xml:space="preserve">Note:  Angra considers both Angra I and II thermoplants. It includes 1349 MW of Angra 2 unit on commission.</t>
  </si>
  <si>
    <t xml:space="preserve">          Includes 549 MW of Uruguaiana thermoplant on commission</t>
  </si>
  <si>
    <t xml:space="preserve">CANOAS I</t>
  </si>
  <si>
    <t xml:space="preserve">CANOAS II</t>
  </si>
  <si>
    <t xml:space="preserve">Legend</t>
  </si>
  <si>
    <t xml:space="preserve">E.CUNHA</t>
  </si>
  <si>
    <t xml:space="preserve"> Southeast</t>
  </si>
  <si>
    <t xml:space="preserve"> Northeast</t>
  </si>
  <si>
    <t xml:space="preserve">IBITINGA</t>
  </si>
  <si>
    <t xml:space="preserve">I.SOLTEIRA</t>
  </si>
  <si>
    <t xml:space="preserve"> South</t>
  </si>
  <si>
    <t xml:space="preserve"> North</t>
  </si>
  <si>
    <t xml:space="preserve">JAGUARI</t>
  </si>
  <si>
    <t xml:space="preserve">JUPIA</t>
  </si>
  <si>
    <t xml:space="preserve">LIMOEIRO</t>
  </si>
  <si>
    <t xml:space="preserve">N. AVANHAN</t>
  </si>
  <si>
    <t xml:space="preserve">PARAIBUNA</t>
  </si>
  <si>
    <t xml:space="preserve">P.PRIMAVERA</t>
  </si>
  <si>
    <t xml:space="preserve">ROSANA</t>
  </si>
  <si>
    <t xml:space="preserve">S. GRANDE</t>
  </si>
  <si>
    <t xml:space="preserve">TAQUARUÇU</t>
  </si>
  <si>
    <t xml:space="preserve">T.IRMÃOS</t>
  </si>
  <si>
    <t xml:space="preserve">PCH CEMAT</t>
  </si>
  <si>
    <t xml:space="preserve">PUS CEMAT</t>
  </si>
  <si>
    <t xml:space="preserve">MASCARENHAS</t>
  </si>
  <si>
    <t xml:space="preserve">PCH ESCELSA</t>
  </si>
  <si>
    <t xml:space="preserve">PCH ESCELSA (*)</t>
  </si>
  <si>
    <t xml:space="preserve">H.BORDEN Ext</t>
  </si>
  <si>
    <t xml:space="preserve">H.BORDEN Sub.</t>
  </si>
  <si>
    <t xml:space="preserve">H.BORDEN Sub</t>
  </si>
  <si>
    <t xml:space="preserve">PCH EPAULO</t>
  </si>
  <si>
    <t xml:space="preserve">P.COLOMBIA</t>
  </si>
  <si>
    <t xml:space="preserve">CORUMBÁ </t>
  </si>
  <si>
    <t xml:space="preserve">CORUMBÁ</t>
  </si>
  <si>
    <t xml:space="preserve">FUNIL</t>
  </si>
  <si>
    <t xml:space="preserve">ESTREITO</t>
  </si>
  <si>
    <t xml:space="preserve">MANSO</t>
  </si>
  <si>
    <t xml:space="preserve">S. MESA</t>
  </si>
  <si>
    <t xml:space="preserve">SERRA MESA</t>
  </si>
  <si>
    <t xml:space="preserve">C.DOURADA</t>
  </si>
  <si>
    <t xml:space="preserve">FONTES</t>
  </si>
  <si>
    <t xml:space="preserve">I. POMBOS</t>
  </si>
  <si>
    <t xml:space="preserve">N.PEÇANHA</t>
  </si>
  <si>
    <t xml:space="preserve">P.PASSOS</t>
  </si>
  <si>
    <t xml:space="preserve">STA BRANCA</t>
  </si>
  <si>
    <t xml:space="preserve">S.BRANCA</t>
  </si>
  <si>
    <t xml:space="preserve">ITAIPU 50 Hz</t>
  </si>
  <si>
    <t xml:space="preserve">ITAIPU 60 Hz</t>
  </si>
  <si>
    <t xml:space="preserve">SUB-TOTAL</t>
  </si>
  <si>
    <t xml:space="preserve">PCH CEEE</t>
  </si>
  <si>
    <t xml:space="preserve">CANASTRA</t>
  </si>
  <si>
    <t xml:space="preserve">D. FRANCISCA</t>
  </si>
  <si>
    <t xml:space="preserve">ITAUBA</t>
  </si>
  <si>
    <t xml:space="preserve">JACUI</t>
  </si>
  <si>
    <t xml:space="preserve">PASSO REAL</t>
  </si>
  <si>
    <t xml:space="preserve">GBM</t>
  </si>
  <si>
    <t xml:space="preserve">GPS</t>
  </si>
  <si>
    <t xml:space="preserve">PCH COPEL</t>
  </si>
  <si>
    <t xml:space="preserve">n/a</t>
  </si>
  <si>
    <t xml:space="preserve">S.CAXIAS</t>
  </si>
  <si>
    <t xml:space="preserve">SEGREDO</t>
  </si>
  <si>
    <t xml:space="preserve">ITÁ</t>
  </si>
  <si>
    <t xml:space="preserve">P.FUNDO</t>
  </si>
  <si>
    <t xml:space="preserve">S.OSÓRIO</t>
  </si>
  <si>
    <t xml:space="preserve">S.OSORIO</t>
  </si>
  <si>
    <t xml:space="preserve">S.SANTIAGO</t>
  </si>
  <si>
    <t xml:space="preserve">PCH ENERSUL</t>
  </si>
  <si>
    <t xml:space="preserve">PUS ENERSUL</t>
  </si>
  <si>
    <t xml:space="preserve">PCH CELESC</t>
  </si>
  <si>
    <t xml:space="preserve">PCH CHESF</t>
  </si>
  <si>
    <t xml:space="preserve">A SALLES</t>
  </si>
  <si>
    <t xml:space="preserve">APOLÔNIO SALLES</t>
  </si>
  <si>
    <t xml:space="preserve">B. ESPERANÇA</t>
  </si>
  <si>
    <t xml:space="preserve">BOA ESPERANÇA</t>
  </si>
  <si>
    <t xml:space="preserve">L.GONZAGA</t>
  </si>
  <si>
    <t xml:space="preserve">LUIS GONZAGA</t>
  </si>
  <si>
    <t xml:space="preserve">P.AFONSO 1</t>
  </si>
  <si>
    <t xml:space="preserve">P.AFONSO 2</t>
  </si>
  <si>
    <t xml:space="preserve">P.AFONSO 3</t>
  </si>
  <si>
    <t xml:space="preserve">P.AFONSO 4</t>
  </si>
  <si>
    <t xml:space="preserve">XINGÓ</t>
  </si>
  <si>
    <t xml:space="preserve">TUCURUÍ</t>
  </si>
  <si>
    <t xml:space="preserve">AUX. TUCURUI</t>
  </si>
  <si>
    <t xml:space="preserve">CURUÁ-UNA</t>
  </si>
  <si>
    <t xml:space="preserve">CURUA-UNA</t>
  </si>
  <si>
    <t xml:space="preserve">Note:  PCH Escelsa includes 40 MW from auto producers</t>
  </si>
  <si>
    <t xml:space="preserve">           PCH Copel includes 46 MW from Acaray</t>
  </si>
  <si>
    <t xml:space="preserve">Southeast Submarket</t>
  </si>
  <si>
    <t xml:space="preserve">Generation</t>
  </si>
  <si>
    <t xml:space="preserve">EAR</t>
  </si>
  <si>
    <t xml:space="preserve">Max EAR (MW)</t>
  </si>
  <si>
    <t xml:space="preserve">Northeast Submarket</t>
  </si>
  <si>
    <t xml:space="preserve">(% National System)</t>
  </si>
  <si>
    <t xml:space="preserve">South Submarket</t>
  </si>
  <si>
    <t xml:space="preserve">North Submarket</t>
  </si>
  <si>
    <t xml:space="preserve">TMO (Tarifa Marginal da Operação - R$)</t>
  </si>
  <si>
    <t xml:space="preserve">ENA (Energia Natural Afluente as of % Média Longo Termo)</t>
  </si>
  <si>
    <t xml:space="preserve">EAR (Energia Armazenada)</t>
  </si>
  <si>
    <t xml:space="preserve">Heavy load price</t>
  </si>
  <si>
    <t xml:space="preserve">Medium load price</t>
  </si>
  <si>
    <t xml:space="preserve">     Light load price</t>
  </si>
  <si>
    <t xml:space="preserve">DO NOT PRINT THIS CHECK LIST</t>
  </si>
  <si>
    <t xml:space="preserve">Check</t>
  </si>
  <si>
    <t xml:space="preserve">EAR (Storage Energy as % of Maximum Capacity)</t>
  </si>
  <si>
    <t xml:space="preserve">EAR (Storage Energy - YoY change)</t>
  </si>
  <si>
    <t xml:space="preserve">1998</t>
  </si>
  <si>
    <t xml:space="preserve">1999</t>
  </si>
  <si>
    <t xml:space="preserve">-</t>
  </si>
  <si>
    <t xml:space="preserve">ENA (Water Inflow as % of MLT - Monthly Historical Average)</t>
  </si>
  <si>
    <t xml:space="preserve">ENA (Water Inflow - YoY change)</t>
  </si>
  <si>
    <t xml:space="preserve">ENA</t>
  </si>
  <si>
    <t xml:space="preserve">%MLT</t>
  </si>
  <si>
    <t xml:space="preserve">Heavy</t>
  </si>
  <si>
    <t xml:space="preserve">Medium</t>
  </si>
  <si>
    <t xml:space="preserve">Light</t>
  </si>
  <si>
    <t xml:space="preserve">EAR (MW)</t>
  </si>
  <si>
    <t xml:space="preserve">MLT (Historical data - Jan 11, 2001)</t>
  </si>
  <si>
    <t xml:space="preserve">from 1931 to 1996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</si>
  <si>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</si>
  <si>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</si>
  <si>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</si>
  <si>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</si>
  <si>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</si>
  <si>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</si>
  <si>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</si>
  <si>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</si>
  <si>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</si>
  <si>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</si>
  <si>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</si>
  <si>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</si>
  <si>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SE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</si>
</sst>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&quot;R$&quot;* #,##0_);_(&quot;R$&quot;* \(#,##0\);_(&quot;R$&quot;* \-_);_(@_)"/>
    <numFmt numFmtId="166" formatCode="_(&quot;R$ &quot;* #,##0_);_(&quot;R$ &quot;* \(#,##0\);_(&quot;R$ &quot;* \-_);_(@_)"/>
    <numFmt numFmtId="167" formatCode="_(&quot;R$&quot;* #,##0.00_);_(&quot;R$&quot;* \(#,##0.00\);_(&quot;R$&quot;* \-??_);_(@_)"/>
    <numFmt numFmtId="168" formatCode="_(&quot;R$ &quot;* #,##0.00_);_(&quot;R$ &quot;* \(#,##0.00\);_(&quot;R$ &quot;* \-??_);_(@_)"/>
    <numFmt numFmtId="169" formatCode="mmmm\ d&quot;, &quot;yyyy"/>
    <numFmt numFmtId="170" formatCode="@"/>
    <numFmt numFmtId="171" formatCode="#,##0"/>
    <numFmt numFmtId="172" formatCode="0.0"/>
    <numFmt numFmtId="173" formatCode="[$-409]#,##0_);[RED]\(#,##0\)"/>
    <numFmt numFmtId="174" formatCode="0.00"/>
    <numFmt numFmtId="175" formatCode="0%"/>
    <numFmt numFmtId="176" formatCode="0"/>
    <numFmt numFmtId="177" formatCode="_(* #,##0.00_);_(* \(#,##0.00\);_(* \-??_);_(@_)"/>
    <numFmt numFmtId="178" formatCode="_(* #,##0_);_(* \(#,##0\);_(* \-??_);_(@_)"/>
    <numFmt numFmtId="179" formatCode="0.0%"/>
    <numFmt numFmtId="180" formatCode="[$-409]#,##0_);\(#,##0\)"/>
    <numFmt numFmtId="181" formatCode="#,##0.00"/>
    <numFmt numFmtId="182" formatCode="0.00%"/>
    <numFmt numFmtId="183" formatCode="[$-409]#,##0.00_);[RED]\(#,##0.00\)"/>
    <numFmt numFmtId="184" formatCode="[$-409]mmm\-yy"/>
  </numFmts>
  <fonts count="4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0"/>
      <color rgb="FF003366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b val="true"/>
      <sz val="6"/>
      <name val="Arial"/>
      <family val="2"/>
    </font>
    <font>
      <sz val="6"/>
      <name val="Arial"/>
      <family val="2"/>
    </font>
    <font>
      <b val="true"/>
      <i val="true"/>
      <sz val="7"/>
      <name val="Arial"/>
      <family val="2"/>
    </font>
    <font>
      <sz val="7"/>
      <name val="Arial"/>
      <family val="2"/>
    </font>
    <font>
      <b val="true"/>
      <sz val="7"/>
      <name val="Arial"/>
      <family val="2"/>
    </font>
    <font>
      <b val="true"/>
      <sz val="8"/>
      <color rgb="FF003366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name val="Arial"/>
      <family val="2"/>
    </font>
    <font>
      <i val="true"/>
      <sz val="8"/>
      <name val="Arial"/>
      <family val="2"/>
    </font>
    <font>
      <b val="true"/>
      <sz val="10"/>
      <color rgb="FFFF0000"/>
      <name val="Arial"/>
      <family val="2"/>
    </font>
    <font>
      <b val="true"/>
      <sz val="8"/>
      <color rgb="FF000000"/>
      <name val="Arial"/>
      <family val="2"/>
    </font>
    <font>
      <sz val="5.75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0"/>
    </font>
    <font>
      <sz val="8"/>
      <color rgb="FF000000"/>
      <name val="Arial"/>
      <family val="0"/>
    </font>
    <font>
      <sz val="6"/>
      <color rgb="FF00000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b val="true"/>
      <sz val="10"/>
      <color rgb="FFFFFFFF"/>
      <name val="Arial"/>
      <family val="2"/>
    </font>
    <font>
      <i val="true"/>
      <sz val="8"/>
      <color rgb="FF0000FF"/>
      <name val="Arial"/>
      <family val="2"/>
    </font>
    <font>
      <b val="true"/>
      <sz val="8"/>
      <color rgb="FF0000FF"/>
      <name val="Arial"/>
      <family val="2"/>
    </font>
    <font>
      <b val="true"/>
      <i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.5"/>
      <color rgb="FF000000"/>
      <name val="Arial"/>
      <family val="2"/>
    </font>
    <font>
      <sz val="6.25"/>
      <color rgb="FF00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i val="true"/>
      <u val="single"/>
      <sz val="10"/>
      <name val="Arial"/>
      <family val="2"/>
    </font>
    <font>
      <b val="true"/>
      <sz val="12"/>
      <color rgb="FF000000"/>
      <name val="Arial"/>
      <family val="2"/>
    </font>
    <font>
      <sz val="8.5"/>
      <color rgb="FF000000"/>
      <name val="Arial"/>
      <family val="2"/>
    </font>
    <font>
      <sz val="8.25"/>
      <color rgb="FF000000"/>
      <name val="Arial"/>
      <family val="2"/>
    </font>
    <font>
      <b val="true"/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99CC00"/>
        <bgColor rgb="FFFFCC00"/>
      </patternFill>
    </fill>
    <fill>
      <patternFill patternType="solid">
        <fgColor rgb="FFC0C0C0"/>
        <bgColor rgb="FFCCCCFF"/>
      </patternFill>
    </fill>
    <fill>
      <patternFill patternType="solid">
        <fgColor rgb="FF33CCCC"/>
        <bgColor rgb="FF00CCFF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1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8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8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8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3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8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4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2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3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8" fillId="3" borderId="4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8" fillId="3" borderId="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3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8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8" fillId="3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4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2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4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3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3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0" borderId="4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3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8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3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3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8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8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3" fillId="3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3" fillId="3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3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3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5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5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5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5" borderId="5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5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5" borderId="2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7" fillId="5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5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6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6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6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6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7" fillId="6" borderId="3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5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5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7" fillId="5" borderId="3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7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7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7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7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7" fillId="7" borderId="3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6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6" borderId="5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6" borderId="5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6" borderId="5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7" fillId="6" borderId="5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0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0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7" fillId="3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5" borderId="5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5" borderId="5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5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5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5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6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5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6" borderId="5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6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9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6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6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9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6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6" borderId="5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6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9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6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6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6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6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7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5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7" borderId="5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7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7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5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7" borderId="5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7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7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7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7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7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5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8" borderId="5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8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3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8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8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3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7" fillId="8" borderId="3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8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1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8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8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8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2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0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3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3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7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6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6" fillId="0" borderId="2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6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6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1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 [0]_ena-ear" xfId="20"/>
    <cellStyle name="Currency [0]_MLT_officialONS_Jan11_PauloDiniz" xfId="21"/>
    <cellStyle name="Currency [0]_MLT_ONS" xfId="22"/>
    <cellStyle name="Currency_ena-ear" xfId="23"/>
    <cellStyle name="Currency_MLT_officialONS_Jan11_PauloDiniz" xfId="24"/>
    <cellStyle name="Currency_MLT_ONS" xfId="25"/>
  </cellStyles>
  <dxfs count="1"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Southeast (% storage energy)</a:t>
            </a:r>
          </a:p>
        </c:rich>
      </c:tx>
      <c:layout>
        <c:manualLayout>
          <c:xMode val="edge"/>
          <c:yMode val="edge"/>
          <c:x val="0.304229888954819"/>
          <c:y val="0.04419535628502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1191828430957"/>
          <c:y val="0.077982385908727"/>
          <c:w val="0.978808171569043"/>
          <c:h val="0.9220176140912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Data!$B$39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Data!$B$40:$B$51</c:f>
              <c:numCache>
                <c:formatCode>0.0%</c:formatCode>
                <c:ptCount val="12"/>
                <c:pt idx="0">
                  <c:v>0.568</c:v>
                </c:pt>
                <c:pt idx="1">
                  <c:v>0.622</c:v>
                </c:pt>
                <c:pt idx="2">
                  <c:v>0.71</c:v>
                </c:pt>
                <c:pt idx="3">
                  <c:v>0.698</c:v>
                </c:pt>
                <c:pt idx="4">
                  <c:v>0.654</c:v>
                </c:pt>
                <c:pt idx="5">
                  <c:v>0.601</c:v>
                </c:pt>
                <c:pt idx="6">
                  <c:v>0.542</c:v>
                </c:pt>
                <c:pt idx="7">
                  <c:v>0.45</c:v>
                </c:pt>
                <c:pt idx="8">
                  <c:v>0.367</c:v>
                </c:pt>
                <c:pt idx="9">
                  <c:v>0.264</c:v>
                </c:pt>
                <c:pt idx="10">
                  <c:v>0.197</c:v>
                </c:pt>
                <c:pt idx="11">
                  <c:v>0.181</c:v>
                </c:pt>
              </c:numCache>
            </c:numRef>
          </c:val>
        </c:ser>
        <c:ser>
          <c:idx val="1"/>
          <c:order val="1"/>
          <c:tx>
            <c:strRef>
              <c:f>Data!$C$39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Data!$C$40:$C$51</c:f>
              <c:numCache>
                <c:formatCode>0.0%</c:formatCode>
                <c:ptCount val="12"/>
                <c:pt idx="0">
                  <c:v>0.293</c:v>
                </c:pt>
                <c:pt idx="1">
                  <c:v>0.45</c:v>
                </c:pt>
                <c:pt idx="2">
                  <c:v>0.585</c:v>
                </c:pt>
                <c:pt idx="3">
                  <c:v>0.594</c:v>
                </c:pt>
                <c:pt idx="4">
                  <c:v>0.541</c:v>
                </c:pt>
                <c:pt idx="5">
                  <c:v>0.473</c:v>
                </c:pt>
                <c:pt idx="6">
                  <c:v>0.402</c:v>
                </c:pt>
                <c:pt idx="7">
                  <c:v>0.324</c:v>
                </c:pt>
                <c:pt idx="8">
                  <c:v>0.308</c:v>
                </c:pt>
                <c:pt idx="9">
                  <c:v>0.23</c:v>
                </c:pt>
                <c:pt idx="10">
                  <c:v>0.2209</c:v>
                </c:pt>
                <c:pt idx="11">
                  <c:v>0.285</c:v>
                </c:pt>
              </c:numCache>
            </c:numRef>
          </c:val>
        </c:ser>
        <c:ser>
          <c:idx val="2"/>
          <c:order val="2"/>
          <c:tx>
            <c:strRef>
              <c:f>Data!$D$39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Data!$D$40:$D$51</c:f>
              <c:numCache>
                <c:formatCode>0.0%</c:formatCode>
                <c:ptCount val="12"/>
                <c:pt idx="0">
                  <c:v>0.314</c:v>
                </c:pt>
                <c:pt idx="1">
                  <c:v>0.3344</c:v>
                </c:pt>
              </c:numCache>
            </c:numRef>
          </c:val>
        </c:ser>
        <c:gapWidth val="150"/>
        <c:overlap val="0"/>
        <c:axId val="57874728"/>
        <c:axId val="91895687"/>
      </c:barChart>
      <c:catAx>
        <c:axId val="57874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895687"/>
        <c:crossesAt val="0"/>
        <c:auto val="1"/>
        <c:lblAlgn val="ctr"/>
        <c:lblOffset val="100"/>
        <c:noMultiLvlLbl val="0"/>
      </c:catAx>
      <c:valAx>
        <c:axId val="9189568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87472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3023650080529"/>
          <c:y val="0.1838270616493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North Submarket</a:t>
            </a:r>
          </a:p>
        </c:rich>
      </c:tx>
      <c:layout>
        <c:manualLayout>
          <c:xMode val="edge"/>
          <c:yMode val="edge"/>
          <c:x val="0.411968276856525"/>
          <c:y val="0.01736834792274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0163422254266"/>
          <c:y val="0.0286925107683757"/>
          <c:w val="0.987983657774573"/>
          <c:h val="0.971307489231624"/>
        </c:manualLayout>
      </c:layout>
      <c:lineChart>
        <c:grouping val="standard"/>
        <c:varyColors val="0"/>
        <c:ser>
          <c:idx val="0"/>
          <c:order val="0"/>
          <c:tx>
            <c:strRef>
              <c:f>Data!$U$2</c:f>
              <c:strCache>
                <c:ptCount val="1"/>
                <c:pt idx="0">
                  <c:v>%MLT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square"/>
            <c:size val="5"/>
            <c:spPr>
              <a:solidFill>
                <a:srgbClr val="000080"/>
              </a:solidFill>
            </c:spPr>
          </c:marker>
          <c:dPt>
            <c:idx val="2"/>
            <c:marker>
              <c:symbol val="square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Data!$U$3:$U$31</c:f>
              <c:numCache>
                <c:formatCode>0%</c:formatCode>
                <c:ptCount val="27"/>
                <c:pt idx="0">
                  <c:v>0.79</c:v>
                </c:pt>
                <c:pt idx="1">
                  <c:v>0.56</c:v>
                </c:pt>
                <c:pt idx="2">
                  <c:v>0.79</c:v>
                </c:pt>
                <c:pt idx="3">
                  <c:v>0.65</c:v>
                </c:pt>
                <c:pt idx="4">
                  <c:v>0.82</c:v>
                </c:pt>
                <c:pt idx="5">
                  <c:v>0.63</c:v>
                </c:pt>
                <c:pt idx="6">
                  <c:v>0.68</c:v>
                </c:pt>
                <c:pt idx="7">
                  <c:v>0.73</c:v>
                </c:pt>
                <c:pt idx="8">
                  <c:v>0.72</c:v>
                </c:pt>
                <c:pt idx="9">
                  <c:v>0.8</c:v>
                </c:pt>
                <c:pt idx="10">
                  <c:v>0.93</c:v>
                </c:pt>
                <c:pt idx="11">
                  <c:v>1.17</c:v>
                </c:pt>
                <c:pt idx="12">
                  <c:v>1.42</c:v>
                </c:pt>
                <c:pt idx="13">
                  <c:v>1.17</c:v>
                </c:pt>
                <c:pt idx="14">
                  <c:v>1.27</c:v>
                </c:pt>
                <c:pt idx="15">
                  <c:v>1.11</c:v>
                </c:pt>
                <c:pt idx="16">
                  <c:v>1.16</c:v>
                </c:pt>
                <c:pt idx="17">
                  <c:v>0.83</c:v>
                </c:pt>
                <c:pt idx="18">
                  <c:v>0.89</c:v>
                </c:pt>
                <c:pt idx="19">
                  <c:v>0.97</c:v>
                </c:pt>
                <c:pt idx="20">
                  <c:v>0.92</c:v>
                </c:pt>
                <c:pt idx="21">
                  <c:v>0.88</c:v>
                </c:pt>
                <c:pt idx="22">
                  <c:v>1.08</c:v>
                </c:pt>
                <c:pt idx="23">
                  <c:v>1.35</c:v>
                </c:pt>
                <c:pt idx="24">
                  <c:v>0.92</c:v>
                </c:pt>
                <c:pt idx="25">
                  <c:v>0.73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Data!$V$2</c:f>
              <c:strCache>
                <c:ptCount val="1"/>
                <c:pt idx="0">
                  <c:v>EAR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marker>
            <c:symbol val="triangle"/>
            <c:size val="5"/>
            <c:spPr>
              <a:solidFill>
                <a:srgbClr val="ff6600"/>
              </a:solidFill>
            </c:spPr>
          </c:marker>
          <c:dPt>
            <c:idx val="1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Pt>
            <c:idx val="2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Pt>
            <c:idx val="3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Pt>
            <c:idx val="4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Pt>
            <c:idx val="5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Pt>
            <c:idx val="20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Lbls>
            <c:numFmt formatCode="0%" sourceLinked="1"/>
            <c:dLbl>
              <c:idx val="1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5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0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Data!$V$3:$V$31</c:f>
              <c:numCache>
                <c:formatCode>0.0%</c:formatCode>
                <c:ptCount val="27"/>
                <c:pt idx="0">
                  <c:v>0.742</c:v>
                </c:pt>
                <c:pt idx="1">
                  <c:v>0.802</c:v>
                </c:pt>
                <c:pt idx="2">
                  <c:v>0.81</c:v>
                </c:pt>
                <c:pt idx="3">
                  <c:v>0.832</c:v>
                </c:pt>
                <c:pt idx="4">
                  <c:v>0.837</c:v>
                </c:pt>
                <c:pt idx="5">
                  <c:v>0.81</c:v>
                </c:pt>
                <c:pt idx="6">
                  <c:v>0.714</c:v>
                </c:pt>
                <c:pt idx="7">
                  <c:v>0.585</c:v>
                </c:pt>
                <c:pt idx="8">
                  <c:v>0.438</c:v>
                </c:pt>
                <c:pt idx="9">
                  <c:v>0.287</c:v>
                </c:pt>
                <c:pt idx="10">
                  <c:v>0.24</c:v>
                </c:pt>
                <c:pt idx="11">
                  <c:v>0.457</c:v>
                </c:pt>
                <c:pt idx="12">
                  <c:v>0.755</c:v>
                </c:pt>
                <c:pt idx="13">
                  <c:v>0.807</c:v>
                </c:pt>
                <c:pt idx="14">
                  <c:v>0.833</c:v>
                </c:pt>
                <c:pt idx="15">
                  <c:v>0.837</c:v>
                </c:pt>
                <c:pt idx="16">
                  <c:v>0.821</c:v>
                </c:pt>
                <c:pt idx="17">
                  <c:v>0.811</c:v>
                </c:pt>
                <c:pt idx="18">
                  <c:v>0.755</c:v>
                </c:pt>
                <c:pt idx="19">
                  <c:v>0.615</c:v>
                </c:pt>
                <c:pt idx="20">
                  <c:v>0.454</c:v>
                </c:pt>
                <c:pt idx="21">
                  <c:v>0.321</c:v>
                </c:pt>
                <c:pt idx="22">
                  <c:v>0.2902</c:v>
                </c:pt>
                <c:pt idx="23">
                  <c:v>0.593</c:v>
                </c:pt>
                <c:pt idx="24">
                  <c:v>0.719</c:v>
                </c:pt>
                <c:pt idx="25">
                  <c:v>0.7248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580916"/>
        <c:axId val="47101476"/>
      </c:lineChart>
      <c:barChart>
        <c:barDir val="col"/>
        <c:grouping val="clustered"/>
        <c:varyColors val="0"/>
        <c:ser>
          <c:idx val="2"/>
          <c:order val="2"/>
          <c:tx>
            <c:strRef>
              <c:f>Data!$W$2</c:f>
              <c:strCache>
                <c:ptCount val="1"/>
                <c:pt idx="0">
                  <c:v>Heavy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dLbl>
              <c:idx val="20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Data!$W$3:$W$31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101.49</c:v>
                </c:pt>
                <c:pt idx="21">
                  <c:v>76.07</c:v>
                </c:pt>
                <c:pt idx="22">
                  <c:v>149.7</c:v>
                </c:pt>
                <c:pt idx="23">
                  <c:v>103.54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ser>
          <c:idx val="3"/>
          <c:order val="3"/>
          <c:tx>
            <c:strRef>
              <c:f>Data!$X$2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Lbls>
            <c:numFmt formatCode="0" sourceLinked="1"/>
            <c:dLbl>
              <c:idx val="20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4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5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Data!$X$3:$X$31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101.49</c:v>
                </c:pt>
                <c:pt idx="21">
                  <c:v>76.07</c:v>
                </c:pt>
                <c:pt idx="22">
                  <c:v>127.3</c:v>
                </c:pt>
                <c:pt idx="23">
                  <c:v>103.54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ser>
          <c:idx val="4"/>
          <c:order val="4"/>
          <c:tx>
            <c:strRef>
              <c:f>Data!$Y$2</c:f>
              <c:strCache>
                <c:ptCount val="1"/>
                <c:pt idx="0">
                  <c:v>Light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Lbls>
            <c:dLbl>
              <c:idx val="20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Data!$Y$3:$Y$31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66.06</c:v>
                </c:pt>
                <c:pt idx="21">
                  <c:v>76.07</c:v>
                </c:pt>
                <c:pt idx="22">
                  <c:v>127.3</c:v>
                </c:pt>
                <c:pt idx="23">
                  <c:v>103.54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gapWidth val="10"/>
        <c:overlap val="0"/>
        <c:axId val="39941788"/>
        <c:axId val="91293180"/>
      </c:barChart>
      <c:catAx>
        <c:axId val="80580916"/>
        <c:scaling>
          <c:orientation val="minMax"/>
        </c:scaling>
        <c:delete val="0"/>
        <c:axPos val="b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101476"/>
        <c:crossesAt val="0"/>
        <c:auto val="1"/>
        <c:lblAlgn val="ctr"/>
        <c:lblOffset val="100"/>
        <c:noMultiLvlLbl val="0"/>
      </c:catAx>
      <c:valAx>
        <c:axId val="47101476"/>
        <c:scaling>
          <c:orientation val="minMax"/>
          <c:max val="1.5"/>
          <c:min val="0"/>
        </c:scaling>
        <c:delete val="0"/>
        <c:axPos val="l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580916"/>
        <c:crossesAt val="1"/>
        <c:crossBetween val="midCat"/>
        <c:majorUnit val="0.3"/>
        <c:minorUnit val="0.3"/>
      </c:valAx>
      <c:catAx>
        <c:axId val="39941788"/>
        <c:scaling>
          <c:orientation val="minMax"/>
        </c:scaling>
        <c:delete val="1"/>
        <c:axPos val="t"/>
        <c:numFmt formatCode="[$-409]mmm\-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293180"/>
        <c:auto val="1"/>
        <c:lblAlgn val="ctr"/>
        <c:lblOffset val="100"/>
        <c:noMultiLvlLbl val="0"/>
      </c:catAx>
      <c:valAx>
        <c:axId val="91293180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941788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Southeast - ENA (as % of MLT)</a:t>
            </a:r>
          </a:p>
        </c:rich>
      </c:tx>
      <c:layout>
        <c:manualLayout>
          <c:xMode val="edge"/>
          <c:yMode val="edge"/>
          <c:x val="0.249093781949995"/>
          <c:y val="0.03705343962208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2363602565294"/>
          <c:y val="0.119279598464718"/>
          <c:w val="0.976763639743471"/>
          <c:h val="0.8054325361677"/>
        </c:manualLayout>
      </c:layout>
      <c:lineChart>
        <c:grouping val="standard"/>
        <c:varyColors val="0"/>
        <c:ser>
          <c:idx val="0"/>
          <c:order val="0"/>
          <c:tx>
            <c:strRef>
              <c:f>Page4!$B$20:$B$21</c:f>
              <c:strCache>
                <c:ptCount val="1"/>
                <c:pt idx="0">
                  <c:v>Southeast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Page4!$B$22:$B$33</c:f>
              <c:numCache>
                <c:formatCode>0%</c:formatCode>
                <c:ptCount val="12"/>
                <c:pt idx="0">
                  <c:v>0.78440334214097</c:v>
                </c:pt>
                <c:pt idx="1">
                  <c:v>0.959140804987126</c:v>
                </c:pt>
                <c:pt idx="2">
                  <c:v>0.986443376201773</c:v>
                </c:pt>
                <c:pt idx="3">
                  <c:v>1.16359447696233</c:v>
                </c:pt>
                <c:pt idx="4">
                  <c:v>1.19799235644139</c:v>
                </c:pt>
                <c:pt idx="5">
                  <c:v>1.07298626098858</c:v>
                </c:pt>
                <c:pt idx="6">
                  <c:v>0.9929195661714</c:v>
                </c:pt>
                <c:pt idx="7">
                  <c:v>1.33482658959538</c:v>
                </c:pt>
                <c:pt idx="8">
                  <c:v>1.37901591895803</c:v>
                </c:pt>
                <c:pt idx="9">
                  <c:v>1.77025888019266</c:v>
                </c:pt>
                <c:pt idx="10">
                  <c:v>1.00769897026273</c:v>
                </c:pt>
                <c:pt idx="11">
                  <c:v>0.981144238517325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Page4!$C$20:$C$21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Page4!$C$22:$C$33</c:f>
              <c:numCache>
                <c:formatCode>0%</c:formatCode>
                <c:ptCount val="12"/>
                <c:pt idx="0">
                  <c:v>1.11</c:v>
                </c:pt>
                <c:pt idx="1">
                  <c:v>0.88</c:v>
                </c:pt>
                <c:pt idx="2">
                  <c:v>1.09</c:v>
                </c:pt>
                <c:pt idx="3">
                  <c:v>0.81</c:v>
                </c:pt>
                <c:pt idx="4">
                  <c:v>0.85</c:v>
                </c:pt>
                <c:pt idx="5">
                  <c:v>0.92</c:v>
                </c:pt>
                <c:pt idx="6">
                  <c:v>1.07</c:v>
                </c:pt>
                <c:pt idx="7">
                  <c:v>0.83</c:v>
                </c:pt>
                <c:pt idx="8">
                  <c:v>0.96</c:v>
                </c:pt>
                <c:pt idx="9">
                  <c:v>0.61</c:v>
                </c:pt>
                <c:pt idx="10">
                  <c:v>0.7</c:v>
                </c:pt>
                <c:pt idx="11">
                  <c:v>0.68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Page4!$D$20:$D$21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Page4!$D$22:$D$33</c:f>
              <c:numCache>
                <c:formatCode>0%</c:formatCode>
                <c:ptCount val="12"/>
                <c:pt idx="0">
                  <c:v>0.97</c:v>
                </c:pt>
                <c:pt idx="1">
                  <c:v>1.15</c:v>
                </c:pt>
                <c:pt idx="2">
                  <c:v>1.09</c:v>
                </c:pt>
                <c:pt idx="3">
                  <c:v>0.85</c:v>
                </c:pt>
                <c:pt idx="4">
                  <c:v>0.74</c:v>
                </c:pt>
                <c:pt idx="5">
                  <c:v>0.77</c:v>
                </c:pt>
                <c:pt idx="6">
                  <c:v>0.86</c:v>
                </c:pt>
                <c:pt idx="7">
                  <c:v>0.97</c:v>
                </c:pt>
                <c:pt idx="8">
                  <c:v>0.95</c:v>
                </c:pt>
                <c:pt idx="9">
                  <c:v>0.92</c:v>
                </c:pt>
                <c:pt idx="10">
                  <c:v>1.09</c:v>
                </c:pt>
                <c:pt idx="11">
                  <c:v>1.07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7865693"/>
        <c:axId val="5654318"/>
      </c:lineChart>
      <c:catAx>
        <c:axId val="478656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4318"/>
        <c:crossesAt val="0"/>
        <c:auto val="1"/>
        <c:lblAlgn val="ctr"/>
        <c:lblOffset val="100"/>
        <c:noMultiLvlLbl val="0"/>
      </c:catAx>
      <c:valAx>
        <c:axId val="5654318"/>
        <c:scaling>
          <c:orientation val="minMax"/>
          <c:min val="0.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6569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06989497165164"/>
          <c:y val="1.0193386477708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Southeast - Storage Energy</a:t>
            </a:r>
          </a:p>
        </c:rich>
      </c:tx>
      <c:layout>
        <c:manualLayout>
          <c:xMode val="edge"/>
          <c:yMode val="edge"/>
          <c:x val="0.269262942652663"/>
          <c:y val="0.03705343962208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2363602565294"/>
          <c:y val="0.111898435193386"/>
          <c:w val="0.976763639743471"/>
          <c:h val="0.8054325361677"/>
        </c:manualLayout>
      </c:layout>
      <c:lineChart>
        <c:grouping val="standard"/>
        <c:varyColors val="0"/>
        <c:ser>
          <c:idx val="0"/>
          <c:order val="0"/>
          <c:tx>
            <c:strRef>
              <c:f>Page4!$B$2:$B$3</c:f>
              <c:strCache>
                <c:ptCount val="1"/>
                <c:pt idx="0">
                  <c:v>Southeast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Page4!$B$4:$B$15</c:f>
              <c:numCache>
                <c:formatCode>0%</c:formatCode>
                <c:ptCount val="12"/>
                <c:pt idx="0">
                  <c:v>0.688</c:v>
                </c:pt>
                <c:pt idx="1">
                  <c:v>0.79</c:v>
                </c:pt>
                <c:pt idx="2">
                  <c:v>0.831</c:v>
                </c:pt>
                <c:pt idx="3">
                  <c:v>0.818</c:v>
                </c:pt>
                <c:pt idx="4">
                  <c:v>0.802</c:v>
                </c:pt>
                <c:pt idx="5">
                  <c:v>0.757</c:v>
                </c:pt>
                <c:pt idx="6">
                  <c:v>0.678</c:v>
                </c:pt>
                <c:pt idx="7">
                  <c:v>0.605</c:v>
                </c:pt>
                <c:pt idx="8">
                  <c:v>0.525</c:v>
                </c:pt>
                <c:pt idx="9">
                  <c:v>0.478</c:v>
                </c:pt>
                <c:pt idx="10">
                  <c:v>0.435</c:v>
                </c:pt>
                <c:pt idx="11">
                  <c:v>0.463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Page4!$C$2:$C$3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Page4!$C$4:$C$15</c:f>
              <c:numCache>
                <c:formatCode>0%</c:formatCode>
                <c:ptCount val="12"/>
                <c:pt idx="0">
                  <c:v>0.568</c:v>
                </c:pt>
                <c:pt idx="1">
                  <c:v>0.622</c:v>
                </c:pt>
                <c:pt idx="2">
                  <c:v>0.71</c:v>
                </c:pt>
                <c:pt idx="3">
                  <c:v>0.698</c:v>
                </c:pt>
                <c:pt idx="4">
                  <c:v>0.654</c:v>
                </c:pt>
                <c:pt idx="5">
                  <c:v>0.601</c:v>
                </c:pt>
                <c:pt idx="6">
                  <c:v>0.542</c:v>
                </c:pt>
                <c:pt idx="7">
                  <c:v>0.45</c:v>
                </c:pt>
                <c:pt idx="8">
                  <c:v>0.367</c:v>
                </c:pt>
                <c:pt idx="9">
                  <c:v>0.264</c:v>
                </c:pt>
                <c:pt idx="10">
                  <c:v>0.197</c:v>
                </c:pt>
                <c:pt idx="11">
                  <c:v>0.181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Page4!$D$2:$D$3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Page4!$D$4:$D$15</c:f>
              <c:numCache>
                <c:formatCode>0%</c:formatCode>
                <c:ptCount val="12"/>
                <c:pt idx="0">
                  <c:v>0.293</c:v>
                </c:pt>
                <c:pt idx="1">
                  <c:v>0.45</c:v>
                </c:pt>
                <c:pt idx="2">
                  <c:v>0.585</c:v>
                </c:pt>
                <c:pt idx="3">
                  <c:v>0.594</c:v>
                </c:pt>
                <c:pt idx="4">
                  <c:v>0.541</c:v>
                </c:pt>
                <c:pt idx="5">
                  <c:v>0.473</c:v>
                </c:pt>
                <c:pt idx="6">
                  <c:v>0.406</c:v>
                </c:pt>
                <c:pt idx="7">
                  <c:v>0.318</c:v>
                </c:pt>
                <c:pt idx="8">
                  <c:v>0.307</c:v>
                </c:pt>
                <c:pt idx="9">
                  <c:v>0.23</c:v>
                </c:pt>
                <c:pt idx="10">
                  <c:v>0.2209</c:v>
                </c:pt>
                <c:pt idx="11">
                  <c:v>0.2852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957122"/>
        <c:axId val="31614412"/>
      </c:lineChart>
      <c:catAx>
        <c:axId val="599571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14412"/>
        <c:crossesAt val="0"/>
        <c:auto val="1"/>
        <c:lblAlgn val="ctr"/>
        <c:lblOffset val="100"/>
        <c:noMultiLvlLbl val="0"/>
      </c:catAx>
      <c:valAx>
        <c:axId val="31614412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5712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34408402267869"/>
          <c:y val="0.99084735754354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South - Storage Energy</a:t>
            </a:r>
          </a:p>
        </c:rich>
      </c:tx>
      <c:layout>
        <c:manualLayout>
          <c:xMode val="edge"/>
          <c:yMode val="edge"/>
          <c:x val="0.301501946968292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78193955127"/>
          <c:y val="0.115277165122776"/>
          <c:w val="0.976821806044873"/>
          <c:h val="0.798853109836789"/>
        </c:manualLayout>
      </c:layout>
      <c:lineChart>
        <c:grouping val="standard"/>
        <c:varyColors val="0"/>
        <c:ser>
          <c:idx val="0"/>
          <c:order val="0"/>
          <c:tx>
            <c:strRef>
              <c:f>Page4!$E$2:$E$3</c:f>
              <c:strCache>
                <c:ptCount val="1"/>
                <c:pt idx="0">
                  <c:v>South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Page4!$E$4:$E$15</c:f>
              <c:numCache>
                <c:formatCode>0%</c:formatCode>
                <c:ptCount val="12"/>
                <c:pt idx="0">
                  <c:v>0.978</c:v>
                </c:pt>
                <c:pt idx="1">
                  <c:v>0.989</c:v>
                </c:pt>
                <c:pt idx="2">
                  <c:v>0.957</c:v>
                </c:pt>
                <c:pt idx="3">
                  <c:v>0.928</c:v>
                </c:pt>
                <c:pt idx="4">
                  <c:v>0.936</c:v>
                </c:pt>
                <c:pt idx="5">
                  <c:v>0.851</c:v>
                </c:pt>
                <c:pt idx="6">
                  <c:v>0.959</c:v>
                </c:pt>
                <c:pt idx="7">
                  <c:v>0.934</c:v>
                </c:pt>
                <c:pt idx="8">
                  <c:v>0.936</c:v>
                </c:pt>
                <c:pt idx="9">
                  <c:v>0.975</c:v>
                </c:pt>
                <c:pt idx="10">
                  <c:v>0.879</c:v>
                </c:pt>
                <c:pt idx="11">
                  <c:v>0.825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Page4!$F$2:$F$3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Page4!$F$4:$F$15</c:f>
              <c:numCache>
                <c:formatCode>0%</c:formatCode>
                <c:ptCount val="12"/>
                <c:pt idx="0">
                  <c:v>0.792</c:v>
                </c:pt>
                <c:pt idx="1">
                  <c:v>0.844</c:v>
                </c:pt>
                <c:pt idx="2">
                  <c:v>0.749</c:v>
                </c:pt>
                <c:pt idx="3">
                  <c:v>0.727</c:v>
                </c:pt>
                <c:pt idx="4">
                  <c:v>0.608</c:v>
                </c:pt>
                <c:pt idx="5">
                  <c:v>0.761</c:v>
                </c:pt>
                <c:pt idx="6">
                  <c:v>0.879</c:v>
                </c:pt>
                <c:pt idx="7">
                  <c:v>0.705</c:v>
                </c:pt>
                <c:pt idx="8">
                  <c:v>0.616</c:v>
                </c:pt>
                <c:pt idx="9">
                  <c:v>0.792</c:v>
                </c:pt>
                <c:pt idx="10">
                  <c:v>0.662</c:v>
                </c:pt>
                <c:pt idx="11">
                  <c:v>0.529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Page4!$G$2:$G$3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Page4!$G$4:$G$15</c:f>
              <c:numCache>
                <c:formatCode>0%</c:formatCode>
                <c:ptCount val="12"/>
                <c:pt idx="0">
                  <c:v>0.475</c:v>
                </c:pt>
                <c:pt idx="1">
                  <c:v>0.473</c:v>
                </c:pt>
                <c:pt idx="2">
                  <c:v>0.523</c:v>
                </c:pt>
                <c:pt idx="3">
                  <c:v>0.4</c:v>
                </c:pt>
                <c:pt idx="4">
                  <c:v>0.302</c:v>
                </c:pt>
                <c:pt idx="5">
                  <c:v>0.41</c:v>
                </c:pt>
                <c:pt idx="6">
                  <c:v>0.441</c:v>
                </c:pt>
                <c:pt idx="7">
                  <c:v>0.462</c:v>
                </c:pt>
                <c:pt idx="8">
                  <c:v>0.867</c:v>
                </c:pt>
                <c:pt idx="9">
                  <c:v>0.962</c:v>
                </c:pt>
                <c:pt idx="10">
                  <c:v>0.929</c:v>
                </c:pt>
                <c:pt idx="11">
                  <c:v>0.8937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4800516"/>
        <c:axId val="49801782"/>
      </c:lineChart>
      <c:catAx>
        <c:axId val="948005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01782"/>
        <c:crossesAt val="0"/>
        <c:auto val="1"/>
        <c:lblAlgn val="ctr"/>
        <c:lblOffset val="100"/>
        <c:noMultiLvlLbl val="0"/>
      </c:catAx>
      <c:valAx>
        <c:axId val="49801782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80051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20378268125348"/>
          <c:y val="0.8803117188648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South - ENA (as % of MLT)</a:t>
            </a:r>
          </a:p>
        </c:rich>
      </c:tx>
      <c:layout>
        <c:manualLayout>
          <c:xMode val="edge"/>
          <c:yMode val="edge"/>
          <c:x val="0.28110513628778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78193955127"/>
          <c:y val="0.130127922364358"/>
          <c:w val="0.976821806044873"/>
          <c:h val="0.787678282605499"/>
        </c:manualLayout>
      </c:layout>
      <c:lineChart>
        <c:grouping val="standard"/>
        <c:varyColors val="0"/>
        <c:ser>
          <c:idx val="0"/>
          <c:order val="0"/>
          <c:tx>
            <c:strRef>
              <c:f>Page4!$E$20:$E$21</c:f>
              <c:strCache>
                <c:ptCount val="1"/>
                <c:pt idx="0">
                  <c:v>South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Page4!$E$22:$E$33</c:f>
              <c:numCache>
                <c:formatCode>0%</c:formatCode>
                <c:ptCount val="12"/>
                <c:pt idx="0">
                  <c:v>2.44415329184409</c:v>
                </c:pt>
                <c:pt idx="1">
                  <c:v>2.36773813034503</c:v>
                </c:pt>
                <c:pt idx="2">
                  <c:v>2.52205882352941</c:v>
                </c:pt>
                <c:pt idx="3">
                  <c:v>5.54572163055454</c:v>
                </c:pt>
                <c:pt idx="4">
                  <c:v>2.59505031275496</c:v>
                </c:pt>
                <c:pt idx="5">
                  <c:v>0.74217857958438</c:v>
                </c:pt>
                <c:pt idx="6">
                  <c:v>1.3745995423341</c:v>
                </c:pt>
                <c:pt idx="7">
                  <c:v>2.82061473237944</c:v>
                </c:pt>
                <c:pt idx="8">
                  <c:v>2.41201814058957</c:v>
                </c:pt>
                <c:pt idx="9">
                  <c:v>2.92143703118831</c:v>
                </c:pt>
                <c:pt idx="10">
                  <c:v>0.965013843443242</c:v>
                </c:pt>
                <c:pt idx="11">
                  <c:v>0.984779299847793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Page4!$F$20:$F$21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Page4!$F$22:$F$33</c:f>
              <c:numCache>
                <c:formatCode>0%</c:formatCode>
                <c:ptCount val="12"/>
                <c:pt idx="0">
                  <c:v>0.96</c:v>
                </c:pt>
                <c:pt idx="1">
                  <c:v>1.41</c:v>
                </c:pt>
                <c:pt idx="2">
                  <c:v>1.03</c:v>
                </c:pt>
                <c:pt idx="3">
                  <c:v>1.33</c:v>
                </c:pt>
                <c:pt idx="4">
                  <c:v>0.56</c:v>
                </c:pt>
                <c:pt idx="5">
                  <c:v>1.17</c:v>
                </c:pt>
                <c:pt idx="6">
                  <c:v>2.04</c:v>
                </c:pt>
                <c:pt idx="7">
                  <c:v>0.42</c:v>
                </c:pt>
                <c:pt idx="8">
                  <c:v>0.47</c:v>
                </c:pt>
                <c:pt idx="9">
                  <c:v>1.16</c:v>
                </c:pt>
                <c:pt idx="10">
                  <c:v>0.58</c:v>
                </c:pt>
                <c:pt idx="11">
                  <c:v>0.59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Page4!$G$20:$G$21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Page4!$G$22:$G$33</c:f>
              <c:numCache>
                <c:formatCode>0%</c:formatCode>
                <c:ptCount val="12"/>
                <c:pt idx="0">
                  <c:v>0.82</c:v>
                </c:pt>
                <c:pt idx="1">
                  <c:v>1.08</c:v>
                </c:pt>
                <c:pt idx="2">
                  <c:v>1.25</c:v>
                </c:pt>
                <c:pt idx="3">
                  <c:v>0.63</c:v>
                </c:pt>
                <c:pt idx="4">
                  <c:v>0.55</c:v>
                </c:pt>
                <c:pt idx="5">
                  <c:v>0.55</c:v>
                </c:pt>
                <c:pt idx="6">
                  <c:v>0.92</c:v>
                </c:pt>
                <c:pt idx="7">
                  <c:v>0.67</c:v>
                </c:pt>
                <c:pt idx="8">
                  <c:v>2.1</c:v>
                </c:pt>
                <c:pt idx="9">
                  <c:v>1.84</c:v>
                </c:pt>
                <c:pt idx="10">
                  <c:v>0.85</c:v>
                </c:pt>
                <c:pt idx="11">
                  <c:v>0.78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5789704"/>
        <c:axId val="2019456"/>
      </c:lineChart>
      <c:catAx>
        <c:axId val="15789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19456"/>
        <c:crossesAt val="0"/>
        <c:auto val="1"/>
        <c:lblAlgn val="ctr"/>
        <c:lblOffset val="100"/>
        <c:noMultiLvlLbl val="0"/>
      </c:catAx>
      <c:valAx>
        <c:axId val="2019456"/>
        <c:scaling>
          <c:orientation val="minMax"/>
          <c:max val="6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789704"/>
        <c:crossesAt val="1"/>
        <c:crossBetween val="midCat"/>
        <c:majorUnit val="1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74763582421658"/>
          <c:y val="0.88001764446404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Northeast - Storage Energy</a:t>
            </a:r>
          </a:p>
        </c:rich>
      </c:tx>
      <c:layout>
        <c:manualLayout>
          <c:xMode val="edge"/>
          <c:yMode val="edge"/>
          <c:x val="0.273046694405918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160425335183"/>
          <c:y val="0.129778819393584"/>
          <c:w val="0.976883957466482"/>
          <c:h val="0.784971436941556"/>
        </c:manualLayout>
      </c:layout>
      <c:lineChart>
        <c:grouping val="standard"/>
        <c:varyColors val="0"/>
        <c:ser>
          <c:idx val="0"/>
          <c:order val="0"/>
          <c:tx>
            <c:strRef>
              <c:f>Page4!$H$2:$H$3</c:f>
              <c:strCache>
                <c:ptCount val="1"/>
                <c:pt idx="0">
                  <c:v>Northeast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Page4!$H$4:$H$15</c:f>
              <c:numCache>
                <c:formatCode>0%</c:formatCode>
                <c:ptCount val="12"/>
                <c:pt idx="0">
                  <c:v>0.794</c:v>
                </c:pt>
                <c:pt idx="1">
                  <c:v>0.857</c:v>
                </c:pt>
                <c:pt idx="2">
                  <c:v>0.816</c:v>
                </c:pt>
                <c:pt idx="3">
                  <c:v>0.841</c:v>
                </c:pt>
                <c:pt idx="4">
                  <c:v>0.786</c:v>
                </c:pt>
                <c:pt idx="5">
                  <c:v>0.728</c:v>
                </c:pt>
                <c:pt idx="6">
                  <c:v>0.638</c:v>
                </c:pt>
                <c:pt idx="7">
                  <c:v>0.551</c:v>
                </c:pt>
                <c:pt idx="8">
                  <c:v>0.442</c:v>
                </c:pt>
                <c:pt idx="9">
                  <c:v>0.344</c:v>
                </c:pt>
                <c:pt idx="10">
                  <c:v>0.337</c:v>
                </c:pt>
                <c:pt idx="11">
                  <c:v>0.391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Page4!$I$2:$I$3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Page4!$I$4:$I$15</c:f>
              <c:numCache>
                <c:formatCode>0%</c:formatCode>
                <c:ptCount val="12"/>
                <c:pt idx="0">
                  <c:v>0.444</c:v>
                </c:pt>
                <c:pt idx="1">
                  <c:v>0.426</c:v>
                </c:pt>
                <c:pt idx="2">
                  <c:v>0.586</c:v>
                </c:pt>
                <c:pt idx="3">
                  <c:v>0.574</c:v>
                </c:pt>
                <c:pt idx="4">
                  <c:v>0.529</c:v>
                </c:pt>
                <c:pt idx="5">
                  <c:v>0.464</c:v>
                </c:pt>
                <c:pt idx="6">
                  <c:v>0.396</c:v>
                </c:pt>
                <c:pt idx="7">
                  <c:v>0.319</c:v>
                </c:pt>
                <c:pt idx="8">
                  <c:v>0.252</c:v>
                </c:pt>
                <c:pt idx="9">
                  <c:v>0.17</c:v>
                </c:pt>
                <c:pt idx="10">
                  <c:v>0.159</c:v>
                </c:pt>
                <c:pt idx="11">
                  <c:v>0.218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Page4!$J$2:$J$3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Page4!$J$4:$J$15</c:f>
              <c:numCache>
                <c:formatCode>0%</c:formatCode>
                <c:ptCount val="12"/>
                <c:pt idx="0">
                  <c:v>0.357</c:v>
                </c:pt>
                <c:pt idx="1">
                  <c:v>0.541</c:v>
                </c:pt>
                <c:pt idx="2">
                  <c:v>0.66</c:v>
                </c:pt>
                <c:pt idx="3">
                  <c:v>0.712</c:v>
                </c:pt>
                <c:pt idx="4">
                  <c:v>0.673</c:v>
                </c:pt>
                <c:pt idx="5">
                  <c:v>0.618</c:v>
                </c:pt>
                <c:pt idx="6">
                  <c:v>0.557</c:v>
                </c:pt>
                <c:pt idx="7">
                  <c:v>0.47</c:v>
                </c:pt>
                <c:pt idx="8">
                  <c:v>0.393</c:v>
                </c:pt>
                <c:pt idx="9">
                  <c:v>0.289</c:v>
                </c:pt>
                <c:pt idx="10">
                  <c:v>0.2754</c:v>
                </c:pt>
                <c:pt idx="11">
                  <c:v>0.3681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1915492"/>
        <c:axId val="22182645"/>
      </c:lineChart>
      <c:catAx>
        <c:axId val="819154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182645"/>
        <c:crossesAt val="0"/>
        <c:auto val="1"/>
        <c:lblAlgn val="ctr"/>
        <c:lblOffset val="100"/>
        <c:noMultiLvlLbl val="0"/>
      </c:catAx>
      <c:valAx>
        <c:axId val="22182645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91549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80906148867314"/>
          <c:y val="1.066647136370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North - Storage Energy</a:t>
            </a:r>
          </a:p>
        </c:rich>
      </c:tx>
      <c:layout>
        <c:manualLayout>
          <c:xMode val="edge"/>
          <c:yMode val="edge"/>
          <c:x val="0.305686546463246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160425335183"/>
          <c:y val="0.11835359601582"/>
          <c:w val="0.976883957466482"/>
          <c:h val="0.78848689028856"/>
        </c:manualLayout>
      </c:layout>
      <c:lineChart>
        <c:grouping val="standard"/>
        <c:varyColors val="0"/>
        <c:ser>
          <c:idx val="0"/>
          <c:order val="0"/>
          <c:tx>
            <c:strRef>
              <c:f>Page4!$K$2:$K$3</c:f>
              <c:strCache>
                <c:ptCount val="1"/>
                <c:pt idx="0">
                  <c:v>North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Page4!$K$4:$K$15</c:f>
              <c:numCache>
                <c:formatCode>0%</c:formatCode>
                <c:ptCount val="12"/>
                <c:pt idx="0">
                  <c:v>0.961</c:v>
                </c:pt>
                <c:pt idx="1">
                  <c:v>0.97</c:v>
                </c:pt>
                <c:pt idx="2">
                  <c:v>0.955</c:v>
                </c:pt>
                <c:pt idx="3">
                  <c:v>1.04</c:v>
                </c:pt>
                <c:pt idx="4">
                  <c:v>1.051</c:v>
                </c:pt>
                <c:pt idx="5">
                  <c:v>0.968</c:v>
                </c:pt>
                <c:pt idx="6">
                  <c:v>0.819</c:v>
                </c:pt>
                <c:pt idx="7">
                  <c:v>0.637</c:v>
                </c:pt>
                <c:pt idx="8">
                  <c:v>0.448</c:v>
                </c:pt>
                <c:pt idx="9">
                  <c:v>0.274</c:v>
                </c:pt>
                <c:pt idx="10">
                  <c:v>0.274</c:v>
                </c:pt>
                <c:pt idx="11">
                  <c:v>0.458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Page4!$L$2:$L$3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Page4!$L$4:$L$15</c:f>
              <c:numCache>
                <c:formatCode>0%</c:formatCode>
                <c:ptCount val="12"/>
                <c:pt idx="0">
                  <c:v>0.742</c:v>
                </c:pt>
                <c:pt idx="1">
                  <c:v>0.802</c:v>
                </c:pt>
                <c:pt idx="2">
                  <c:v>0.81</c:v>
                </c:pt>
                <c:pt idx="3">
                  <c:v>0.832</c:v>
                </c:pt>
                <c:pt idx="4">
                  <c:v>0.837</c:v>
                </c:pt>
                <c:pt idx="5">
                  <c:v>0.81</c:v>
                </c:pt>
                <c:pt idx="6">
                  <c:v>0.714</c:v>
                </c:pt>
                <c:pt idx="7">
                  <c:v>0.585</c:v>
                </c:pt>
                <c:pt idx="8">
                  <c:v>0.438</c:v>
                </c:pt>
                <c:pt idx="9">
                  <c:v>0.287</c:v>
                </c:pt>
                <c:pt idx="10">
                  <c:v>0.24</c:v>
                </c:pt>
                <c:pt idx="11">
                  <c:v>0.457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Page4!$M$2:$M$3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Page4!$A$4:$A$15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Page4!$M$4:$M$15</c:f>
              <c:numCache>
                <c:formatCode>0%</c:formatCode>
                <c:ptCount val="12"/>
                <c:pt idx="0">
                  <c:v>0.755</c:v>
                </c:pt>
                <c:pt idx="1">
                  <c:v>0.807</c:v>
                </c:pt>
                <c:pt idx="2">
                  <c:v>0.833</c:v>
                </c:pt>
                <c:pt idx="3">
                  <c:v>0.837</c:v>
                </c:pt>
                <c:pt idx="4">
                  <c:v>0.821</c:v>
                </c:pt>
                <c:pt idx="5">
                  <c:v>0.811</c:v>
                </c:pt>
                <c:pt idx="6">
                  <c:v>0.755</c:v>
                </c:pt>
                <c:pt idx="7">
                  <c:v>0.615</c:v>
                </c:pt>
                <c:pt idx="8">
                  <c:v>0.45</c:v>
                </c:pt>
                <c:pt idx="9">
                  <c:v>0.321</c:v>
                </c:pt>
                <c:pt idx="10">
                  <c:v>0.2902</c:v>
                </c:pt>
                <c:pt idx="11">
                  <c:v>0.5933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9946219"/>
        <c:axId val="25567001"/>
      </c:lineChart>
      <c:catAx>
        <c:axId val="899462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567001"/>
        <c:crossesAt val="0"/>
        <c:auto val="1"/>
        <c:lblAlgn val="ctr"/>
        <c:lblOffset val="100"/>
        <c:noMultiLvlLbl val="0"/>
      </c:catAx>
      <c:valAx>
        <c:axId val="25567001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94621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10725843735552"/>
          <c:y val="0.8829646989893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Northeast - ENA (as % of MLT)</a:t>
            </a:r>
          </a:p>
        </c:rich>
      </c:tx>
      <c:layout>
        <c:manualLayout>
          <c:xMode val="edge"/>
          <c:yMode val="edge"/>
          <c:x val="0.255478502080444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160425335183"/>
          <c:y val="0.126116888823788"/>
          <c:w val="0.976883957466482"/>
          <c:h val="0.78848689028856"/>
        </c:manualLayout>
      </c:layout>
      <c:lineChart>
        <c:grouping val="standard"/>
        <c:varyColors val="0"/>
        <c:ser>
          <c:idx val="0"/>
          <c:order val="0"/>
          <c:tx>
            <c:strRef>
              <c:f>"Northeast 1998"</c:f>
              <c:strCache>
                <c:ptCount val="1"/>
                <c:pt idx="0">
                  <c:v>Northeast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Page4!$H$22:$H$33</c:f>
              <c:numCache>
                <c:formatCode>0%</c:formatCode>
                <c:ptCount val="12"/>
                <c:pt idx="0">
                  <c:v>0.673769771528998</c:v>
                </c:pt>
                <c:pt idx="1">
                  <c:v>0.641442907512883</c:v>
                </c:pt>
                <c:pt idx="2">
                  <c:v>0.728522336769759</c:v>
                </c:pt>
                <c:pt idx="3">
                  <c:v>0.472920353982301</c:v>
                </c:pt>
                <c:pt idx="4">
                  <c:v>0.564022219057114</c:v>
                </c:pt>
                <c:pt idx="5">
                  <c:v>0.744605809128631</c:v>
                </c:pt>
                <c:pt idx="6">
                  <c:v>0.744542032622334</c:v>
                </c:pt>
                <c:pt idx="7">
                  <c:v>0.795081967213115</c:v>
                </c:pt>
                <c:pt idx="8">
                  <c:v>0.81163251817581</c:v>
                </c:pt>
                <c:pt idx="9">
                  <c:v>0.68044890726521</c:v>
                </c:pt>
                <c:pt idx="10">
                  <c:v>1.07600732600733</c:v>
                </c:pt>
                <c:pt idx="11">
                  <c:v>0.919115388553292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Page4!$I$20:$I$21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Page4!$I$22:$I$33</c:f>
              <c:numCache>
                <c:formatCode>0%</c:formatCode>
                <c:ptCount val="12"/>
                <c:pt idx="0">
                  <c:v>0.69</c:v>
                </c:pt>
                <c:pt idx="1">
                  <c:v>0.34</c:v>
                </c:pt>
                <c:pt idx="2">
                  <c:v>0.89</c:v>
                </c:pt>
                <c:pt idx="3">
                  <c:v>0.59</c:v>
                </c:pt>
                <c:pt idx="4">
                  <c:v>0.56</c:v>
                </c:pt>
                <c:pt idx="5">
                  <c:v>0.64</c:v>
                </c:pt>
                <c:pt idx="6">
                  <c:v>0.72</c:v>
                </c:pt>
                <c:pt idx="7">
                  <c:v>0.63</c:v>
                </c:pt>
                <c:pt idx="8">
                  <c:v>0.6</c:v>
                </c:pt>
                <c:pt idx="9">
                  <c:v>0.57</c:v>
                </c:pt>
                <c:pt idx="10">
                  <c:v>0.75</c:v>
                </c:pt>
                <c:pt idx="11">
                  <c:v>0.92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Page4!$J$20:$J$21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Page4!$J$22:$J$33</c:f>
              <c:numCache>
                <c:formatCode>0%</c:formatCode>
                <c:ptCount val="12"/>
                <c:pt idx="0">
                  <c:v>0.89</c:v>
                </c:pt>
                <c:pt idx="1">
                  <c:v>1.1</c:v>
                </c:pt>
                <c:pt idx="2">
                  <c:v>0.91</c:v>
                </c:pt>
                <c:pt idx="3">
                  <c:v>0.9</c:v>
                </c:pt>
                <c:pt idx="4">
                  <c:v>0.73</c:v>
                </c:pt>
                <c:pt idx="5">
                  <c:v>0.76</c:v>
                </c:pt>
                <c:pt idx="6">
                  <c:v>0.78</c:v>
                </c:pt>
                <c:pt idx="7">
                  <c:v>0.73</c:v>
                </c:pt>
                <c:pt idx="8">
                  <c:v>0.83</c:v>
                </c:pt>
                <c:pt idx="9">
                  <c:v>0.69</c:v>
                </c:pt>
                <c:pt idx="10">
                  <c:v>0.9</c:v>
                </c:pt>
                <c:pt idx="11">
                  <c:v>1.07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374657"/>
        <c:axId val="20334578"/>
      </c:lineChart>
      <c:catAx>
        <c:axId val="23746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34578"/>
        <c:crossesAt val="0"/>
        <c:auto val="1"/>
        <c:lblAlgn val="ctr"/>
        <c:lblOffset val="100"/>
        <c:noMultiLvlLbl val="0"/>
      </c:catAx>
      <c:valAx>
        <c:axId val="20334578"/>
        <c:scaling>
          <c:orientation val="minMax"/>
          <c:max val="1.2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7465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13869625520111"/>
          <c:y val="1.0131829500512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North - ENA (as % of MLT)</a:t>
            </a:r>
          </a:p>
        </c:rich>
      </c:tx>
      <c:layout>
        <c:manualLayout>
          <c:xMode val="edge"/>
          <c:yMode val="edge"/>
          <c:x val="0.288118354137772"/>
          <c:y val="0.03676578292075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1160425335183"/>
          <c:y val="0.129778819393584"/>
          <c:w val="0.976883957466482"/>
          <c:h val="0.78848689028856"/>
        </c:manualLayout>
      </c:layout>
      <c:lineChart>
        <c:grouping val="standard"/>
        <c:varyColors val="0"/>
        <c:ser>
          <c:idx val="0"/>
          <c:order val="0"/>
          <c:tx>
            <c:strRef>
              <c:f>Page4!$K$20:$K$21</c:f>
              <c:strCache>
                <c:ptCount val="1"/>
                <c:pt idx="0">
                  <c:v>North 1998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Page4!$K$22:$K$33</c:f>
              <c:numCache>
                <c:formatCode>0%</c:formatCode>
                <c:ptCount val="12"/>
                <c:pt idx="0">
                  <c:v>0.643612903225806</c:v>
                </c:pt>
                <c:pt idx="1">
                  <c:v>0.660127606894582</c:v>
                </c:pt>
                <c:pt idx="2">
                  <c:v>0.777896029471961</c:v>
                </c:pt>
                <c:pt idx="3">
                  <c:v>0.549645390070922</c:v>
                </c:pt>
                <c:pt idx="4">
                  <c:v>0.45353586928772</c:v>
                </c:pt>
                <c:pt idx="5">
                  <c:v>0.419003115264798</c:v>
                </c:pt>
                <c:pt idx="6">
                  <c:v>0.607285650821857</c:v>
                </c:pt>
                <c:pt idx="7">
                  <c:v>0.595328282828283</c:v>
                </c:pt>
                <c:pt idx="8">
                  <c:v>0.639676113360324</c:v>
                </c:pt>
                <c:pt idx="9">
                  <c:v>0.664254703328509</c:v>
                </c:pt>
                <c:pt idx="10">
                  <c:v>0.761674008810573</c:v>
                </c:pt>
                <c:pt idx="11">
                  <c:v>0.844238170704098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Page4!$L$20:$L$21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Page4!$L$22:$L$33</c:f>
              <c:numCache>
                <c:formatCode>0%</c:formatCode>
                <c:ptCount val="12"/>
                <c:pt idx="0">
                  <c:v>0.79</c:v>
                </c:pt>
                <c:pt idx="1">
                  <c:v>0.56</c:v>
                </c:pt>
                <c:pt idx="2">
                  <c:v>0.79</c:v>
                </c:pt>
                <c:pt idx="3">
                  <c:v>0.65</c:v>
                </c:pt>
                <c:pt idx="4">
                  <c:v>0.82</c:v>
                </c:pt>
                <c:pt idx="5">
                  <c:v>0.63</c:v>
                </c:pt>
                <c:pt idx="6">
                  <c:v>0.68</c:v>
                </c:pt>
                <c:pt idx="7">
                  <c:v>0.73</c:v>
                </c:pt>
                <c:pt idx="8">
                  <c:v>0.72</c:v>
                </c:pt>
                <c:pt idx="9">
                  <c:v>0.8</c:v>
                </c:pt>
                <c:pt idx="10">
                  <c:v>0.93</c:v>
                </c:pt>
                <c:pt idx="11">
                  <c:v>1.17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Page4!$M$20:$M$21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Page4!$A$22:$A$33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Page4!$M$22:$M$33</c:f>
              <c:numCache>
                <c:formatCode>0%</c:formatCode>
                <c:ptCount val="12"/>
                <c:pt idx="0">
                  <c:v>1.42</c:v>
                </c:pt>
                <c:pt idx="1">
                  <c:v>1.17</c:v>
                </c:pt>
                <c:pt idx="2">
                  <c:v>1.27</c:v>
                </c:pt>
                <c:pt idx="3">
                  <c:v>1.11</c:v>
                </c:pt>
                <c:pt idx="4">
                  <c:v>1.16</c:v>
                </c:pt>
                <c:pt idx="5">
                  <c:v>0.83</c:v>
                </c:pt>
                <c:pt idx="6">
                  <c:v>0.89</c:v>
                </c:pt>
                <c:pt idx="7">
                  <c:v>0.97</c:v>
                </c:pt>
                <c:pt idx="8">
                  <c:v>0.88</c:v>
                </c:pt>
                <c:pt idx="9">
                  <c:v>0.88</c:v>
                </c:pt>
                <c:pt idx="10">
                  <c:v>1.08</c:v>
                </c:pt>
                <c:pt idx="11">
                  <c:v>1.35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7428582"/>
        <c:axId val="41241190"/>
      </c:lineChart>
      <c:catAx>
        <c:axId val="674285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241190"/>
        <c:crossesAt val="0"/>
        <c:auto val="1"/>
        <c:lblAlgn val="ctr"/>
        <c:lblOffset val="100"/>
        <c:noMultiLvlLbl val="0"/>
      </c:catAx>
      <c:valAx>
        <c:axId val="41241190"/>
        <c:scaling>
          <c:orientation val="minMax"/>
          <c:max val="1.5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42858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09801202034212"/>
          <c:y val="0.8806210634246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South (% storage energy)</a:t>
            </a:r>
          </a:p>
        </c:rich>
      </c:tx>
      <c:layout>
        <c:manualLayout>
          <c:xMode val="edge"/>
          <c:yMode val="edge"/>
          <c:x val="0.333333333333333"/>
          <c:y val="0.041095890410958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11398613225097"/>
          <c:y val="0.074764812675359"/>
          <c:w val="0.976238795873499"/>
          <c:h val="0.9252351873246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Data!$E$39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Data!$E$40:$E$51</c:f>
              <c:numCache>
                <c:formatCode>0.0%</c:formatCode>
                <c:ptCount val="12"/>
                <c:pt idx="0">
                  <c:v>0.792</c:v>
                </c:pt>
                <c:pt idx="1">
                  <c:v>0.844</c:v>
                </c:pt>
                <c:pt idx="2">
                  <c:v>0.749</c:v>
                </c:pt>
                <c:pt idx="3">
                  <c:v>0.727</c:v>
                </c:pt>
                <c:pt idx="4">
                  <c:v>0.608</c:v>
                </c:pt>
                <c:pt idx="5">
                  <c:v>0.761</c:v>
                </c:pt>
                <c:pt idx="6">
                  <c:v>0.879</c:v>
                </c:pt>
                <c:pt idx="7">
                  <c:v>0.705</c:v>
                </c:pt>
                <c:pt idx="8">
                  <c:v>0.616</c:v>
                </c:pt>
                <c:pt idx="9">
                  <c:v>0.792</c:v>
                </c:pt>
                <c:pt idx="10">
                  <c:v>0.662</c:v>
                </c:pt>
                <c:pt idx="11">
                  <c:v>0.529</c:v>
                </c:pt>
              </c:numCache>
            </c:numRef>
          </c:val>
        </c:ser>
        <c:ser>
          <c:idx val="1"/>
          <c:order val="1"/>
          <c:tx>
            <c:strRef>
              <c:f>Data!$F$39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Data!$F$40:$F$51</c:f>
              <c:numCache>
                <c:formatCode>0.0%</c:formatCode>
                <c:ptCount val="12"/>
                <c:pt idx="0">
                  <c:v>0.475</c:v>
                </c:pt>
                <c:pt idx="1">
                  <c:v>0.473</c:v>
                </c:pt>
                <c:pt idx="2">
                  <c:v>0.523</c:v>
                </c:pt>
                <c:pt idx="3">
                  <c:v>0.4</c:v>
                </c:pt>
                <c:pt idx="4">
                  <c:v>0.302</c:v>
                </c:pt>
                <c:pt idx="5">
                  <c:v>0.296</c:v>
                </c:pt>
                <c:pt idx="6">
                  <c:v>0.441</c:v>
                </c:pt>
                <c:pt idx="7">
                  <c:v>0.47</c:v>
                </c:pt>
                <c:pt idx="8">
                  <c:v>0.857</c:v>
                </c:pt>
                <c:pt idx="9">
                  <c:v>0.962</c:v>
                </c:pt>
                <c:pt idx="10">
                  <c:v>0.929</c:v>
                </c:pt>
                <c:pt idx="11">
                  <c:v>0.894</c:v>
                </c:pt>
              </c:numCache>
            </c:numRef>
          </c:val>
        </c:ser>
        <c:ser>
          <c:idx val="2"/>
          <c:order val="2"/>
          <c:tx>
            <c:strRef>
              <c:f>Data!$G$39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Data!$G$40:$G$51</c:f>
              <c:numCache>
                <c:formatCode>0.0%</c:formatCode>
                <c:ptCount val="12"/>
                <c:pt idx="0">
                  <c:v>0.986</c:v>
                </c:pt>
                <c:pt idx="1">
                  <c:v>0.9739</c:v>
                </c:pt>
              </c:numCache>
            </c:numRef>
          </c:val>
        </c:ser>
        <c:gapWidth val="150"/>
        <c:overlap val="0"/>
        <c:axId val="32443944"/>
        <c:axId val="46550617"/>
      </c:barChart>
      <c:catAx>
        <c:axId val="3244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550617"/>
        <c:crossesAt val="0"/>
        <c:auto val="1"/>
        <c:lblAlgn val="ctr"/>
        <c:lblOffset val="100"/>
        <c:noMultiLvlLbl val="0"/>
      </c:catAx>
      <c:valAx>
        <c:axId val="46550617"/>
        <c:scaling>
          <c:orientation val="minMax"/>
          <c:max val="1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44394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8318958227634"/>
          <c:y val="0.637563954447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Northeast (% storage energy)</a:t>
            </a:r>
          </a:p>
        </c:rich>
      </c:tx>
      <c:layout>
        <c:manualLayout>
          <c:xMode val="edge"/>
          <c:yMode val="edge"/>
          <c:x val="0.309036194934381"/>
          <c:y val="0.04419535628502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97768118365"/>
          <c:y val="0.0754203362690152"/>
          <c:w val="0.979102231881635"/>
          <c:h val="0.9245796637309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Data!$H$39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Data!$H$40:$H$51</c:f>
              <c:numCache>
                <c:formatCode>0.0%</c:formatCode>
                <c:ptCount val="12"/>
                <c:pt idx="0">
                  <c:v>0.444</c:v>
                </c:pt>
                <c:pt idx="1">
                  <c:v>0.426</c:v>
                </c:pt>
                <c:pt idx="2">
                  <c:v>0.586</c:v>
                </c:pt>
                <c:pt idx="3">
                  <c:v>0.574</c:v>
                </c:pt>
                <c:pt idx="4">
                  <c:v>0.529</c:v>
                </c:pt>
                <c:pt idx="5">
                  <c:v>0.464</c:v>
                </c:pt>
                <c:pt idx="6">
                  <c:v>0.396</c:v>
                </c:pt>
                <c:pt idx="7">
                  <c:v>0.319</c:v>
                </c:pt>
                <c:pt idx="8">
                  <c:v>0.252</c:v>
                </c:pt>
                <c:pt idx="9">
                  <c:v>0.17</c:v>
                </c:pt>
                <c:pt idx="10">
                  <c:v>0.159</c:v>
                </c:pt>
                <c:pt idx="11">
                  <c:v>0.218</c:v>
                </c:pt>
              </c:numCache>
            </c:numRef>
          </c:val>
        </c:ser>
        <c:ser>
          <c:idx val="1"/>
          <c:order val="1"/>
          <c:tx>
            <c:strRef>
              <c:f>Data!$I$39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Data!$I$40:$I$51</c:f>
              <c:numCache>
                <c:formatCode>0.0%</c:formatCode>
                <c:ptCount val="12"/>
                <c:pt idx="0">
                  <c:v>0.357</c:v>
                </c:pt>
                <c:pt idx="1">
                  <c:v>0.541</c:v>
                </c:pt>
                <c:pt idx="2">
                  <c:v>0.66</c:v>
                </c:pt>
                <c:pt idx="3">
                  <c:v>0.712</c:v>
                </c:pt>
                <c:pt idx="4">
                  <c:v>0.673</c:v>
                </c:pt>
                <c:pt idx="5">
                  <c:v>0.618</c:v>
                </c:pt>
                <c:pt idx="6">
                  <c:v>0.549</c:v>
                </c:pt>
                <c:pt idx="7">
                  <c:v>0.468</c:v>
                </c:pt>
                <c:pt idx="8">
                  <c:v>0.394</c:v>
                </c:pt>
                <c:pt idx="9">
                  <c:v>0.289</c:v>
                </c:pt>
                <c:pt idx="10">
                  <c:v>0.2754</c:v>
                </c:pt>
                <c:pt idx="11">
                  <c:v>0.368</c:v>
                </c:pt>
              </c:numCache>
            </c:numRef>
          </c:val>
        </c:ser>
        <c:ser>
          <c:idx val="2"/>
          <c:order val="2"/>
          <c:tx>
            <c:strRef>
              <c:f>Data!$J$39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Data!$J$40:$J$51</c:f>
              <c:numCache>
                <c:formatCode>0.0%</c:formatCode>
                <c:ptCount val="12"/>
                <c:pt idx="0">
                  <c:v>0.414</c:v>
                </c:pt>
                <c:pt idx="1">
                  <c:v>0.3817</c:v>
                </c:pt>
              </c:numCache>
            </c:numRef>
          </c:val>
        </c:ser>
        <c:gapWidth val="150"/>
        <c:overlap val="0"/>
        <c:axId val="63151131"/>
        <c:axId val="27138764"/>
      </c:barChart>
      <c:catAx>
        <c:axId val="631511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138764"/>
        <c:crossesAt val="0"/>
        <c:auto val="1"/>
        <c:lblAlgn val="ctr"/>
        <c:lblOffset val="100"/>
        <c:noMultiLvlLbl val="0"/>
      </c:catAx>
      <c:valAx>
        <c:axId val="2713876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5113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31204547354343"/>
          <c:y val="0.1838270616493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North (% storage energy)</a:t>
            </a:r>
          </a:p>
        </c:rich>
      </c:tx>
      <c:layout>
        <c:manualLayout>
          <c:xMode val="edge"/>
          <c:yMode val="edge"/>
          <c:x val="0.337327188940092"/>
          <c:y val="0.0410711352061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9467951403435"/>
          <c:y val="0.072120913422047"/>
          <c:w val="0.976455802262254"/>
          <c:h val="0.9278790865779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Data!$K$39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Data!$K$40:$K$51</c:f>
              <c:numCache>
                <c:formatCode>0.0%</c:formatCode>
                <c:ptCount val="12"/>
                <c:pt idx="0">
                  <c:v>0.742</c:v>
                </c:pt>
                <c:pt idx="1">
                  <c:v>0.802</c:v>
                </c:pt>
                <c:pt idx="2">
                  <c:v>0.81</c:v>
                </c:pt>
                <c:pt idx="3">
                  <c:v>0.832</c:v>
                </c:pt>
                <c:pt idx="4">
                  <c:v>0.837</c:v>
                </c:pt>
                <c:pt idx="5">
                  <c:v>0.81</c:v>
                </c:pt>
                <c:pt idx="6">
                  <c:v>0.714</c:v>
                </c:pt>
                <c:pt idx="7">
                  <c:v>0.585</c:v>
                </c:pt>
                <c:pt idx="8">
                  <c:v>0.438</c:v>
                </c:pt>
                <c:pt idx="9">
                  <c:v>0.287</c:v>
                </c:pt>
                <c:pt idx="10">
                  <c:v>0.24</c:v>
                </c:pt>
                <c:pt idx="11">
                  <c:v>0.457</c:v>
                </c:pt>
              </c:numCache>
            </c:numRef>
          </c:val>
        </c:ser>
        <c:ser>
          <c:idx val="1"/>
          <c:order val="1"/>
          <c:tx>
            <c:strRef>
              <c:f>Data!$L$39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Data!$L$40:$L$51</c:f>
              <c:numCache>
                <c:formatCode>0.0%</c:formatCode>
                <c:ptCount val="12"/>
                <c:pt idx="0">
                  <c:v>0.755</c:v>
                </c:pt>
                <c:pt idx="1">
                  <c:v>0.807</c:v>
                </c:pt>
                <c:pt idx="2">
                  <c:v>0.833</c:v>
                </c:pt>
                <c:pt idx="3">
                  <c:v>0.837</c:v>
                </c:pt>
                <c:pt idx="4">
                  <c:v>0.821</c:v>
                </c:pt>
                <c:pt idx="5">
                  <c:v>0.811</c:v>
                </c:pt>
                <c:pt idx="6">
                  <c:v>0.755</c:v>
                </c:pt>
                <c:pt idx="7">
                  <c:v>0.615</c:v>
                </c:pt>
                <c:pt idx="8">
                  <c:v>0.454</c:v>
                </c:pt>
                <c:pt idx="9">
                  <c:v>0.321</c:v>
                </c:pt>
                <c:pt idx="10">
                  <c:v>0.2902</c:v>
                </c:pt>
                <c:pt idx="11">
                  <c:v>0.593</c:v>
                </c:pt>
              </c:numCache>
            </c:numRef>
          </c:val>
        </c:ser>
        <c:ser>
          <c:idx val="2"/>
          <c:order val="2"/>
          <c:tx>
            <c:strRef>
              <c:f>Data!$M$39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Data!$A$40:$A$51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Data!$M$40:$M$51</c:f>
              <c:numCache>
                <c:formatCode>0.0%</c:formatCode>
                <c:ptCount val="12"/>
                <c:pt idx="0">
                  <c:v>0.719</c:v>
                </c:pt>
                <c:pt idx="1">
                  <c:v>0.7248</c:v>
                </c:pt>
              </c:numCache>
            </c:numRef>
          </c:val>
        </c:ser>
        <c:gapWidth val="150"/>
        <c:overlap val="0"/>
        <c:axId val="57313574"/>
        <c:axId val="61506627"/>
      </c:barChart>
      <c:catAx>
        <c:axId val="573135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506627"/>
        <c:crossesAt val="0"/>
        <c:auto val="1"/>
        <c:lblAlgn val="ctr"/>
        <c:lblOffset val="100"/>
        <c:noMultiLvlLbl val="0"/>
      </c:catAx>
      <c:valAx>
        <c:axId val="6150662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1357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6497695852535"/>
          <c:y val="0.63463118120584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50" strike="noStrike" u="none">
                <a:solidFill>
                  <a:srgbClr val="000000"/>
                </a:solidFill>
                <a:uFillTx/>
                <a:latin typeface="Arial"/>
              </a:rPr>
              <a:t>Hydro Generation (GWh)</a:t>
            </a:r>
          </a:p>
        </c:rich>
      </c:tx>
      <c:layout>
        <c:manualLayout>
          <c:xMode val="edge"/>
          <c:yMode val="edge"/>
          <c:x val="0.334562487542356"/>
          <c:y val="0.0321336760925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49152880207295"/>
          <c:y val="0.0552699228791774"/>
          <c:w val="0.974586406218856"/>
          <c:h val="0.9230077120822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Page1!$G$41:$G$52</c:f>
              <c:numCache>
                <c:formatCode>#,##0</c:formatCode>
                <c:ptCount val="12"/>
                <c:pt idx="0">
                  <c:v>27057.6</c:v>
                </c:pt>
                <c:pt idx="1">
                  <c:v>25137</c:v>
                </c:pt>
                <c:pt idx="2">
                  <c:v>28507</c:v>
                </c:pt>
                <c:pt idx="3">
                  <c:v>26917</c:v>
                </c:pt>
                <c:pt idx="4">
                  <c:v>27147</c:v>
                </c:pt>
                <c:pt idx="5">
                  <c:v>26576</c:v>
                </c:pt>
                <c:pt idx="6">
                  <c:v>27818</c:v>
                </c:pt>
                <c:pt idx="7">
                  <c:v>27884</c:v>
                </c:pt>
                <c:pt idx="8">
                  <c:v>27287</c:v>
                </c:pt>
                <c:pt idx="9">
                  <c:v>27759</c:v>
                </c:pt>
                <c:pt idx="10">
                  <c:v>26734</c:v>
                </c:pt>
                <c:pt idx="11">
                  <c:v>27700.647</c:v>
                </c:pt>
              </c:numCache>
            </c:numRef>
          </c:val>
        </c:ser>
        <c:ser>
          <c:idx val="1"/>
          <c:order val="1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Page1!$H$41:$H$52</c:f>
              <c:numCache>
                <c:formatCode>#,##0</c:formatCode>
                <c:ptCount val="12"/>
                <c:pt idx="0">
                  <c:v>27687</c:v>
                </c:pt>
                <c:pt idx="1">
                  <c:v>26907</c:v>
                </c:pt>
                <c:pt idx="2">
                  <c:v>28799</c:v>
                </c:pt>
                <c:pt idx="3">
                  <c:v>27799</c:v>
                </c:pt>
                <c:pt idx="4">
                  <c:v>28801</c:v>
                </c:pt>
                <c:pt idx="5">
                  <c:v>27362</c:v>
                </c:pt>
                <c:pt idx="6">
                  <c:v>27666</c:v>
                </c:pt>
                <c:pt idx="7">
                  <c:v>27797.48</c:v>
                </c:pt>
                <c:pt idx="8">
                  <c:v>27472</c:v>
                </c:pt>
                <c:pt idx="9">
                  <c:v>30031</c:v>
                </c:pt>
                <c:pt idx="10">
                  <c:v>27567</c:v>
                </c:pt>
                <c:pt idx="11">
                  <c:v>27569.8486786667</c:v>
                </c:pt>
              </c:numCache>
            </c:numRef>
          </c:val>
        </c:ser>
        <c:ser>
          <c:idx val="2"/>
          <c:order val="2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Page1!$I$41:$I$52</c:f>
              <c:numCache>
                <c:formatCode>_(* #,##0_);_(* \(#,##0\);_(* \-??_);_(@_)</c:formatCode>
                <c:ptCount val="12"/>
                <c:pt idx="0">
                  <c:v>28958.02996</c:v>
                </c:pt>
                <c:pt idx="1">
                  <c:v>26950.1757916667</c:v>
                </c:pt>
              </c:numCache>
            </c:numRef>
          </c:val>
        </c:ser>
        <c:gapWidth val="150"/>
        <c:overlap val="0"/>
        <c:axId val="4852252"/>
        <c:axId val="92398608"/>
      </c:barChart>
      <c:catAx>
        <c:axId val="48522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98608"/>
        <c:crossesAt val="0"/>
        <c:auto val="1"/>
        <c:lblAlgn val="ctr"/>
        <c:lblOffset val="100"/>
        <c:noMultiLvlLbl val="0"/>
      </c:catAx>
      <c:valAx>
        <c:axId val="92398608"/>
        <c:scaling>
          <c:orientation val="minMax"/>
          <c:min val="24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5225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9691050428543"/>
          <c:y val="0.928534704370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Thermo Generation (GWh)</a:t>
            </a:r>
          </a:p>
        </c:rich>
      </c:tx>
      <c:layout>
        <c:manualLayout>
          <c:xMode val="edge"/>
          <c:yMode val="edge"/>
          <c:x val="0.359297968842437"/>
          <c:y val="0.03534704370179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46499704200355"/>
          <c:y val="0.0791773778920309"/>
          <c:w val="0.974857030171564"/>
          <c:h val="0.8908740359897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"1999"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Page1!$G$57:$G$68</c:f>
              <c:numCache>
                <c:formatCode>#,##0</c:formatCode>
                <c:ptCount val="12"/>
                <c:pt idx="0">
                  <c:v>1226.9</c:v>
                </c:pt>
                <c:pt idx="1">
                  <c:v>1207</c:v>
                </c:pt>
                <c:pt idx="2">
                  <c:v>1319</c:v>
                </c:pt>
                <c:pt idx="3">
                  <c:v>1239</c:v>
                </c:pt>
                <c:pt idx="4">
                  <c:v>1340</c:v>
                </c:pt>
                <c:pt idx="5">
                  <c:v>1272</c:v>
                </c:pt>
                <c:pt idx="6">
                  <c:v>988</c:v>
                </c:pt>
                <c:pt idx="7">
                  <c:v>1315</c:v>
                </c:pt>
                <c:pt idx="8">
                  <c:v>1378</c:v>
                </c:pt>
                <c:pt idx="9">
                  <c:v>1491</c:v>
                </c:pt>
                <c:pt idx="10">
                  <c:v>1647</c:v>
                </c:pt>
                <c:pt idx="11">
                  <c:v>1846.2556</c:v>
                </c:pt>
              </c:numCache>
            </c:numRef>
          </c:val>
        </c:ser>
        <c:ser>
          <c:idx val="1"/>
          <c:order val="1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ff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ff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Page1!$H$57:$H$68</c:f>
              <c:numCache>
                <c:formatCode>#,##0</c:formatCode>
                <c:ptCount val="12"/>
                <c:pt idx="0">
                  <c:v>1871</c:v>
                </c:pt>
                <c:pt idx="1">
                  <c:v>1775</c:v>
                </c:pt>
                <c:pt idx="2">
                  <c:v>1681</c:v>
                </c:pt>
                <c:pt idx="3">
                  <c:v>1415</c:v>
                </c:pt>
                <c:pt idx="4">
                  <c:v>1335</c:v>
                </c:pt>
                <c:pt idx="5">
                  <c:v>1413</c:v>
                </c:pt>
                <c:pt idx="6">
                  <c:v>1351</c:v>
                </c:pt>
                <c:pt idx="7">
                  <c:v>1982.83</c:v>
                </c:pt>
                <c:pt idx="8">
                  <c:v>1178</c:v>
                </c:pt>
                <c:pt idx="9">
                  <c:v>1500</c:v>
                </c:pt>
                <c:pt idx="10">
                  <c:v>2261</c:v>
                </c:pt>
                <c:pt idx="11">
                  <c:v>2635.07377916667</c:v>
                </c:pt>
              </c:numCache>
            </c:numRef>
          </c:val>
        </c:ser>
        <c:ser>
          <c:idx val="2"/>
          <c:order val="2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Page1!$F$41:$F$52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Page1!$I$57:$I$68</c:f>
              <c:numCache>
                <c:formatCode>#,##0</c:formatCode>
                <c:ptCount val="12"/>
                <c:pt idx="0">
                  <c:v>2415.2691</c:v>
                </c:pt>
                <c:pt idx="1">
                  <c:v>2458.46044166667</c:v>
                </c:pt>
              </c:numCache>
            </c:numRef>
          </c:val>
        </c:ser>
        <c:gapWidth val="150"/>
        <c:overlap val="0"/>
        <c:axId val="1524389"/>
        <c:axId val="71101614"/>
      </c:barChart>
      <c:catAx>
        <c:axId val="15243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101614"/>
        <c:crossesAt val="0"/>
        <c:auto val="1"/>
        <c:lblAlgn val="ctr"/>
        <c:lblOffset val="100"/>
        <c:noMultiLvlLbl val="0"/>
      </c:catAx>
      <c:valAx>
        <c:axId val="71101614"/>
        <c:scaling>
          <c:orientation val="minMax"/>
          <c:min val="6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2438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63340563991323"/>
          <c:y val="0.897429305912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Southeast Submarket</a:t>
            </a:r>
          </a:p>
        </c:rich>
      </c:tx>
      <c:layout>
        <c:manualLayout>
          <c:xMode val="edge"/>
          <c:yMode val="edge"/>
          <c:x val="0.390436746987952"/>
          <c:y val="0.0206684856753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765813253012"/>
          <c:y val="0.0721009549795362"/>
          <c:w val="0.988234186746988"/>
          <c:h val="0.927899045020464"/>
        </c:manualLayout>
      </c:layout>
      <c:lineChart>
        <c:grouping val="standard"/>
        <c:varyColors val="0"/>
        <c:ser>
          <c:idx val="0"/>
          <c:order val="0"/>
          <c:tx>
            <c:strRef>
              <c:f>Data!$C$2</c:f>
              <c:strCache>
                <c:ptCount val="1"/>
                <c:pt idx="0">
                  <c:v>%MLT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square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Data!$C$3:$C$31</c:f>
              <c:numCache>
                <c:formatCode>0%</c:formatCode>
                <c:ptCount val="27"/>
                <c:pt idx="0">
                  <c:v>1.17</c:v>
                </c:pt>
                <c:pt idx="1">
                  <c:v>0.94</c:v>
                </c:pt>
                <c:pt idx="2">
                  <c:v>1.11</c:v>
                </c:pt>
                <c:pt idx="3">
                  <c:v>0.8</c:v>
                </c:pt>
                <c:pt idx="4">
                  <c:v>0.86</c:v>
                </c:pt>
                <c:pt idx="5">
                  <c:v>0.96</c:v>
                </c:pt>
                <c:pt idx="6">
                  <c:v>1.08</c:v>
                </c:pt>
                <c:pt idx="7">
                  <c:v>0.83</c:v>
                </c:pt>
                <c:pt idx="8">
                  <c:v>0.96</c:v>
                </c:pt>
                <c:pt idx="9">
                  <c:v>0.61</c:v>
                </c:pt>
                <c:pt idx="10">
                  <c:v>0.7</c:v>
                </c:pt>
                <c:pt idx="11">
                  <c:v>0.68</c:v>
                </c:pt>
                <c:pt idx="12">
                  <c:v>0.97</c:v>
                </c:pt>
                <c:pt idx="13">
                  <c:v>1.15</c:v>
                </c:pt>
                <c:pt idx="14">
                  <c:v>1.09</c:v>
                </c:pt>
                <c:pt idx="15">
                  <c:v>0.85</c:v>
                </c:pt>
                <c:pt idx="16">
                  <c:v>0.74</c:v>
                </c:pt>
                <c:pt idx="17">
                  <c:v>0.77</c:v>
                </c:pt>
                <c:pt idx="18">
                  <c:v>0.89</c:v>
                </c:pt>
                <c:pt idx="19">
                  <c:v>0.99</c:v>
                </c:pt>
                <c:pt idx="20">
                  <c:v>1.8</c:v>
                </c:pt>
                <c:pt idx="21">
                  <c:v>0.92</c:v>
                </c:pt>
                <c:pt idx="22">
                  <c:v>1.09</c:v>
                </c:pt>
                <c:pt idx="23">
                  <c:v>1.07</c:v>
                </c:pt>
                <c:pt idx="24">
                  <c:v>0.75</c:v>
                </c:pt>
                <c:pt idx="25">
                  <c:v>0.71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Data!$D$2</c:f>
              <c:strCache>
                <c:ptCount val="1"/>
                <c:pt idx="0">
                  <c:v>EAR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marker>
            <c:symbol val="triangle"/>
            <c:size val="5"/>
            <c:spPr>
              <a:solidFill>
                <a:srgbClr val="ff6600"/>
              </a:solidFill>
            </c:spPr>
          </c:marker>
          <c:dPt>
            <c:idx val="23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Lbls>
            <c:numFmt formatCode="0%" sourceLinked="1"/>
            <c:dLbl>
              <c:idx val="23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Data!$D$3:$D$31</c:f>
              <c:numCache>
                <c:formatCode>0.0%</c:formatCode>
                <c:ptCount val="27"/>
                <c:pt idx="0">
                  <c:v>0.568</c:v>
                </c:pt>
                <c:pt idx="1">
                  <c:v>0.622</c:v>
                </c:pt>
                <c:pt idx="2">
                  <c:v>0.71</c:v>
                </c:pt>
                <c:pt idx="3">
                  <c:v>0.698</c:v>
                </c:pt>
                <c:pt idx="4">
                  <c:v>0.654</c:v>
                </c:pt>
                <c:pt idx="5">
                  <c:v>0.601</c:v>
                </c:pt>
                <c:pt idx="6">
                  <c:v>0.542</c:v>
                </c:pt>
                <c:pt idx="7">
                  <c:v>0.45</c:v>
                </c:pt>
                <c:pt idx="8">
                  <c:v>0.367</c:v>
                </c:pt>
                <c:pt idx="9">
                  <c:v>0.264</c:v>
                </c:pt>
                <c:pt idx="10">
                  <c:v>0.197</c:v>
                </c:pt>
                <c:pt idx="11">
                  <c:v>0.181</c:v>
                </c:pt>
                <c:pt idx="12">
                  <c:v>0.293</c:v>
                </c:pt>
                <c:pt idx="13">
                  <c:v>0.45</c:v>
                </c:pt>
                <c:pt idx="14">
                  <c:v>0.585</c:v>
                </c:pt>
                <c:pt idx="15">
                  <c:v>0.594</c:v>
                </c:pt>
                <c:pt idx="16">
                  <c:v>0.541</c:v>
                </c:pt>
                <c:pt idx="17">
                  <c:v>0.473</c:v>
                </c:pt>
                <c:pt idx="18">
                  <c:v>0.402</c:v>
                </c:pt>
                <c:pt idx="19">
                  <c:v>0.324</c:v>
                </c:pt>
                <c:pt idx="20">
                  <c:v>0.308</c:v>
                </c:pt>
                <c:pt idx="21">
                  <c:v>0.23</c:v>
                </c:pt>
                <c:pt idx="22">
                  <c:v>0.2209</c:v>
                </c:pt>
                <c:pt idx="23">
                  <c:v>0.285</c:v>
                </c:pt>
                <c:pt idx="24">
                  <c:v>0.314</c:v>
                </c:pt>
                <c:pt idx="25">
                  <c:v>0.3344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460729"/>
        <c:axId val="93498341"/>
      </c:lineChart>
      <c:barChart>
        <c:barDir val="col"/>
        <c:grouping val="clustered"/>
        <c:varyColors val="0"/>
        <c:ser>
          <c:idx val="2"/>
          <c:order val="2"/>
          <c:tx>
            <c:strRef>
              <c:f>Data!$E$2</c:f>
              <c:strCache>
                <c:ptCount val="1"/>
                <c:pt idx="0">
                  <c:v>Heavy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dLbl>
              <c:idx val="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Data!$E$3:$E$31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156.11</c:v>
                </c:pt>
                <c:pt idx="21">
                  <c:v>93.02</c:v>
                </c:pt>
                <c:pt idx="22">
                  <c:v>149.7</c:v>
                </c:pt>
                <c:pt idx="23">
                  <c:v>103.54</c:v>
                </c:pt>
                <c:pt idx="24">
                  <c:v>56.92</c:v>
                </c:pt>
                <c:pt idx="25">
                  <c:v>160.29</c:v>
                </c:pt>
                <c:pt idx="26">
                  <c:v>165.97</c:v>
                </c:pt>
              </c:numCache>
            </c:numRef>
          </c:val>
        </c:ser>
        <c:ser>
          <c:idx val="3"/>
          <c:order val="3"/>
          <c:tx>
            <c:strRef>
              <c:f>Data!$F$2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Lbls>
            <c:numFmt formatCode="0" sourceLinked="1"/>
            <c:dLbl>
              <c:idx val="20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4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5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Data!$F$3:$F$31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156.11</c:v>
                </c:pt>
                <c:pt idx="21">
                  <c:v>93.02</c:v>
                </c:pt>
                <c:pt idx="22">
                  <c:v>149.7</c:v>
                </c:pt>
                <c:pt idx="23">
                  <c:v>103.54</c:v>
                </c:pt>
                <c:pt idx="24">
                  <c:v>56.92</c:v>
                </c:pt>
                <c:pt idx="25">
                  <c:v>160.29</c:v>
                </c:pt>
                <c:pt idx="26">
                  <c:v>165.97</c:v>
                </c:pt>
              </c:numCache>
            </c:numRef>
          </c:val>
        </c:ser>
        <c:ser>
          <c:idx val="4"/>
          <c:order val="4"/>
          <c:tx>
            <c:strRef>
              <c:f>Data!$G$2</c:f>
              <c:strCache>
                <c:ptCount val="1"/>
                <c:pt idx="0">
                  <c:v>Light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Lbls>
            <c:dLbl>
              <c:idx val="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Data!$G$3:$G$31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156.11</c:v>
                </c:pt>
                <c:pt idx="21">
                  <c:v>93.02</c:v>
                </c:pt>
                <c:pt idx="22">
                  <c:v>149.7</c:v>
                </c:pt>
                <c:pt idx="23">
                  <c:v>103.54</c:v>
                </c:pt>
                <c:pt idx="24">
                  <c:v>56.92</c:v>
                </c:pt>
                <c:pt idx="25">
                  <c:v>160.29</c:v>
                </c:pt>
                <c:pt idx="26">
                  <c:v>165.97</c:v>
                </c:pt>
              </c:numCache>
            </c:numRef>
          </c:val>
        </c:ser>
        <c:gapWidth val="10"/>
        <c:overlap val="0"/>
        <c:axId val="9050936"/>
        <c:axId val="30957216"/>
      </c:barChart>
      <c:catAx>
        <c:axId val="28460729"/>
        <c:scaling>
          <c:orientation val="minMax"/>
        </c:scaling>
        <c:delete val="0"/>
        <c:axPos val="b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498341"/>
        <c:crossesAt val="0"/>
        <c:auto val="1"/>
        <c:lblAlgn val="ctr"/>
        <c:lblOffset val="100"/>
        <c:noMultiLvlLbl val="0"/>
      </c:catAx>
      <c:valAx>
        <c:axId val="93498341"/>
        <c:scaling>
          <c:orientation val="minMax"/>
          <c:max val="2"/>
        </c:scaling>
        <c:delete val="0"/>
        <c:axPos val="l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460729"/>
        <c:crossesAt val="1"/>
        <c:crossBetween val="midCat"/>
        <c:majorUnit val="0.2"/>
        <c:minorUnit val="0.2"/>
      </c:valAx>
      <c:catAx>
        <c:axId val="9050936"/>
        <c:scaling>
          <c:orientation val="minMax"/>
        </c:scaling>
        <c:delete val="1"/>
        <c:axPos val="t"/>
        <c:numFmt formatCode="[$-409]mmm\-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957216"/>
        <c:auto val="1"/>
        <c:lblAlgn val="ctr"/>
        <c:lblOffset val="100"/>
        <c:noMultiLvlLbl val="0"/>
      </c:catAx>
      <c:valAx>
        <c:axId val="30957216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50936"/>
        <c:crosses val="max"/>
        <c:crossBetween val="midCat"/>
        <c:majorUnit val="3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South Submarket</a:t>
            </a:r>
          </a:p>
        </c:rich>
      </c:tx>
      <c:layout>
        <c:manualLayout>
          <c:xMode val="edge"/>
          <c:yMode val="edge"/>
          <c:x val="0.405546415981199"/>
          <c:y val="0.01739977728285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7508813160987"/>
          <c:y val="0.0280484409799555"/>
          <c:w val="0.988249118683901"/>
          <c:h val="0.971951559020045"/>
        </c:manualLayout>
      </c:layout>
      <c:lineChart>
        <c:grouping val="standard"/>
        <c:varyColors val="0"/>
        <c:ser>
          <c:idx val="0"/>
          <c:order val="0"/>
          <c:tx>
            <c:strRef>
              <c:f>Data!$I$2</c:f>
              <c:strCache>
                <c:ptCount val="1"/>
                <c:pt idx="0">
                  <c:v>%MLT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square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Data!$I$3:$I$31</c:f>
              <c:numCache>
                <c:formatCode>0%</c:formatCode>
                <c:ptCount val="27"/>
                <c:pt idx="0">
                  <c:v>0.96</c:v>
                </c:pt>
                <c:pt idx="1">
                  <c:v>1.41</c:v>
                </c:pt>
                <c:pt idx="2">
                  <c:v>1.03</c:v>
                </c:pt>
                <c:pt idx="3">
                  <c:v>1.33</c:v>
                </c:pt>
                <c:pt idx="4">
                  <c:v>0.56</c:v>
                </c:pt>
                <c:pt idx="5">
                  <c:v>1.17</c:v>
                </c:pt>
                <c:pt idx="6">
                  <c:v>2.04</c:v>
                </c:pt>
                <c:pt idx="7">
                  <c:v>0.42</c:v>
                </c:pt>
                <c:pt idx="8">
                  <c:v>0.47</c:v>
                </c:pt>
                <c:pt idx="9">
                  <c:v>1.16</c:v>
                </c:pt>
                <c:pt idx="10">
                  <c:v>0.58</c:v>
                </c:pt>
                <c:pt idx="11">
                  <c:v>0.59</c:v>
                </c:pt>
                <c:pt idx="12">
                  <c:v>0.82</c:v>
                </c:pt>
                <c:pt idx="13">
                  <c:v>1.08</c:v>
                </c:pt>
                <c:pt idx="14">
                  <c:v>1.25</c:v>
                </c:pt>
                <c:pt idx="15">
                  <c:v>0.63</c:v>
                </c:pt>
                <c:pt idx="16">
                  <c:v>0.55</c:v>
                </c:pt>
                <c:pt idx="17">
                  <c:v>0.55</c:v>
                </c:pt>
                <c:pt idx="18">
                  <c:v>0.92</c:v>
                </c:pt>
                <c:pt idx="19">
                  <c:v>0.67</c:v>
                </c:pt>
                <c:pt idx="20">
                  <c:v>2.51</c:v>
                </c:pt>
                <c:pt idx="21">
                  <c:v>1.84</c:v>
                </c:pt>
                <c:pt idx="22">
                  <c:v>0.85</c:v>
                </c:pt>
                <c:pt idx="23">
                  <c:v>0.78</c:v>
                </c:pt>
                <c:pt idx="24">
                  <c:v>2.05</c:v>
                </c:pt>
                <c:pt idx="25">
                  <c:v>2.76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Data!$J$2</c:f>
              <c:strCache>
                <c:ptCount val="1"/>
                <c:pt idx="0">
                  <c:v>EAR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marker>
            <c:symbol val="triangle"/>
            <c:size val="5"/>
            <c:spPr>
              <a:solidFill>
                <a:srgbClr val="ff6600"/>
              </a:solidFill>
            </c:spPr>
          </c:marker>
          <c:dLbls>
            <c:numFmt formatCode="0%" sourceLinked="1"/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Data!$J$3:$J$31</c:f>
              <c:numCache>
                <c:formatCode>0.0%</c:formatCode>
                <c:ptCount val="27"/>
                <c:pt idx="0">
                  <c:v>0.792</c:v>
                </c:pt>
                <c:pt idx="1">
                  <c:v>0.844</c:v>
                </c:pt>
                <c:pt idx="2">
                  <c:v>0.749</c:v>
                </c:pt>
                <c:pt idx="3">
                  <c:v>0.727</c:v>
                </c:pt>
                <c:pt idx="4">
                  <c:v>0.608</c:v>
                </c:pt>
                <c:pt idx="5">
                  <c:v>0.761</c:v>
                </c:pt>
                <c:pt idx="6">
                  <c:v>0.879</c:v>
                </c:pt>
                <c:pt idx="7">
                  <c:v>0.705</c:v>
                </c:pt>
                <c:pt idx="8">
                  <c:v>0.616</c:v>
                </c:pt>
                <c:pt idx="9">
                  <c:v>0.792</c:v>
                </c:pt>
                <c:pt idx="10">
                  <c:v>0.662</c:v>
                </c:pt>
                <c:pt idx="11">
                  <c:v>0.529</c:v>
                </c:pt>
                <c:pt idx="12">
                  <c:v>0.475</c:v>
                </c:pt>
                <c:pt idx="13">
                  <c:v>0.473</c:v>
                </c:pt>
                <c:pt idx="14">
                  <c:v>0.523</c:v>
                </c:pt>
                <c:pt idx="15">
                  <c:v>0.4</c:v>
                </c:pt>
                <c:pt idx="16">
                  <c:v>0.302</c:v>
                </c:pt>
                <c:pt idx="17">
                  <c:v>0.296</c:v>
                </c:pt>
                <c:pt idx="18">
                  <c:v>0.441</c:v>
                </c:pt>
                <c:pt idx="19">
                  <c:v>0.47</c:v>
                </c:pt>
                <c:pt idx="20">
                  <c:v>0.857</c:v>
                </c:pt>
                <c:pt idx="21">
                  <c:v>0.962</c:v>
                </c:pt>
                <c:pt idx="22">
                  <c:v>0.929</c:v>
                </c:pt>
                <c:pt idx="23">
                  <c:v>0.894</c:v>
                </c:pt>
                <c:pt idx="24">
                  <c:v>0.986</c:v>
                </c:pt>
                <c:pt idx="25">
                  <c:v>0.9739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867804"/>
        <c:axId val="21985912"/>
      </c:lineChart>
      <c:barChart>
        <c:barDir val="col"/>
        <c:grouping val="clustered"/>
        <c:varyColors val="0"/>
        <c:ser>
          <c:idx val="2"/>
          <c:order val="2"/>
          <c:tx>
            <c:strRef>
              <c:f>Data!$K$2</c:f>
              <c:strCache>
                <c:ptCount val="1"/>
                <c:pt idx="0">
                  <c:v>Heavy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dLbl>
              <c:idx val="20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Data!$K$3:$K$31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175.99</c:v>
                </c:pt>
                <c:pt idx="21">
                  <c:v>93.02</c:v>
                </c:pt>
                <c:pt idx="22">
                  <c:v>149.7</c:v>
                </c:pt>
                <c:pt idx="23">
                  <c:v>103.54</c:v>
                </c:pt>
                <c:pt idx="24">
                  <c:v>56.92</c:v>
                </c:pt>
                <c:pt idx="25">
                  <c:v>160.29</c:v>
                </c:pt>
                <c:pt idx="26">
                  <c:v>165.97</c:v>
                </c:pt>
              </c:numCache>
            </c:numRef>
          </c:val>
        </c:ser>
        <c:ser>
          <c:idx val="3"/>
          <c:order val="3"/>
          <c:tx>
            <c:strRef>
              <c:f>Data!$L$2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Lbls>
            <c:numFmt formatCode="0" sourceLinked="1"/>
            <c:dLbl>
              <c:idx val="20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4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5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Data!$L$3:$L$31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175.99</c:v>
                </c:pt>
                <c:pt idx="21">
                  <c:v>93.02</c:v>
                </c:pt>
                <c:pt idx="22">
                  <c:v>149.7</c:v>
                </c:pt>
                <c:pt idx="23">
                  <c:v>103.54</c:v>
                </c:pt>
                <c:pt idx="24">
                  <c:v>56.92</c:v>
                </c:pt>
                <c:pt idx="25">
                  <c:v>153.47</c:v>
                </c:pt>
                <c:pt idx="26">
                  <c:v>149.84</c:v>
                </c:pt>
              </c:numCache>
            </c:numRef>
          </c:val>
        </c:ser>
        <c:ser>
          <c:idx val="4"/>
          <c:order val="4"/>
          <c:tx>
            <c:strRef>
              <c:f>Data!$M$2</c:f>
              <c:strCache>
                <c:ptCount val="1"/>
                <c:pt idx="0">
                  <c:v>Light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Lbls>
            <c:dLbl>
              <c:idx val="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rot="-5400000"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Data!$M$3:$M$31</c:f>
              <c:numCache>
                <c:formatCode>General</c:formatCode>
                <c:ptCount val="27"/>
                <c:pt idx="0">
                  <c:v>56.21</c:v>
                </c:pt>
                <c:pt idx="1">
                  <c:v>50.05</c:v>
                </c:pt>
                <c:pt idx="2">
                  <c:v>46.78</c:v>
                </c:pt>
                <c:pt idx="3">
                  <c:v>43.89</c:v>
                </c:pt>
                <c:pt idx="4">
                  <c:v>48.63</c:v>
                </c:pt>
                <c:pt idx="5">
                  <c:v>49.99</c:v>
                </c:pt>
                <c:pt idx="6">
                  <c:v>61.72</c:v>
                </c:pt>
                <c:pt idx="7">
                  <c:v>49.62</c:v>
                </c:pt>
                <c:pt idx="8">
                  <c:v>72.97</c:v>
                </c:pt>
                <c:pt idx="9">
                  <c:v>91.94</c:v>
                </c:pt>
                <c:pt idx="10">
                  <c:v>155.51</c:v>
                </c:pt>
                <c:pt idx="11">
                  <c:v>213.93</c:v>
                </c:pt>
                <c:pt idx="12">
                  <c:v>285.5</c:v>
                </c:pt>
                <c:pt idx="13">
                  <c:v>190.88</c:v>
                </c:pt>
                <c:pt idx="14">
                  <c:v>86.56</c:v>
                </c:pt>
                <c:pt idx="15">
                  <c:v>56.67</c:v>
                </c:pt>
                <c:pt idx="16">
                  <c:v>86.08</c:v>
                </c:pt>
                <c:pt idx="17">
                  <c:v>137.16</c:v>
                </c:pt>
                <c:pt idx="18">
                  <c:v>145.73</c:v>
                </c:pt>
                <c:pt idx="19">
                  <c:v>129.8</c:v>
                </c:pt>
                <c:pt idx="20">
                  <c:v>156.11</c:v>
                </c:pt>
                <c:pt idx="21">
                  <c:v>27.45</c:v>
                </c:pt>
                <c:pt idx="22">
                  <c:v>147.15</c:v>
                </c:pt>
                <c:pt idx="23">
                  <c:v>101.77</c:v>
                </c:pt>
                <c:pt idx="24">
                  <c:v>56.92</c:v>
                </c:pt>
                <c:pt idx="25">
                  <c:v>153.47</c:v>
                </c:pt>
                <c:pt idx="26">
                  <c:v>149.84</c:v>
                </c:pt>
              </c:numCache>
            </c:numRef>
          </c:val>
        </c:ser>
        <c:gapWidth val="10"/>
        <c:overlap val="0"/>
        <c:axId val="37023590"/>
        <c:axId val="69078629"/>
      </c:barChart>
      <c:catAx>
        <c:axId val="51867804"/>
        <c:scaling>
          <c:orientation val="minMax"/>
        </c:scaling>
        <c:delete val="0"/>
        <c:axPos val="b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985912"/>
        <c:crossesAt val="0"/>
        <c:auto val="1"/>
        <c:lblAlgn val="ctr"/>
        <c:lblOffset val="100"/>
        <c:noMultiLvlLbl val="0"/>
      </c:catAx>
      <c:valAx>
        <c:axId val="21985912"/>
        <c:scaling>
          <c:orientation val="minMax"/>
          <c:max val="2.8"/>
          <c:min val="0"/>
        </c:scaling>
        <c:delete val="0"/>
        <c:axPos val="l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67804"/>
        <c:crossesAt val="1"/>
        <c:crossBetween val="midCat"/>
        <c:majorUnit val="0.4"/>
        <c:minorUnit val="0.2"/>
      </c:valAx>
      <c:catAx>
        <c:axId val="37023590"/>
        <c:scaling>
          <c:orientation val="minMax"/>
        </c:scaling>
        <c:delete val="1"/>
        <c:axPos val="t"/>
        <c:numFmt formatCode="[$-409]mmm\-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78629"/>
        <c:auto val="1"/>
        <c:lblAlgn val="ctr"/>
        <c:lblOffset val="100"/>
        <c:noMultiLvlLbl val="0"/>
      </c:catAx>
      <c:valAx>
        <c:axId val="69078629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023590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Northeast Submarket</a:t>
            </a:r>
          </a:p>
        </c:rich>
      </c:tx>
      <c:layout>
        <c:manualLayout>
          <c:xMode val="edge"/>
          <c:yMode val="edge"/>
          <c:x val="0.389894242068155"/>
          <c:y val="0.017145600438927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7508813160987"/>
          <c:y val="0.0581578766888416"/>
          <c:w val="0.988249118683901"/>
          <c:h val="0.940127563267266"/>
        </c:manualLayout>
      </c:layout>
      <c:lineChart>
        <c:grouping val="standard"/>
        <c:varyColors val="0"/>
        <c:ser>
          <c:idx val="0"/>
          <c:order val="0"/>
          <c:tx>
            <c:strRef>
              <c:f>Data!$O$2</c:f>
              <c:strCache>
                <c:ptCount val="1"/>
                <c:pt idx="0">
                  <c:v>%MLT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square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Data!$O$3:$O$31</c:f>
              <c:numCache>
                <c:formatCode>0%</c:formatCode>
                <c:ptCount val="27"/>
                <c:pt idx="0">
                  <c:v>0.69</c:v>
                </c:pt>
                <c:pt idx="1">
                  <c:v>0.34</c:v>
                </c:pt>
                <c:pt idx="2">
                  <c:v>0.9</c:v>
                </c:pt>
                <c:pt idx="3">
                  <c:v>0.58</c:v>
                </c:pt>
                <c:pt idx="4">
                  <c:v>0.55</c:v>
                </c:pt>
                <c:pt idx="5">
                  <c:v>0.63</c:v>
                </c:pt>
                <c:pt idx="6">
                  <c:v>0.71</c:v>
                </c:pt>
                <c:pt idx="7">
                  <c:v>0.63</c:v>
                </c:pt>
                <c:pt idx="8">
                  <c:v>0.6</c:v>
                </c:pt>
                <c:pt idx="9">
                  <c:v>0.57</c:v>
                </c:pt>
                <c:pt idx="10">
                  <c:v>0.75</c:v>
                </c:pt>
                <c:pt idx="11">
                  <c:v>0.96</c:v>
                </c:pt>
                <c:pt idx="12">
                  <c:v>0.89</c:v>
                </c:pt>
                <c:pt idx="13">
                  <c:v>1.1</c:v>
                </c:pt>
                <c:pt idx="14">
                  <c:v>0.91</c:v>
                </c:pt>
                <c:pt idx="15">
                  <c:v>0.9</c:v>
                </c:pt>
                <c:pt idx="16">
                  <c:v>0.73</c:v>
                </c:pt>
                <c:pt idx="17">
                  <c:v>0.76</c:v>
                </c:pt>
                <c:pt idx="18">
                  <c:v>0.74</c:v>
                </c:pt>
                <c:pt idx="19">
                  <c:v>0.76</c:v>
                </c:pt>
                <c:pt idx="20">
                  <c:v>0.91</c:v>
                </c:pt>
                <c:pt idx="21">
                  <c:v>0.69</c:v>
                </c:pt>
                <c:pt idx="22">
                  <c:v>0.9</c:v>
                </c:pt>
                <c:pt idx="23">
                  <c:v>1.07</c:v>
                </c:pt>
                <c:pt idx="24">
                  <c:v>0.72</c:v>
                </c:pt>
                <c:pt idx="25">
                  <c:v>0.35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Data!$P$2</c:f>
              <c:strCache>
                <c:ptCount val="1"/>
                <c:pt idx="0">
                  <c:v>EAR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ff6600"/>
              </a:solidFill>
              <a:round/>
            </a:ln>
          </c:spPr>
          <c:marker>
            <c:symbol val="triangle"/>
            <c:size val="5"/>
            <c:spPr>
              <a:solidFill>
                <a:srgbClr val="ff6600"/>
              </a:solidFill>
            </c:spPr>
          </c:marker>
          <c:dPt>
            <c:idx val="20"/>
            <c:marker>
              <c:symbol val="triangle"/>
              <c:size val="5"/>
              <c:spPr>
                <a:solidFill>
                  <a:srgbClr val="ff6600"/>
                </a:solidFill>
              </c:spPr>
            </c:marker>
          </c:dPt>
          <c:dLbls>
            <c:numFmt formatCode="0%" sourceLinked="1"/>
            <c:dLbl>
              <c:idx val="20"/>
              <c:numFmt formatCode="0%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Data!$P$3:$P$31</c:f>
              <c:numCache>
                <c:formatCode>0.0%</c:formatCode>
                <c:ptCount val="27"/>
                <c:pt idx="0">
                  <c:v>0.444</c:v>
                </c:pt>
                <c:pt idx="1">
                  <c:v>0.426</c:v>
                </c:pt>
                <c:pt idx="2">
                  <c:v>0.586</c:v>
                </c:pt>
                <c:pt idx="3">
                  <c:v>0.574</c:v>
                </c:pt>
                <c:pt idx="4">
                  <c:v>0.529</c:v>
                </c:pt>
                <c:pt idx="5">
                  <c:v>0.464</c:v>
                </c:pt>
                <c:pt idx="6">
                  <c:v>0.396</c:v>
                </c:pt>
                <c:pt idx="7">
                  <c:v>0.319</c:v>
                </c:pt>
                <c:pt idx="8">
                  <c:v>0.252</c:v>
                </c:pt>
                <c:pt idx="9">
                  <c:v>0.17</c:v>
                </c:pt>
                <c:pt idx="10">
                  <c:v>0.159</c:v>
                </c:pt>
                <c:pt idx="11">
                  <c:v>0.218</c:v>
                </c:pt>
                <c:pt idx="12">
                  <c:v>0.357</c:v>
                </c:pt>
                <c:pt idx="13">
                  <c:v>0.541</c:v>
                </c:pt>
                <c:pt idx="14">
                  <c:v>0.66</c:v>
                </c:pt>
                <c:pt idx="15">
                  <c:v>0.712</c:v>
                </c:pt>
                <c:pt idx="16">
                  <c:v>0.673</c:v>
                </c:pt>
                <c:pt idx="17">
                  <c:v>0.618</c:v>
                </c:pt>
                <c:pt idx="18">
                  <c:v>0.549</c:v>
                </c:pt>
                <c:pt idx="19">
                  <c:v>0.468</c:v>
                </c:pt>
                <c:pt idx="20">
                  <c:v>0.394</c:v>
                </c:pt>
                <c:pt idx="21">
                  <c:v>0.289</c:v>
                </c:pt>
                <c:pt idx="22">
                  <c:v>0.2754</c:v>
                </c:pt>
                <c:pt idx="23">
                  <c:v>0.368</c:v>
                </c:pt>
                <c:pt idx="24">
                  <c:v>0.414</c:v>
                </c:pt>
                <c:pt idx="25">
                  <c:v>0.3817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624211"/>
        <c:axId val="85770212"/>
      </c:lineChart>
      <c:barChart>
        <c:barDir val="col"/>
        <c:grouping val="clustered"/>
        <c:varyColors val="0"/>
        <c:ser>
          <c:idx val="2"/>
          <c:order val="2"/>
          <c:tx>
            <c:strRef>
              <c:f>Data!$Q$2</c:f>
              <c:strCache>
                <c:ptCount val="1"/>
                <c:pt idx="0">
                  <c:v>Heavy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0000"/>
              </a:solidFill>
              <a:ln w="0">
                <a:noFill/>
              </a:ln>
            </c:spPr>
          </c:dPt>
          <c:dLbls>
            <c:dLbl>
              <c:idx val="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Data!$Q$3:$Q$31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101.49</c:v>
                </c:pt>
                <c:pt idx="21">
                  <c:v>76.07</c:v>
                </c:pt>
                <c:pt idx="22">
                  <c:v>127.3</c:v>
                </c:pt>
                <c:pt idx="23">
                  <c:v>72.16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ser>
          <c:idx val="3"/>
          <c:order val="3"/>
          <c:tx>
            <c:strRef>
              <c:f>Data!$R$2</c:f>
              <c:strCache>
                <c:ptCount val="1"/>
                <c:pt idx="0">
                  <c:v>Medium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ffff00"/>
              </a:solidFill>
              <a:ln w="0">
                <a:noFill/>
              </a:ln>
            </c:spPr>
          </c:dPt>
          <c:dLbls>
            <c:numFmt formatCode="0" sourceLinked="1"/>
            <c:dLbl>
              <c:idx val="20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1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2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3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4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5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6"/>
              <c:numFmt formatCode="0" sourceLinked="1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Data!$R$3:$R$31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101.49</c:v>
                </c:pt>
                <c:pt idx="21">
                  <c:v>76.07</c:v>
                </c:pt>
                <c:pt idx="22">
                  <c:v>127.3</c:v>
                </c:pt>
                <c:pt idx="23">
                  <c:v>72.16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ser>
          <c:idx val="4"/>
          <c:order val="4"/>
          <c:tx>
            <c:strRef>
              <c:f>Data!$S$2</c:f>
              <c:strCache>
                <c:ptCount val="1"/>
                <c:pt idx="0">
                  <c:v>Light</c:v>
                </c:pt>
              </c:strCache>
            </c:strRef>
          </c:tx>
          <c:spPr>
            <a:solidFill>
              <a:srgbClr val="0000ff"/>
            </a:solidFill>
            <a:ln w="0">
              <a:noFill/>
            </a:ln>
          </c:spPr>
          <c:invertIfNegative val="0"/>
          <c:dPt>
            <c:idx val="20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1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2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3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4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5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Pt>
            <c:idx val="26"/>
            <c:invertIfNegative val="0"/>
            <c:spPr>
              <a:solidFill>
                <a:srgbClr val="99cc00"/>
              </a:solidFill>
              <a:ln w="0">
                <a:noFill/>
              </a:ln>
            </c:spPr>
          </c:dPt>
          <c:dLbls>
            <c:dLbl>
              <c:idx val="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Data!$A$3:$A$31</c:f>
              <c:strCache>
                <c:ptCount val="27"/>
                <c:pt idx="0">
                  <c:v>Jan-99</c:v>
                </c:pt>
                <c:pt idx="1">
                  <c:v>Feb-99</c:v>
                </c:pt>
                <c:pt idx="2">
                  <c:v>Mar-99</c:v>
                </c:pt>
                <c:pt idx="3">
                  <c:v>Apr-99</c:v>
                </c:pt>
                <c:pt idx="4">
                  <c:v>May-99</c:v>
                </c:pt>
                <c:pt idx="5">
                  <c:v>Jun-99</c:v>
                </c:pt>
                <c:pt idx="6">
                  <c:v>Jul-99</c:v>
                </c:pt>
                <c:pt idx="7">
                  <c:v>Aug-99</c:v>
                </c:pt>
                <c:pt idx="8">
                  <c:v>Sep-99</c:v>
                </c:pt>
                <c:pt idx="9">
                  <c:v>Oct-99</c:v>
                </c:pt>
                <c:pt idx="10">
                  <c:v>Nov-99</c:v>
                </c:pt>
                <c:pt idx="11">
                  <c:v>Dec-99</c:v>
                </c:pt>
                <c:pt idx="12">
                  <c:v>Jan-00</c:v>
                </c:pt>
                <c:pt idx="13">
                  <c:v>Feb-00</c:v>
                </c:pt>
                <c:pt idx="14">
                  <c:v>Mar-00</c:v>
                </c:pt>
                <c:pt idx="15">
                  <c:v>Apr-00</c:v>
                </c:pt>
                <c:pt idx="16">
                  <c:v>May-00</c:v>
                </c:pt>
                <c:pt idx="17">
                  <c:v>Jun-00</c:v>
                </c:pt>
                <c:pt idx="18">
                  <c:v>Jul-00</c:v>
                </c:pt>
                <c:pt idx="19">
                  <c:v>Aug-00</c:v>
                </c:pt>
                <c:pt idx="20">
                  <c:v>Sep-00</c:v>
                </c:pt>
                <c:pt idx="21">
                  <c:v>Oct-00</c:v>
                </c:pt>
                <c:pt idx="22">
                  <c:v>Nov-00</c:v>
                </c:pt>
                <c:pt idx="23">
                  <c:v>Dec-00</c:v>
                </c:pt>
                <c:pt idx="24">
                  <c:v>Jan-01</c:v>
                </c:pt>
                <c:pt idx="25">
                  <c:v>Feb-01</c:v>
                </c:pt>
                <c:pt idx="26">
                  <c:v>Mar-01</c:v>
                </c:pt>
              </c:strCache>
            </c:strRef>
          </c:cat>
          <c:val>
            <c:numRef>
              <c:f>Data!$S$3:$S$31</c:f>
              <c:numCache>
                <c:formatCode>General</c:formatCode>
                <c:ptCount val="27"/>
                <c:pt idx="0">
                  <c:v>39.49</c:v>
                </c:pt>
                <c:pt idx="1">
                  <c:v>26.07</c:v>
                </c:pt>
                <c:pt idx="2">
                  <c:v>28.48</c:v>
                </c:pt>
                <c:pt idx="3">
                  <c:v>26.91</c:v>
                </c:pt>
                <c:pt idx="4">
                  <c:v>30.95</c:v>
                </c:pt>
                <c:pt idx="5">
                  <c:v>45.24</c:v>
                </c:pt>
                <c:pt idx="6">
                  <c:v>38.02</c:v>
                </c:pt>
                <c:pt idx="7">
                  <c:v>52.05</c:v>
                </c:pt>
                <c:pt idx="8">
                  <c:v>71.47</c:v>
                </c:pt>
                <c:pt idx="9">
                  <c:v>90.75</c:v>
                </c:pt>
                <c:pt idx="10">
                  <c:v>161.1</c:v>
                </c:pt>
                <c:pt idx="11">
                  <c:v>211.22</c:v>
                </c:pt>
                <c:pt idx="12">
                  <c:v>187.58</c:v>
                </c:pt>
                <c:pt idx="13">
                  <c:v>158.55</c:v>
                </c:pt>
                <c:pt idx="14">
                  <c:v>63.93</c:v>
                </c:pt>
                <c:pt idx="15">
                  <c:v>33.3</c:v>
                </c:pt>
                <c:pt idx="16">
                  <c:v>47.84</c:v>
                </c:pt>
                <c:pt idx="17">
                  <c:v>69.51</c:v>
                </c:pt>
                <c:pt idx="18">
                  <c:v>99.53</c:v>
                </c:pt>
                <c:pt idx="19">
                  <c:v>89.72</c:v>
                </c:pt>
                <c:pt idx="20">
                  <c:v>101.49</c:v>
                </c:pt>
                <c:pt idx="21">
                  <c:v>76.07</c:v>
                </c:pt>
                <c:pt idx="22">
                  <c:v>127.3</c:v>
                </c:pt>
                <c:pt idx="23">
                  <c:v>72.16</c:v>
                </c:pt>
                <c:pt idx="24">
                  <c:v>33.87</c:v>
                </c:pt>
                <c:pt idx="25">
                  <c:v>121.47</c:v>
                </c:pt>
                <c:pt idx="26">
                  <c:v>154.21</c:v>
                </c:pt>
              </c:numCache>
            </c:numRef>
          </c:val>
        </c:ser>
        <c:gapWidth val="10"/>
        <c:overlap val="0"/>
        <c:axId val="63225592"/>
        <c:axId val="69168105"/>
      </c:barChart>
      <c:catAx>
        <c:axId val="73624211"/>
        <c:scaling>
          <c:orientation val="minMax"/>
        </c:scaling>
        <c:delete val="0"/>
        <c:axPos val="b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770212"/>
        <c:crossesAt val="0"/>
        <c:auto val="1"/>
        <c:lblAlgn val="ctr"/>
        <c:lblOffset val="100"/>
        <c:noMultiLvlLbl val="0"/>
      </c:catAx>
      <c:valAx>
        <c:axId val="85770212"/>
        <c:scaling>
          <c:orientation val="minMax"/>
          <c:max val="1.2"/>
        </c:scaling>
        <c:delete val="0"/>
        <c:axPos val="l"/>
        <c:majorGridlines>
          <c:spPr>
            <a:ln w="0">
              <a:solidFill>
                <a:srgbClr val="ccccff"/>
              </a:solidFill>
              <a:custDash>
                <a:ds d="385900" sp="385900"/>
              </a:custDash>
            </a:ln>
          </c:spPr>
        </c:majorGridlines>
        <c:numFmt formatCode="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624211"/>
        <c:crossesAt val="1"/>
        <c:crossBetween val="midCat"/>
        <c:majorUnit val="0.2"/>
        <c:minorUnit val="0.2"/>
      </c:valAx>
      <c:catAx>
        <c:axId val="63225592"/>
        <c:scaling>
          <c:orientation val="minMax"/>
        </c:scaling>
        <c:delete val="1"/>
        <c:axPos val="t"/>
        <c:numFmt formatCode="[$-409]mmm\-yy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168105"/>
        <c:auto val="1"/>
        <c:lblAlgn val="ctr"/>
        <c:lblOffset val="100"/>
        <c:noMultiLvlLbl val="0"/>
      </c:catAx>
      <c:valAx>
        <c:axId val="69168105"/>
        <c:scaling>
          <c:orientation val="minMax"/>
          <c:max val="240"/>
          <c:min val="0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25592"/>
        <c:crosses val="max"/>
        <c:crossBetween val="midCat"/>
        <c:majorUnit val="4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chart" Target="../charts/chart9.xml"/><Relationship Id="rId4" Type="http://schemas.openxmlformats.org/officeDocument/2006/relationships/chart" Target="../charts/chart10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<Relationship Id="rId3" Type="http://schemas.openxmlformats.org/officeDocument/2006/relationships/chart" Target="../charts/chart13.xml"/><Relationship Id="rId4" Type="http://schemas.openxmlformats.org/officeDocument/2006/relationships/chart" Target="../charts/chart14.xml"/><Relationship Id="rId5" Type="http://schemas.openxmlformats.org/officeDocument/2006/relationships/chart" Target="../charts/chart15.xml"/><Relationship Id="rId6" Type="http://schemas.openxmlformats.org/officeDocument/2006/relationships/chart" Target="../charts/chart16.xml"/><Relationship Id="rId7" Type="http://schemas.openxmlformats.org/officeDocument/2006/relationships/chart" Target="../charts/chart17.xml"/><Relationship Id="rId8" Type="http://schemas.openxmlformats.org/officeDocument/2006/relationships/chart" Target="../charts/chart1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9720</xdr:colOff>
      <xdr:row>69</xdr:row>
      <xdr:rowOff>0</xdr:rowOff>
    </xdr:from>
    <xdr:to>
      <xdr:col>10</xdr:col>
      <xdr:colOff>574200</xdr:colOff>
      <xdr:row>83</xdr:row>
      <xdr:rowOff>162000</xdr:rowOff>
    </xdr:to>
    <xdr:graphicFrame>
      <xdr:nvGraphicFramePr>
        <xdr:cNvPr id="0" name="Chart 811"/>
        <xdr:cNvGraphicFramePr/>
      </xdr:nvGraphicFramePr>
      <xdr:xfrm>
        <a:off x="3671280" y="10696680"/>
        <a:ext cx="4246560" cy="224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211320</xdr:colOff>
      <xdr:row>71</xdr:row>
      <xdr:rowOff>28800</xdr:rowOff>
    </xdr:from>
    <xdr:to>
      <xdr:col>1</xdr:col>
      <xdr:colOff>382320</xdr:colOff>
      <xdr:row>84</xdr:row>
      <xdr:rowOff>17640</xdr:rowOff>
    </xdr:to>
    <xdr:grpSp>
      <xdr:nvGrpSpPr>
        <xdr:cNvPr id="1" name="Group 604"/>
        <xdr:cNvGrpSpPr/>
      </xdr:nvGrpSpPr>
      <xdr:grpSpPr>
        <a:xfrm>
          <a:off x="211320" y="11010960"/>
          <a:ext cx="1428840" cy="1951200"/>
          <a:chOff x="211320" y="11010960"/>
          <a:chExt cx="1428840" cy="1951200"/>
        </a:xfrm>
      </xdr:grpSpPr>
      <xdr:sp>
        <xdr:nvSpPr>
          <xdr:cNvPr id="2" name="AutoShape 605"/>
          <xdr:cNvSpPr/>
        </xdr:nvSpPr>
        <xdr:spPr>
          <a:xfrm>
            <a:off x="252720" y="11010960"/>
            <a:ext cx="1288440" cy="1838160"/>
          </a:xfrm>
          <a:prstGeom prst="rect">
            <a:avLst/>
          </a:prstGeom>
          <a:noFill/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" name="AutoShape 608"/>
          <xdr:cNvSpPr/>
        </xdr:nvSpPr>
        <xdr:spPr>
          <a:xfrm>
            <a:off x="211320" y="11239200"/>
            <a:ext cx="29160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" name="AutoShape 609"/>
          <xdr:cNvSpPr/>
        </xdr:nvSpPr>
        <xdr:spPr>
          <a:xfrm>
            <a:off x="1257120" y="11229840"/>
            <a:ext cx="38304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" name="AutoShape 610"/>
          <xdr:cNvSpPr/>
        </xdr:nvSpPr>
        <xdr:spPr>
          <a:xfrm>
            <a:off x="986040" y="12677400"/>
            <a:ext cx="9036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" name="AutoShape 611"/>
          <xdr:cNvSpPr/>
        </xdr:nvSpPr>
        <xdr:spPr>
          <a:xfrm>
            <a:off x="864720" y="11317320"/>
            <a:ext cx="58680" cy="55080"/>
          </a:xfrm>
          <a:prstGeom prst="octagon">
            <a:avLst>
              <a:gd name="adj" fmla="val 29287"/>
            </a:avLst>
          </a:prstGeom>
          <a:solidFill>
            <a:srgbClr val="000000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7" name="AutoShape 618"/>
          <xdr:cNvSpPr/>
        </xdr:nvSpPr>
        <xdr:spPr>
          <a:xfrm>
            <a:off x="543240" y="11878560"/>
            <a:ext cx="2815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938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8" name="AutoShape 619"/>
          <xdr:cNvSpPr/>
        </xdr:nvSpPr>
        <xdr:spPr>
          <a:xfrm>
            <a:off x="1076400" y="11878560"/>
            <a:ext cx="2815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700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9" name="AutoShape 620"/>
          <xdr:cNvSpPr/>
        </xdr:nvSpPr>
        <xdr:spPr>
          <a:xfrm>
            <a:off x="483120" y="11488320"/>
            <a:ext cx="34164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1600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0" name="AutoShape 621"/>
          <xdr:cNvSpPr/>
        </xdr:nvSpPr>
        <xdr:spPr>
          <a:xfrm>
            <a:off x="1076400" y="11488320"/>
            <a:ext cx="2815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676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1" name="AutoShape 622"/>
          <xdr:cNvSpPr/>
        </xdr:nvSpPr>
        <xdr:spPr>
          <a:xfrm>
            <a:off x="523800" y="11107440"/>
            <a:ext cx="3409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1600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2" name="AutoShape 623"/>
          <xdr:cNvSpPr/>
        </xdr:nvSpPr>
        <xdr:spPr>
          <a:xfrm>
            <a:off x="1016280" y="11107440"/>
            <a:ext cx="28224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491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3" name="AutoShape 625"/>
          <xdr:cNvSpPr/>
        </xdr:nvSpPr>
        <xdr:spPr>
          <a:xfrm>
            <a:off x="955440" y="12010680"/>
            <a:ext cx="28152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9000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4" name="AutoShape 627"/>
          <xdr:cNvSpPr/>
        </xdr:nvSpPr>
        <xdr:spPr>
          <a:xfrm>
            <a:off x="1016280" y="12335760"/>
            <a:ext cx="34164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3323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5" name="AutoShape 628"/>
          <xdr:cNvSpPr/>
        </xdr:nvSpPr>
        <xdr:spPr>
          <a:xfrm>
            <a:off x="483120" y="12326040"/>
            <a:ext cx="28224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416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16" name="AutoShape 629"/>
          <xdr:cNvSpPr/>
        </xdr:nvSpPr>
        <xdr:spPr>
          <a:xfrm>
            <a:off x="864720" y="12666600"/>
            <a:ext cx="5868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7" name="AutoShape 630"/>
          <xdr:cNvSpPr/>
        </xdr:nvSpPr>
        <xdr:spPr>
          <a:xfrm>
            <a:off x="864720" y="12051720"/>
            <a:ext cx="5868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8" name="AutoShape 631"/>
          <xdr:cNvSpPr/>
        </xdr:nvSpPr>
        <xdr:spPr>
          <a:xfrm>
            <a:off x="422280" y="11317320"/>
            <a:ext cx="5868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19" name="AutoShape 632"/>
          <xdr:cNvSpPr/>
        </xdr:nvSpPr>
        <xdr:spPr>
          <a:xfrm>
            <a:off x="1248120" y="11317320"/>
            <a:ext cx="5868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</xdr:col>
      <xdr:colOff>492840</xdr:colOff>
      <xdr:row>71</xdr:row>
      <xdr:rowOff>28800</xdr:rowOff>
    </xdr:from>
    <xdr:to>
      <xdr:col>3</xdr:col>
      <xdr:colOff>563040</xdr:colOff>
      <xdr:row>84</xdr:row>
      <xdr:rowOff>26640</xdr:rowOff>
    </xdr:to>
    <xdr:grpSp>
      <xdr:nvGrpSpPr>
        <xdr:cNvPr id="20" name="Group 721"/>
        <xdr:cNvGrpSpPr/>
      </xdr:nvGrpSpPr>
      <xdr:grpSpPr>
        <a:xfrm>
          <a:off x="1750680" y="11010960"/>
          <a:ext cx="1438200" cy="1960200"/>
          <a:chOff x="1750680" y="11010960"/>
          <a:chExt cx="1438200" cy="1960200"/>
        </a:xfrm>
      </xdr:grpSpPr>
      <xdr:sp>
        <xdr:nvSpPr>
          <xdr:cNvPr id="21" name="AutoShape 722"/>
          <xdr:cNvSpPr/>
        </xdr:nvSpPr>
        <xdr:spPr>
          <a:xfrm>
            <a:off x="1792440" y="11010960"/>
            <a:ext cx="1297080" cy="1846800"/>
          </a:xfrm>
          <a:prstGeom prst="rect">
            <a:avLst/>
          </a:prstGeom>
          <a:noFill/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2" name="AutoShape 725"/>
          <xdr:cNvSpPr/>
        </xdr:nvSpPr>
        <xdr:spPr>
          <a:xfrm>
            <a:off x="1750680" y="11239560"/>
            <a:ext cx="29088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3" name="AutoShape 726"/>
          <xdr:cNvSpPr/>
        </xdr:nvSpPr>
        <xdr:spPr>
          <a:xfrm>
            <a:off x="2806920" y="11239560"/>
            <a:ext cx="38196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4" name="AutoShape 727"/>
          <xdr:cNvSpPr/>
        </xdr:nvSpPr>
        <xdr:spPr>
          <a:xfrm>
            <a:off x="2525400" y="12686400"/>
            <a:ext cx="8964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5" name="AutoShape 728"/>
          <xdr:cNvSpPr/>
        </xdr:nvSpPr>
        <xdr:spPr>
          <a:xfrm>
            <a:off x="2409120" y="11318760"/>
            <a:ext cx="58320" cy="55440"/>
          </a:xfrm>
          <a:prstGeom prst="octagon">
            <a:avLst>
              <a:gd name="adj" fmla="val 29287"/>
            </a:avLst>
          </a:prstGeom>
          <a:solidFill>
            <a:srgbClr val="000000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6" name="AutoShape 735"/>
          <xdr:cNvSpPr/>
        </xdr:nvSpPr>
        <xdr:spPr>
          <a:xfrm>
            <a:off x="2082600" y="11878560"/>
            <a:ext cx="28188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901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7" name="AutoShape 736"/>
          <xdr:cNvSpPr/>
        </xdr:nvSpPr>
        <xdr:spPr>
          <a:xfrm>
            <a:off x="2615400" y="1187856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8" name="AutoShape 737"/>
          <xdr:cNvSpPr/>
        </xdr:nvSpPr>
        <xdr:spPr>
          <a:xfrm>
            <a:off x="2031840" y="1148868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1620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29" name="AutoShape 738"/>
          <xdr:cNvSpPr/>
        </xdr:nvSpPr>
        <xdr:spPr>
          <a:xfrm>
            <a:off x="2615400" y="1148868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601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0" name="AutoShape 739"/>
          <xdr:cNvSpPr/>
        </xdr:nvSpPr>
        <xdr:spPr>
          <a:xfrm>
            <a:off x="2031840" y="1110744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1000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1" name="AutoShape 740"/>
          <xdr:cNvSpPr/>
        </xdr:nvSpPr>
        <xdr:spPr>
          <a:xfrm>
            <a:off x="2555280" y="11107440"/>
            <a:ext cx="2811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350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2" name="AutoShape 742"/>
          <xdr:cNvSpPr/>
        </xdr:nvSpPr>
        <xdr:spPr>
          <a:xfrm>
            <a:off x="2494800" y="12020760"/>
            <a:ext cx="28116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9000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3" name="AutoShape 744"/>
          <xdr:cNvSpPr/>
        </xdr:nvSpPr>
        <xdr:spPr>
          <a:xfrm>
            <a:off x="2555280" y="1233576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3498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4" name="AutoShape 745"/>
          <xdr:cNvSpPr/>
        </xdr:nvSpPr>
        <xdr:spPr>
          <a:xfrm>
            <a:off x="2031840" y="12326760"/>
            <a:ext cx="1605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35" name="AutoShape 746"/>
          <xdr:cNvSpPr/>
        </xdr:nvSpPr>
        <xdr:spPr>
          <a:xfrm>
            <a:off x="2409120" y="12674520"/>
            <a:ext cx="58320" cy="5616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6" name="AutoShape 747"/>
          <xdr:cNvSpPr/>
        </xdr:nvSpPr>
        <xdr:spPr>
          <a:xfrm>
            <a:off x="2409120" y="12056400"/>
            <a:ext cx="58320" cy="5616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7" name="AutoShape 748"/>
          <xdr:cNvSpPr/>
        </xdr:nvSpPr>
        <xdr:spPr>
          <a:xfrm>
            <a:off x="1962720" y="11318760"/>
            <a:ext cx="59040" cy="5544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8" name="AutoShape 749"/>
          <xdr:cNvSpPr/>
        </xdr:nvSpPr>
        <xdr:spPr>
          <a:xfrm>
            <a:off x="2795040" y="11318760"/>
            <a:ext cx="58320" cy="5544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0</xdr:col>
      <xdr:colOff>211320</xdr:colOff>
      <xdr:row>85</xdr:row>
      <xdr:rowOff>47160</xdr:rowOff>
    </xdr:from>
    <xdr:to>
      <xdr:col>1</xdr:col>
      <xdr:colOff>392040</xdr:colOff>
      <xdr:row>97</xdr:row>
      <xdr:rowOff>55440</xdr:rowOff>
    </xdr:to>
    <xdr:grpSp>
      <xdr:nvGrpSpPr>
        <xdr:cNvPr id="39" name="Group 750"/>
        <xdr:cNvGrpSpPr/>
      </xdr:nvGrpSpPr>
      <xdr:grpSpPr>
        <a:xfrm>
          <a:off x="211320" y="13153680"/>
          <a:ext cx="1438560" cy="1951200"/>
          <a:chOff x="211320" y="13153680"/>
          <a:chExt cx="1438560" cy="1951200"/>
        </a:xfrm>
      </xdr:grpSpPr>
      <xdr:sp>
        <xdr:nvSpPr>
          <xdr:cNvPr id="40" name="AutoShape 751"/>
          <xdr:cNvSpPr/>
        </xdr:nvSpPr>
        <xdr:spPr>
          <a:xfrm>
            <a:off x="253080" y="13153680"/>
            <a:ext cx="1297440" cy="1838160"/>
          </a:xfrm>
          <a:prstGeom prst="rect">
            <a:avLst/>
          </a:prstGeom>
          <a:noFill/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41" name="AutoShape 754"/>
          <xdr:cNvSpPr/>
        </xdr:nvSpPr>
        <xdr:spPr>
          <a:xfrm>
            <a:off x="211320" y="13381920"/>
            <a:ext cx="29088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2" name="AutoShape 755"/>
          <xdr:cNvSpPr/>
        </xdr:nvSpPr>
        <xdr:spPr>
          <a:xfrm>
            <a:off x="1267560" y="13372560"/>
            <a:ext cx="38232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3" name="AutoShape 756"/>
          <xdr:cNvSpPr/>
        </xdr:nvSpPr>
        <xdr:spPr>
          <a:xfrm>
            <a:off x="986400" y="14820120"/>
            <a:ext cx="8964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4" name="AutoShape 757"/>
          <xdr:cNvSpPr/>
        </xdr:nvSpPr>
        <xdr:spPr>
          <a:xfrm>
            <a:off x="870120" y="13460040"/>
            <a:ext cx="58320" cy="55080"/>
          </a:xfrm>
          <a:prstGeom prst="octagon">
            <a:avLst>
              <a:gd name="adj" fmla="val 29287"/>
            </a:avLst>
          </a:prstGeom>
          <a:solidFill>
            <a:srgbClr val="000000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45" name="AutoShape 764"/>
          <xdr:cNvSpPr/>
        </xdr:nvSpPr>
        <xdr:spPr>
          <a:xfrm>
            <a:off x="543240" y="14021280"/>
            <a:ext cx="28188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901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6" name="AutoShape 765"/>
          <xdr:cNvSpPr/>
        </xdr:nvSpPr>
        <xdr:spPr>
          <a:xfrm>
            <a:off x="1076040" y="1402128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7" name="AutoShape 766"/>
          <xdr:cNvSpPr/>
        </xdr:nvSpPr>
        <xdr:spPr>
          <a:xfrm>
            <a:off x="492480" y="1363104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1408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8" name="AutoShape 767"/>
          <xdr:cNvSpPr/>
        </xdr:nvSpPr>
        <xdr:spPr>
          <a:xfrm>
            <a:off x="1076040" y="1363104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601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49" name="AutoShape 768"/>
          <xdr:cNvSpPr/>
        </xdr:nvSpPr>
        <xdr:spPr>
          <a:xfrm>
            <a:off x="492480" y="1325016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1200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0" name="AutoShape 769"/>
          <xdr:cNvSpPr/>
        </xdr:nvSpPr>
        <xdr:spPr>
          <a:xfrm>
            <a:off x="1016280" y="13250160"/>
            <a:ext cx="2811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540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1" name="AutoShape 771"/>
          <xdr:cNvSpPr/>
        </xdr:nvSpPr>
        <xdr:spPr>
          <a:xfrm>
            <a:off x="955800" y="14153760"/>
            <a:ext cx="28116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9000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2" name="AutoShape 773"/>
          <xdr:cNvSpPr/>
        </xdr:nvSpPr>
        <xdr:spPr>
          <a:xfrm>
            <a:off x="1016280" y="14478480"/>
            <a:ext cx="3423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3448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3" name="AutoShape 774"/>
          <xdr:cNvSpPr/>
        </xdr:nvSpPr>
        <xdr:spPr>
          <a:xfrm>
            <a:off x="492480" y="14469120"/>
            <a:ext cx="1605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54" name="AutoShape 775"/>
          <xdr:cNvSpPr/>
        </xdr:nvSpPr>
        <xdr:spPr>
          <a:xfrm>
            <a:off x="870120" y="14809680"/>
            <a:ext cx="5832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5" name="AutoShape 776"/>
          <xdr:cNvSpPr/>
        </xdr:nvSpPr>
        <xdr:spPr>
          <a:xfrm>
            <a:off x="870120" y="14194440"/>
            <a:ext cx="5832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6" name="AutoShape 777"/>
          <xdr:cNvSpPr/>
        </xdr:nvSpPr>
        <xdr:spPr>
          <a:xfrm>
            <a:off x="423720" y="13460040"/>
            <a:ext cx="5904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7" name="AutoShape 778"/>
          <xdr:cNvSpPr/>
        </xdr:nvSpPr>
        <xdr:spPr>
          <a:xfrm>
            <a:off x="1256040" y="13460040"/>
            <a:ext cx="5832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</xdr:col>
      <xdr:colOff>492840</xdr:colOff>
      <xdr:row>85</xdr:row>
      <xdr:rowOff>47160</xdr:rowOff>
    </xdr:from>
    <xdr:to>
      <xdr:col>3</xdr:col>
      <xdr:colOff>563040</xdr:colOff>
      <xdr:row>97</xdr:row>
      <xdr:rowOff>55440</xdr:rowOff>
    </xdr:to>
    <xdr:grpSp>
      <xdr:nvGrpSpPr>
        <xdr:cNvPr id="58" name="Group 779"/>
        <xdr:cNvGrpSpPr/>
      </xdr:nvGrpSpPr>
      <xdr:grpSpPr>
        <a:xfrm>
          <a:off x="1750680" y="13153680"/>
          <a:ext cx="1438200" cy="1951200"/>
          <a:chOff x="1750680" y="13153680"/>
          <a:chExt cx="1438200" cy="1951200"/>
        </a:xfrm>
      </xdr:grpSpPr>
      <xdr:sp>
        <xdr:nvSpPr>
          <xdr:cNvPr id="59" name="AutoShape 780"/>
          <xdr:cNvSpPr/>
        </xdr:nvSpPr>
        <xdr:spPr>
          <a:xfrm>
            <a:off x="1792440" y="13153680"/>
            <a:ext cx="1297080" cy="1838160"/>
          </a:xfrm>
          <a:prstGeom prst="rect">
            <a:avLst/>
          </a:prstGeom>
          <a:noFill/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0" name="AutoShape 783"/>
          <xdr:cNvSpPr/>
        </xdr:nvSpPr>
        <xdr:spPr>
          <a:xfrm>
            <a:off x="1750680" y="13381920"/>
            <a:ext cx="29088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1" name="AutoShape 784"/>
          <xdr:cNvSpPr/>
        </xdr:nvSpPr>
        <xdr:spPr>
          <a:xfrm>
            <a:off x="2807280" y="13372560"/>
            <a:ext cx="381600" cy="3783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90000" rIns="90000" tIns="46800" bIns="4680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NE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2" name="AutoShape 785"/>
          <xdr:cNvSpPr/>
        </xdr:nvSpPr>
        <xdr:spPr>
          <a:xfrm>
            <a:off x="2525760" y="14820120"/>
            <a:ext cx="8892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3" name="AutoShape 786"/>
          <xdr:cNvSpPr/>
        </xdr:nvSpPr>
        <xdr:spPr>
          <a:xfrm>
            <a:off x="2408760" y="13460040"/>
            <a:ext cx="59040" cy="55080"/>
          </a:xfrm>
          <a:prstGeom prst="octagon">
            <a:avLst>
              <a:gd name="adj" fmla="val 29287"/>
            </a:avLst>
          </a:prstGeom>
          <a:solidFill>
            <a:srgbClr val="000000"/>
          </a:solidFill>
          <a:ln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4" name="AutoShape 793"/>
          <xdr:cNvSpPr/>
        </xdr:nvSpPr>
        <xdr:spPr>
          <a:xfrm>
            <a:off x="2041560" y="14021280"/>
            <a:ext cx="3427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1001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5" name="AutoShape 794"/>
          <xdr:cNvSpPr/>
        </xdr:nvSpPr>
        <xdr:spPr>
          <a:xfrm>
            <a:off x="2615040" y="1402128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600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6" name="AutoShape 795"/>
          <xdr:cNvSpPr/>
        </xdr:nvSpPr>
        <xdr:spPr>
          <a:xfrm>
            <a:off x="2031840" y="13631040"/>
            <a:ext cx="3427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1074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7" name="AutoShape 796"/>
          <xdr:cNvSpPr/>
        </xdr:nvSpPr>
        <xdr:spPr>
          <a:xfrm>
            <a:off x="2615040" y="13631040"/>
            <a:ext cx="28260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802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8" name="AutoShape 797"/>
          <xdr:cNvSpPr/>
        </xdr:nvSpPr>
        <xdr:spPr>
          <a:xfrm>
            <a:off x="2031840" y="13250160"/>
            <a:ext cx="3427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1200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69" name="AutoShape 798"/>
          <xdr:cNvSpPr/>
        </xdr:nvSpPr>
        <xdr:spPr>
          <a:xfrm>
            <a:off x="2555280" y="13250160"/>
            <a:ext cx="28116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560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70" name="AutoShape 800"/>
          <xdr:cNvSpPr/>
        </xdr:nvSpPr>
        <xdr:spPr>
          <a:xfrm>
            <a:off x="2495160" y="14153760"/>
            <a:ext cx="281160" cy="284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0" rIns="90000" tIns="0" bIns="0" anchor="t">
            <a:spAutoFit/>
          </a:bodyPr>
          <a:p>
            <a:r>
              <a:rPr b="0" lang="en-US" sz="10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SE</a:t>
            </a:r>
            <a:endParaRPr b="0" lang="en-US" sz="1000" strike="noStrike" u="none">
              <a:effectLst/>
              <a:uFillTx/>
              <a:latin typeface="Times New Roman"/>
            </a:endParaRPr>
          </a:p>
          <a:p>
            <a:endParaRPr b="0" lang="en-US" sz="10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71" name="AutoShape 802"/>
          <xdr:cNvSpPr/>
        </xdr:nvSpPr>
        <xdr:spPr>
          <a:xfrm>
            <a:off x="2555280" y="14478480"/>
            <a:ext cx="34272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3093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72" name="AutoShape 803"/>
          <xdr:cNvSpPr/>
        </xdr:nvSpPr>
        <xdr:spPr>
          <a:xfrm>
            <a:off x="2031840" y="14469120"/>
            <a:ext cx="281880" cy="320760"/>
          </a:xfrm>
          <a:prstGeom prst="rect">
            <a:avLst/>
          </a:prstGeom>
          <a:noFill/>
          <a:ln w="0">
            <a:noFill/>
          </a:ln>
        </xdr:spPr>
        <xdr:style>
          <a:lnRef idx="0"/>
          <a:fillRef idx="0"/>
          <a:effectRef idx="0"/>
          <a:fontRef idx="minor"/>
        </xdr:style>
        <xdr:txBody>
          <a:bodyPr lIns="45720" rIns="45720" tIns="46800" bIns="46800" anchor="t">
            <a:spAutoFit/>
          </a:bodyPr>
          <a:p>
            <a:r>
              <a:rPr b="0" lang="en-US" sz="800" strike="noStrike" u="none">
                <a:solidFill>
                  <a:srgbClr val="000000"/>
                </a:solidFill>
                <a:effectLst/>
                <a:uFillTx/>
                <a:latin typeface="Arial"/>
              </a:rPr>
              <a:t>102</a:t>
            </a:r>
            <a:endParaRPr b="0" lang="en-US" sz="800" strike="noStrike" u="none">
              <a:effectLst/>
              <a:uFillTx/>
              <a:latin typeface="Times New Roman"/>
            </a:endParaRPr>
          </a:p>
          <a:p>
            <a:endParaRPr b="0" lang="en-US" sz="800" strike="noStrike" u="none">
              <a:effectLst/>
              <a:uFillTx/>
              <a:latin typeface="Times New Roman"/>
            </a:endParaRPr>
          </a:p>
        </xdr:txBody>
      </xdr:sp>
      <xdr:sp>
        <xdr:nvSpPr>
          <xdr:cNvPr id="73" name="AutoShape 804"/>
          <xdr:cNvSpPr/>
        </xdr:nvSpPr>
        <xdr:spPr>
          <a:xfrm>
            <a:off x="2408760" y="14809680"/>
            <a:ext cx="5904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74" name="AutoShape 805"/>
          <xdr:cNvSpPr/>
        </xdr:nvSpPr>
        <xdr:spPr>
          <a:xfrm>
            <a:off x="2408760" y="14194440"/>
            <a:ext cx="59040" cy="5580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75" name="AutoShape 806"/>
          <xdr:cNvSpPr/>
        </xdr:nvSpPr>
        <xdr:spPr>
          <a:xfrm>
            <a:off x="1963080" y="13460040"/>
            <a:ext cx="5832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76" name="AutoShape 807"/>
          <xdr:cNvSpPr/>
        </xdr:nvSpPr>
        <xdr:spPr>
          <a:xfrm>
            <a:off x="2794680" y="13460040"/>
            <a:ext cx="59040" cy="55080"/>
          </a:xfrm>
          <a:prstGeom prst="rect">
            <a:avLst/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5</xdr:col>
      <xdr:colOff>9720</xdr:colOff>
      <xdr:row>84</xdr:row>
      <xdr:rowOff>86040</xdr:rowOff>
    </xdr:from>
    <xdr:to>
      <xdr:col>10</xdr:col>
      <xdr:colOff>584640</xdr:colOff>
      <xdr:row>97</xdr:row>
      <xdr:rowOff>162000</xdr:rowOff>
    </xdr:to>
    <xdr:graphicFrame>
      <xdr:nvGraphicFramePr>
        <xdr:cNvPr id="77" name="Chart 816"/>
        <xdr:cNvGraphicFramePr/>
      </xdr:nvGraphicFramePr>
      <xdr:xfrm>
        <a:off x="3671280" y="13030560"/>
        <a:ext cx="4257000" cy="218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160920</xdr:colOff>
      <xdr:row>69</xdr:row>
      <xdr:rowOff>0</xdr:rowOff>
    </xdr:from>
    <xdr:to>
      <xdr:col>18</xdr:col>
      <xdr:colOff>720</xdr:colOff>
      <xdr:row>83</xdr:row>
      <xdr:rowOff>162000</xdr:rowOff>
    </xdr:to>
    <xdr:graphicFrame>
      <xdr:nvGraphicFramePr>
        <xdr:cNvPr id="78" name="Chart 817"/>
        <xdr:cNvGraphicFramePr/>
      </xdr:nvGraphicFramePr>
      <xdr:xfrm>
        <a:off x="8158680" y="10696680"/>
        <a:ext cx="4306320" cy="224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11</xdr:col>
      <xdr:colOff>160920</xdr:colOff>
      <xdr:row>84</xdr:row>
      <xdr:rowOff>75960</xdr:rowOff>
    </xdr:from>
    <xdr:to>
      <xdr:col>17</xdr:col>
      <xdr:colOff>644400</xdr:colOff>
      <xdr:row>97</xdr:row>
      <xdr:rowOff>162000</xdr:rowOff>
    </xdr:to>
    <xdr:graphicFrame>
      <xdr:nvGraphicFramePr>
        <xdr:cNvPr id="79" name="Chart 818"/>
        <xdr:cNvGraphicFramePr/>
      </xdr:nvGraphicFramePr>
      <xdr:xfrm>
        <a:off x="8158680" y="13020480"/>
        <a:ext cx="4296240" cy="2190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0</xdr:colOff>
      <xdr:row>35</xdr:row>
      <xdr:rowOff>0</xdr:rowOff>
    </xdr:from>
    <xdr:to>
      <xdr:col>16</xdr:col>
      <xdr:colOff>503280</xdr:colOff>
      <xdr:row>52</xdr:row>
      <xdr:rowOff>47520</xdr:rowOff>
    </xdr:to>
    <xdr:graphicFrame>
      <xdr:nvGraphicFramePr>
        <xdr:cNvPr id="80" name="Chart 116"/>
        <xdr:cNvGraphicFramePr/>
      </xdr:nvGraphicFramePr>
      <xdr:xfrm>
        <a:off x="6819120" y="5724360"/>
        <a:ext cx="3611880" cy="280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532800</xdr:colOff>
      <xdr:row>35</xdr:row>
      <xdr:rowOff>0</xdr:rowOff>
    </xdr:from>
    <xdr:to>
      <xdr:col>21</xdr:col>
      <xdr:colOff>865800</xdr:colOff>
      <xdr:row>52</xdr:row>
      <xdr:rowOff>47520</xdr:rowOff>
    </xdr:to>
    <xdr:graphicFrame>
      <xdr:nvGraphicFramePr>
        <xdr:cNvPr id="81" name="Chart 117"/>
        <xdr:cNvGraphicFramePr/>
      </xdr:nvGraphicFramePr>
      <xdr:xfrm>
        <a:off x="10460520" y="5724360"/>
        <a:ext cx="3650760" cy="280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11</xdr:col>
      <xdr:colOff>628920</xdr:colOff>
      <xdr:row>32</xdr:row>
      <xdr:rowOff>95760</xdr:rowOff>
    </xdr:to>
    <xdr:graphicFrame>
      <xdr:nvGraphicFramePr>
        <xdr:cNvPr id="82" name="Chart 11"/>
        <xdr:cNvGraphicFramePr/>
      </xdr:nvGraphicFramePr>
      <xdr:xfrm>
        <a:off x="0" y="0"/>
        <a:ext cx="7648920" cy="5277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37</xdr:row>
      <xdr:rowOff>9720</xdr:rowOff>
    </xdr:from>
    <xdr:to>
      <xdr:col>12</xdr:col>
      <xdr:colOff>360</xdr:colOff>
      <xdr:row>68</xdr:row>
      <xdr:rowOff>162000</xdr:rowOff>
    </xdr:to>
    <xdr:graphicFrame>
      <xdr:nvGraphicFramePr>
        <xdr:cNvPr id="83" name="Chart 12"/>
        <xdr:cNvGraphicFramePr/>
      </xdr:nvGraphicFramePr>
      <xdr:xfrm>
        <a:off x="0" y="6000840"/>
        <a:ext cx="7658640" cy="5172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13</xdr:col>
      <xdr:colOff>0</xdr:colOff>
      <xdr:row>0</xdr:row>
      <xdr:rowOff>66240</xdr:rowOff>
    </xdr:from>
    <xdr:to>
      <xdr:col>25</xdr:col>
      <xdr:colOff>360</xdr:colOff>
      <xdr:row>32</xdr:row>
      <xdr:rowOff>133560</xdr:rowOff>
    </xdr:to>
    <xdr:graphicFrame>
      <xdr:nvGraphicFramePr>
        <xdr:cNvPr id="84" name="Chart 13"/>
        <xdr:cNvGraphicFramePr/>
      </xdr:nvGraphicFramePr>
      <xdr:xfrm>
        <a:off x="8296200" y="66240"/>
        <a:ext cx="7658640" cy="524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13</xdr:col>
      <xdr:colOff>0</xdr:colOff>
      <xdr:row>37</xdr:row>
      <xdr:rowOff>9720</xdr:rowOff>
    </xdr:from>
    <xdr:to>
      <xdr:col>24</xdr:col>
      <xdr:colOff>469440</xdr:colOff>
      <xdr:row>69</xdr:row>
      <xdr:rowOff>9360</xdr:rowOff>
    </xdr:to>
    <xdr:graphicFrame>
      <xdr:nvGraphicFramePr>
        <xdr:cNvPr id="85" name="Chart 14"/>
        <xdr:cNvGraphicFramePr/>
      </xdr:nvGraphicFramePr>
      <xdr:xfrm>
        <a:off x="8296200" y="6000840"/>
        <a:ext cx="7489440" cy="5181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468720</xdr:colOff>
      <xdr:row>74</xdr:row>
      <xdr:rowOff>18720</xdr:rowOff>
    </xdr:from>
    <xdr:to>
      <xdr:col>1</xdr:col>
      <xdr:colOff>588960</xdr:colOff>
      <xdr:row>74</xdr:row>
      <xdr:rowOff>133200</xdr:rowOff>
    </xdr:to>
    <xdr:sp>
      <xdr:nvSpPr>
        <xdr:cNvPr id="86" name="Rectangle 17"/>
        <xdr:cNvSpPr/>
      </xdr:nvSpPr>
      <xdr:spPr>
        <a:xfrm>
          <a:off x="1107000" y="12001320"/>
          <a:ext cx="120240" cy="114480"/>
        </a:xfrm>
        <a:prstGeom prst="rect">
          <a:avLst/>
        </a:prstGeom>
        <a:solidFill>
          <a:srgbClr val="0000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139680</xdr:colOff>
      <xdr:row>74</xdr:row>
      <xdr:rowOff>56880</xdr:rowOff>
    </xdr:from>
    <xdr:to>
      <xdr:col>6</xdr:col>
      <xdr:colOff>583560</xdr:colOff>
      <xdr:row>74</xdr:row>
      <xdr:rowOff>108720</xdr:rowOff>
    </xdr:to>
    <xdr:grpSp>
      <xdr:nvGrpSpPr>
        <xdr:cNvPr id="87" name="Group 24"/>
        <xdr:cNvGrpSpPr/>
      </xdr:nvGrpSpPr>
      <xdr:grpSpPr>
        <a:xfrm>
          <a:off x="3968640" y="12039480"/>
          <a:ext cx="443880" cy="51840"/>
          <a:chOff x="3968640" y="12039480"/>
          <a:chExt cx="443880" cy="51840"/>
        </a:xfrm>
      </xdr:grpSpPr>
      <xdr:sp>
        <xdr:nvSpPr>
          <xdr:cNvPr id="88" name="Line 18"/>
          <xdr:cNvSpPr/>
        </xdr:nvSpPr>
        <xdr:spPr>
          <a:xfrm>
            <a:off x="3968640" y="12065400"/>
            <a:ext cx="443880" cy="0"/>
          </a:xfrm>
          <a:prstGeom prst="line">
            <a:avLst/>
          </a:prstGeom>
          <a:ln w="9360">
            <a:solidFill>
              <a:srgbClr val="00008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89" name="Rectangle 19"/>
          <xdr:cNvSpPr/>
        </xdr:nvSpPr>
        <xdr:spPr>
          <a:xfrm>
            <a:off x="4159440" y="12039480"/>
            <a:ext cx="56160" cy="51840"/>
          </a:xfrm>
          <a:prstGeom prst="rect">
            <a:avLst/>
          </a:prstGeom>
          <a:solidFill>
            <a:srgbClr val="000080"/>
          </a:solidFill>
          <a:ln w="9360">
            <a:solidFill>
              <a:srgbClr val="00008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13</xdr:col>
      <xdr:colOff>139680</xdr:colOff>
      <xdr:row>74</xdr:row>
      <xdr:rowOff>37800</xdr:rowOff>
    </xdr:from>
    <xdr:to>
      <xdr:col>13</xdr:col>
      <xdr:colOff>583560</xdr:colOff>
      <xdr:row>74</xdr:row>
      <xdr:rowOff>108720</xdr:rowOff>
    </xdr:to>
    <xdr:grpSp>
      <xdr:nvGrpSpPr>
        <xdr:cNvPr id="90" name="Group 23"/>
        <xdr:cNvGrpSpPr/>
      </xdr:nvGrpSpPr>
      <xdr:grpSpPr>
        <a:xfrm>
          <a:off x="8435880" y="12020400"/>
          <a:ext cx="443880" cy="70920"/>
          <a:chOff x="8435880" y="12020400"/>
          <a:chExt cx="443880" cy="70920"/>
        </a:xfrm>
      </xdr:grpSpPr>
      <xdr:sp>
        <xdr:nvSpPr>
          <xdr:cNvPr id="91" name="Line 20"/>
          <xdr:cNvSpPr/>
        </xdr:nvSpPr>
        <xdr:spPr>
          <a:xfrm>
            <a:off x="8435880" y="12066120"/>
            <a:ext cx="443880" cy="0"/>
          </a:xfrm>
          <a:prstGeom prst="line">
            <a:avLst/>
          </a:prstGeom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92" name="AutoShape 22"/>
          <xdr:cNvSpPr/>
        </xdr:nvSpPr>
        <xdr:spPr>
          <a:xfrm>
            <a:off x="8624520" y="12020400"/>
            <a:ext cx="77400" cy="70920"/>
          </a:xfrm>
          <a:prstGeom prst="triangle">
            <a:avLst>
              <a:gd name="adj" fmla="val 50000"/>
            </a:avLst>
          </a:prstGeom>
          <a:solidFill>
            <a:srgbClr val="ff6600"/>
          </a:solidFill>
          <a:ln w="9360">
            <a:solidFill>
              <a:srgbClr val="ff66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22</xdr:col>
      <xdr:colOff>0</xdr:colOff>
      <xdr:row>74</xdr:row>
      <xdr:rowOff>28440</xdr:rowOff>
    </xdr:from>
    <xdr:to>
      <xdr:col>22</xdr:col>
      <xdr:colOff>120240</xdr:colOff>
      <xdr:row>74</xdr:row>
      <xdr:rowOff>142920</xdr:rowOff>
    </xdr:to>
    <xdr:sp>
      <xdr:nvSpPr>
        <xdr:cNvPr id="93" name="Rectangle 25"/>
        <xdr:cNvSpPr/>
      </xdr:nvSpPr>
      <xdr:spPr>
        <a:xfrm>
          <a:off x="14040000" y="12011040"/>
          <a:ext cx="120240" cy="114480"/>
        </a:xfrm>
        <a:prstGeom prst="rect">
          <a:avLst/>
        </a:prstGeom>
        <a:solidFill>
          <a:srgbClr val="99cc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478800</xdr:colOff>
      <xdr:row>74</xdr:row>
      <xdr:rowOff>28440</xdr:rowOff>
    </xdr:from>
    <xdr:to>
      <xdr:col>17</xdr:col>
      <xdr:colOff>599040</xdr:colOff>
      <xdr:row>74</xdr:row>
      <xdr:rowOff>142920</xdr:rowOff>
    </xdr:to>
    <xdr:sp>
      <xdr:nvSpPr>
        <xdr:cNvPr id="94" name="Rectangle 26"/>
        <xdr:cNvSpPr/>
      </xdr:nvSpPr>
      <xdr:spPr>
        <a:xfrm>
          <a:off x="11327760" y="12011040"/>
          <a:ext cx="120240" cy="114480"/>
        </a:xfrm>
        <a:prstGeom prst="rect">
          <a:avLst/>
        </a:prstGeom>
        <a:solidFill>
          <a:srgbClr val="ff00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508680</xdr:colOff>
      <xdr:row>74</xdr:row>
      <xdr:rowOff>28440</xdr:rowOff>
    </xdr:from>
    <xdr:to>
      <xdr:col>19</xdr:col>
      <xdr:colOff>628920</xdr:colOff>
      <xdr:row>74</xdr:row>
      <xdr:rowOff>142920</xdr:rowOff>
    </xdr:to>
    <xdr:sp>
      <xdr:nvSpPr>
        <xdr:cNvPr id="95" name="Rectangle 27"/>
        <xdr:cNvSpPr/>
      </xdr:nvSpPr>
      <xdr:spPr>
        <a:xfrm>
          <a:off x="12633840" y="12011040"/>
          <a:ext cx="120240" cy="114480"/>
        </a:xfrm>
        <a:prstGeom prst="rect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54</xdr:row>
      <xdr:rowOff>9720</xdr:rowOff>
    </xdr:from>
    <xdr:to>
      <xdr:col>6</xdr:col>
      <xdr:colOff>131400</xdr:colOff>
      <xdr:row>70</xdr:row>
      <xdr:rowOff>9720</xdr:rowOff>
    </xdr:to>
    <xdr:graphicFrame>
      <xdr:nvGraphicFramePr>
        <xdr:cNvPr id="96" name="Chart 1"/>
        <xdr:cNvGraphicFramePr/>
      </xdr:nvGraphicFramePr>
      <xdr:xfrm>
        <a:off x="0" y="8344080"/>
        <a:ext cx="3872880" cy="2438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36</xdr:row>
      <xdr:rowOff>0</xdr:rowOff>
    </xdr:from>
    <xdr:to>
      <xdr:col>6</xdr:col>
      <xdr:colOff>131400</xdr:colOff>
      <xdr:row>51</xdr:row>
      <xdr:rowOff>152280</xdr:rowOff>
    </xdr:to>
    <xdr:graphicFrame>
      <xdr:nvGraphicFramePr>
        <xdr:cNvPr id="97" name="Chart 3"/>
        <xdr:cNvGraphicFramePr/>
      </xdr:nvGraphicFramePr>
      <xdr:xfrm>
        <a:off x="0" y="5591160"/>
        <a:ext cx="3872880" cy="2438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482760</xdr:colOff>
      <xdr:row>36</xdr:row>
      <xdr:rowOff>0</xdr:rowOff>
    </xdr:from>
    <xdr:to>
      <xdr:col>13</xdr:col>
      <xdr:colOff>360</xdr:colOff>
      <xdr:row>52</xdr:row>
      <xdr:rowOff>9720</xdr:rowOff>
    </xdr:to>
    <xdr:graphicFrame>
      <xdr:nvGraphicFramePr>
        <xdr:cNvPr id="98" name="Chart 6"/>
        <xdr:cNvGraphicFramePr/>
      </xdr:nvGraphicFramePr>
      <xdr:xfrm>
        <a:off x="4224240" y="5591160"/>
        <a:ext cx="388260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482760</xdr:colOff>
      <xdr:row>54</xdr:row>
      <xdr:rowOff>0</xdr:rowOff>
    </xdr:from>
    <xdr:to>
      <xdr:col>13</xdr:col>
      <xdr:colOff>360</xdr:colOff>
      <xdr:row>70</xdr:row>
      <xdr:rowOff>9720</xdr:rowOff>
    </xdr:to>
    <xdr:graphicFrame>
      <xdr:nvGraphicFramePr>
        <xdr:cNvPr id="99" name="Chart 7"/>
        <xdr:cNvGraphicFramePr/>
      </xdr:nvGraphicFramePr>
      <xdr:xfrm>
        <a:off x="4224240" y="8334360"/>
        <a:ext cx="388260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14</xdr:col>
      <xdr:colOff>0</xdr:colOff>
      <xdr:row>36</xdr:row>
      <xdr:rowOff>0</xdr:rowOff>
    </xdr:from>
    <xdr:to>
      <xdr:col>20</xdr:col>
      <xdr:colOff>151560</xdr:colOff>
      <xdr:row>52</xdr:row>
      <xdr:rowOff>19080</xdr:rowOff>
    </xdr:to>
    <xdr:graphicFrame>
      <xdr:nvGraphicFramePr>
        <xdr:cNvPr id="100" name="Chart 8"/>
        <xdr:cNvGraphicFramePr/>
      </xdr:nvGraphicFramePr>
      <xdr:xfrm>
        <a:off x="8730000" y="5591160"/>
        <a:ext cx="389304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20</xdr:col>
      <xdr:colOff>472320</xdr:colOff>
      <xdr:row>36</xdr:row>
      <xdr:rowOff>0</xdr:rowOff>
    </xdr:from>
    <xdr:to>
      <xdr:col>27</xdr:col>
      <xdr:colOff>360</xdr:colOff>
      <xdr:row>52</xdr:row>
      <xdr:rowOff>19080</xdr:rowOff>
    </xdr:to>
    <xdr:graphicFrame>
      <xdr:nvGraphicFramePr>
        <xdr:cNvPr id="101" name="Chart 9"/>
        <xdr:cNvGraphicFramePr/>
      </xdr:nvGraphicFramePr>
      <xdr:xfrm>
        <a:off x="12943800" y="5591160"/>
        <a:ext cx="389304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14</xdr:col>
      <xdr:colOff>0</xdr:colOff>
      <xdr:row>54</xdr:row>
      <xdr:rowOff>0</xdr:rowOff>
    </xdr:from>
    <xdr:to>
      <xdr:col>20</xdr:col>
      <xdr:colOff>151560</xdr:colOff>
      <xdr:row>70</xdr:row>
      <xdr:rowOff>19080</xdr:rowOff>
    </xdr:to>
    <xdr:graphicFrame>
      <xdr:nvGraphicFramePr>
        <xdr:cNvPr id="102" name="Chart 10"/>
        <xdr:cNvGraphicFramePr/>
      </xdr:nvGraphicFramePr>
      <xdr:xfrm>
        <a:off x="8730000" y="8334360"/>
        <a:ext cx="389304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20</xdr:col>
      <xdr:colOff>472320</xdr:colOff>
      <xdr:row>54</xdr:row>
      <xdr:rowOff>0</xdr:rowOff>
    </xdr:from>
    <xdr:to>
      <xdr:col>27</xdr:col>
      <xdr:colOff>360</xdr:colOff>
      <xdr:row>70</xdr:row>
      <xdr:rowOff>19080</xdr:rowOff>
    </xdr:to>
    <xdr:graphicFrame>
      <xdr:nvGraphicFramePr>
        <xdr:cNvPr id="103" name="Chart 11"/>
        <xdr:cNvGraphicFramePr/>
      </xdr:nvGraphicFramePr>
      <xdr:xfrm>
        <a:off x="12943800" y="8334360"/>
        <a:ext cx="389304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Bz%20Trading/ONS/Daily%20Reports/ADO/Rdia070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1-Balanço Energético "/>
      <sheetName val="2-Carga Própria"/>
      <sheetName val="2.5-Dem. Hor.  Área Cont. e Reg"/>
      <sheetName val="3-Produção"/>
      <sheetName val="4-Disponibilidade"/>
      <sheetName val="5.1-Deslig. 23h59"/>
      <sheetName val="5.2-Deslig. no dia"/>
      <sheetName val="5.3-Deslig. 23h59 sem CO"/>
      <sheetName val="6-Reserva de Potência"/>
      <sheetName val="7-Operação RJ-ES e SP"/>
      <sheetName val="7.2-Diagrama - RJ-ES"/>
      <sheetName val="7.3-Diagrama - SP"/>
      <sheetName val="7.4-Cargas_Emp_Rio-ES"/>
      <sheetName val="8-Acomp. Hidrologia"/>
      <sheetName val="9-Energético"/>
      <sheetName val="EAR%-Regiões"/>
      <sheetName val="FUR_MAR"/>
      <sheetName val="EMB_ITB"/>
      <sheetName val="AGV_SSI"/>
      <sheetName val="ILS_CPV"/>
      <sheetName val="SME_TUC"/>
      <sheetName val="TMA_SOB"/>
      <sheetName val="GBM_SSA"/>
      <sheetName val="10-Principais Ocorrências"/>
      <sheetName val="DadosHidro"/>
      <sheetName val="Dados EAR%"/>
      <sheetName val="DadosFluxo"/>
    </sheetNames>
    <sheetDataSet>
      <sheetData sheetId="0"/>
      <sheetData sheetId="1">
        <row r="8">
          <cell r="B8">
            <v>15027</v>
          </cell>
          <cell r="C8">
            <v>15848.4083333333</v>
          </cell>
        </row>
        <row r="8">
          <cell r="G8">
            <v>7501</v>
          </cell>
          <cell r="H8">
            <v>7585.25</v>
          </cell>
        </row>
        <row r="9">
          <cell r="B9">
            <v>1149</v>
          </cell>
          <cell r="C9">
            <v>784</v>
          </cell>
        </row>
        <row r="9">
          <cell r="G9">
            <v>1468</v>
          </cell>
          <cell r="H9">
            <v>1362</v>
          </cell>
        </row>
        <row r="10">
          <cell r="B10">
            <v>1760</v>
          </cell>
          <cell r="C10">
            <v>1715</v>
          </cell>
        </row>
        <row r="11">
          <cell r="G11">
            <v>1867</v>
          </cell>
          <cell r="H11">
            <v>1871.84994791667</v>
          </cell>
        </row>
        <row r="12">
          <cell r="B12">
            <v>7830</v>
          </cell>
          <cell r="C12">
            <v>7852.04588541667</v>
          </cell>
        </row>
        <row r="12">
          <cell r="G12">
            <v>8314</v>
          </cell>
          <cell r="H12">
            <v>8318.7375</v>
          </cell>
        </row>
        <row r="13">
          <cell r="B13">
            <v>28778</v>
          </cell>
          <cell r="C13">
            <v>29171.3125</v>
          </cell>
        </row>
        <row r="13">
          <cell r="G13">
            <v>2569</v>
          </cell>
          <cell r="H13">
            <v>2545.57494791666</v>
          </cell>
        </row>
        <row r="14">
          <cell r="B14">
            <v>-2554</v>
          </cell>
          <cell r="C14">
            <v>-2545.57494791667</v>
          </cell>
        </row>
        <row r="14">
          <cell r="G14">
            <v>-47</v>
          </cell>
          <cell r="H14">
            <v>-45.2125</v>
          </cell>
        </row>
        <row r="15">
          <cell r="B15">
            <v>-458</v>
          </cell>
          <cell r="C15">
            <v>-426.283333333333</v>
          </cell>
        </row>
        <row r="16">
          <cell r="B16">
            <v>0</v>
          </cell>
          <cell r="C16">
            <v>1.4210854715202E-012</v>
          </cell>
        </row>
        <row r="18">
          <cell r="G18">
            <v>5726.225</v>
          </cell>
        </row>
        <row r="19">
          <cell r="G19">
            <v>3997.67083333333</v>
          </cell>
        </row>
        <row r="20">
          <cell r="G20">
            <v>-673.725</v>
          </cell>
        </row>
        <row r="24">
          <cell r="B24">
            <v>3634</v>
          </cell>
          <cell r="C24">
            <v>3334.2875</v>
          </cell>
        </row>
        <row r="24">
          <cell r="G24">
            <v>6027</v>
          </cell>
          <cell r="H24">
            <v>6183.10833333333</v>
          </cell>
        </row>
        <row r="25">
          <cell r="B25">
            <v>0</v>
          </cell>
          <cell r="C25">
            <v>0</v>
          </cell>
        </row>
        <row r="25">
          <cell r="G25">
            <v>40</v>
          </cell>
          <cell r="H25">
            <v>36</v>
          </cell>
        </row>
        <row r="27">
          <cell r="B27">
            <v>2570</v>
          </cell>
          <cell r="C27">
            <v>2442.04166666667</v>
          </cell>
        </row>
        <row r="27">
          <cell r="G27">
            <v>6642</v>
          </cell>
          <cell r="H27">
            <v>6685.07083333333</v>
          </cell>
        </row>
        <row r="28">
          <cell r="B28">
            <v>575</v>
          </cell>
          <cell r="C28">
            <v>465.9625</v>
          </cell>
        </row>
        <row r="28">
          <cell r="G28">
            <v>-575</v>
          </cell>
          <cell r="H28">
            <v>-465.9625</v>
          </cell>
        </row>
        <row r="29">
          <cell r="B29">
            <v>458</v>
          </cell>
          <cell r="C29">
            <v>426.283333333333</v>
          </cell>
        </row>
        <row r="29">
          <cell r="G29">
            <v>0</v>
          </cell>
          <cell r="H29">
            <v>-1.4210854715202E-012</v>
          </cell>
        </row>
      </sheetData>
      <sheetData sheetId="2"/>
      <sheetData sheetId="3"/>
      <sheetData sheetId="4">
        <row r="9">
          <cell r="A9" t="str">
            <v>PCH CEB</v>
          </cell>
          <cell r="B9">
            <v>12.7083333333333</v>
          </cell>
          <cell r="C9">
            <v>12.7083333333333</v>
          </cell>
        </row>
        <row r="10">
          <cell r="A10" t="str">
            <v>CAMARGOS</v>
          </cell>
          <cell r="B10">
            <v>9.5</v>
          </cell>
          <cell r="C10">
            <v>9.75</v>
          </cell>
        </row>
        <row r="11">
          <cell r="A11" t="str">
            <v>EMBORCAÇÃO</v>
          </cell>
          <cell r="B11">
            <v>135</v>
          </cell>
          <cell r="C11">
            <v>167.3</v>
          </cell>
        </row>
        <row r="12">
          <cell r="A12" t="str">
            <v>G.AMORIM</v>
          </cell>
          <cell r="B12">
            <v>36.8958333333333</v>
          </cell>
          <cell r="C12">
            <v>64.3416666666667</v>
          </cell>
        </row>
        <row r="13">
          <cell r="A13" t="str">
            <v>IGARAPAVA</v>
          </cell>
          <cell r="B13">
            <v>163.125</v>
          </cell>
          <cell r="C13">
            <v>163.291666666667</v>
          </cell>
        </row>
        <row r="14">
          <cell r="A14" t="str">
            <v>ITUTINGA</v>
          </cell>
          <cell r="B14">
            <v>13.6666666666667</v>
          </cell>
          <cell r="C14">
            <v>14.85</v>
          </cell>
        </row>
        <row r="15">
          <cell r="A15" t="str">
            <v>JAGUARA</v>
          </cell>
          <cell r="B15">
            <v>394.791666666667</v>
          </cell>
          <cell r="C15">
            <v>390.520833333333</v>
          </cell>
        </row>
        <row r="16">
          <cell r="A16" t="str">
            <v>MIRANDA</v>
          </cell>
          <cell r="B16">
            <v>145.416666666667</v>
          </cell>
          <cell r="C16">
            <v>190.270833333333</v>
          </cell>
        </row>
        <row r="17">
          <cell r="A17" t="str">
            <v>NOVA PONTE</v>
          </cell>
          <cell r="B17">
            <v>111</v>
          </cell>
          <cell r="C17">
            <v>143.441666666667</v>
          </cell>
        </row>
        <row r="18">
          <cell r="A18" t="str">
            <v>PCH CEMIG</v>
          </cell>
          <cell r="B18">
            <v>74.2916666666667</v>
          </cell>
          <cell r="C18">
            <v>74.2916666666667</v>
          </cell>
        </row>
        <row r="19">
          <cell r="A19" t="str">
            <v>S.GRANDE</v>
          </cell>
          <cell r="B19">
            <v>41.875</v>
          </cell>
          <cell r="C19">
            <v>41.7333333333333</v>
          </cell>
        </row>
        <row r="20">
          <cell r="A20" t="str">
            <v>S.SIMÃO</v>
          </cell>
          <cell r="B20">
            <v>1275.83333333333</v>
          </cell>
          <cell r="C20">
            <v>1323.78333333333</v>
          </cell>
        </row>
        <row r="21">
          <cell r="A21" t="str">
            <v>SOBRAGI</v>
          </cell>
          <cell r="B21">
            <v>24</v>
          </cell>
          <cell r="C21">
            <v>25.2041666666667</v>
          </cell>
        </row>
        <row r="22">
          <cell r="A22" t="str">
            <v>T.MARIAS</v>
          </cell>
          <cell r="B22">
            <v>177.5</v>
          </cell>
          <cell r="C22">
            <v>181.3875</v>
          </cell>
        </row>
        <row r="23">
          <cell r="A23" t="str">
            <v>V.GRANDE</v>
          </cell>
          <cell r="B23">
            <v>255.833333333333</v>
          </cell>
          <cell r="C23">
            <v>255.316666666667</v>
          </cell>
        </row>
        <row r="24">
          <cell r="A24" t="str">
            <v>PCH CELG</v>
          </cell>
          <cell r="B24">
            <v>8.70833333333333</v>
          </cell>
          <cell r="C24">
            <v>8.70833333333333</v>
          </cell>
        </row>
        <row r="25">
          <cell r="A25" t="str">
            <v>PCH CPFL</v>
          </cell>
          <cell r="B25">
            <v>40</v>
          </cell>
          <cell r="C25">
            <v>40</v>
          </cell>
        </row>
        <row r="26">
          <cell r="A26" t="str">
            <v>PCH CERJ</v>
          </cell>
          <cell r="B26">
            <v>28.5833333333333</v>
          </cell>
          <cell r="C26">
            <v>28.5833333333333</v>
          </cell>
        </row>
        <row r="27">
          <cell r="A27" t="str">
            <v>A.VERMELHA</v>
          </cell>
          <cell r="B27">
            <v>746.875</v>
          </cell>
          <cell r="C27">
            <v>756.379166666667</v>
          </cell>
        </row>
        <row r="28">
          <cell r="A28" t="str">
            <v>B.BONITA</v>
          </cell>
          <cell r="B28">
            <v>64.1666666666667</v>
          </cell>
          <cell r="C28">
            <v>72.3625</v>
          </cell>
        </row>
        <row r="29">
          <cell r="A29" t="str">
            <v>BARIRI</v>
          </cell>
          <cell r="B29">
            <v>62.5</v>
          </cell>
          <cell r="C29">
            <v>76.4</v>
          </cell>
        </row>
        <row r="30">
          <cell r="A30" t="str">
            <v>CACONDE</v>
          </cell>
          <cell r="B30">
            <v>35.75</v>
          </cell>
          <cell r="C30">
            <v>35.4875</v>
          </cell>
        </row>
        <row r="31">
          <cell r="A31" t="str">
            <v>CHAVANTES</v>
          </cell>
          <cell r="B31">
            <v>212.291666666667</v>
          </cell>
          <cell r="C31">
            <v>194.870833333333</v>
          </cell>
        </row>
        <row r="32">
          <cell r="A32" t="str">
            <v>CAPIVARA</v>
          </cell>
          <cell r="B32">
            <v>527.5</v>
          </cell>
          <cell r="C32">
            <v>501</v>
          </cell>
        </row>
        <row r="33">
          <cell r="A33" t="str">
            <v>CANOAS I</v>
          </cell>
          <cell r="B33">
            <v>77.5</v>
          </cell>
          <cell r="C33">
            <v>73.0541666666667</v>
          </cell>
        </row>
        <row r="34">
          <cell r="A34" t="str">
            <v>CANOAS II</v>
          </cell>
          <cell r="B34">
            <v>48</v>
          </cell>
          <cell r="C34">
            <v>48</v>
          </cell>
        </row>
        <row r="35">
          <cell r="A35" t="str">
            <v>Total CANOAS</v>
          </cell>
          <cell r="B35">
            <v>125.5</v>
          </cell>
          <cell r="C35">
            <v>121.054166666667</v>
          </cell>
        </row>
        <row r="36">
          <cell r="A36" t="str">
            <v>E.CUNHA</v>
          </cell>
          <cell r="B36">
            <v>42.4583333333333</v>
          </cell>
          <cell r="C36">
            <v>53.9833333333333</v>
          </cell>
        </row>
        <row r="37">
          <cell r="A37" t="str">
            <v>IBITINGA</v>
          </cell>
          <cell r="B37">
            <v>80</v>
          </cell>
          <cell r="C37">
            <v>82.6541666666667</v>
          </cell>
        </row>
        <row r="38">
          <cell r="A38" t="str">
            <v>I.SOLTEIRA</v>
          </cell>
          <cell r="B38">
            <v>1981.25</v>
          </cell>
          <cell r="C38">
            <v>2122.00833333333</v>
          </cell>
        </row>
        <row r="39">
          <cell r="A39" t="str">
            <v>JAGUARI</v>
          </cell>
          <cell r="B39">
            <v>4</v>
          </cell>
          <cell r="C39">
            <v>1.65416666666667</v>
          </cell>
        </row>
        <row r="40">
          <cell r="A40" t="str">
            <v>JUPIA</v>
          </cell>
          <cell r="B40">
            <v>1137.5</v>
          </cell>
          <cell r="C40">
            <v>1135.62083333333</v>
          </cell>
        </row>
        <row r="41">
          <cell r="A41" t="str">
            <v>JURUMIRIM</v>
          </cell>
          <cell r="B41">
            <v>96</v>
          </cell>
          <cell r="C41">
            <v>95.5375</v>
          </cell>
        </row>
        <row r="42">
          <cell r="A42" t="str">
            <v>LIMOEIRO</v>
          </cell>
          <cell r="B42">
            <v>13.4166666666667</v>
          </cell>
          <cell r="C42">
            <v>16.325</v>
          </cell>
        </row>
        <row r="43">
          <cell r="A43" t="str">
            <v>N. AVANHAN</v>
          </cell>
          <cell r="B43">
            <v>295</v>
          </cell>
          <cell r="C43">
            <v>288.866666666667</v>
          </cell>
        </row>
        <row r="44">
          <cell r="A44" t="str">
            <v>PARAIBUNA</v>
          </cell>
          <cell r="B44">
            <v>37</v>
          </cell>
          <cell r="C44">
            <v>37.3958333333333</v>
          </cell>
        </row>
        <row r="45">
          <cell r="A45" t="str">
            <v>PCH CESP</v>
          </cell>
          <cell r="B45">
            <v>0</v>
          </cell>
          <cell r="C45">
            <v>0</v>
          </cell>
        </row>
        <row r="46">
          <cell r="A46" t="str">
            <v>P.PRIMAVERA</v>
          </cell>
          <cell r="B46">
            <v>640</v>
          </cell>
          <cell r="C46">
            <v>601.3375</v>
          </cell>
        </row>
        <row r="47">
          <cell r="A47" t="str">
            <v>PROMISSÃO</v>
          </cell>
          <cell r="B47">
            <v>218</v>
          </cell>
          <cell r="C47">
            <v>215.708333333333</v>
          </cell>
        </row>
        <row r="48">
          <cell r="A48" t="str">
            <v>ROSANA</v>
          </cell>
          <cell r="B48">
            <v>256.666666666667</v>
          </cell>
          <cell r="C48">
            <v>260.220833333333</v>
          </cell>
        </row>
        <row r="49">
          <cell r="A49" t="str">
            <v>S. GRANDE</v>
          </cell>
          <cell r="B49">
            <v>53</v>
          </cell>
          <cell r="C49">
            <v>51.775</v>
          </cell>
        </row>
        <row r="50">
          <cell r="A50" t="str">
            <v>TAQUARUÇU</v>
          </cell>
          <cell r="B50">
            <v>272.5</v>
          </cell>
          <cell r="C50">
            <v>271.775</v>
          </cell>
        </row>
        <row r="51">
          <cell r="A51" t="str">
            <v>T.IRMÃOS</v>
          </cell>
          <cell r="B51">
            <v>205.833333333333</v>
          </cell>
          <cell r="C51">
            <v>255.170833333333</v>
          </cell>
        </row>
        <row r="52">
          <cell r="A52" t="str">
            <v>PCH CEMAT</v>
          </cell>
          <cell r="B52">
            <v>100.220833333333</v>
          </cell>
          <cell r="C52">
            <v>100.220833333333</v>
          </cell>
        </row>
        <row r="53">
          <cell r="A53" t="str">
            <v>MASCARENHAS</v>
          </cell>
          <cell r="B53">
            <v>66.9583333333333</v>
          </cell>
          <cell r="C53">
            <v>66.9583333333333</v>
          </cell>
        </row>
        <row r="54">
          <cell r="A54" t="str">
            <v>PCH ESCELSA</v>
          </cell>
          <cell r="B54">
            <v>25</v>
          </cell>
          <cell r="C54">
            <v>25</v>
          </cell>
        </row>
        <row r="55">
          <cell r="A55" t="str">
            <v>H.BORDEN Ext</v>
          </cell>
          <cell r="B55">
            <v>62.4583333333333</v>
          </cell>
          <cell r="C55">
            <v>57.7333333333333</v>
          </cell>
        </row>
        <row r="56">
          <cell r="A56" t="str">
            <v>H.BORDEN Sub.</v>
          </cell>
          <cell r="B56">
            <v>0</v>
          </cell>
          <cell r="C56">
            <v>47.9958333333333</v>
          </cell>
        </row>
        <row r="57">
          <cell r="A57" t="str">
            <v>Total H.BORDEN</v>
          </cell>
          <cell r="B57">
            <v>62.4583333333333</v>
          </cell>
          <cell r="C57">
            <v>105.729166666667</v>
          </cell>
        </row>
        <row r="58">
          <cell r="A58" t="str">
            <v>PCH EPAULO</v>
          </cell>
          <cell r="B58">
            <v>20</v>
          </cell>
          <cell r="C58">
            <v>20</v>
          </cell>
        </row>
        <row r="59">
          <cell r="A59" t="str">
            <v>P.COLOMBIA</v>
          </cell>
          <cell r="B59">
            <v>208.333333333333</v>
          </cell>
          <cell r="C59">
            <v>210.816666666667</v>
          </cell>
        </row>
        <row r="60">
          <cell r="A60" t="str">
            <v>CORUMBÁ </v>
          </cell>
          <cell r="B60">
            <v>270</v>
          </cell>
          <cell r="C60">
            <v>270.4125</v>
          </cell>
        </row>
        <row r="61">
          <cell r="A61" t="str">
            <v>FUNIL</v>
          </cell>
          <cell r="B61">
            <v>112.5</v>
          </cell>
          <cell r="C61">
            <v>131.1875</v>
          </cell>
        </row>
        <row r="62">
          <cell r="A62" t="str">
            <v>FURNAS</v>
          </cell>
          <cell r="B62">
            <v>430.208333333333</v>
          </cell>
          <cell r="C62">
            <v>588.679166666667</v>
          </cell>
        </row>
        <row r="63">
          <cell r="A63" t="str">
            <v>ITUMBIARA</v>
          </cell>
          <cell r="B63">
            <v>703.333333333333</v>
          </cell>
          <cell r="C63">
            <v>789.6125</v>
          </cell>
        </row>
        <row r="64">
          <cell r="A64" t="str">
            <v>ESTREITO</v>
          </cell>
          <cell r="B64">
            <v>497.916666666667</v>
          </cell>
          <cell r="C64">
            <v>493.508333333333</v>
          </cell>
        </row>
        <row r="65">
          <cell r="A65" t="str">
            <v>MANSO</v>
          </cell>
          <cell r="B65">
            <v>13</v>
          </cell>
          <cell r="C65">
            <v>13</v>
          </cell>
        </row>
        <row r="66">
          <cell r="A66" t="str">
            <v>M.MORAES</v>
          </cell>
          <cell r="B66">
            <v>339.583333333333</v>
          </cell>
          <cell r="C66">
            <v>338.570833333333</v>
          </cell>
        </row>
        <row r="67">
          <cell r="A67" t="str">
            <v>MARIMBONDO</v>
          </cell>
          <cell r="B67">
            <v>554.583333333333</v>
          </cell>
          <cell r="C67">
            <v>646.6125</v>
          </cell>
        </row>
        <row r="68">
          <cell r="A68" t="str">
            <v>S. MESA</v>
          </cell>
          <cell r="B68">
            <v>635.416666666667</v>
          </cell>
          <cell r="C68">
            <v>716.041666666667</v>
          </cell>
        </row>
        <row r="69">
          <cell r="A69" t="str">
            <v>C.DOURADA</v>
          </cell>
          <cell r="B69">
            <v>412.083333333333</v>
          </cell>
          <cell r="C69">
            <v>343.766666666667</v>
          </cell>
        </row>
        <row r="70">
          <cell r="A70" t="str">
            <v>FONTES</v>
          </cell>
          <cell r="B70">
            <v>108.708333333333</v>
          </cell>
          <cell r="C70">
            <v>118.516666666667</v>
          </cell>
        </row>
        <row r="71">
          <cell r="A71" t="str">
            <v>I. POMBOS</v>
          </cell>
          <cell r="B71">
            <v>42.1666666666667</v>
          </cell>
          <cell r="C71">
            <v>78.1875</v>
          </cell>
        </row>
        <row r="72">
          <cell r="A72" t="str">
            <v>N.PEÇANHA</v>
          </cell>
          <cell r="B72">
            <v>313.833333333333</v>
          </cell>
          <cell r="C72">
            <v>347.095833333333</v>
          </cell>
        </row>
        <row r="73">
          <cell r="A73" t="str">
            <v>P.PASSOS</v>
          </cell>
          <cell r="B73">
            <v>42.2916666666667</v>
          </cell>
          <cell r="C73">
            <v>49.2791666666667</v>
          </cell>
        </row>
        <row r="74">
          <cell r="A74" t="str">
            <v>STA BRANCA</v>
          </cell>
          <cell r="B74">
            <v>12</v>
          </cell>
          <cell r="C74">
            <v>12.925</v>
          </cell>
        </row>
        <row r="75">
          <cell r="A75" t="str">
            <v>PCH CEEE/ D.FRANCISCA</v>
          </cell>
          <cell r="B75">
            <v>24.5416666666667</v>
          </cell>
          <cell r="C75">
            <v>22.3208333333333</v>
          </cell>
        </row>
        <row r="76">
          <cell r="A76" t="str">
            <v>CANASTRA</v>
          </cell>
          <cell r="B76">
            <v>30.5208333333333</v>
          </cell>
          <cell r="C76">
            <v>21.7708333333333</v>
          </cell>
        </row>
        <row r="77">
          <cell r="A77" t="str">
            <v>ITAUBA</v>
          </cell>
          <cell r="B77">
            <v>179.020833333333</v>
          </cell>
          <cell r="C77">
            <v>218.325</v>
          </cell>
        </row>
        <row r="78">
          <cell r="A78" t="str">
            <v>JACUI</v>
          </cell>
          <cell r="B78">
            <v>170.625</v>
          </cell>
          <cell r="C78">
            <v>156.35</v>
          </cell>
        </row>
        <row r="79">
          <cell r="A79" t="str">
            <v>PASSO REAL</v>
          </cell>
          <cell r="B79">
            <v>87.2916666666667</v>
          </cell>
          <cell r="C79">
            <v>81.75</v>
          </cell>
        </row>
        <row r="80">
          <cell r="A80" t="str">
            <v>GBM</v>
          </cell>
          <cell r="B80">
            <v>1048.75</v>
          </cell>
          <cell r="C80">
            <v>1088.5375</v>
          </cell>
        </row>
        <row r="81">
          <cell r="A81" t="str">
            <v>GPS</v>
          </cell>
          <cell r="B81">
            <v>111.875</v>
          </cell>
          <cell r="C81">
            <v>137.370833333333</v>
          </cell>
        </row>
        <row r="82">
          <cell r="A82" t="str">
            <v>PCH COPEL</v>
          </cell>
          <cell r="B82">
            <v>87</v>
          </cell>
          <cell r="C82">
            <v>86.8083333333334</v>
          </cell>
        </row>
        <row r="83">
          <cell r="A83" t="str">
            <v>S.CAXIAS</v>
          </cell>
          <cell r="B83">
            <v>1240</v>
          </cell>
          <cell r="C83">
            <v>1233.89583333333</v>
          </cell>
        </row>
        <row r="84">
          <cell r="A84" t="str">
            <v>SEGREDO</v>
          </cell>
          <cell r="B84">
            <v>1122</v>
          </cell>
          <cell r="C84">
            <v>1116.41666666667</v>
          </cell>
        </row>
        <row r="85">
          <cell r="A85" t="str">
            <v>ITÁ</v>
          </cell>
          <cell r="B85">
            <v>1050</v>
          </cell>
          <cell r="C85">
            <v>1071.5125</v>
          </cell>
        </row>
        <row r="86">
          <cell r="A86" t="str">
            <v>P.FUNDO</v>
          </cell>
          <cell r="B86">
            <v>125.833333333333</v>
          </cell>
          <cell r="C86">
            <v>130.133333333333</v>
          </cell>
        </row>
        <row r="87">
          <cell r="A87" t="str">
            <v>S.OSÓRIO</v>
          </cell>
          <cell r="B87">
            <v>779.375</v>
          </cell>
          <cell r="C87">
            <v>845.033333333333</v>
          </cell>
        </row>
        <row r="88">
          <cell r="A88" t="str">
            <v>S.SANTIAGO</v>
          </cell>
          <cell r="B88">
            <v>1293.04166666667</v>
          </cell>
          <cell r="C88">
            <v>1221.03333333333</v>
          </cell>
        </row>
        <row r="89">
          <cell r="A89" t="str">
            <v>PCH ENERSUL</v>
          </cell>
          <cell r="B89">
            <v>27.75</v>
          </cell>
          <cell r="C89">
            <v>30.8791666666667</v>
          </cell>
        </row>
        <row r="90">
          <cell r="A90" t="str">
            <v>PCH CELESC</v>
          </cell>
          <cell r="B90">
            <v>60</v>
          </cell>
          <cell r="C90">
            <v>60</v>
          </cell>
        </row>
        <row r="91">
          <cell r="A91" t="str">
            <v>ITAIPU 50 Hz</v>
          </cell>
          <cell r="B91">
            <v>5793.75</v>
          </cell>
          <cell r="C91">
            <v>5726.225</v>
          </cell>
        </row>
        <row r="92">
          <cell r="A92" t="str">
            <v>ITAIPU 60 Hz</v>
          </cell>
          <cell r="B92">
            <v>3903.125</v>
          </cell>
          <cell r="C92">
            <v>3997.67083333333</v>
          </cell>
        </row>
        <row r="93">
          <cell r="A93" t="str">
            <v>PCH CHESF</v>
          </cell>
          <cell r="B93">
            <v>5.83333333333333</v>
          </cell>
          <cell r="C93">
            <v>7.96666666666667</v>
          </cell>
        </row>
        <row r="94">
          <cell r="A94" t="str">
            <v>A SALLES</v>
          </cell>
          <cell r="B94">
            <v>169.416666666667</v>
          </cell>
          <cell r="C94">
            <v>173.420833333333</v>
          </cell>
        </row>
        <row r="95">
          <cell r="A95" t="str">
            <v>B. ESPERANÇA</v>
          </cell>
          <cell r="B95">
            <v>129.5</v>
          </cell>
          <cell r="C95">
            <v>141.516666666667</v>
          </cell>
        </row>
        <row r="96">
          <cell r="A96" t="str">
            <v>L.GONZAGA</v>
          </cell>
          <cell r="B96">
            <v>952.083333333333</v>
          </cell>
          <cell r="C96">
            <v>950.575</v>
          </cell>
        </row>
        <row r="97">
          <cell r="A97" t="str">
            <v>SOBRADINHO</v>
          </cell>
          <cell r="B97">
            <v>506.25</v>
          </cell>
          <cell r="C97">
            <v>511.2625</v>
          </cell>
        </row>
        <row r="98">
          <cell r="A98" t="str">
            <v>P.AFONSO 1</v>
          </cell>
          <cell r="B98">
            <v>120</v>
          </cell>
          <cell r="C98">
            <v>114.35</v>
          </cell>
        </row>
        <row r="99">
          <cell r="A99" t="str">
            <v>P.AFONSO 2</v>
          </cell>
          <cell r="B99">
            <v>210</v>
          </cell>
          <cell r="C99">
            <v>221.3875</v>
          </cell>
        </row>
        <row r="100">
          <cell r="A100" t="str">
            <v>P.AFONSO 3</v>
          </cell>
          <cell r="B100">
            <v>385.416666666667</v>
          </cell>
          <cell r="C100">
            <v>391.145833333333</v>
          </cell>
        </row>
        <row r="101">
          <cell r="A101" t="str">
            <v>P.AFONSO 4</v>
          </cell>
          <cell r="B101">
            <v>1304.41666666667</v>
          </cell>
          <cell r="C101">
            <v>1264.5375</v>
          </cell>
        </row>
        <row r="102">
          <cell r="A102" t="str">
            <v>XINGÓ</v>
          </cell>
          <cell r="B102">
            <v>2243.75</v>
          </cell>
          <cell r="C102">
            <v>2407.44166666667</v>
          </cell>
        </row>
        <row r="103">
          <cell r="A103" t="str">
            <v>TUCURUÍ</v>
          </cell>
          <cell r="B103">
            <v>3603.75</v>
          </cell>
          <cell r="C103">
            <v>3305.2875</v>
          </cell>
        </row>
        <row r="104">
          <cell r="A104" t="str">
            <v>CURUÁ-UNA</v>
          </cell>
          <cell r="B104">
            <v>30</v>
          </cell>
          <cell r="C104">
            <v>29</v>
          </cell>
        </row>
        <row r="125">
          <cell r="A125" t="str">
            <v>Igarapé</v>
          </cell>
          <cell r="B125">
            <v>131</v>
          </cell>
          <cell r="C125">
            <v>130.708333333333</v>
          </cell>
        </row>
        <row r="126">
          <cell r="A126" t="str">
            <v>Carioba*</v>
          </cell>
          <cell r="B126">
            <v>0</v>
          </cell>
          <cell r="C126">
            <v>0</v>
          </cell>
        </row>
        <row r="127">
          <cell r="A127" t="str">
            <v>Piratininga</v>
          </cell>
          <cell r="B127">
            <v>237.5</v>
          </cell>
          <cell r="C127">
            <v>196.991666666667</v>
          </cell>
        </row>
        <row r="128">
          <cell r="A128" t="str">
            <v>Angra</v>
          </cell>
          <cell r="B128">
            <v>1760</v>
          </cell>
          <cell r="C128">
            <v>1714.62916666667</v>
          </cell>
        </row>
        <row r="129">
          <cell r="A129" t="str">
            <v>Campos</v>
          </cell>
          <cell r="B129">
            <v>30</v>
          </cell>
          <cell r="C129">
            <v>26</v>
          </cell>
        </row>
        <row r="130">
          <cell r="A130" t="str">
            <v>Sta Cruz</v>
          </cell>
          <cell r="B130">
            <v>300</v>
          </cell>
          <cell r="C130">
            <v>295.045833333333</v>
          </cell>
        </row>
        <row r="131">
          <cell r="A131" t="str">
            <v>S. Gonçalo</v>
          </cell>
          <cell r="B131">
            <v>0</v>
          </cell>
          <cell r="C131">
            <v>0</v>
          </cell>
        </row>
        <row r="132">
          <cell r="A132" t="str">
            <v>Cuiabá</v>
          </cell>
          <cell r="B132">
            <v>450</v>
          </cell>
          <cell r="C132">
            <v>135</v>
          </cell>
        </row>
        <row r="133">
          <cell r="A133" t="str">
            <v>PCT CE</v>
          </cell>
        </row>
        <row r="133">
          <cell r="C133">
            <v>4</v>
          </cell>
        </row>
        <row r="134">
          <cell r="A134" t="str">
            <v>P.Médici</v>
          </cell>
          <cell r="B134">
            <v>260.208333333333</v>
          </cell>
          <cell r="C134">
            <v>169.966666666667</v>
          </cell>
        </row>
        <row r="135">
          <cell r="A135" t="str">
            <v>Figueira</v>
          </cell>
          <cell r="B135">
            <v>6</v>
          </cell>
          <cell r="C135">
            <v>3.15833333333333</v>
          </cell>
        </row>
        <row r="136">
          <cell r="A136" t="str">
            <v>Alegrete</v>
          </cell>
          <cell r="B136">
            <v>13</v>
          </cell>
          <cell r="C136">
            <v>13</v>
          </cell>
        </row>
        <row r="137">
          <cell r="A137" t="str">
            <v>Charqueadas</v>
          </cell>
          <cell r="B137">
            <v>25</v>
          </cell>
          <cell r="C137">
            <v>40.8708333333333</v>
          </cell>
        </row>
        <row r="138">
          <cell r="A138" t="str">
            <v>J.Lacerda A</v>
          </cell>
          <cell r="B138">
            <v>158.75</v>
          </cell>
          <cell r="C138">
            <v>67.3791666666667</v>
          </cell>
        </row>
        <row r="139">
          <cell r="A139" t="str">
            <v>J.Lacerda B</v>
          </cell>
          <cell r="B139">
            <v>208.541666666667</v>
          </cell>
          <cell r="C139">
            <v>213.2625</v>
          </cell>
        </row>
        <row r="140">
          <cell r="A140" t="str">
            <v>J.Lacerda C</v>
          </cell>
          <cell r="B140">
            <v>288.125</v>
          </cell>
          <cell r="C140">
            <v>296.320833333333</v>
          </cell>
        </row>
        <row r="141">
          <cell r="A141" t="str">
            <v>W.Arjona</v>
          </cell>
          <cell r="B141">
            <v>2.91666666666667</v>
          </cell>
          <cell r="C141">
            <v>5.08333333333333</v>
          </cell>
        </row>
        <row r="142">
          <cell r="A142" t="str">
            <v>Nutepa</v>
          </cell>
          <cell r="B142">
            <v>0</v>
          </cell>
          <cell r="C142">
            <v>0</v>
          </cell>
        </row>
        <row r="143">
          <cell r="A143" t="str">
            <v>S.Jerônimo</v>
          </cell>
          <cell r="B143">
            <v>5</v>
          </cell>
        </row>
        <row r="144">
          <cell r="A144" t="str">
            <v>Uruguaiana</v>
          </cell>
          <cell r="B144">
            <v>500</v>
          </cell>
          <cell r="C144">
            <v>549.154166666667</v>
          </cell>
        </row>
        <row r="145">
          <cell r="A145" t="str">
            <v>Camaçari</v>
          </cell>
          <cell r="B145">
            <v>40</v>
          </cell>
          <cell r="C145">
            <v>35.5708333333333</v>
          </cell>
        </row>
        <row r="146">
          <cell r="A146" t="str">
            <v>S.Luis</v>
          </cell>
          <cell r="B146">
            <v>0</v>
          </cell>
          <cell r="C146">
            <v>0</v>
          </cell>
        </row>
      </sheetData>
      <sheetData sheetId="5">
        <row r="8">
          <cell r="A8" t="str">
            <v>PUS CEB</v>
          </cell>
          <cell r="B8">
            <v>70.4225387573242</v>
          </cell>
          <cell r="C8">
            <v>25</v>
          </cell>
        </row>
        <row r="8">
          <cell r="E8" t="str">
            <v>IGARAPÉ</v>
          </cell>
          <cell r="F8">
            <v>99.7715148925781</v>
          </cell>
          <cell r="G8">
            <v>131</v>
          </cell>
        </row>
        <row r="9">
          <cell r="A9" t="str">
            <v>CAMARGOS</v>
          </cell>
          <cell r="B9">
            <v>70.8333358764648</v>
          </cell>
          <cell r="C9">
            <v>34</v>
          </cell>
        </row>
        <row r="9">
          <cell r="E9" t="str">
            <v>CARIOBA</v>
          </cell>
          <cell r="F9">
            <v>38.8888893127441</v>
          </cell>
          <cell r="G9">
            <v>14</v>
          </cell>
        </row>
        <row r="10">
          <cell r="A10" t="str">
            <v>EMBORCAÇÃO</v>
          </cell>
          <cell r="B10">
            <v>52.8523483276367</v>
          </cell>
          <cell r="C10">
            <v>630</v>
          </cell>
        </row>
        <row r="10">
          <cell r="E10" t="str">
            <v>PIRATININGA</v>
          </cell>
          <cell r="F10">
            <v>59.5744667053223</v>
          </cell>
          <cell r="G10">
            <v>280</v>
          </cell>
        </row>
        <row r="11">
          <cell r="A11" t="str">
            <v>G.AMORIM</v>
          </cell>
          <cell r="B11">
            <v>102.857139587402</v>
          </cell>
          <cell r="C11">
            <v>144</v>
          </cell>
        </row>
        <row r="11">
          <cell r="E11" t="str">
            <v>ANGRA **</v>
          </cell>
          <cell r="F11" t="str">
            <v>-</v>
          </cell>
          <cell r="G11">
            <v>1712</v>
          </cell>
        </row>
        <row r="12">
          <cell r="A12" t="str">
            <v>IGARAPAVA</v>
          </cell>
          <cell r="B12">
            <v>100</v>
          </cell>
          <cell r="C12">
            <v>210</v>
          </cell>
        </row>
        <row r="12">
          <cell r="E12" t="str">
            <v>CAMPOS</v>
          </cell>
          <cell r="F12">
            <v>81.25</v>
          </cell>
          <cell r="G12">
            <v>26</v>
          </cell>
        </row>
        <row r="13">
          <cell r="A13" t="str">
            <v>ITUTINGA</v>
          </cell>
          <cell r="B13">
            <v>75</v>
          </cell>
          <cell r="C13">
            <v>39</v>
          </cell>
        </row>
        <row r="13">
          <cell r="E13" t="str">
            <v>STA CRUZ</v>
          </cell>
          <cell r="F13">
            <v>49.3421058654785</v>
          </cell>
          <cell r="G13">
            <v>300</v>
          </cell>
        </row>
        <row r="14">
          <cell r="A14" t="str">
            <v>JAGUARA</v>
          </cell>
          <cell r="B14">
            <v>95.7547149658203</v>
          </cell>
          <cell r="C14">
            <v>406</v>
          </cell>
        </row>
        <row r="14">
          <cell r="E14" t="str">
            <v>NUTEPA</v>
          </cell>
          <cell r="F14">
            <v>0</v>
          </cell>
          <cell r="G14">
            <v>0</v>
          </cell>
        </row>
        <row r="15">
          <cell r="A15" t="str">
            <v>MIRANDA</v>
          </cell>
          <cell r="B15">
            <v>99.5098037719727</v>
          </cell>
          <cell r="C15">
            <v>406</v>
          </cell>
        </row>
        <row r="15">
          <cell r="E15" t="str">
            <v>SÃO JERÔNIMO</v>
          </cell>
          <cell r="F15">
            <v>23.529411315918</v>
          </cell>
          <cell r="G15">
            <v>4</v>
          </cell>
        </row>
        <row r="16">
          <cell r="A16" t="str">
            <v>NOVA PONTE</v>
          </cell>
          <cell r="B16">
            <v>54.9019622802734</v>
          </cell>
          <cell r="C16">
            <v>280</v>
          </cell>
        </row>
        <row r="16">
          <cell r="E16" t="str">
            <v>P.MÉDICI</v>
          </cell>
          <cell r="F16">
            <v>40.3587455749512</v>
          </cell>
          <cell r="G16">
            <v>180</v>
          </cell>
        </row>
        <row r="17">
          <cell r="A17" t="str">
            <v>PCH CEMIG</v>
          </cell>
          <cell r="B17">
            <v>63.9938316345215</v>
          </cell>
          <cell r="C17">
            <v>83</v>
          </cell>
        </row>
        <row r="17">
          <cell r="E17" t="str">
            <v>URUGUAIANA ***</v>
          </cell>
          <cell r="F17" t="str">
            <v>-</v>
          </cell>
          <cell r="G17">
            <v>543</v>
          </cell>
        </row>
        <row r="18">
          <cell r="A18" t="str">
            <v>S.GRANDE</v>
          </cell>
          <cell r="B18">
            <v>100</v>
          </cell>
          <cell r="C18">
            <v>102</v>
          </cell>
        </row>
        <row r="18">
          <cell r="E18" t="str">
            <v>FIGUEIRA</v>
          </cell>
          <cell r="F18">
            <v>30</v>
          </cell>
          <cell r="G18">
            <v>6</v>
          </cell>
        </row>
        <row r="19">
          <cell r="A19" t="str">
            <v>S.SIMÃO</v>
          </cell>
          <cell r="B19">
            <v>83.3333358764648</v>
          </cell>
          <cell r="C19">
            <v>1425</v>
          </cell>
        </row>
        <row r="19">
          <cell r="E19" t="str">
            <v>ALEGRETE</v>
          </cell>
          <cell r="F19">
            <v>19.6969699859619</v>
          </cell>
          <cell r="G19">
            <v>13</v>
          </cell>
        </row>
        <row r="20">
          <cell r="A20" t="str">
            <v>SOBRAGI</v>
          </cell>
          <cell r="B20">
            <v>65.3594818115234</v>
          </cell>
          <cell r="C20">
            <v>40</v>
          </cell>
        </row>
        <row r="20">
          <cell r="E20" t="str">
            <v>CHARQUEADAS</v>
          </cell>
          <cell r="F20">
            <v>58.3333320617676</v>
          </cell>
          <cell r="G20">
            <v>42</v>
          </cell>
        </row>
        <row r="21">
          <cell r="A21" t="str">
            <v>T.MARIAS</v>
          </cell>
          <cell r="B21">
            <v>86.363639831543</v>
          </cell>
          <cell r="C21">
            <v>342</v>
          </cell>
        </row>
        <row r="21">
          <cell r="E21" t="str">
            <v>J.LACERDA A</v>
          </cell>
          <cell r="F21">
            <v>32.3275871276856</v>
          </cell>
          <cell r="G21">
            <v>75</v>
          </cell>
        </row>
        <row r="22">
          <cell r="A22" t="str">
            <v>V.GRANDE</v>
          </cell>
          <cell r="B22">
            <v>100</v>
          </cell>
          <cell r="C22">
            <v>380</v>
          </cell>
        </row>
        <row r="22">
          <cell r="E22" t="str">
            <v>J.LACERDA B</v>
          </cell>
          <cell r="F22">
            <v>91.6030502319336</v>
          </cell>
          <cell r="G22">
            <v>240</v>
          </cell>
        </row>
        <row r="23">
          <cell r="A23" t="str">
            <v>PUS CELG</v>
          </cell>
          <cell r="B23">
            <v>85.6653366088867</v>
          </cell>
          <cell r="C23">
            <v>15</v>
          </cell>
        </row>
        <row r="23">
          <cell r="E23" t="str">
            <v>J.LACERDA C</v>
          </cell>
          <cell r="F23">
            <v>99.1735534667969</v>
          </cell>
          <cell r="G23">
            <v>360</v>
          </cell>
        </row>
        <row r="24">
          <cell r="A24" t="str">
            <v>PCH CPFL</v>
          </cell>
          <cell r="B24">
            <v>33.9588928222656</v>
          </cell>
          <cell r="C24">
            <v>38</v>
          </cell>
        </row>
        <row r="24">
          <cell r="E24" t="str">
            <v>W.ARJONA</v>
          </cell>
          <cell r="F24">
            <v>43.75</v>
          </cell>
          <cell r="G24">
            <v>35</v>
          </cell>
        </row>
        <row r="25">
          <cell r="A25" t="str">
            <v>PCH CERJ</v>
          </cell>
          <cell r="B25">
            <v>84.0474624633789</v>
          </cell>
          <cell r="C25">
            <v>51</v>
          </cell>
        </row>
        <row r="25">
          <cell r="E25" t="str">
            <v>CAMAÇARI</v>
          </cell>
          <cell r="F25">
            <v>20</v>
          </cell>
          <cell r="G25">
            <v>40</v>
          </cell>
        </row>
        <row r="26">
          <cell r="A26" t="str">
            <v>A.VERMELHA</v>
          </cell>
          <cell r="B26">
            <v>87.9828338623047</v>
          </cell>
          <cell r="C26">
            <v>1230</v>
          </cell>
        </row>
        <row r="26">
          <cell r="E26" t="str">
            <v>CUIABÁ</v>
          </cell>
          <cell r="F26">
            <v>28.125</v>
          </cell>
          <cell r="G26">
            <v>135</v>
          </cell>
        </row>
        <row r="27">
          <cell r="A27" t="str">
            <v>B.BONITA</v>
          </cell>
          <cell r="B27">
            <v>90</v>
          </cell>
          <cell r="C27">
            <v>126</v>
          </cell>
        </row>
        <row r="28">
          <cell r="A28" t="str">
            <v>BARIRI</v>
          </cell>
          <cell r="B28">
            <v>91.6666641235352</v>
          </cell>
          <cell r="C28">
            <v>132</v>
          </cell>
        </row>
        <row r="29">
          <cell r="A29" t="str">
            <v>CACONDE</v>
          </cell>
          <cell r="B29">
            <v>81.25</v>
          </cell>
          <cell r="C29">
            <v>65</v>
          </cell>
        </row>
        <row r="30">
          <cell r="A30" t="str">
            <v>CHAVANTES</v>
          </cell>
          <cell r="B30">
            <v>93.75</v>
          </cell>
          <cell r="C30">
            <v>390</v>
          </cell>
        </row>
        <row r="31">
          <cell r="A31" t="str">
            <v>CAPIVARA</v>
          </cell>
          <cell r="B31">
            <v>93.75</v>
          </cell>
          <cell r="C31">
            <v>600</v>
          </cell>
        </row>
        <row r="32">
          <cell r="A32" t="str">
            <v>CANOAS I</v>
          </cell>
          <cell r="B32">
            <v>98.1818161010742</v>
          </cell>
          <cell r="C32">
            <v>81</v>
          </cell>
        </row>
        <row r="33">
          <cell r="A33" t="str">
            <v>CANOAS II</v>
          </cell>
          <cell r="B33">
            <v>65.3061218261719</v>
          </cell>
          <cell r="C33">
            <v>48</v>
          </cell>
        </row>
        <row r="34">
          <cell r="A34" t="str">
            <v>E.CUNHA</v>
          </cell>
          <cell r="B34">
            <v>89.814811706543</v>
          </cell>
          <cell r="C34">
            <v>97</v>
          </cell>
        </row>
        <row r="35">
          <cell r="A35" t="str">
            <v>IBITINGA</v>
          </cell>
          <cell r="B35">
            <v>86.363639831543</v>
          </cell>
          <cell r="C35">
            <v>114</v>
          </cell>
        </row>
        <row r="36">
          <cell r="A36" t="str">
            <v>I.SOLTEIRA</v>
          </cell>
          <cell r="B36">
            <v>88.9953536987305</v>
          </cell>
          <cell r="C36">
            <v>3065</v>
          </cell>
        </row>
        <row r="37">
          <cell r="A37" t="str">
            <v>JAGUARI</v>
          </cell>
          <cell r="B37">
            <v>75</v>
          </cell>
          <cell r="C37">
            <v>21</v>
          </cell>
        </row>
        <row r="38">
          <cell r="A38" t="str">
            <v>JUPIA</v>
          </cell>
          <cell r="B38">
            <v>91.5420227050781</v>
          </cell>
          <cell r="C38">
            <v>1420</v>
          </cell>
        </row>
        <row r="39">
          <cell r="A39" t="str">
            <v>JURUMIRIM</v>
          </cell>
          <cell r="B39">
            <v>98.9795913696289</v>
          </cell>
          <cell r="C39">
            <v>97</v>
          </cell>
        </row>
        <row r="40">
          <cell r="A40" t="str">
            <v>LIMOEIRO</v>
          </cell>
          <cell r="B40">
            <v>100</v>
          </cell>
          <cell r="C40">
            <v>32</v>
          </cell>
        </row>
        <row r="41">
          <cell r="A41" t="str">
            <v>N. AVANHAN</v>
          </cell>
          <cell r="B41">
            <v>99.0212936401367</v>
          </cell>
          <cell r="C41">
            <v>344</v>
          </cell>
        </row>
        <row r="42">
          <cell r="A42" t="str">
            <v>PARAIBUNA</v>
          </cell>
          <cell r="B42">
            <v>89.5348815917969</v>
          </cell>
          <cell r="C42">
            <v>77</v>
          </cell>
        </row>
        <row r="43">
          <cell r="A43" t="str">
            <v>PCH CESP</v>
          </cell>
          <cell r="B43">
            <v>0</v>
          </cell>
          <cell r="C43">
            <v>0</v>
          </cell>
        </row>
        <row r="43">
          <cell r="F43">
            <v>8776</v>
          </cell>
          <cell r="G43">
            <v>1498</v>
          </cell>
        </row>
        <row r="44">
          <cell r="A44" t="str">
            <v>P.PRIMAVERA</v>
          </cell>
          <cell r="B44">
            <v>93.0059585571289</v>
          </cell>
          <cell r="C44">
            <v>750</v>
          </cell>
        </row>
        <row r="44">
          <cell r="F44">
            <v>34962</v>
          </cell>
          <cell r="G44">
            <v>2598</v>
          </cell>
        </row>
        <row r="45">
          <cell r="A45" t="str">
            <v>PROMISSÃO</v>
          </cell>
          <cell r="B45">
            <v>97.7272720336914</v>
          </cell>
          <cell r="C45">
            <v>258</v>
          </cell>
        </row>
        <row r="46">
          <cell r="A46" t="str">
            <v>ROSANA</v>
          </cell>
          <cell r="B46">
            <v>98.3871002197266</v>
          </cell>
          <cell r="C46">
            <v>366</v>
          </cell>
        </row>
        <row r="46">
          <cell r="F46">
            <v>3850</v>
          </cell>
          <cell r="G46" t="str">
            <v>-</v>
          </cell>
        </row>
        <row r="47">
          <cell r="A47" t="str">
            <v>S. GRANDE</v>
          </cell>
          <cell r="B47">
            <v>73.6111145019531</v>
          </cell>
          <cell r="C47">
            <v>53</v>
          </cell>
        </row>
        <row r="47">
          <cell r="F47">
            <v>8737</v>
          </cell>
          <cell r="G47">
            <v>40</v>
          </cell>
        </row>
        <row r="48">
          <cell r="A48" t="str">
            <v>TAQUARUÇU</v>
          </cell>
          <cell r="B48">
            <v>100</v>
          </cell>
          <cell r="C48">
            <v>554</v>
          </cell>
        </row>
        <row r="49">
          <cell r="A49" t="str">
            <v>T.IRMÃOS</v>
          </cell>
          <cell r="B49">
            <v>99.7530899047852</v>
          </cell>
          <cell r="C49">
            <v>808</v>
          </cell>
        </row>
        <row r="50">
          <cell r="A50" t="str">
            <v>PUS CEMAT</v>
          </cell>
          <cell r="B50">
            <v>27.7790966033936</v>
          </cell>
          <cell r="C50">
            <v>117</v>
          </cell>
        </row>
        <row r="51">
          <cell r="A51" t="str">
            <v>MASCARENHAS</v>
          </cell>
          <cell r="B51">
            <v>102.362205505371</v>
          </cell>
          <cell r="C51">
            <v>130</v>
          </cell>
        </row>
        <row r="52">
          <cell r="A52" t="str">
            <v>PCH ESCELSA (*)</v>
          </cell>
          <cell r="B52">
            <v>39.4011039733887</v>
          </cell>
          <cell r="C52">
            <v>55</v>
          </cell>
        </row>
        <row r="53">
          <cell r="A53" t="str">
            <v>H.BORDEN Ext</v>
          </cell>
          <cell r="B53">
            <v>100</v>
          </cell>
          <cell r="C53">
            <v>469</v>
          </cell>
        </row>
        <row r="54">
          <cell r="A54" t="str">
            <v>H.BORDEN Sub</v>
          </cell>
          <cell r="B54">
            <v>50</v>
          </cell>
          <cell r="C54">
            <v>210</v>
          </cell>
        </row>
        <row r="55">
          <cell r="A55" t="str">
            <v>PCH EPAULO</v>
          </cell>
          <cell r="B55">
            <v>41.0677604675293</v>
          </cell>
          <cell r="C55">
            <v>20</v>
          </cell>
        </row>
        <row r="56">
          <cell r="A56" t="str">
            <v>P.COLOMBIA</v>
          </cell>
          <cell r="B56">
            <v>97.5609741210938</v>
          </cell>
          <cell r="C56">
            <v>320</v>
          </cell>
        </row>
        <row r="57">
          <cell r="A57" t="str">
            <v>CORUMBÁ</v>
          </cell>
          <cell r="B57">
            <v>80</v>
          </cell>
          <cell r="C57">
            <v>300</v>
          </cell>
        </row>
        <row r="58">
          <cell r="A58" t="str">
            <v>FUNIL</v>
          </cell>
          <cell r="B58">
            <v>83.7837829589844</v>
          </cell>
          <cell r="C58">
            <v>186</v>
          </cell>
        </row>
        <row r="59">
          <cell r="A59" t="str">
            <v>FURNAS</v>
          </cell>
          <cell r="B59">
            <v>82.9268264770508</v>
          </cell>
          <cell r="C59">
            <v>1088</v>
          </cell>
        </row>
        <row r="60">
          <cell r="A60" t="str">
            <v>ITUMBIARA</v>
          </cell>
          <cell r="B60">
            <v>57.0175437927246</v>
          </cell>
          <cell r="C60">
            <v>1300</v>
          </cell>
        </row>
        <row r="61">
          <cell r="A61" t="str">
            <v>ESTREITO</v>
          </cell>
          <cell r="B61">
            <v>96.1956558227539</v>
          </cell>
          <cell r="C61">
            <v>1062</v>
          </cell>
        </row>
        <row r="62">
          <cell r="A62" t="str">
            <v>M.MORAES</v>
          </cell>
          <cell r="B62">
            <v>82.8451919555664</v>
          </cell>
          <cell r="C62">
            <v>396</v>
          </cell>
        </row>
        <row r="63">
          <cell r="A63" t="str">
            <v>MANSO</v>
          </cell>
          <cell r="B63">
            <v>12.380952835083</v>
          </cell>
          <cell r="C63">
            <v>13</v>
          </cell>
        </row>
        <row r="64">
          <cell r="A64" t="str">
            <v>MARIMBONDO</v>
          </cell>
          <cell r="B64">
            <v>70.5645141601563</v>
          </cell>
          <cell r="C64">
            <v>1050</v>
          </cell>
        </row>
        <row r="65">
          <cell r="A65" t="str">
            <v>SERRA MESA</v>
          </cell>
          <cell r="B65">
            <v>54.2635650634766</v>
          </cell>
          <cell r="C65">
            <v>700</v>
          </cell>
        </row>
        <row r="66">
          <cell r="A66" t="str">
            <v>C.DOURADA</v>
          </cell>
          <cell r="B66">
            <v>97.2644348144531</v>
          </cell>
          <cell r="C66">
            <v>640</v>
          </cell>
        </row>
        <row r="67">
          <cell r="A67" t="str">
            <v>FONTES</v>
          </cell>
          <cell r="B67">
            <v>100</v>
          </cell>
          <cell r="C67">
            <v>132</v>
          </cell>
        </row>
        <row r="68">
          <cell r="A68" t="str">
            <v>I. POMBOS</v>
          </cell>
          <cell r="B68">
            <v>90.8045959472656</v>
          </cell>
          <cell r="C68">
            <v>158</v>
          </cell>
        </row>
        <row r="69">
          <cell r="A69" t="str">
            <v>N.PEÇANHA</v>
          </cell>
          <cell r="B69">
            <v>98.9473648071289</v>
          </cell>
          <cell r="C69">
            <v>376</v>
          </cell>
        </row>
        <row r="70">
          <cell r="A70" t="str">
            <v>P.PASSOS</v>
          </cell>
          <cell r="B70">
            <v>100</v>
          </cell>
          <cell r="C70">
            <v>100</v>
          </cell>
        </row>
        <row r="71">
          <cell r="A71" t="str">
            <v>S.BRANCA</v>
          </cell>
          <cell r="B71">
            <v>22.8070182800293</v>
          </cell>
          <cell r="C71">
            <v>13</v>
          </cell>
        </row>
        <row r="72">
          <cell r="A72" t="str">
            <v>PCH CEEE</v>
          </cell>
          <cell r="B72">
            <v>82.8817291259766</v>
          </cell>
          <cell r="C72">
            <v>26</v>
          </cell>
        </row>
        <row r="73">
          <cell r="A73" t="str">
            <v>CANASTRA</v>
          </cell>
          <cell r="B73">
            <v>90.9090881347656</v>
          </cell>
          <cell r="C73">
            <v>40</v>
          </cell>
        </row>
        <row r="74">
          <cell r="A74" t="str">
            <v>D. FRANCISCA</v>
          </cell>
          <cell r="B74">
            <v>100.800003051758</v>
          </cell>
          <cell r="C74">
            <v>63</v>
          </cell>
        </row>
        <row r="75">
          <cell r="A75" t="str">
            <v>ITAUBA</v>
          </cell>
          <cell r="B75">
            <v>100</v>
          </cell>
          <cell r="C75">
            <v>500</v>
          </cell>
        </row>
        <row r="76">
          <cell r="A76" t="str">
            <v>JACUI</v>
          </cell>
          <cell r="B76">
            <v>100</v>
          </cell>
          <cell r="C76">
            <v>180</v>
          </cell>
        </row>
        <row r="77">
          <cell r="A77" t="str">
            <v>PASSO REAL</v>
          </cell>
          <cell r="B77">
            <v>100</v>
          </cell>
          <cell r="C77">
            <v>158</v>
          </cell>
        </row>
        <row r="78">
          <cell r="A78" t="str">
            <v>GBM</v>
          </cell>
          <cell r="B78">
            <v>73.6873474121094</v>
          </cell>
          <cell r="C78">
            <v>1235</v>
          </cell>
        </row>
        <row r="79">
          <cell r="A79" t="str">
            <v>GPS</v>
          </cell>
          <cell r="B79">
            <v>100</v>
          </cell>
          <cell r="C79">
            <v>260</v>
          </cell>
        </row>
        <row r="80">
          <cell r="A80" t="str">
            <v>PCH COPEL *</v>
          </cell>
          <cell r="B80" t="str">
            <v>-</v>
          </cell>
          <cell r="C80">
            <v>135</v>
          </cell>
        </row>
        <row r="81">
          <cell r="A81" t="str">
            <v>S.CAXIAS</v>
          </cell>
          <cell r="B81">
            <v>100</v>
          </cell>
          <cell r="C81">
            <v>1240</v>
          </cell>
        </row>
        <row r="82">
          <cell r="A82" t="str">
            <v>SEGREDO</v>
          </cell>
          <cell r="B82">
            <v>89.9206314086914</v>
          </cell>
          <cell r="C82">
            <v>1133</v>
          </cell>
        </row>
        <row r="83">
          <cell r="A83" t="str">
            <v>ITA ****</v>
          </cell>
          <cell r="B83" t="str">
            <v>-</v>
          </cell>
          <cell r="C83">
            <v>1170</v>
          </cell>
        </row>
        <row r="84">
          <cell r="A84" t="str">
            <v>P.FUNDO</v>
          </cell>
          <cell r="B84">
            <v>100</v>
          </cell>
          <cell r="C84">
            <v>226</v>
          </cell>
        </row>
        <row r="85">
          <cell r="A85" t="str">
            <v>S.OSORIO</v>
          </cell>
          <cell r="B85">
            <v>82.8729248046875</v>
          </cell>
          <cell r="C85">
            <v>900</v>
          </cell>
        </row>
        <row r="86">
          <cell r="A86" t="str">
            <v>S.SANTIAGO</v>
          </cell>
          <cell r="B86">
            <v>100</v>
          </cell>
          <cell r="C86">
            <v>1420</v>
          </cell>
        </row>
        <row r="87">
          <cell r="A87" t="str">
            <v>PUS ENERSUL</v>
          </cell>
          <cell r="B87">
            <v>93.1677017211914</v>
          </cell>
          <cell r="C87">
            <v>30</v>
          </cell>
        </row>
        <row r="88">
          <cell r="A88" t="str">
            <v>PCH CELESC</v>
          </cell>
          <cell r="B88">
            <v>81.2237701416016</v>
          </cell>
          <cell r="C88">
            <v>60</v>
          </cell>
        </row>
        <row r="89">
          <cell r="A89" t="str">
            <v>ITAIPU 50 Hz</v>
          </cell>
          <cell r="B89">
            <v>91.2539672851563</v>
          </cell>
          <cell r="C89">
            <v>5749</v>
          </cell>
        </row>
        <row r="90">
          <cell r="A90" t="str">
            <v>ITAIPU 60 Hz</v>
          </cell>
          <cell r="B90">
            <v>79.3650817871094</v>
          </cell>
          <cell r="C90">
            <v>5000</v>
          </cell>
        </row>
        <row r="91">
          <cell r="A91" t="str">
            <v>PCH CHESF</v>
          </cell>
          <cell r="B91">
            <v>86.9565200805664</v>
          </cell>
          <cell r="C91">
            <v>50</v>
          </cell>
        </row>
        <row r="92">
          <cell r="A92" t="str">
            <v>APOLÔNIO SALLES</v>
          </cell>
          <cell r="B92">
            <v>75</v>
          </cell>
          <cell r="C92">
            <v>300</v>
          </cell>
        </row>
        <row r="93">
          <cell r="A93" t="str">
            <v>BOA ESPERANÇA</v>
          </cell>
          <cell r="B93">
            <v>100</v>
          </cell>
          <cell r="C93">
            <v>225</v>
          </cell>
        </row>
        <row r="94">
          <cell r="A94" t="str">
            <v>LUIS GONZAGA</v>
          </cell>
          <cell r="B94">
            <v>78.7333297729492</v>
          </cell>
          <cell r="C94">
            <v>1181</v>
          </cell>
        </row>
        <row r="95">
          <cell r="A95" t="str">
            <v>SOBRADINHO</v>
          </cell>
          <cell r="B95">
            <v>78.8571395874023</v>
          </cell>
          <cell r="C95">
            <v>828</v>
          </cell>
        </row>
        <row r="96">
          <cell r="A96" t="str">
            <v>P.AFONSO 1</v>
          </cell>
          <cell r="B96">
            <v>66.6666641235352</v>
          </cell>
          <cell r="C96">
            <v>120</v>
          </cell>
        </row>
        <row r="97">
          <cell r="A97" t="str">
            <v>P.AFONSO 2</v>
          </cell>
          <cell r="B97">
            <v>49.6629219055176</v>
          </cell>
          <cell r="C97">
            <v>221</v>
          </cell>
        </row>
        <row r="98">
          <cell r="A98" t="str">
            <v>P.AFONSO 3</v>
          </cell>
          <cell r="B98">
            <v>75</v>
          </cell>
          <cell r="C98">
            <v>600</v>
          </cell>
        </row>
        <row r="99">
          <cell r="A99" t="str">
            <v>P.AFONSO 4</v>
          </cell>
          <cell r="B99">
            <v>83.3333358764648</v>
          </cell>
          <cell r="C99">
            <v>2050</v>
          </cell>
        </row>
        <row r="100">
          <cell r="A100" t="str">
            <v>XINGÓ</v>
          </cell>
          <cell r="B100">
            <v>100</v>
          </cell>
          <cell r="C100">
            <v>3162</v>
          </cell>
        </row>
        <row r="101">
          <cell r="A101" t="str">
            <v>TUCURUI</v>
          </cell>
          <cell r="B101">
            <v>90</v>
          </cell>
          <cell r="C101">
            <v>3780</v>
          </cell>
        </row>
        <row r="102">
          <cell r="A102" t="str">
            <v>AUX. TUCURUI</v>
          </cell>
          <cell r="B102">
            <v>100</v>
          </cell>
          <cell r="C102">
            <v>40</v>
          </cell>
        </row>
        <row r="103">
          <cell r="A103" t="str">
            <v>CURUA-UNA</v>
          </cell>
          <cell r="B103">
            <v>100</v>
          </cell>
          <cell r="C103">
            <v>30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9">
          <cell r="E9">
            <v>21.68</v>
          </cell>
          <cell r="F9">
            <v>684</v>
          </cell>
          <cell r="G9">
            <v>861</v>
          </cell>
          <cell r="H9">
            <v>0</v>
          </cell>
        </row>
        <row r="10">
          <cell r="E10">
            <v>82.58</v>
          </cell>
          <cell r="F10">
            <v>925</v>
          </cell>
          <cell r="G10">
            <v>925</v>
          </cell>
          <cell r="H10">
            <v>0</v>
          </cell>
        </row>
        <row r="11">
          <cell r="E11">
            <v>33</v>
          </cell>
          <cell r="F11">
            <v>1579</v>
          </cell>
          <cell r="G11">
            <v>1477</v>
          </cell>
          <cell r="H11">
            <v>0</v>
          </cell>
        </row>
        <row r="12">
          <cell r="E12">
            <v>21.77</v>
          </cell>
          <cell r="F12">
            <v>1726</v>
          </cell>
          <cell r="G12">
            <v>1777</v>
          </cell>
          <cell r="H12">
            <v>0</v>
          </cell>
        </row>
        <row r="13">
          <cell r="E13">
            <v>28.36</v>
          </cell>
          <cell r="F13">
            <v>288</v>
          </cell>
          <cell r="G13">
            <v>173</v>
          </cell>
          <cell r="H13">
            <v>0</v>
          </cell>
        </row>
        <row r="14">
          <cell r="E14">
            <v>19.69</v>
          </cell>
          <cell r="F14">
            <v>234</v>
          </cell>
          <cell r="G14">
            <v>166</v>
          </cell>
          <cell r="H14">
            <v>0</v>
          </cell>
        </row>
        <row r="15">
          <cell r="E15">
            <v>14.43</v>
          </cell>
          <cell r="F15">
            <v>1085</v>
          </cell>
          <cell r="G15">
            <v>1375</v>
          </cell>
          <cell r="H15">
            <v>0</v>
          </cell>
        </row>
        <row r="16">
          <cell r="E16">
            <v>59.54</v>
          </cell>
          <cell r="F16">
            <v>2463</v>
          </cell>
          <cell r="G16">
            <v>2203</v>
          </cell>
          <cell r="H16">
            <v>0</v>
          </cell>
        </row>
        <row r="17">
          <cell r="E17">
            <v>30.04</v>
          </cell>
          <cell r="F17">
            <v>6229</v>
          </cell>
          <cell r="G17">
            <v>5857</v>
          </cell>
          <cell r="H17">
            <v>0</v>
          </cell>
        </row>
        <row r="18">
          <cell r="E18">
            <v>85.56</v>
          </cell>
          <cell r="F18">
            <v>7317</v>
          </cell>
          <cell r="G18">
            <v>6391</v>
          </cell>
          <cell r="H18">
            <v>0</v>
          </cell>
        </row>
        <row r="19">
          <cell r="E19">
            <v>95.35</v>
          </cell>
          <cell r="F19">
            <v>9618</v>
          </cell>
          <cell r="G19">
            <v>10551</v>
          </cell>
          <cell r="H19">
            <v>0</v>
          </cell>
        </row>
        <row r="20">
          <cell r="E20">
            <v>78.93</v>
          </cell>
          <cell r="F20">
            <v>348</v>
          </cell>
          <cell r="G20">
            <v>379</v>
          </cell>
          <cell r="H20">
            <v>0</v>
          </cell>
        </row>
        <row r="21">
          <cell r="E21">
            <v>87.64</v>
          </cell>
          <cell r="F21">
            <v>658</v>
          </cell>
          <cell r="G21">
            <v>1020</v>
          </cell>
          <cell r="H21">
            <v>0</v>
          </cell>
        </row>
        <row r="22">
          <cell r="E22">
            <v>39.6</v>
          </cell>
          <cell r="F22">
            <v>676</v>
          </cell>
          <cell r="G22">
            <v>676</v>
          </cell>
          <cell r="H22">
            <v>0</v>
          </cell>
        </row>
        <row r="23">
          <cell r="E23">
            <v>77.76</v>
          </cell>
          <cell r="F23">
            <v>240</v>
          </cell>
          <cell r="G23">
            <v>336</v>
          </cell>
          <cell r="H23">
            <v>0</v>
          </cell>
        </row>
        <row r="24">
          <cell r="E24">
            <v>65.83</v>
          </cell>
          <cell r="F24">
            <v>452</v>
          </cell>
          <cell r="G24">
            <v>325</v>
          </cell>
          <cell r="H24">
            <v>0</v>
          </cell>
        </row>
        <row r="25">
          <cell r="E25">
            <v>91.59</v>
          </cell>
          <cell r="F25">
            <v>1094</v>
          </cell>
          <cell r="G25">
            <v>1222</v>
          </cell>
          <cell r="H25">
            <v>0</v>
          </cell>
        </row>
        <row r="26">
          <cell r="E26">
            <v>99.79</v>
          </cell>
          <cell r="F26">
            <v>1347</v>
          </cell>
          <cell r="G26">
            <v>1457</v>
          </cell>
          <cell r="H26">
            <v>519</v>
          </cell>
        </row>
        <row r="27">
          <cell r="E27">
            <v>100.15</v>
          </cell>
          <cell r="F27">
            <v>2179</v>
          </cell>
          <cell r="G27">
            <v>2324</v>
          </cell>
          <cell r="H27">
            <v>1027</v>
          </cell>
        </row>
        <row r="28">
          <cell r="E28">
            <v>34.65</v>
          </cell>
          <cell r="F28">
            <v>341</v>
          </cell>
          <cell r="G28">
            <v>494</v>
          </cell>
        </row>
        <row r="29">
          <cell r="E29">
            <v>36.99</v>
          </cell>
          <cell r="F29">
            <v>1320</v>
          </cell>
          <cell r="G29">
            <v>2411</v>
          </cell>
          <cell r="H29">
            <v>0</v>
          </cell>
        </row>
        <row r="30">
          <cell r="E30">
            <v>50.39</v>
          </cell>
          <cell r="F30">
            <v>1663</v>
          </cell>
          <cell r="G30">
            <v>2080</v>
          </cell>
          <cell r="H30">
            <v>0</v>
          </cell>
        </row>
        <row r="31">
          <cell r="E31">
            <v>35.51</v>
          </cell>
          <cell r="F31">
            <v>1081</v>
          </cell>
          <cell r="G31">
            <v>755</v>
          </cell>
          <cell r="H31">
            <v>0</v>
          </cell>
        </row>
        <row r="32">
          <cell r="E32">
            <v>100.5</v>
          </cell>
          <cell r="F32">
            <v>14494</v>
          </cell>
          <cell r="G32">
            <v>14088</v>
          </cell>
        </row>
      </sheetData>
      <sheetData sheetId="15">
        <row r="58">
          <cell r="H58">
            <v>-1.0851</v>
          </cell>
        </row>
        <row r="59">
          <cell r="H5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9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7.85"/>
    <col collapsed="false" customWidth="true" hidden="false" outlineLevel="0" max="2" min="2" style="1" width="9.56"/>
    <col collapsed="false" customWidth="true" hidden="false" outlineLevel="0" max="4" min="3" style="1" width="9.85"/>
    <col collapsed="false" customWidth="true" hidden="false" outlineLevel="0" max="5" min="5" style="1" width="4.85"/>
    <col collapsed="false" customWidth="true" hidden="false" outlineLevel="0" max="6" min="6" style="1" width="11.99"/>
    <col collapsed="false" customWidth="true" hidden="false" outlineLevel="0" max="7" min="7" style="1" width="12.42"/>
    <col collapsed="false" customWidth="true" hidden="false" outlineLevel="0" max="11" min="8" style="1" width="9.28"/>
    <col collapsed="false" customWidth="true" hidden="false" outlineLevel="0" max="12" min="12" style="1" width="8.56"/>
    <col collapsed="false" customWidth="true" hidden="false" outlineLevel="0" max="13" min="13" style="1" width="9.14"/>
    <col collapsed="false" customWidth="true" hidden="false" outlineLevel="0" max="14" min="14" style="1" width="8.99"/>
    <col collapsed="false" customWidth="true" hidden="false" outlineLevel="0" max="15" min="15" style="1" width="8.85"/>
    <col collapsed="false" customWidth="true" hidden="false" outlineLevel="0" max="18" min="16" style="1" width="9.28"/>
  </cols>
  <sheetData>
    <row r="1" customFormat="false" ht="12.7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Format="false" ht="16.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customFormat="false" ht="12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customFormat="false" ht="12" hidden="false" customHeight="true" outlineLevel="0" collapsed="false"/>
    <row r="5" customFormat="false" ht="12" hidden="false" customHeight="true" outlineLevel="0" collapsed="false">
      <c r="A5" s="5" t="s">
        <v>2</v>
      </c>
      <c r="B5" s="6"/>
      <c r="C5" s="6"/>
      <c r="D5" s="7"/>
      <c r="F5" s="8" t="s">
        <v>3</v>
      </c>
      <c r="G5" s="9"/>
      <c r="H5" s="9"/>
      <c r="I5" s="9"/>
      <c r="J5" s="9"/>
      <c r="K5" s="9"/>
      <c r="L5" s="10"/>
      <c r="N5" s="11" t="s">
        <v>4</v>
      </c>
      <c r="O5" s="12"/>
      <c r="P5" s="12"/>
      <c r="Q5" s="12"/>
      <c r="R5" s="13"/>
    </row>
    <row r="6" customFormat="false" ht="12" hidden="false" customHeight="true" outlineLevel="0" collapsed="false">
      <c r="A6" s="14"/>
      <c r="B6" s="15"/>
      <c r="C6" s="15"/>
      <c r="D6" s="16"/>
      <c r="E6" s="17"/>
      <c r="F6" s="18" t="s">
        <v>5</v>
      </c>
      <c r="G6" s="19"/>
      <c r="H6" s="20" t="s">
        <v>6</v>
      </c>
      <c r="I6" s="20" t="s">
        <v>7</v>
      </c>
      <c r="J6" s="20"/>
      <c r="K6" s="20"/>
      <c r="L6" s="20"/>
      <c r="M6" s="17"/>
      <c r="N6" s="21"/>
      <c r="O6" s="22"/>
      <c r="P6" s="22"/>
      <c r="Q6" s="23"/>
      <c r="R6" s="24"/>
    </row>
    <row r="7" customFormat="false" ht="12" hidden="false" customHeight="true" outlineLevel="0" collapsed="false">
      <c r="A7" s="25" t="s">
        <v>8</v>
      </c>
      <c r="B7" s="26"/>
      <c r="C7" s="26"/>
      <c r="D7" s="27"/>
      <c r="E7" s="17"/>
      <c r="F7" s="28"/>
      <c r="G7" s="29"/>
      <c r="H7" s="30" t="s">
        <v>9</v>
      </c>
      <c r="I7" s="31" t="s">
        <v>10</v>
      </c>
      <c r="J7" s="31" t="s">
        <v>11</v>
      </c>
      <c r="K7" s="31" t="s">
        <v>12</v>
      </c>
      <c r="L7" s="32" t="s">
        <v>13</v>
      </c>
      <c r="M7" s="17"/>
      <c r="N7" s="33" t="s">
        <v>14</v>
      </c>
      <c r="O7" s="33"/>
      <c r="P7" s="33"/>
      <c r="Q7" s="33"/>
      <c r="R7" s="33"/>
    </row>
    <row r="8" customFormat="false" ht="12" hidden="false" customHeight="true" outlineLevel="0" collapsed="false">
      <c r="A8" s="33" t="s">
        <v>15</v>
      </c>
      <c r="B8" s="34" t="s">
        <v>16</v>
      </c>
      <c r="C8" s="35" t="s">
        <v>17</v>
      </c>
      <c r="D8" s="36" t="s">
        <v>18</v>
      </c>
      <c r="E8" s="17"/>
      <c r="F8" s="37" t="s">
        <v>19</v>
      </c>
      <c r="G8" s="38"/>
      <c r="H8" s="39"/>
      <c r="I8" s="40"/>
      <c r="J8" s="40"/>
      <c r="K8" s="40"/>
      <c r="L8" s="41"/>
      <c r="M8" s="17"/>
      <c r="N8" s="42" t="s">
        <v>20</v>
      </c>
      <c r="O8" s="43" t="n">
        <v>1999</v>
      </c>
      <c r="P8" s="43" t="n">
        <v>2000</v>
      </c>
      <c r="Q8" s="44" t="s">
        <v>21</v>
      </c>
      <c r="R8" s="44" t="s">
        <v>22</v>
      </c>
    </row>
    <row r="9" customFormat="false" ht="12" hidden="false" customHeight="true" outlineLevel="0" collapsed="false">
      <c r="A9" s="45" t="s">
        <v>23</v>
      </c>
      <c r="B9" s="46" t="n">
        <f aca="false">'[1]1-Balanço Energético '!$B$8</f>
        <v>15027</v>
      </c>
      <c r="C9" s="47" t="n">
        <f aca="false">'[1]1-Balanço Energético '!$C$8</f>
        <v>15848.4083333333</v>
      </c>
      <c r="D9" s="48" t="n">
        <f aca="false">IF((OR(B9=0,AND(B9&lt;0,C9&gt;0),AND(B9&gt;0,C9&lt;0))),"n/m",((C9-B9)/B9)*100)</f>
        <v>5.4662163660966</v>
      </c>
      <c r="E9" s="17"/>
      <c r="F9" s="49" t="s">
        <v>24</v>
      </c>
      <c r="G9" s="50" t="s">
        <v>25</v>
      </c>
      <c r="H9" s="51" t="n">
        <f aca="false">'[1]8-Acomp. Hidrologia'!E9</f>
        <v>21.68</v>
      </c>
      <c r="I9" s="51" t="n">
        <f aca="false">'[1]8-Acomp. Hidrologia'!F9</f>
        <v>684</v>
      </c>
      <c r="J9" s="51" t="n">
        <f aca="false">'[1]8-Acomp. Hidrologia'!G9</f>
        <v>861</v>
      </c>
      <c r="K9" s="52" t="n">
        <f aca="false">I9-J9</f>
        <v>-177</v>
      </c>
      <c r="L9" s="51" t="n">
        <f aca="false">'[1]8-Acomp. Hidrologia'!H9</f>
        <v>0</v>
      </c>
      <c r="M9" s="17"/>
      <c r="N9" s="53" t="s">
        <v>26</v>
      </c>
      <c r="O9" s="54" t="n">
        <v>57.6</v>
      </c>
      <c r="P9" s="54" t="n">
        <v>30.62</v>
      </c>
      <c r="Q9" s="55" t="n">
        <v>36.92</v>
      </c>
      <c r="R9" s="56" t="n">
        <f aca="false">(Q9-P9)/P9</f>
        <v>0.205747877204442</v>
      </c>
    </row>
    <row r="10" customFormat="false" ht="12" hidden="false" customHeight="true" outlineLevel="0" collapsed="false">
      <c r="A10" s="57" t="s">
        <v>27</v>
      </c>
      <c r="B10" s="58" t="n">
        <f aca="false">'[1]1-Balanço Energético '!$B$9</f>
        <v>1149</v>
      </c>
      <c r="C10" s="59" t="n">
        <f aca="false">'[1]1-Balanço Energético '!$C$9</f>
        <v>784</v>
      </c>
      <c r="D10" s="60" t="n">
        <f aca="false">IF((OR(B10=0,AND(B10&lt;0,C10&gt;0),AND(B10&gt;0,C10&lt;0))),"n/m",((C10-B10)/B10)*100)</f>
        <v>-31.7667536988686</v>
      </c>
      <c r="E10" s="17"/>
      <c r="F10" s="61"/>
      <c r="G10" s="62" t="s">
        <v>28</v>
      </c>
      <c r="H10" s="63" t="n">
        <f aca="false">'[1]8-Acomp. Hidrologia'!E10</f>
        <v>82.58</v>
      </c>
      <c r="I10" s="63" t="n">
        <f aca="false">'[1]8-Acomp. Hidrologia'!F10</f>
        <v>925</v>
      </c>
      <c r="J10" s="63" t="n">
        <f aca="false">'[1]8-Acomp. Hidrologia'!G10</f>
        <v>925</v>
      </c>
      <c r="K10" s="64" t="n">
        <f aca="false">I10-J10</f>
        <v>0</v>
      </c>
      <c r="L10" s="63" t="n">
        <f aca="false">'[1]8-Acomp. Hidrologia'!H10</f>
        <v>0</v>
      </c>
      <c r="M10" s="17"/>
      <c r="N10" s="53" t="s">
        <v>29</v>
      </c>
      <c r="O10" s="54" t="n">
        <v>61</v>
      </c>
      <c r="P10" s="54" t="n">
        <v>45.1672357685509</v>
      </c>
      <c r="Q10" s="65" t="n">
        <v>38.6930325744655</v>
      </c>
      <c r="R10" s="56" t="n">
        <f aca="false">(Q10-P10)/P10</f>
        <v>-0.143338486049069</v>
      </c>
    </row>
    <row r="11" customFormat="false" ht="12" hidden="false" customHeight="true" outlineLevel="0" collapsed="false">
      <c r="A11" s="57" t="s">
        <v>30</v>
      </c>
      <c r="B11" s="58" t="n">
        <f aca="false">'[1]1-Balanço Energético '!$B$10</f>
        <v>1760</v>
      </c>
      <c r="C11" s="59" t="n">
        <f aca="false">'[1]1-Balanço Energético '!$C$10</f>
        <v>1715</v>
      </c>
      <c r="D11" s="60" t="n">
        <f aca="false">IF((OR(B11=0,AND(B11&lt;0,C11&gt;0),AND(B11&gt;0,C11&lt;0))),"n/m",((C11-B11)/B11)*100)</f>
        <v>-2.55681818181818</v>
      </c>
      <c r="E11" s="17"/>
      <c r="F11" s="61"/>
      <c r="G11" s="62" t="s">
        <v>31</v>
      </c>
      <c r="H11" s="63" t="n">
        <f aca="false">'[1]8-Acomp. Hidrologia'!E11</f>
        <v>33</v>
      </c>
      <c r="I11" s="63" t="n">
        <f aca="false">'[1]8-Acomp. Hidrologia'!F11</f>
        <v>1579</v>
      </c>
      <c r="J11" s="63" t="n">
        <f aca="false">'[1]8-Acomp. Hidrologia'!G11</f>
        <v>1477</v>
      </c>
      <c r="K11" s="64" t="n">
        <f aca="false">I11-J11</f>
        <v>102</v>
      </c>
      <c r="L11" s="63" t="n">
        <f aca="false">'[1]8-Acomp. Hidrologia'!H11</f>
        <v>0</v>
      </c>
      <c r="M11" s="17"/>
      <c r="N11" s="53" t="s">
        <v>32</v>
      </c>
      <c r="O11" s="54" t="n">
        <v>71.2</v>
      </c>
      <c r="P11" s="54" t="n">
        <v>58.0491905369497</v>
      </c>
      <c r="Q11" s="56"/>
      <c r="R11" s="56"/>
    </row>
    <row r="12" customFormat="false" ht="12" hidden="false" customHeight="true" outlineLevel="0" collapsed="false">
      <c r="A12" s="57" t="s">
        <v>33</v>
      </c>
      <c r="B12" s="58" t="n">
        <f aca="false">SUM(B9:B11)</f>
        <v>17936</v>
      </c>
      <c r="C12" s="59" t="n">
        <f aca="false">SUM(C9:C11)</f>
        <v>18347.4083333333</v>
      </c>
      <c r="D12" s="60" t="n">
        <f aca="false">IF((OR(B12=0,AND(B12&lt;0,C12&gt;0),AND(B12&gt;0,C12&lt;0))),"n/m",((C12-B12)/B12)*100)</f>
        <v>2.29375743383885</v>
      </c>
      <c r="E12" s="17"/>
      <c r="F12" s="61"/>
      <c r="G12" s="62" t="s">
        <v>34</v>
      </c>
      <c r="H12" s="63" t="n">
        <f aca="false">'[1]8-Acomp. Hidrologia'!E12</f>
        <v>21.77</v>
      </c>
      <c r="I12" s="63" t="n">
        <f aca="false">'[1]8-Acomp. Hidrologia'!F12</f>
        <v>1726</v>
      </c>
      <c r="J12" s="63" t="n">
        <f aca="false">'[1]8-Acomp. Hidrologia'!G12</f>
        <v>1777</v>
      </c>
      <c r="K12" s="64" t="n">
        <f aca="false">I12-J12</f>
        <v>-51</v>
      </c>
      <c r="L12" s="63" t="n">
        <f aca="false">'[1]8-Acomp. Hidrologia'!H12</f>
        <v>0</v>
      </c>
      <c r="M12" s="17"/>
      <c r="N12" s="53" t="s">
        <v>35</v>
      </c>
      <c r="O12" s="54" t="n">
        <v>70.4</v>
      </c>
      <c r="P12" s="54" t="n">
        <v>57.9894026478748</v>
      </c>
      <c r="Q12" s="56"/>
      <c r="R12" s="56"/>
    </row>
    <row r="13" customFormat="false" ht="12" hidden="false" customHeight="true" outlineLevel="0" collapsed="false">
      <c r="A13" s="57" t="s">
        <v>36</v>
      </c>
      <c r="B13" s="58" t="n">
        <f aca="false">'[1]1-Balanço Energético '!$B$12+'[1]1-Balanço Energético '!$G$11</f>
        <v>9697</v>
      </c>
      <c r="C13" s="59" t="n">
        <f aca="false">'[1]1-Balanço Energético '!$C$12+'[1]1-Balanço Energético '!$H$11</f>
        <v>9723.89583333333</v>
      </c>
      <c r="D13" s="60" t="n">
        <f aca="false">IF((OR(B13=0,AND(B13&lt;0,C13&gt;0),AND(B13&gt;0,C13&lt;0))),"n/m",((C13-B13)/B13)*100)</f>
        <v>0.277362414492442</v>
      </c>
      <c r="E13" s="17"/>
      <c r="F13" s="66" t="s">
        <v>37</v>
      </c>
      <c r="G13" s="62" t="s">
        <v>38</v>
      </c>
      <c r="H13" s="63" t="n">
        <f aca="false">'[1]8-Acomp. Hidrologia'!E13</f>
        <v>28.36</v>
      </c>
      <c r="I13" s="63" t="n">
        <f aca="false">'[1]8-Acomp. Hidrologia'!F13</f>
        <v>288</v>
      </c>
      <c r="J13" s="63" t="n">
        <f aca="false">'[1]8-Acomp. Hidrologia'!G13</f>
        <v>173</v>
      </c>
      <c r="K13" s="64" t="n">
        <f aca="false">I13-J13</f>
        <v>115</v>
      </c>
      <c r="L13" s="63" t="n">
        <f aca="false">'[1]8-Acomp. Hidrologia'!H13</f>
        <v>0</v>
      </c>
      <c r="M13" s="17"/>
      <c r="N13" s="53" t="s">
        <v>39</v>
      </c>
      <c r="O13" s="54" t="n">
        <v>65.3</v>
      </c>
      <c r="P13" s="54" t="n">
        <v>52.41</v>
      </c>
      <c r="Q13" s="56"/>
      <c r="R13" s="56"/>
    </row>
    <row r="14" customFormat="false" ht="12" hidden="false" customHeight="true" outlineLevel="0" collapsed="false">
      <c r="A14" s="67" t="s">
        <v>40</v>
      </c>
      <c r="B14" s="58" t="n">
        <f aca="false">'[1]1-Balanço Energético '!$B$13</f>
        <v>28778</v>
      </c>
      <c r="C14" s="59" t="n">
        <f aca="false">'[1]1-Balanço Energético '!$C$13</f>
        <v>29171.3125</v>
      </c>
      <c r="D14" s="60" t="n">
        <f aca="false">IF((OR(B14=0,AND(B14&lt;0,C14&gt;0),AND(B14&gt;0,C14&lt;0))),"n/m",((C14-B14)/B14)*100)</f>
        <v>1.36671241920912</v>
      </c>
      <c r="E14" s="17"/>
      <c r="F14" s="68"/>
      <c r="G14" s="62" t="s">
        <v>41</v>
      </c>
      <c r="H14" s="63" t="n">
        <f aca="false">'[1]8-Acomp. Hidrologia'!E14</f>
        <v>19.69</v>
      </c>
      <c r="I14" s="63" t="n">
        <f aca="false">'[1]8-Acomp. Hidrologia'!F14</f>
        <v>234</v>
      </c>
      <c r="J14" s="63" t="n">
        <f aca="false">'[1]8-Acomp. Hidrologia'!G14</f>
        <v>166</v>
      </c>
      <c r="K14" s="64" t="n">
        <f aca="false">I14-J14</f>
        <v>68</v>
      </c>
      <c r="L14" s="63" t="n">
        <f aca="false">'[1]8-Acomp. Hidrologia'!H14</f>
        <v>0</v>
      </c>
      <c r="M14" s="17"/>
      <c r="N14" s="53" t="s">
        <v>42</v>
      </c>
      <c r="O14" s="54" t="n">
        <v>61.4</v>
      </c>
      <c r="P14" s="54" t="n">
        <v>46.16</v>
      </c>
      <c r="Q14" s="56"/>
      <c r="R14" s="56"/>
    </row>
    <row r="15" customFormat="false" ht="12" hidden="false" customHeight="true" outlineLevel="0" collapsed="false">
      <c r="A15" s="67" t="s">
        <v>43</v>
      </c>
      <c r="B15" s="58" t="n">
        <f aca="false">'[1]1-Balanço Energético '!$G$11+'[1]1-Balanço Energético '!$B$14</f>
        <v>-687</v>
      </c>
      <c r="C15" s="59" t="n">
        <f aca="false">'[1]1-Balanço Energético '!$H$11+'[1]1-Balanço Energético '!$C$14</f>
        <v>-673.724999999999</v>
      </c>
      <c r="D15" s="60" t="n">
        <f aca="false">IF((OR(B15=0,AND(B15&lt;0,C15&gt;0),AND(B15&gt;0,C15&lt;0))),"n/m",((C15-B15)/B15)*100)</f>
        <v>-1.93231441048046</v>
      </c>
      <c r="E15" s="17"/>
      <c r="F15" s="68"/>
      <c r="G15" s="62" t="s">
        <v>44</v>
      </c>
      <c r="H15" s="63" t="n">
        <f aca="false">'[1]8-Acomp. Hidrologia'!E15</f>
        <v>14.43</v>
      </c>
      <c r="I15" s="63" t="n">
        <f aca="false">'[1]8-Acomp. Hidrologia'!F15</f>
        <v>1085</v>
      </c>
      <c r="J15" s="63" t="n">
        <f aca="false">'[1]8-Acomp. Hidrologia'!G15</f>
        <v>1375</v>
      </c>
      <c r="K15" s="64" t="n">
        <f aca="false">I15-J15</f>
        <v>-290</v>
      </c>
      <c r="L15" s="63" t="n">
        <f aca="false">'[1]8-Acomp. Hidrologia'!H15</f>
        <v>0</v>
      </c>
      <c r="M15" s="17"/>
      <c r="N15" s="53" t="s">
        <v>45</v>
      </c>
      <c r="O15" s="54" t="n">
        <v>57</v>
      </c>
      <c r="P15" s="54" t="n">
        <v>40.48</v>
      </c>
      <c r="Q15" s="56"/>
      <c r="R15" s="56"/>
    </row>
    <row r="16" customFormat="false" ht="12" hidden="false" customHeight="true" outlineLevel="0" collapsed="false">
      <c r="A16" s="67" t="s">
        <v>46</v>
      </c>
      <c r="B16" s="58" t="n">
        <f aca="false">'[1]1-Balanço Energético '!$B$15</f>
        <v>-458</v>
      </c>
      <c r="C16" s="59" t="n">
        <f aca="false">'[1]1-Balanço Energético '!$C$15</f>
        <v>-426.283333333333</v>
      </c>
      <c r="D16" s="60" t="n">
        <f aca="false">IF((OR(B16=0,AND(B16&lt;0,C16&gt;0),AND(B16&gt;0,C16&lt;0))),"n/m",((C16-B16)/B16)*100)</f>
        <v>-6.9250363901019</v>
      </c>
      <c r="E16" s="17"/>
      <c r="F16" s="68"/>
      <c r="G16" s="62" t="s">
        <v>47</v>
      </c>
      <c r="H16" s="63" t="n">
        <f aca="false">'[1]8-Acomp. Hidrologia'!E16</f>
        <v>59.54</v>
      </c>
      <c r="I16" s="63" t="n">
        <f aca="false">'[1]8-Acomp. Hidrologia'!F16</f>
        <v>2463</v>
      </c>
      <c r="J16" s="63" t="n">
        <f aca="false">'[1]8-Acomp. Hidrologia'!G16</f>
        <v>2203</v>
      </c>
      <c r="K16" s="64" t="n">
        <f aca="false">I16-J16</f>
        <v>260</v>
      </c>
      <c r="L16" s="63" t="n">
        <f aca="false">'[1]8-Acomp. Hidrologia'!H16</f>
        <v>0</v>
      </c>
      <c r="M16" s="17"/>
      <c r="N16" s="53" t="s">
        <v>48</v>
      </c>
      <c r="O16" s="54" t="n">
        <v>47.4</v>
      </c>
      <c r="P16" s="54" t="n">
        <v>33.49</v>
      </c>
      <c r="Q16" s="56"/>
      <c r="R16" s="56"/>
    </row>
    <row r="17" customFormat="false" ht="12" hidden="false" customHeight="true" outlineLevel="0" collapsed="false">
      <c r="A17" s="69" t="s">
        <v>49</v>
      </c>
      <c r="B17" s="70" t="n">
        <f aca="false">'[1]1-Balanço Energético '!$B$16</f>
        <v>0</v>
      </c>
      <c r="C17" s="71" t="n">
        <f aca="false">'[1]1-Balanço Energético '!$C$16</f>
        <v>1.4210854715202E-012</v>
      </c>
      <c r="D17" s="72" t="str">
        <f aca="false">IF((OR(B17=0,AND(B17&lt;0,C17&gt;0),AND(B17&gt;0,C17&lt;0))),"n/m",((C17-B17)/B17)*100)</f>
        <v>n/m</v>
      </c>
      <c r="E17" s="17"/>
      <c r="F17" s="66" t="s">
        <v>50</v>
      </c>
      <c r="G17" s="62" t="s">
        <v>51</v>
      </c>
      <c r="H17" s="63" t="n">
        <f aca="false">'[1]8-Acomp. Hidrologia'!E17</f>
        <v>30.04</v>
      </c>
      <c r="I17" s="63" t="n">
        <f aca="false">'[1]8-Acomp. Hidrologia'!F17</f>
        <v>6229</v>
      </c>
      <c r="J17" s="63" t="n">
        <f aca="false">'[1]8-Acomp. Hidrologia'!G17</f>
        <v>5857</v>
      </c>
      <c r="K17" s="64" t="n">
        <f aca="false">I17-J17</f>
        <v>372</v>
      </c>
      <c r="L17" s="63" t="n">
        <f aca="false">'[1]8-Acomp. Hidrologia'!H17</f>
        <v>0</v>
      </c>
      <c r="M17" s="17"/>
      <c r="N17" s="53" t="s">
        <v>52</v>
      </c>
      <c r="O17" s="54" t="n">
        <v>39</v>
      </c>
      <c r="P17" s="54" t="n">
        <v>35.26</v>
      </c>
      <c r="Q17" s="56"/>
      <c r="R17" s="56"/>
    </row>
    <row r="18" customFormat="false" ht="12" hidden="false" customHeight="true" outlineLevel="0" collapsed="false">
      <c r="A18" s="73"/>
      <c r="B18" s="74" t="str">
        <f aca="false">IF(ABS(B12+B13-B14-B15-B16)&gt;2,"Check","")</f>
        <v/>
      </c>
      <c r="C18" s="74" t="str">
        <f aca="false">IF(ABS(C12+C13-C14-C15-C16)&gt;2,"Check","")</f>
        <v/>
      </c>
      <c r="D18" s="65"/>
      <c r="E18" s="17"/>
      <c r="F18" s="66"/>
      <c r="G18" s="62" t="s">
        <v>53</v>
      </c>
      <c r="H18" s="63" t="n">
        <f aca="false">'[1]8-Acomp. Hidrologia'!E18</f>
        <v>85.56</v>
      </c>
      <c r="I18" s="63" t="n">
        <f aca="false">'[1]8-Acomp. Hidrologia'!F18</f>
        <v>7317</v>
      </c>
      <c r="J18" s="63" t="n">
        <f aca="false">'[1]8-Acomp. Hidrologia'!G18</f>
        <v>6391</v>
      </c>
      <c r="K18" s="64" t="n">
        <f aca="false">I18-J18</f>
        <v>926</v>
      </c>
      <c r="L18" s="63" t="n">
        <f aca="false">'[1]8-Acomp. Hidrologia'!H18</f>
        <v>0</v>
      </c>
      <c r="M18" s="17"/>
      <c r="N18" s="53" t="s">
        <v>54</v>
      </c>
      <c r="O18" s="54" t="n">
        <v>30.6</v>
      </c>
      <c r="P18" s="54" t="n">
        <v>28.99</v>
      </c>
      <c r="Q18" s="56"/>
      <c r="R18" s="56"/>
    </row>
    <row r="19" customFormat="false" ht="12" hidden="false" customHeight="true" outlineLevel="0" collapsed="false">
      <c r="A19" s="25" t="s">
        <v>55</v>
      </c>
      <c r="B19" s="26"/>
      <c r="C19" s="26"/>
      <c r="D19" s="27"/>
      <c r="E19" s="17"/>
      <c r="F19" s="66"/>
      <c r="G19" s="62" t="s">
        <v>56</v>
      </c>
      <c r="H19" s="63" t="n">
        <f aca="false">'[1]8-Acomp. Hidrologia'!E19</f>
        <v>95.35</v>
      </c>
      <c r="I19" s="63" t="n">
        <f aca="false">'[1]8-Acomp. Hidrologia'!F19</f>
        <v>9618</v>
      </c>
      <c r="J19" s="63" t="n">
        <f aca="false">'[1]8-Acomp. Hidrologia'!G19</f>
        <v>10551</v>
      </c>
      <c r="K19" s="64" t="n">
        <f aca="false">I19-J19</f>
        <v>-933</v>
      </c>
      <c r="L19" s="63" t="n">
        <f aca="false">'[1]8-Acomp. Hidrologia'!H19</f>
        <v>0</v>
      </c>
      <c r="M19" s="17"/>
      <c r="N19" s="53" t="s">
        <v>57</v>
      </c>
      <c r="O19" s="54" t="n">
        <v>23.6</v>
      </c>
      <c r="P19" s="54" t="n">
        <v>27.9020837629161</v>
      </c>
      <c r="Q19" s="56"/>
      <c r="R19" s="56"/>
    </row>
    <row r="20" customFormat="false" ht="12" hidden="false" customHeight="true" outlineLevel="0" collapsed="false">
      <c r="A20" s="33" t="s">
        <v>15</v>
      </c>
      <c r="B20" s="75" t="s">
        <v>16</v>
      </c>
      <c r="C20" s="35" t="s">
        <v>17</v>
      </c>
      <c r="D20" s="36" t="s">
        <v>18</v>
      </c>
      <c r="E20" s="17"/>
      <c r="F20" s="66" t="s">
        <v>58</v>
      </c>
      <c r="G20" s="62" t="s">
        <v>59</v>
      </c>
      <c r="H20" s="63" t="n">
        <f aca="false">'[1]8-Acomp. Hidrologia'!E20</f>
        <v>78.93</v>
      </c>
      <c r="I20" s="63" t="n">
        <f aca="false">'[1]8-Acomp. Hidrologia'!F20</f>
        <v>348</v>
      </c>
      <c r="J20" s="63" t="n">
        <f aca="false">'[1]8-Acomp. Hidrologia'!G20</f>
        <v>379</v>
      </c>
      <c r="K20" s="64" t="n">
        <f aca="false">I20-J20</f>
        <v>-31</v>
      </c>
      <c r="L20" s="63" t="n">
        <f aca="false">'[1]8-Acomp. Hidrologia'!H20</f>
        <v>0</v>
      </c>
      <c r="M20" s="17"/>
      <c r="N20" s="76" t="s">
        <v>60</v>
      </c>
      <c r="O20" s="77" t="n">
        <v>20.5</v>
      </c>
      <c r="P20" s="77" t="n">
        <v>33.5129231526528</v>
      </c>
      <c r="Q20" s="78"/>
      <c r="R20" s="78"/>
    </row>
    <row r="21" customFormat="false" ht="12" hidden="false" customHeight="true" outlineLevel="0" collapsed="false">
      <c r="A21" s="79" t="s">
        <v>23</v>
      </c>
      <c r="B21" s="80" t="n">
        <f aca="false">'[1]1-Balanço Energético '!$G$8</f>
        <v>7501</v>
      </c>
      <c r="C21" s="47" t="n">
        <f aca="false">'[1]1-Balanço Energético '!$H$8</f>
        <v>7585.25</v>
      </c>
      <c r="D21" s="48" t="n">
        <f aca="false">IF((OR(B21=0,AND(B21&lt;0,C21&gt;0),AND(B21&gt;0,C21&lt;0))),"n/m",((C21-B21)/B21)*100)</f>
        <v>1.12318357552326</v>
      </c>
      <c r="E21" s="17"/>
      <c r="F21" s="66"/>
      <c r="G21" s="62" t="s">
        <v>61</v>
      </c>
      <c r="H21" s="63" t="n">
        <f aca="false">'[1]8-Acomp. Hidrologia'!E21</f>
        <v>87.64</v>
      </c>
      <c r="I21" s="63" t="n">
        <f aca="false">'[1]8-Acomp. Hidrologia'!F21</f>
        <v>658</v>
      </c>
      <c r="J21" s="63" t="n">
        <f aca="false">'[1]8-Acomp. Hidrologia'!G21</f>
        <v>1020</v>
      </c>
      <c r="K21" s="64" t="n">
        <f aca="false">I21-J21</f>
        <v>-362</v>
      </c>
      <c r="L21" s="63" t="n">
        <f aca="false">'[1]8-Acomp. Hidrologia'!H21</f>
        <v>0</v>
      </c>
      <c r="M21" s="17"/>
      <c r="N21" s="37"/>
      <c r="O21" s="54"/>
      <c r="P21" s="54"/>
      <c r="Q21" s="54"/>
      <c r="R21" s="81"/>
    </row>
    <row r="22" customFormat="false" ht="12" hidden="false" customHeight="true" outlineLevel="0" collapsed="false">
      <c r="A22" s="57" t="s">
        <v>27</v>
      </c>
      <c r="B22" s="82" t="n">
        <f aca="false">'[1]1-Balanço Energético '!$G$9</f>
        <v>1468</v>
      </c>
      <c r="C22" s="59" t="n">
        <f aca="false">'[1]1-Balanço Energético '!$H$9</f>
        <v>1362</v>
      </c>
      <c r="D22" s="60" t="n">
        <f aca="false">IF((OR(B22=0,AND(B22&lt;0,C22&gt;0),AND(B22&gt;0,C22&lt;0))),"n/m",((C22-B22)/B22)*100)</f>
        <v>-7.22070844686648</v>
      </c>
      <c r="E22" s="17"/>
      <c r="F22" s="66"/>
      <c r="G22" s="62" t="s">
        <v>62</v>
      </c>
      <c r="H22" s="63" t="n">
        <f aca="false">'[1]8-Acomp. Hidrologia'!E22</f>
        <v>39.6</v>
      </c>
      <c r="I22" s="63" t="n">
        <f aca="false">'[1]8-Acomp. Hidrologia'!F22</f>
        <v>676</v>
      </c>
      <c r="J22" s="63" t="n">
        <f aca="false">'[1]8-Acomp. Hidrologia'!G22</f>
        <v>676</v>
      </c>
      <c r="K22" s="64" t="n">
        <f aca="false">I22-J22</f>
        <v>0</v>
      </c>
      <c r="L22" s="63" t="n">
        <f aca="false">'[1]8-Acomp. Hidrologia'!H22</f>
        <v>0</v>
      </c>
      <c r="M22" s="17"/>
      <c r="N22" s="33" t="s">
        <v>63</v>
      </c>
      <c r="O22" s="33"/>
      <c r="P22" s="33"/>
      <c r="Q22" s="33"/>
      <c r="R22" s="33"/>
    </row>
    <row r="23" customFormat="false" ht="12" hidden="false" customHeight="true" outlineLevel="0" collapsed="false">
      <c r="A23" s="57" t="s">
        <v>33</v>
      </c>
      <c r="B23" s="82" t="n">
        <f aca="false">SUM(B21:B22)</f>
        <v>8969</v>
      </c>
      <c r="C23" s="59" t="n">
        <f aca="false">SUM(C21:C22)</f>
        <v>8947.25</v>
      </c>
      <c r="D23" s="60" t="n">
        <f aca="false">IF((OR(B23=0,AND(B23&lt;0,C23&gt;0),AND(B23&gt;0,C23&lt;0))),"n/m",((C23-B23)/B23)*100)</f>
        <v>-0.242501951165124</v>
      </c>
      <c r="E23" s="17"/>
      <c r="F23" s="66" t="s">
        <v>64</v>
      </c>
      <c r="G23" s="62" t="s">
        <v>65</v>
      </c>
      <c r="H23" s="63" t="n">
        <f aca="false">'[1]8-Acomp. Hidrologia'!E23</f>
        <v>77.76</v>
      </c>
      <c r="I23" s="63" t="n">
        <f aca="false">'[1]8-Acomp. Hidrologia'!F23</f>
        <v>240</v>
      </c>
      <c r="J23" s="63" t="n">
        <f aca="false">'[1]8-Acomp. Hidrologia'!G23</f>
        <v>336</v>
      </c>
      <c r="K23" s="64" t="n">
        <f aca="false">I23-J23</f>
        <v>-96</v>
      </c>
      <c r="L23" s="63" t="n">
        <f aca="false">'[1]8-Acomp. Hidrologia'!H23</f>
        <v>0</v>
      </c>
      <c r="M23" s="17"/>
      <c r="N23" s="42" t="s">
        <v>20</v>
      </c>
      <c r="O23" s="43" t="n">
        <v>1999</v>
      </c>
      <c r="P23" s="43" t="n">
        <v>2000</v>
      </c>
      <c r="Q23" s="44" t="s">
        <v>21</v>
      </c>
      <c r="R23" s="44" t="s">
        <v>22</v>
      </c>
    </row>
    <row r="24" customFormat="false" ht="12" hidden="false" customHeight="true" outlineLevel="0" collapsed="false">
      <c r="A24" s="67" t="s">
        <v>40</v>
      </c>
      <c r="B24" s="82" t="n">
        <f aca="false">'[1]1-Balanço Energético '!$G$12</f>
        <v>8314</v>
      </c>
      <c r="C24" s="59" t="n">
        <f aca="false">'[1]1-Balanço Energético '!$H$12</f>
        <v>8318.7375</v>
      </c>
      <c r="D24" s="60" t="n">
        <f aca="false">IF((OR(B24=0,AND(B24&lt;0,C24&gt;0),AND(B24&gt;0,C24&lt;0))),"n/m",((C24-B24)/B24)*100)</f>
        <v>0.0569821987009994</v>
      </c>
      <c r="E24" s="17"/>
      <c r="F24" s="68"/>
      <c r="G24" s="62" t="s">
        <v>66</v>
      </c>
      <c r="H24" s="63" t="n">
        <f aca="false">'[1]8-Acomp. Hidrologia'!E24</f>
        <v>65.83</v>
      </c>
      <c r="I24" s="63" t="n">
        <f aca="false">'[1]8-Acomp. Hidrologia'!F24</f>
        <v>452</v>
      </c>
      <c r="J24" s="63" t="n">
        <f aca="false">'[1]8-Acomp. Hidrologia'!G24</f>
        <v>325</v>
      </c>
      <c r="K24" s="64" t="n">
        <f aca="false">I24-J24</f>
        <v>127</v>
      </c>
      <c r="L24" s="63" t="n">
        <f aca="false">'[1]8-Acomp. Hidrologia'!H24</f>
        <v>0</v>
      </c>
      <c r="M24" s="17"/>
      <c r="N24" s="53" t="s">
        <v>26</v>
      </c>
      <c r="O24" s="54" t="n">
        <v>52.6</v>
      </c>
      <c r="P24" s="54" t="n">
        <v>42.68</v>
      </c>
      <c r="Q24" s="55" t="n">
        <v>46.753515940397</v>
      </c>
      <c r="R24" s="56" t="n">
        <f aca="false">(Q24-P24)/P24</f>
        <v>0.0954432038518519</v>
      </c>
    </row>
    <row r="25" customFormat="false" ht="12" hidden="false" customHeight="true" outlineLevel="0" collapsed="false">
      <c r="A25" s="67" t="s">
        <v>67</v>
      </c>
      <c r="B25" s="82" t="n">
        <f aca="false">-'[1]1-Balanço Energético '!$G$11+'[1]1-Balanço Energético '!$G$13</f>
        <v>702</v>
      </c>
      <c r="C25" s="59" t="n">
        <f aca="false">-'[1]1-Balanço Energético '!$H$11+'[1]1-Balanço Energético '!$H$13</f>
        <v>673.724999999998</v>
      </c>
      <c r="D25" s="60" t="n">
        <f aca="false">IF((OR(B25=0,AND(B25&lt;0,C25&gt;0),AND(B25&gt;0,C25&lt;0))),"n/m",((C25-B25)/B25)*100)</f>
        <v>-4.02777777777808</v>
      </c>
      <c r="E25" s="83"/>
      <c r="F25" s="84"/>
      <c r="G25" s="85" t="s">
        <v>68</v>
      </c>
      <c r="H25" s="86" t="n">
        <f aca="false">'[1]8-Acomp. Hidrologia'!E25</f>
        <v>91.59</v>
      </c>
      <c r="I25" s="86" t="n">
        <f aca="false">'[1]8-Acomp. Hidrologia'!F25</f>
        <v>1094</v>
      </c>
      <c r="J25" s="86" t="n">
        <f aca="false">'[1]8-Acomp. Hidrologia'!G25</f>
        <v>1222</v>
      </c>
      <c r="K25" s="87" t="n">
        <f aca="false">I25-J25</f>
        <v>-128</v>
      </c>
      <c r="L25" s="86" t="n">
        <f aca="false">'[1]8-Acomp. Hidrologia'!H25</f>
        <v>0</v>
      </c>
      <c r="M25" s="17"/>
      <c r="N25" s="53" t="s">
        <v>29</v>
      </c>
      <c r="O25" s="54" t="n">
        <v>48.8</v>
      </c>
      <c r="P25" s="54" t="n">
        <v>58.7636079900125</v>
      </c>
      <c r="Q25" s="65" t="n">
        <v>44.2037159549818</v>
      </c>
      <c r="R25" s="56" t="n">
        <f aca="false">(Q25-P25)/P25</f>
        <v>-0.247770559586902</v>
      </c>
    </row>
    <row r="26" customFormat="false" ht="12" hidden="false" customHeight="true" outlineLevel="0" collapsed="false">
      <c r="A26" s="69" t="s">
        <v>69</v>
      </c>
      <c r="B26" s="88" t="n">
        <f aca="false">-'[1]1-Balanço Energético '!$G$14</f>
        <v>47</v>
      </c>
      <c r="C26" s="71" t="n">
        <f aca="false">-'[1]1-Balanço Energético '!$H$14</f>
        <v>45.2125</v>
      </c>
      <c r="D26" s="72" t="n">
        <f aca="false">IF((OR(B26=0,AND(B26&lt;0,C26&gt;0),AND(B26&gt;0,C26&lt;0))),"n/m",((C26-B26)/B26)*100)</f>
        <v>-3.80319148936171</v>
      </c>
      <c r="E26" s="17"/>
      <c r="F26" s="37" t="s">
        <v>70</v>
      </c>
      <c r="G26" s="89"/>
      <c r="H26" s="90"/>
      <c r="I26" s="90"/>
      <c r="J26" s="90"/>
      <c r="K26" s="91"/>
      <c r="L26" s="92"/>
      <c r="M26" s="17"/>
      <c r="N26" s="53" t="s">
        <v>32</v>
      </c>
      <c r="O26" s="54" t="n">
        <v>62.6</v>
      </c>
      <c r="P26" s="54" t="n">
        <v>69.0330984295946</v>
      </c>
      <c r="Q26" s="56"/>
      <c r="R26" s="56"/>
    </row>
    <row r="27" customFormat="false" ht="12" hidden="false" customHeight="true" outlineLevel="0" collapsed="false">
      <c r="A27" s="93"/>
      <c r="B27" s="94" t="str">
        <f aca="false">IF(ABS(B23-B25+B26-B24)&gt;1,"Check","")</f>
        <v/>
      </c>
      <c r="C27" s="94" t="str">
        <f aca="false">IF(ABS(C23-C25+C26-C24)&gt;1,"Check","")</f>
        <v/>
      </c>
      <c r="D27" s="95"/>
      <c r="E27" s="17"/>
      <c r="F27" s="96" t="s">
        <v>71</v>
      </c>
      <c r="G27" s="97" t="s">
        <v>72</v>
      </c>
      <c r="H27" s="51" t="n">
        <f aca="false">'[1]8-Acomp. Hidrologia'!E26</f>
        <v>99.79</v>
      </c>
      <c r="I27" s="51" t="n">
        <f aca="false">'[1]8-Acomp. Hidrologia'!F26</f>
        <v>1347</v>
      </c>
      <c r="J27" s="51" t="n">
        <f aca="false">'[1]8-Acomp. Hidrologia'!G26</f>
        <v>1457</v>
      </c>
      <c r="K27" s="52" t="n">
        <f aca="false">I27-J27</f>
        <v>-110</v>
      </c>
      <c r="L27" s="51" t="n">
        <f aca="false">'[1]8-Acomp. Hidrologia'!H26</f>
        <v>519</v>
      </c>
      <c r="M27" s="17"/>
      <c r="N27" s="53" t="s">
        <v>35</v>
      </c>
      <c r="O27" s="54" t="n">
        <v>62.1</v>
      </c>
      <c r="P27" s="54" t="n">
        <v>73.3915451080886</v>
      </c>
      <c r="Q27" s="56"/>
      <c r="R27" s="56"/>
    </row>
    <row r="28" customFormat="false" ht="12" hidden="false" customHeight="true" outlineLevel="0" collapsed="false">
      <c r="A28" s="25" t="s">
        <v>73</v>
      </c>
      <c r="B28" s="26"/>
      <c r="C28" s="26"/>
      <c r="D28" s="27"/>
      <c r="E28" s="17"/>
      <c r="F28" s="98"/>
      <c r="G28" s="99" t="s">
        <v>74</v>
      </c>
      <c r="H28" s="86" t="n">
        <f aca="false">'[1]8-Acomp. Hidrologia'!E27</f>
        <v>100.15</v>
      </c>
      <c r="I28" s="86" t="n">
        <f aca="false">'[1]8-Acomp. Hidrologia'!F27</f>
        <v>2179</v>
      </c>
      <c r="J28" s="86" t="n">
        <f aca="false">'[1]8-Acomp. Hidrologia'!G27</f>
        <v>2324</v>
      </c>
      <c r="K28" s="87" t="n">
        <f aca="false">I28-J28</f>
        <v>-145</v>
      </c>
      <c r="L28" s="86" t="n">
        <f aca="false">'[1]8-Acomp. Hidrologia'!H27</f>
        <v>1027</v>
      </c>
      <c r="M28" s="17"/>
      <c r="N28" s="53" t="s">
        <v>39</v>
      </c>
      <c r="O28" s="54" t="n">
        <v>58.4</v>
      </c>
      <c r="P28" s="54" t="n">
        <v>69.93</v>
      </c>
      <c r="Q28" s="56"/>
      <c r="R28" s="56"/>
    </row>
    <row r="29" customFormat="false" ht="12" hidden="false" customHeight="true" outlineLevel="0" collapsed="false">
      <c r="A29" s="33" t="s">
        <v>15</v>
      </c>
      <c r="B29" s="75" t="s">
        <v>16</v>
      </c>
      <c r="C29" s="35" t="s">
        <v>17</v>
      </c>
      <c r="D29" s="36" t="s">
        <v>18</v>
      </c>
      <c r="E29" s="17"/>
      <c r="F29" s="37" t="s">
        <v>75</v>
      </c>
      <c r="G29" s="89"/>
      <c r="H29" s="90"/>
      <c r="I29" s="90"/>
      <c r="J29" s="90"/>
      <c r="K29" s="91"/>
      <c r="L29" s="92"/>
      <c r="M29" s="17"/>
      <c r="N29" s="53" t="s">
        <v>42</v>
      </c>
      <c r="O29" s="54" t="n">
        <v>52.8</v>
      </c>
      <c r="P29" s="54" t="n">
        <v>65.19</v>
      </c>
      <c r="Q29" s="56"/>
      <c r="R29" s="56"/>
    </row>
    <row r="30" customFormat="false" ht="12" hidden="false" customHeight="true" outlineLevel="0" collapsed="false">
      <c r="A30" s="79" t="s">
        <v>23</v>
      </c>
      <c r="B30" s="80" t="n">
        <f aca="false">'[1]1-Balanço Energético '!$B$24</f>
        <v>3634</v>
      </c>
      <c r="C30" s="47" t="n">
        <f aca="false">'[1]1-Balanço Energético '!$C$24</f>
        <v>3334.2875</v>
      </c>
      <c r="D30" s="48" t="n">
        <f aca="false">IF((OR(B30=0,AND(B30&lt;0,C30&gt;0),AND(B30&gt;0,C30&lt;0))),"n/m",((C30-B30)/B30)*100)</f>
        <v>-8.24745459548706</v>
      </c>
      <c r="E30" s="17"/>
      <c r="F30" s="96" t="s">
        <v>76</v>
      </c>
      <c r="G30" s="97" t="s">
        <v>77</v>
      </c>
      <c r="H30" s="51" t="n">
        <f aca="false">'[1]8-Acomp. Hidrologia'!E28</f>
        <v>34.65</v>
      </c>
      <c r="I30" s="51" t="n">
        <f aca="false">'[1]8-Acomp. Hidrologia'!F28</f>
        <v>341</v>
      </c>
      <c r="J30" s="51" t="n">
        <f aca="false">'[1]8-Acomp. Hidrologia'!G28</f>
        <v>494</v>
      </c>
      <c r="K30" s="52" t="n">
        <f aca="false">I30-J30</f>
        <v>-153</v>
      </c>
      <c r="L30" s="51" t="n">
        <f aca="false">'[1]8-Acomp. Hidrologia'!H29</f>
        <v>0</v>
      </c>
      <c r="M30" s="17"/>
      <c r="N30" s="53" t="s">
        <v>45</v>
      </c>
      <c r="O30" s="54" t="n">
        <v>45.4</v>
      </c>
      <c r="P30" s="54" t="n">
        <v>58.49</v>
      </c>
      <c r="Q30" s="56"/>
      <c r="R30" s="56"/>
    </row>
    <row r="31" customFormat="false" ht="12" hidden="false" customHeight="true" outlineLevel="0" collapsed="false">
      <c r="A31" s="57" t="s">
        <v>27</v>
      </c>
      <c r="B31" s="82" t="n">
        <f aca="false">'[1]1-Balanço Energético '!$B$25</f>
        <v>0</v>
      </c>
      <c r="C31" s="59" t="n">
        <f aca="false">'[1]1-Balanço Energético '!$C$25</f>
        <v>0</v>
      </c>
      <c r="D31" s="60" t="str">
        <f aca="false">IF((OR(B31=0,AND(B31&lt;0,C31&gt;0),AND(B31&gt;0,C31&lt;0))),"n/m",((C31-B31)/B31)*100)</f>
        <v>n/m</v>
      </c>
      <c r="E31" s="17"/>
      <c r="F31" s="100"/>
      <c r="G31" s="101" t="s">
        <v>78</v>
      </c>
      <c r="H31" s="63" t="n">
        <f aca="false">'[1]8-Acomp. Hidrologia'!E29</f>
        <v>36.99</v>
      </c>
      <c r="I31" s="63" t="n">
        <f aca="false">'[1]8-Acomp. Hidrologia'!F29</f>
        <v>1320</v>
      </c>
      <c r="J31" s="63" t="n">
        <f aca="false">'[1]8-Acomp. Hidrologia'!G29</f>
        <v>2411</v>
      </c>
      <c r="K31" s="64" t="n">
        <f aca="false">I31-J31</f>
        <v>-1091</v>
      </c>
      <c r="L31" s="63" t="n">
        <f aca="false">'[1]8-Acomp. Hidrologia'!H30</f>
        <v>0</v>
      </c>
      <c r="M31" s="17"/>
      <c r="N31" s="53" t="s">
        <v>48</v>
      </c>
      <c r="O31" s="54" t="n">
        <v>37.1</v>
      </c>
      <c r="P31" s="54" t="n">
        <v>49.34</v>
      </c>
      <c r="Q31" s="56"/>
      <c r="R31" s="56"/>
    </row>
    <row r="32" customFormat="false" ht="12" hidden="false" customHeight="true" outlineLevel="0" collapsed="false">
      <c r="A32" s="57" t="s">
        <v>33</v>
      </c>
      <c r="B32" s="82" t="n">
        <f aca="false">SUM(B30:B31)</f>
        <v>3634</v>
      </c>
      <c r="C32" s="59" t="n">
        <f aca="false">SUM(C30:C31)</f>
        <v>3334.2875</v>
      </c>
      <c r="D32" s="60" t="n">
        <f aca="false">IF((OR(B32=0,AND(B32&lt;0,C32&gt;0),AND(B32&gt;0,C32&lt;0))),"n/m",((C32-B32)/B32)*100)</f>
        <v>-8.24745459548706</v>
      </c>
      <c r="E32" s="17"/>
      <c r="F32" s="98"/>
      <c r="G32" s="99" t="s">
        <v>79</v>
      </c>
      <c r="H32" s="86" t="n">
        <f aca="false">'[1]8-Acomp. Hidrologia'!E30</f>
        <v>50.39</v>
      </c>
      <c r="I32" s="86" t="n">
        <f aca="false">'[1]8-Acomp. Hidrologia'!F30</f>
        <v>1663</v>
      </c>
      <c r="J32" s="86" t="n">
        <f aca="false">'[1]8-Acomp. Hidrologia'!G30</f>
        <v>2080</v>
      </c>
      <c r="K32" s="87" t="n">
        <f aca="false">I32-J32</f>
        <v>-417</v>
      </c>
      <c r="L32" s="86" t="n">
        <f aca="false">'[1]8-Acomp. Hidrologia'!H31</f>
        <v>0</v>
      </c>
      <c r="M32" s="17"/>
      <c r="N32" s="53" t="s">
        <v>52</v>
      </c>
      <c r="O32" s="54" t="n">
        <v>28.6</v>
      </c>
      <c r="P32" s="54" t="n">
        <v>40.42</v>
      </c>
      <c r="Q32" s="56"/>
      <c r="R32" s="56"/>
    </row>
    <row r="33" customFormat="false" ht="12" hidden="false" customHeight="true" outlineLevel="0" collapsed="false">
      <c r="A33" s="67" t="s">
        <v>40</v>
      </c>
      <c r="B33" s="82" t="n">
        <f aca="false">'[1]1-Balanço Energético '!$B$27</f>
        <v>2570</v>
      </c>
      <c r="C33" s="59" t="n">
        <f aca="false">'[1]1-Balanço Energético '!$C$27</f>
        <v>2442.04166666667</v>
      </c>
      <c r="D33" s="60" t="n">
        <f aca="false">IF((OR(B33=0,AND(B33&lt;0,C33&gt;0),AND(B33&gt;0,C33&lt;0))),"n/m",((C33-B33)/B33)*100)</f>
        <v>-4.97892347600518</v>
      </c>
      <c r="E33" s="17"/>
      <c r="F33" s="37" t="s">
        <v>80</v>
      </c>
      <c r="G33" s="89"/>
      <c r="H33" s="102"/>
      <c r="I33" s="103"/>
      <c r="J33" s="103"/>
      <c r="K33" s="104"/>
      <c r="L33" s="105"/>
      <c r="M33" s="17"/>
      <c r="N33" s="53" t="s">
        <v>54</v>
      </c>
      <c r="O33" s="54" t="n">
        <v>19.4</v>
      </c>
      <c r="P33" s="54" t="n">
        <v>29.45</v>
      </c>
      <c r="Q33" s="56"/>
      <c r="R33" s="56"/>
    </row>
    <row r="34" customFormat="false" ht="12" hidden="false" customHeight="true" outlineLevel="0" collapsed="false">
      <c r="A34" s="67" t="s">
        <v>81</v>
      </c>
      <c r="B34" s="82" t="n">
        <f aca="false">'[1]1-Balanço Energético '!$B$28</f>
        <v>575</v>
      </c>
      <c r="C34" s="59" t="n">
        <f aca="false">'[1]1-Balanço Energético '!$C$28</f>
        <v>465.9625</v>
      </c>
      <c r="D34" s="60" t="n">
        <f aca="false">IF((OR(B34=0,AND(B34&lt;0,C34&gt;0),AND(B34&gt;0,C34&lt;0))),"n/m",((C34-B34)/B34)*100)</f>
        <v>-18.9630434782609</v>
      </c>
      <c r="E34" s="17"/>
      <c r="F34" s="96" t="s">
        <v>82</v>
      </c>
      <c r="G34" s="97" t="s">
        <v>83</v>
      </c>
      <c r="H34" s="106" t="n">
        <f aca="false">'[1]8-Acomp. Hidrologia'!E31</f>
        <v>35.51</v>
      </c>
      <c r="I34" s="106" t="n">
        <f aca="false">'[1]8-Acomp. Hidrologia'!F31</f>
        <v>1081</v>
      </c>
      <c r="J34" s="106" t="n">
        <f aca="false">'[1]8-Acomp. Hidrologia'!G31</f>
        <v>755</v>
      </c>
      <c r="K34" s="52" t="n">
        <f aca="false">I34-J34</f>
        <v>326</v>
      </c>
      <c r="L34" s="106" t="n">
        <f aca="false">'[1]8-Acomp. Hidrologia'!H33</f>
        <v>0</v>
      </c>
      <c r="M34" s="17"/>
      <c r="N34" s="53" t="s">
        <v>57</v>
      </c>
      <c r="O34" s="54" t="n">
        <v>17.4</v>
      </c>
      <c r="P34" s="54" t="n">
        <v>27.8019348268839</v>
      </c>
      <c r="Q34" s="56"/>
      <c r="R34" s="56"/>
    </row>
    <row r="35" customFormat="false" ht="12" hidden="false" customHeight="true" outlineLevel="0" collapsed="false">
      <c r="A35" s="69" t="s">
        <v>84</v>
      </c>
      <c r="B35" s="88" t="n">
        <f aca="false">'[1]1-Balanço Energético '!$B$29</f>
        <v>458</v>
      </c>
      <c r="C35" s="71" t="n">
        <f aca="false">'[1]1-Balanço Energético '!$C$29</f>
        <v>426.283333333333</v>
      </c>
      <c r="D35" s="72" t="n">
        <f aca="false">IF((OR(B35=0,AND(B35&lt;0,C35&gt;0),AND(B35&gt;0,C35&lt;0))),"n/m",((C35-B35)/B35)*100)</f>
        <v>-6.9250363901019</v>
      </c>
      <c r="E35" s="17"/>
      <c r="F35" s="98"/>
      <c r="G35" s="99" t="s">
        <v>85</v>
      </c>
      <c r="H35" s="107" t="n">
        <f aca="false">'[1]8-Acomp. Hidrologia'!E32</f>
        <v>100.5</v>
      </c>
      <c r="I35" s="107" t="n">
        <f aca="false">'[1]8-Acomp. Hidrologia'!F32</f>
        <v>14494</v>
      </c>
      <c r="J35" s="107" t="n">
        <f aca="false">'[1]8-Acomp. Hidrologia'!G32</f>
        <v>14088</v>
      </c>
      <c r="K35" s="87" t="n">
        <f aca="false">I35-J35</f>
        <v>406</v>
      </c>
      <c r="L35" s="107" t="n">
        <f aca="false">'[1]8-Acomp. Hidrologia'!H34</f>
        <v>0</v>
      </c>
      <c r="M35" s="17"/>
      <c r="N35" s="76" t="s">
        <v>60</v>
      </c>
      <c r="O35" s="77" t="n">
        <v>25.9</v>
      </c>
      <c r="P35" s="77" t="n">
        <v>40.7720648377054</v>
      </c>
      <c r="Q35" s="78"/>
      <c r="R35" s="78"/>
    </row>
    <row r="36" customFormat="false" ht="12" hidden="false" customHeight="true" outlineLevel="0" collapsed="false">
      <c r="A36" s="73"/>
      <c r="B36" s="74" t="str">
        <f aca="false">IF(ABS(B32-B33-B34-B35)&gt;1,"Check","")</f>
        <v>Check</v>
      </c>
      <c r="C36" s="74" t="str">
        <f aca="false">IF(ABS(C32-C33-C34-C35)&gt;1,"Check","")</f>
        <v/>
      </c>
      <c r="D36" s="95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</row>
    <row r="37" customFormat="false" ht="12" hidden="false" customHeight="true" outlineLevel="0" collapsed="false">
      <c r="A37" s="25" t="s">
        <v>86</v>
      </c>
      <c r="B37" s="26"/>
      <c r="C37" s="26"/>
      <c r="D37" s="27"/>
      <c r="E37" s="17"/>
      <c r="F37" s="11" t="s">
        <v>87</v>
      </c>
      <c r="G37" s="108"/>
      <c r="H37" s="108"/>
      <c r="I37" s="108"/>
      <c r="J37" s="108"/>
      <c r="K37" s="109"/>
      <c r="L37" s="17"/>
      <c r="M37" s="11" t="s">
        <v>88</v>
      </c>
      <c r="N37" s="108"/>
      <c r="O37" s="108"/>
      <c r="P37" s="108"/>
      <c r="Q37" s="108"/>
      <c r="R37" s="109"/>
    </row>
    <row r="38" customFormat="false" ht="12" hidden="false" customHeight="true" outlineLevel="0" collapsed="false">
      <c r="A38" s="33" t="s">
        <v>15</v>
      </c>
      <c r="B38" s="75" t="s">
        <v>16</v>
      </c>
      <c r="C38" s="35" t="s">
        <v>17</v>
      </c>
      <c r="D38" s="36" t="s">
        <v>18</v>
      </c>
      <c r="E38" s="17"/>
      <c r="F38" s="110"/>
      <c r="G38" s="40"/>
      <c r="H38" s="40"/>
      <c r="I38" s="40"/>
      <c r="J38" s="111"/>
      <c r="K38" s="41"/>
      <c r="L38" s="17"/>
      <c r="M38" s="112"/>
      <c r="N38" s="40"/>
      <c r="O38" s="40"/>
      <c r="P38" s="111"/>
      <c r="Q38" s="111"/>
      <c r="R38" s="113"/>
    </row>
    <row r="39" customFormat="false" ht="12" hidden="false" customHeight="true" outlineLevel="0" collapsed="false">
      <c r="A39" s="79" t="s">
        <v>23</v>
      </c>
      <c r="B39" s="80" t="n">
        <f aca="false">'[1]1-Balanço Energético '!$G$24</f>
        <v>6027</v>
      </c>
      <c r="C39" s="47" t="n">
        <f aca="false">'[1]1-Balanço Energético '!$H$24</f>
        <v>6183.10833333333</v>
      </c>
      <c r="D39" s="48" t="n">
        <f aca="false">IF((OR(B39=0,AND(B39&lt;0,C39&gt;0),AND(B39&gt;0,C39&lt;0))),"n/m",((C39-B39)/B39)*100)</f>
        <v>2.59014988109064</v>
      </c>
      <c r="E39" s="17"/>
      <c r="F39" s="33" t="s">
        <v>89</v>
      </c>
      <c r="G39" s="33"/>
      <c r="H39" s="33"/>
      <c r="I39" s="33"/>
      <c r="J39" s="33" t="s">
        <v>90</v>
      </c>
      <c r="K39" s="33"/>
      <c r="L39" s="17"/>
      <c r="M39" s="33" t="s">
        <v>91</v>
      </c>
      <c r="N39" s="33"/>
      <c r="O39" s="33"/>
      <c r="P39" s="33"/>
      <c r="Q39" s="33" t="s">
        <v>90</v>
      </c>
      <c r="R39" s="33"/>
    </row>
    <row r="40" customFormat="false" ht="12" hidden="false" customHeight="true" outlineLevel="0" collapsed="false">
      <c r="A40" s="57" t="s">
        <v>27</v>
      </c>
      <c r="B40" s="82" t="n">
        <f aca="false">'[1]1-Balanço Energético '!$G$25</f>
        <v>40</v>
      </c>
      <c r="C40" s="59" t="n">
        <f aca="false">'[1]1-Balanço Energético '!$H$25</f>
        <v>36</v>
      </c>
      <c r="D40" s="60" t="n">
        <f aca="false">IF((OR(B40=0,AND(B40&lt;0,C40&gt;0),AND(B40&gt;0,C40&lt;0))),"n/m",((C40-B40)/B40)*100)</f>
        <v>-10</v>
      </c>
      <c r="E40" s="17"/>
      <c r="F40" s="42" t="s">
        <v>20</v>
      </c>
      <c r="G40" s="114" t="n">
        <v>1999</v>
      </c>
      <c r="H40" s="114" t="n">
        <v>2000</v>
      </c>
      <c r="I40" s="44" t="s">
        <v>21</v>
      </c>
      <c r="J40" s="115" t="s">
        <v>92</v>
      </c>
      <c r="K40" s="44" t="s">
        <v>22</v>
      </c>
      <c r="L40" s="17"/>
      <c r="M40" s="42" t="s">
        <v>20</v>
      </c>
      <c r="N40" s="114" t="n">
        <v>1999</v>
      </c>
      <c r="O40" s="114" t="n">
        <v>2000</v>
      </c>
      <c r="P40" s="44" t="s">
        <v>21</v>
      </c>
      <c r="Q40" s="115" t="s">
        <v>92</v>
      </c>
      <c r="R40" s="44" t="s">
        <v>22</v>
      </c>
    </row>
    <row r="41" customFormat="false" ht="12" hidden="false" customHeight="true" outlineLevel="0" collapsed="false">
      <c r="A41" s="57" t="s">
        <v>33</v>
      </c>
      <c r="B41" s="82" t="n">
        <f aca="false">SUM(B39:B40)</f>
        <v>6067</v>
      </c>
      <c r="C41" s="59" t="n">
        <f aca="false">SUM(C39:C40)</f>
        <v>6219.10833333333</v>
      </c>
      <c r="D41" s="60" t="n">
        <f aca="false">IF((OR(B41=0,AND(B41&lt;0,C41&gt;0),AND(B41&gt;0,C41&lt;0))),"n/m",((C41-B41)/B41)*100)</f>
        <v>2.50714246469973</v>
      </c>
      <c r="E41" s="17"/>
      <c r="F41" s="53" t="s">
        <v>26</v>
      </c>
      <c r="G41" s="94" t="n">
        <v>27057.6</v>
      </c>
      <c r="H41" s="94" t="n">
        <v>27687</v>
      </c>
      <c r="I41" s="116" t="n">
        <v>28958.02996</v>
      </c>
      <c r="J41" s="117" t="n">
        <f aca="false">(H41-G41)/G41</f>
        <v>0.023261486606351</v>
      </c>
      <c r="K41" s="56" t="n">
        <f aca="false">(I41-H41)/H41</f>
        <v>0.0459071029725143</v>
      </c>
      <c r="L41" s="17"/>
      <c r="M41" s="53" t="s">
        <v>26</v>
      </c>
      <c r="N41" s="94" t="n">
        <v>28284.5</v>
      </c>
      <c r="O41" s="94" t="n">
        <v>29600</v>
      </c>
      <c r="P41" s="116" t="n">
        <v>31585.7492359709</v>
      </c>
      <c r="Q41" s="117" t="n">
        <f aca="false">(O41-N41)/N41</f>
        <v>0.0465095723806325</v>
      </c>
      <c r="R41" s="56" t="n">
        <f aca="false">(P41-O41)/O41</f>
        <v>0.0670861228368534</v>
      </c>
    </row>
    <row r="42" customFormat="false" ht="12" hidden="false" customHeight="true" outlineLevel="0" collapsed="false">
      <c r="A42" s="67" t="s">
        <v>40</v>
      </c>
      <c r="B42" s="82" t="n">
        <f aca="false">'[1]1-Balanço Energético '!$G$27</f>
        <v>6642</v>
      </c>
      <c r="C42" s="59" t="n">
        <f aca="false">'[1]1-Balanço Energético '!$H$27</f>
        <v>6685.07083333333</v>
      </c>
      <c r="D42" s="60" t="n">
        <f aca="false">IF((OR(B42=0,AND(B42&lt;0,C42&gt;0),AND(B42&gt;0,C42&lt;0))),"n/m",((C42-B42)/B42)*100)</f>
        <v>0.648461808692173</v>
      </c>
      <c r="E42" s="17"/>
      <c r="F42" s="53" t="s">
        <v>29</v>
      </c>
      <c r="G42" s="94" t="n">
        <v>25137</v>
      </c>
      <c r="H42" s="94" t="n">
        <v>26907</v>
      </c>
      <c r="I42" s="116" t="n">
        <v>26950.1757916667</v>
      </c>
      <c r="J42" s="117" t="n">
        <f aca="false">(H42-G42)/G42</f>
        <v>0.0704141305645065</v>
      </c>
      <c r="K42" s="56" t="n">
        <f aca="false">(I42-H42)/H42</f>
        <v>0.00160463045551969</v>
      </c>
      <c r="L42" s="17"/>
      <c r="M42" s="53" t="s">
        <v>29</v>
      </c>
      <c r="N42" s="94" t="n">
        <v>26344</v>
      </c>
      <c r="O42" s="94" t="n">
        <v>28701.1874666667</v>
      </c>
      <c r="P42" s="116" t="n">
        <v>29443.1454</v>
      </c>
      <c r="Q42" s="117" t="n">
        <f aca="false">(O42-N42)/N42</f>
        <v>0.0894772041704627</v>
      </c>
      <c r="R42" s="56" t="n">
        <f aca="false">(P42-O42)/O42</f>
        <v>0.0258511232050948</v>
      </c>
    </row>
    <row r="43" customFormat="false" ht="12" hidden="false" customHeight="true" outlineLevel="0" collapsed="false">
      <c r="A43" s="67" t="s">
        <v>93</v>
      </c>
      <c r="B43" s="82" t="n">
        <f aca="false">'[1]1-Balanço Energético '!$G$28</f>
        <v>-575</v>
      </c>
      <c r="C43" s="59" t="n">
        <f aca="false">'[1]1-Balanço Energético '!$H$28</f>
        <v>-465.9625</v>
      </c>
      <c r="D43" s="60" t="n">
        <f aca="false">IF((OR(B43=0,AND(B43&lt;0,C43&gt;0),AND(B43&gt;0,C43&lt;0))),"n/m",((C43-B43)/B43)*100)</f>
        <v>-18.9630434782609</v>
      </c>
      <c r="E43" s="17"/>
      <c r="F43" s="53" t="s">
        <v>32</v>
      </c>
      <c r="G43" s="94" t="n">
        <v>28507</v>
      </c>
      <c r="H43" s="94" t="n">
        <v>28799</v>
      </c>
      <c r="I43" s="56"/>
      <c r="J43" s="117" t="n">
        <f aca="false">(H43-G43)/G43</f>
        <v>0.0102430981864104</v>
      </c>
      <c r="K43" s="56"/>
      <c r="L43" s="17"/>
      <c r="M43" s="53" t="s">
        <v>32</v>
      </c>
      <c r="N43" s="94" t="n">
        <v>29826</v>
      </c>
      <c r="O43" s="94" t="n">
        <v>30509.932557</v>
      </c>
      <c r="P43" s="56"/>
      <c r="Q43" s="117" t="n">
        <f aca="false">(O43-N43)/N43</f>
        <v>0.0229307502514585</v>
      </c>
      <c r="R43" s="56"/>
    </row>
    <row r="44" customFormat="false" ht="12" hidden="false" customHeight="true" outlineLevel="0" collapsed="false">
      <c r="A44" s="69" t="s">
        <v>94</v>
      </c>
      <c r="B44" s="88" t="n">
        <f aca="false">'[1]1-Balanço Energético '!$G$29</f>
        <v>0</v>
      </c>
      <c r="C44" s="71" t="n">
        <f aca="false">'[1]1-Balanço Energético '!$H$29</f>
        <v>-1.4210854715202E-012</v>
      </c>
      <c r="D44" s="72" t="str">
        <f aca="false">IF((OR(B44=0,AND(B44&lt;0,C44&gt;0),AND(B44&gt;0,C44&lt;0))),"n/m",((C44-B44)/B44)*100)</f>
        <v>n/m</v>
      </c>
      <c r="E44" s="17"/>
      <c r="F44" s="53" t="s">
        <v>35</v>
      </c>
      <c r="G44" s="94" t="n">
        <v>26917</v>
      </c>
      <c r="H44" s="94" t="n">
        <v>27799</v>
      </c>
      <c r="I44" s="56"/>
      <c r="J44" s="117" t="n">
        <f aca="false">(H44-G44)/G44</f>
        <v>0.0327673960693985</v>
      </c>
      <c r="K44" s="56"/>
      <c r="L44" s="17"/>
      <c r="M44" s="53" t="s">
        <v>35</v>
      </c>
      <c r="N44" s="94" t="n">
        <v>28156</v>
      </c>
      <c r="O44" s="94" t="n">
        <v>27799</v>
      </c>
      <c r="P44" s="56"/>
      <c r="Q44" s="117" t="n">
        <f aca="false">(O44-N44)/N44</f>
        <v>-0.0126793578633329</v>
      </c>
      <c r="R44" s="56"/>
    </row>
    <row r="45" customFormat="false" ht="12" hidden="false" customHeight="true" outlineLevel="0" collapsed="false">
      <c r="A45" s="93"/>
      <c r="B45" s="94" t="str">
        <f aca="false">IF(ABS(-B41+B42+B43+B44)&gt;1,"Check","")</f>
        <v/>
      </c>
      <c r="C45" s="94" t="str">
        <f aca="false">IF(ABS(-C41+C42+C43+C44)&gt;1,"Check","")</f>
        <v/>
      </c>
      <c r="D45" s="95"/>
      <c r="E45" s="17"/>
      <c r="F45" s="53" t="s">
        <v>39</v>
      </c>
      <c r="G45" s="94" t="n">
        <v>27147</v>
      </c>
      <c r="H45" s="94" t="n">
        <v>28801</v>
      </c>
      <c r="I45" s="56"/>
      <c r="J45" s="117" t="n">
        <f aca="false">(H45-G45)/G45</f>
        <v>0.0609275426382289</v>
      </c>
      <c r="K45" s="56"/>
      <c r="L45" s="17"/>
      <c r="M45" s="53" t="s">
        <v>39</v>
      </c>
      <c r="N45" s="94" t="n">
        <v>28528.245</v>
      </c>
      <c r="O45" s="94" t="n">
        <v>30294.6867</v>
      </c>
      <c r="P45" s="56"/>
      <c r="Q45" s="117" t="n">
        <f aca="false">(O45-N45)/N45</f>
        <v>0.0619190454933346</v>
      </c>
      <c r="R45" s="56"/>
    </row>
    <row r="46" customFormat="false" ht="12" hidden="false" customHeight="true" outlineLevel="0" collapsed="false">
      <c r="A46" s="112"/>
      <c r="B46" s="33" t="s">
        <v>17</v>
      </c>
      <c r="C46" s="40"/>
      <c r="D46" s="41"/>
      <c r="E46" s="17"/>
      <c r="F46" s="53" t="s">
        <v>42</v>
      </c>
      <c r="G46" s="94" t="n">
        <v>26576</v>
      </c>
      <c r="H46" s="94" t="n">
        <v>27362</v>
      </c>
      <c r="I46" s="56"/>
      <c r="J46" s="117" t="n">
        <f aca="false">(H46-G46)/G46</f>
        <v>0.0295755568934377</v>
      </c>
      <c r="K46" s="56"/>
      <c r="L46" s="17"/>
      <c r="M46" s="53" t="s">
        <v>42</v>
      </c>
      <c r="N46" s="94" t="n">
        <v>27875.0342</v>
      </c>
      <c r="O46" s="94" t="n">
        <v>29204.74065</v>
      </c>
      <c r="P46" s="56"/>
      <c r="Q46" s="117" t="n">
        <f aca="false">(O46-N46)/N46</f>
        <v>0.04770241501623</v>
      </c>
      <c r="R46" s="56"/>
    </row>
    <row r="47" customFormat="false" ht="12" hidden="false" customHeight="true" outlineLevel="0" collapsed="false">
      <c r="A47" s="118" t="s">
        <v>95</v>
      </c>
      <c r="B47" s="119" t="n">
        <f aca="false">'[1]1-Balanço Energético '!$G$18</f>
        <v>5726.225</v>
      </c>
      <c r="C47" s="40"/>
      <c r="D47" s="120" t="str">
        <f aca="false">IF(ABS(B47-Page2!G68&gt;1),"Check","")</f>
        <v/>
      </c>
      <c r="E47" s="17"/>
      <c r="F47" s="53" t="s">
        <v>45</v>
      </c>
      <c r="G47" s="94" t="n">
        <v>27818</v>
      </c>
      <c r="H47" s="94" t="n">
        <v>27666</v>
      </c>
      <c r="I47" s="56"/>
      <c r="J47" s="117" t="n">
        <f aca="false">(H47-G47)/G47</f>
        <v>-0.00546408800057517</v>
      </c>
      <c r="K47" s="56"/>
      <c r="L47" s="17"/>
      <c r="M47" s="53" t="s">
        <v>45</v>
      </c>
      <c r="N47" s="94" t="n">
        <v>28840</v>
      </c>
      <c r="O47" s="94" t="n">
        <v>29739</v>
      </c>
      <c r="P47" s="56"/>
      <c r="Q47" s="117" t="n">
        <f aca="false">(O47-N47)/N47</f>
        <v>0.0311719833564494</v>
      </c>
      <c r="R47" s="56"/>
    </row>
    <row r="48" customFormat="false" ht="12" hidden="false" customHeight="true" outlineLevel="0" collapsed="false">
      <c r="A48" s="121" t="s">
        <v>96</v>
      </c>
      <c r="B48" s="122" t="n">
        <f aca="false">'[1]1-Balanço Energético '!$G$19</f>
        <v>3997.67083333333</v>
      </c>
      <c r="C48" s="39" t="str">
        <f aca="false">IF(B47+B48-C13&gt;1,"Check","")</f>
        <v/>
      </c>
      <c r="D48" s="120" t="str">
        <f aca="false">IF(ABS(B48-Page2!G69&gt;1),"Check","")</f>
        <v/>
      </c>
      <c r="E48" s="17"/>
      <c r="F48" s="53" t="s">
        <v>48</v>
      </c>
      <c r="G48" s="94" t="n">
        <v>27884</v>
      </c>
      <c r="H48" s="94" t="n">
        <v>27797.48</v>
      </c>
      <c r="I48" s="56"/>
      <c r="J48" s="117" t="n">
        <f aca="false">(H48-G48)/G48</f>
        <v>-0.00310285468368959</v>
      </c>
      <c r="K48" s="56"/>
      <c r="L48" s="17"/>
      <c r="M48" s="53" t="s">
        <v>48</v>
      </c>
      <c r="N48" s="94" t="n">
        <v>29228.86095</v>
      </c>
      <c r="O48" s="94" t="n">
        <v>30567.1849</v>
      </c>
      <c r="P48" s="56"/>
      <c r="Q48" s="117" t="n">
        <f aca="false">(O48-N48)/N48</f>
        <v>0.0457877558858484</v>
      </c>
      <c r="R48" s="56"/>
    </row>
    <row r="49" customFormat="false" ht="12" hidden="false" customHeight="true" outlineLevel="0" collapsed="false">
      <c r="A49" s="123" t="s">
        <v>43</v>
      </c>
      <c r="B49" s="124" t="n">
        <f aca="false">'[1]1-Balanço Energético '!$G$20</f>
        <v>-673.725</v>
      </c>
      <c r="C49" s="125" t="str">
        <f aca="false">IF(B49-C15&gt;1,"Check","")</f>
        <v/>
      </c>
      <c r="D49" s="126"/>
      <c r="E49" s="17"/>
      <c r="F49" s="53" t="s">
        <v>52</v>
      </c>
      <c r="G49" s="94" t="n">
        <v>27287</v>
      </c>
      <c r="H49" s="94" t="n">
        <v>27472</v>
      </c>
      <c r="I49" s="56"/>
      <c r="J49" s="117" t="n">
        <f aca="false">(H49-G49)/G49</f>
        <v>0.00677978524572141</v>
      </c>
      <c r="K49" s="56"/>
      <c r="L49" s="17"/>
      <c r="M49" s="53" t="s">
        <v>52</v>
      </c>
      <c r="N49" s="94" t="n">
        <v>28692.31395</v>
      </c>
      <c r="O49" s="94" t="n">
        <v>29592.63922</v>
      </c>
      <c r="P49" s="56"/>
      <c r="Q49" s="117" t="n">
        <f aca="false">(O49-N49)/N49</f>
        <v>0.0313786218695685</v>
      </c>
      <c r="R49" s="56"/>
    </row>
    <row r="50" customFormat="false" ht="12" hidden="false" customHeight="true" outlineLevel="0" collapsed="false">
      <c r="A50" s="127" t="s">
        <v>97</v>
      </c>
      <c r="B50" s="40"/>
      <c r="C50" s="40"/>
      <c r="D50" s="40"/>
      <c r="E50" s="17"/>
      <c r="F50" s="53" t="s">
        <v>54</v>
      </c>
      <c r="G50" s="94" t="n">
        <v>27759</v>
      </c>
      <c r="H50" s="94" t="n">
        <v>30031</v>
      </c>
      <c r="I50" s="56"/>
      <c r="J50" s="117" t="n">
        <f aca="false">(H50-G50)/G50</f>
        <v>0.0818473287942649</v>
      </c>
      <c r="K50" s="56"/>
      <c r="L50" s="17"/>
      <c r="M50" s="53" t="s">
        <v>54</v>
      </c>
      <c r="N50" s="94" t="n">
        <v>29280.68655</v>
      </c>
      <c r="O50" s="94" t="n">
        <v>31630</v>
      </c>
      <c r="P50" s="56"/>
      <c r="Q50" s="117" t="n">
        <f aca="false">(O50-N50)/N50</f>
        <v>0.0802342337837021</v>
      </c>
      <c r="R50" s="56"/>
    </row>
    <row r="51" customFormat="false" ht="12" hidden="false" customHeight="true" outlineLevel="0" collapsed="false">
      <c r="A51" s="40"/>
      <c r="B51" s="40"/>
      <c r="C51" s="40"/>
      <c r="D51" s="40"/>
      <c r="E51" s="17"/>
      <c r="F51" s="53" t="s">
        <v>57</v>
      </c>
      <c r="G51" s="94" t="n">
        <v>26734</v>
      </c>
      <c r="H51" s="94" t="n">
        <v>27567</v>
      </c>
      <c r="I51" s="56"/>
      <c r="J51" s="117" t="n">
        <f aca="false">(H51-G51)/G51</f>
        <v>0.0311588239694771</v>
      </c>
      <c r="K51" s="56"/>
      <c r="L51" s="17"/>
      <c r="M51" s="53" t="s">
        <v>57</v>
      </c>
      <c r="N51" s="94" t="n">
        <v>28449.43325</v>
      </c>
      <c r="O51" s="94" t="n">
        <v>30100.8829233333</v>
      </c>
      <c r="P51" s="56"/>
      <c r="Q51" s="117" t="n">
        <f aca="false">(O51-N51)/N51</f>
        <v>0.058048596568557</v>
      </c>
      <c r="R51" s="56"/>
    </row>
    <row r="52" customFormat="false" ht="12" hidden="false" customHeight="true" outlineLevel="0" collapsed="false">
      <c r="A52" s="8" t="s">
        <v>98</v>
      </c>
      <c r="B52" s="9"/>
      <c r="C52" s="9"/>
      <c r="D52" s="10"/>
      <c r="E52" s="17"/>
      <c r="F52" s="76" t="s">
        <v>60</v>
      </c>
      <c r="G52" s="128" t="n">
        <v>27700.647</v>
      </c>
      <c r="H52" s="128" t="n">
        <v>27569.8486786667</v>
      </c>
      <c r="I52" s="78"/>
      <c r="J52" s="129" t="n">
        <f aca="false">(H52-G52)/G52</f>
        <v>-0.00472185076880449</v>
      </c>
      <c r="K52" s="78"/>
      <c r="L52" s="17"/>
      <c r="M52" s="76" t="s">
        <v>60</v>
      </c>
      <c r="N52" s="128" t="n">
        <v>29613.1733</v>
      </c>
      <c r="O52" s="128" t="n">
        <v>30892.0916532139</v>
      </c>
      <c r="P52" s="56"/>
      <c r="Q52" s="129" t="n">
        <f aca="false">(O52-N52)/N52</f>
        <v>0.0431874807963897</v>
      </c>
      <c r="R52" s="78"/>
    </row>
    <row r="53" customFormat="false" ht="12.75" hidden="false" customHeight="true" outlineLevel="0" collapsed="false">
      <c r="A53" s="130" t="s">
        <v>99</v>
      </c>
      <c r="B53" s="131" t="s">
        <v>100</v>
      </c>
      <c r="C53" s="132" t="s">
        <v>101</v>
      </c>
      <c r="D53" s="133" t="s">
        <v>102</v>
      </c>
      <c r="E53" s="17"/>
      <c r="F53" s="134"/>
      <c r="G53" s="135"/>
      <c r="H53" s="135"/>
      <c r="I53" s="135"/>
      <c r="J53" s="135"/>
      <c r="K53" s="136"/>
      <c r="L53" s="17"/>
      <c r="M53" s="42" t="s">
        <v>103</v>
      </c>
      <c r="N53" s="137" t="n">
        <f aca="false">SUM(N41:N52)</f>
        <v>343118.2472</v>
      </c>
      <c r="O53" s="137" t="n">
        <f aca="false">SUM(O41:O52)</f>
        <v>358631.346070214</v>
      </c>
      <c r="P53" s="137"/>
      <c r="Q53" s="138" t="n">
        <f aca="false">O53/N53-1</f>
        <v>0.045212106895532</v>
      </c>
      <c r="R53" s="139"/>
    </row>
    <row r="54" customFormat="false" ht="12" hidden="false" customHeight="true" outlineLevel="0" collapsed="false">
      <c r="A54" s="140" t="s">
        <v>104</v>
      </c>
      <c r="B54" s="141" t="n">
        <f aca="false">'[1]4-Disponibilidade'!F43</f>
        <v>8776</v>
      </c>
      <c r="C54" s="142" t="n">
        <f aca="false">'[1]4-Disponibilidade'!G43</f>
        <v>1498</v>
      </c>
      <c r="D54" s="143" t="n">
        <f aca="false">SUM(B54:C54)</f>
        <v>10274</v>
      </c>
      <c r="E54" s="17"/>
      <c r="F54" s="144"/>
      <c r="G54" s="145"/>
      <c r="H54" s="145"/>
      <c r="I54" s="145"/>
      <c r="J54" s="145"/>
      <c r="K54" s="113"/>
      <c r="L54" s="17"/>
      <c r="M54" s="146"/>
      <c r="N54" s="146"/>
      <c r="O54" s="146"/>
      <c r="P54" s="146"/>
      <c r="Q54" s="146"/>
      <c r="R54" s="17"/>
    </row>
    <row r="55" customFormat="false" ht="12" hidden="false" customHeight="true" outlineLevel="0" collapsed="false">
      <c r="A55" s="147" t="s">
        <v>105</v>
      </c>
      <c r="B55" s="148" t="n">
        <f aca="false">'[1]4-Disponibilidade'!F44</f>
        <v>34962</v>
      </c>
      <c r="C55" s="149" t="n">
        <f aca="false">'[1]4-Disponibilidade'!G44</f>
        <v>2598</v>
      </c>
      <c r="D55" s="150" t="n">
        <f aca="false">SUM(B55:C55)</f>
        <v>37560</v>
      </c>
      <c r="E55" s="17"/>
      <c r="F55" s="33" t="s">
        <v>106</v>
      </c>
      <c r="G55" s="33"/>
      <c r="H55" s="33"/>
      <c r="I55" s="33"/>
      <c r="J55" s="33" t="s">
        <v>90</v>
      </c>
      <c r="K55" s="33"/>
      <c r="L55" s="17"/>
      <c r="M55" s="11" t="s">
        <v>107</v>
      </c>
      <c r="N55" s="108"/>
      <c r="O55" s="108"/>
      <c r="P55" s="108"/>
      <c r="Q55" s="108"/>
      <c r="R55" s="109"/>
    </row>
    <row r="56" customFormat="false" ht="13.5" hidden="false" customHeight="true" outlineLevel="0" collapsed="false">
      <c r="A56" s="147" t="s">
        <v>108</v>
      </c>
      <c r="B56" s="148" t="n">
        <f aca="false">SUM(B54:B55)</f>
        <v>43738</v>
      </c>
      <c r="C56" s="149" t="n">
        <f aca="false">SUM(C54:C55)</f>
        <v>4096</v>
      </c>
      <c r="D56" s="150" t="n">
        <f aca="false">SUM(B56:C56)</f>
        <v>47834</v>
      </c>
      <c r="E56" s="17"/>
      <c r="F56" s="42" t="s">
        <v>20</v>
      </c>
      <c r="G56" s="114" t="n">
        <v>1999</v>
      </c>
      <c r="H56" s="114" t="n">
        <v>2000</v>
      </c>
      <c r="I56" s="44" t="s">
        <v>21</v>
      </c>
      <c r="J56" s="115" t="s">
        <v>92</v>
      </c>
      <c r="K56" s="44" t="s">
        <v>22</v>
      </c>
      <c r="L56" s="17"/>
      <c r="M56" s="151"/>
      <c r="N56" s="145"/>
      <c r="O56" s="145"/>
      <c r="P56" s="145"/>
      <c r="Q56" s="145"/>
      <c r="R56" s="113"/>
    </row>
    <row r="57" customFormat="false" ht="13.5" hidden="false" customHeight="true" outlineLevel="0" collapsed="false">
      <c r="A57" s="147" t="s">
        <v>109</v>
      </c>
      <c r="B57" s="148" t="n">
        <f aca="false">'[1]4-Disponibilidade'!F46</f>
        <v>3850</v>
      </c>
      <c r="C57" s="152" t="str">
        <f aca="false">'[1]4-Disponibilidade'!G46</f>
        <v>-</v>
      </c>
      <c r="D57" s="150" t="n">
        <f aca="false">SUM(B57:C57)</f>
        <v>3850</v>
      </c>
      <c r="E57" s="17"/>
      <c r="F57" s="53" t="s">
        <v>26</v>
      </c>
      <c r="G57" s="94" t="n">
        <v>1226.9</v>
      </c>
      <c r="H57" s="94" t="n">
        <v>1871</v>
      </c>
      <c r="I57" s="94" t="n">
        <v>2415.2691</v>
      </c>
      <c r="J57" s="117" t="n">
        <f aca="false">(H57-G57)/G57</f>
        <v>0.524981661097074</v>
      </c>
      <c r="K57" s="56" t="n">
        <f aca="false">(I57-H57)/H57</f>
        <v>0.290897434526991</v>
      </c>
      <c r="L57" s="17"/>
      <c r="M57" s="153" t="s">
        <v>110</v>
      </c>
      <c r="N57" s="154"/>
      <c r="O57" s="154"/>
      <c r="P57" s="154"/>
      <c r="Q57" s="154"/>
      <c r="R57" s="155"/>
      <c r="S57" s="156"/>
    </row>
    <row r="58" customFormat="false" ht="13.5" hidden="false" customHeight="true" outlineLevel="0" collapsed="false">
      <c r="A58" s="147" t="s">
        <v>111</v>
      </c>
      <c r="B58" s="148" t="n">
        <f aca="false">'[1]4-Disponibilidade'!F47</f>
        <v>8737</v>
      </c>
      <c r="C58" s="152" t="n">
        <f aca="false">'[1]4-Disponibilidade'!G47</f>
        <v>40</v>
      </c>
      <c r="D58" s="150" t="n">
        <f aca="false">SUM(B58:C58)</f>
        <v>8777</v>
      </c>
      <c r="E58" s="17"/>
      <c r="F58" s="53" t="s">
        <v>29</v>
      </c>
      <c r="G58" s="94" t="n">
        <v>1207</v>
      </c>
      <c r="H58" s="94" t="n">
        <v>1775</v>
      </c>
      <c r="I58" s="94" t="n">
        <v>2458.46044166667</v>
      </c>
      <c r="J58" s="117" t="n">
        <f aca="false">(H58-G58)/G58</f>
        <v>0.470588235294118</v>
      </c>
      <c r="K58" s="56" t="n">
        <f aca="false">(I58-H58)/H58</f>
        <v>0.385048136150235</v>
      </c>
      <c r="L58" s="17"/>
      <c r="M58" s="157"/>
      <c r="N58" s="158" t="s">
        <v>112</v>
      </c>
      <c r="O58" s="158" t="s">
        <v>113</v>
      </c>
      <c r="P58" s="158" t="s">
        <v>114</v>
      </c>
      <c r="Q58" s="158"/>
      <c r="R58" s="159"/>
      <c r="S58" s="156"/>
    </row>
    <row r="59" customFormat="false" ht="11.25" hidden="false" customHeight="false" outlineLevel="0" collapsed="false">
      <c r="A59" s="147" t="s">
        <v>115</v>
      </c>
      <c r="B59" s="148" t="n">
        <f aca="false">SUM(B57:B58)</f>
        <v>12587</v>
      </c>
      <c r="C59" s="152" t="n">
        <f aca="false">SUM(C57:C58)</f>
        <v>40</v>
      </c>
      <c r="D59" s="150" t="n">
        <f aca="false">SUM(B59:C59)</f>
        <v>12627</v>
      </c>
      <c r="E59" s="17"/>
      <c r="F59" s="53" t="s">
        <v>32</v>
      </c>
      <c r="G59" s="94" t="n">
        <v>1319</v>
      </c>
      <c r="H59" s="94" t="n">
        <v>1681</v>
      </c>
      <c r="I59" s="56"/>
      <c r="J59" s="117" t="n">
        <f aca="false">(H59-G59)/G59</f>
        <v>0.274450341167551</v>
      </c>
      <c r="K59" s="56"/>
      <c r="L59" s="17"/>
      <c r="M59" s="37" t="s">
        <v>19</v>
      </c>
      <c r="N59" s="160" t="n">
        <v>86</v>
      </c>
      <c r="O59" s="160" t="n">
        <v>71</v>
      </c>
      <c r="P59" s="160" t="n">
        <v>63</v>
      </c>
      <c r="Q59" s="160"/>
      <c r="R59" s="56"/>
      <c r="S59" s="156"/>
    </row>
    <row r="60" customFormat="false" ht="12" hidden="false" customHeight="false" outlineLevel="0" collapsed="false">
      <c r="A60" s="161" t="s">
        <v>102</v>
      </c>
      <c r="B60" s="162" t="n">
        <f aca="false">B56+B59</f>
        <v>56325</v>
      </c>
      <c r="C60" s="163" t="n">
        <f aca="false">C56+C59</f>
        <v>4136</v>
      </c>
      <c r="D60" s="164" t="n">
        <f aca="false">SUM(B60:C60)</f>
        <v>60461</v>
      </c>
      <c r="E60" s="17"/>
      <c r="F60" s="53" t="s">
        <v>35</v>
      </c>
      <c r="G60" s="94" t="n">
        <v>1239</v>
      </c>
      <c r="H60" s="94" t="n">
        <v>1415</v>
      </c>
      <c r="I60" s="56"/>
      <c r="J60" s="117" t="n">
        <f aca="false">(H60-G60)/G60</f>
        <v>0.142050040355125</v>
      </c>
      <c r="K60" s="56"/>
      <c r="L60" s="17"/>
      <c r="M60" s="37" t="s">
        <v>70</v>
      </c>
      <c r="N60" s="160" t="n">
        <v>166</v>
      </c>
      <c r="O60" s="160" t="n">
        <v>184</v>
      </c>
      <c r="P60" s="160" t="n">
        <v>168</v>
      </c>
      <c r="Q60" s="160"/>
      <c r="R60" s="56"/>
      <c r="S60" s="156"/>
    </row>
    <row r="61" customFormat="false" ht="11.25" hidden="false" customHeight="false" outlineLevel="0" collapsed="false">
      <c r="A61" s="17"/>
      <c r="B61" s="165" t="str">
        <f aca="false">IF(B60-Page2!E108&gt;1,"Check","")</f>
        <v/>
      </c>
      <c r="C61" s="165" t="e">
        <f aca="false">IF(C60-Page2!P24&gt;1,"Check","")</f>
        <v>#N/A</v>
      </c>
      <c r="D61" s="17"/>
      <c r="E61" s="17"/>
      <c r="F61" s="53" t="s">
        <v>39</v>
      </c>
      <c r="G61" s="94" t="n">
        <v>1340</v>
      </c>
      <c r="H61" s="94" t="n">
        <v>1335</v>
      </c>
      <c r="I61" s="56"/>
      <c r="J61" s="117" t="n">
        <f aca="false">(H61-G61)/G61</f>
        <v>-0.00373134328358209</v>
      </c>
      <c r="K61" s="56"/>
      <c r="L61" s="17"/>
      <c r="M61" s="37" t="s">
        <v>75</v>
      </c>
      <c r="N61" s="160" t="n">
        <v>42</v>
      </c>
      <c r="O61" s="160" t="n">
        <v>38</v>
      </c>
      <c r="P61" s="160" t="n">
        <v>34</v>
      </c>
      <c r="Q61" s="160"/>
      <c r="R61" s="56"/>
      <c r="S61" s="156"/>
    </row>
    <row r="62" customFormat="false" ht="12" hidden="false" customHeight="false" outlineLevel="0" collapsed="false">
      <c r="A62" s="17"/>
      <c r="B62" s="17"/>
      <c r="C62" s="17"/>
      <c r="D62" s="17"/>
      <c r="E62" s="17"/>
      <c r="F62" s="53" t="s">
        <v>42</v>
      </c>
      <c r="G62" s="94" t="n">
        <v>1272</v>
      </c>
      <c r="H62" s="94" t="n">
        <v>1413</v>
      </c>
      <c r="I62" s="56"/>
      <c r="J62" s="117" t="n">
        <f aca="false">(H62-G62)/G62</f>
        <v>0.110849056603774</v>
      </c>
      <c r="K62" s="56"/>
      <c r="L62" s="17"/>
      <c r="M62" s="166" t="s">
        <v>116</v>
      </c>
      <c r="N62" s="167" t="n">
        <v>85</v>
      </c>
      <c r="O62" s="167" t="n">
        <v>74</v>
      </c>
      <c r="P62" s="167" t="n">
        <v>72</v>
      </c>
      <c r="Q62" s="167"/>
      <c r="R62" s="78"/>
      <c r="S62" s="156"/>
    </row>
    <row r="63" customFormat="false" ht="13.5" hidden="false" customHeight="false" outlineLevel="0" collapsed="false">
      <c r="A63" s="5" t="s">
        <v>117</v>
      </c>
      <c r="B63" s="168"/>
      <c r="C63" s="168"/>
      <c r="D63" s="169"/>
      <c r="E63" s="17"/>
      <c r="F63" s="53" t="s">
        <v>45</v>
      </c>
      <c r="G63" s="94" t="n">
        <v>988</v>
      </c>
      <c r="H63" s="94" t="n">
        <v>1351</v>
      </c>
      <c r="I63" s="56"/>
      <c r="J63" s="117" t="n">
        <f aca="false">(H63-G63)/G63</f>
        <v>0.367408906882591</v>
      </c>
      <c r="K63" s="56"/>
      <c r="L63" s="17"/>
      <c r="M63" s="153" t="s">
        <v>118</v>
      </c>
      <c r="N63" s="170"/>
      <c r="O63" s="170"/>
      <c r="P63" s="171"/>
      <c r="Q63" s="171"/>
      <c r="R63" s="172"/>
      <c r="S63" s="156"/>
    </row>
    <row r="64" customFormat="false" ht="11.25" hidden="false" customHeight="false" outlineLevel="0" collapsed="false">
      <c r="A64" s="53" t="s">
        <v>119</v>
      </c>
      <c r="B64" s="173" t="n">
        <f aca="false">-'[1]9-Energético'!$H$58/24*1000</f>
        <v>45.2125</v>
      </c>
      <c r="C64" s="174"/>
      <c r="D64" s="175"/>
      <c r="E64" s="17"/>
      <c r="F64" s="53" t="s">
        <v>48</v>
      </c>
      <c r="G64" s="94" t="n">
        <v>1315</v>
      </c>
      <c r="H64" s="94" t="n">
        <v>1982.83</v>
      </c>
      <c r="I64" s="56"/>
      <c r="J64" s="117" t="n">
        <f aca="false">(H64-G64)/G64</f>
        <v>0.507855513307985</v>
      </c>
      <c r="K64" s="56"/>
      <c r="L64" s="17"/>
      <c r="M64" s="157"/>
      <c r="N64" s="158" t="s">
        <v>112</v>
      </c>
      <c r="O64" s="158" t="s">
        <v>113</v>
      </c>
      <c r="P64" s="158" t="s">
        <v>114</v>
      </c>
      <c r="Q64" s="158"/>
      <c r="R64" s="56"/>
      <c r="S64" s="156"/>
    </row>
    <row r="65" customFormat="false" ht="11.25" hidden="false" customHeight="false" outlineLevel="0" collapsed="false">
      <c r="A65" s="53" t="s">
        <v>120</v>
      </c>
      <c r="B65" s="173" t="n">
        <f aca="false">-'[1]9-Energético'!$H$59/24*1000</f>
        <v>-0</v>
      </c>
      <c r="C65" s="174"/>
      <c r="D65" s="175"/>
      <c r="E65" s="17"/>
      <c r="F65" s="53" t="s">
        <v>52</v>
      </c>
      <c r="G65" s="94" t="n">
        <v>1378</v>
      </c>
      <c r="H65" s="94" t="n">
        <v>1178</v>
      </c>
      <c r="I65" s="56"/>
      <c r="J65" s="117" t="n">
        <f aca="false">(H65-G65)/G65</f>
        <v>-0.145137880986938</v>
      </c>
      <c r="K65" s="56"/>
      <c r="L65" s="17"/>
      <c r="M65" s="37" t="s">
        <v>19</v>
      </c>
      <c r="N65" s="176" t="n">
        <v>41.8</v>
      </c>
      <c r="O65" s="176" t="n">
        <v>36.2</v>
      </c>
      <c r="P65" s="176" t="n">
        <v>35.6</v>
      </c>
      <c r="Q65" s="176"/>
      <c r="R65" s="177"/>
      <c r="S65" s="156"/>
    </row>
    <row r="66" customFormat="false" ht="13.5" hidden="false" customHeight="true" outlineLevel="0" collapsed="false">
      <c r="A66" s="98" t="s">
        <v>102</v>
      </c>
      <c r="B66" s="178" t="n">
        <f aca="false">SUM(B64:B65)</f>
        <v>45.2125</v>
      </c>
      <c r="C66" s="179" t="str">
        <f aca="false">IF(B66-C26&gt;1,"Check","")</f>
        <v/>
      </c>
      <c r="D66" s="180"/>
      <c r="E66" s="17"/>
      <c r="F66" s="53" t="s">
        <v>54</v>
      </c>
      <c r="G66" s="94" t="n">
        <v>1491</v>
      </c>
      <c r="H66" s="94" t="n">
        <v>1500</v>
      </c>
      <c r="I66" s="56"/>
      <c r="J66" s="117" t="n">
        <f aca="false">(H66-G66)/G66</f>
        <v>0.00603621730382294</v>
      </c>
      <c r="K66" s="56"/>
      <c r="L66" s="17"/>
      <c r="M66" s="37" t="s">
        <v>70</v>
      </c>
      <c r="N66" s="176" t="n">
        <v>97</v>
      </c>
      <c r="O66" s="176" t="n">
        <v>97.4</v>
      </c>
      <c r="P66" s="176" t="n">
        <v>93.8</v>
      </c>
      <c r="Q66" s="176"/>
      <c r="R66" s="177"/>
      <c r="S66" s="156"/>
    </row>
    <row r="67" customFormat="false" ht="12.75" hidden="false" customHeight="false" outlineLevel="0" collapsed="false">
      <c r="A67" s="17"/>
      <c r="E67" s="17"/>
      <c r="F67" s="53" t="s">
        <v>57</v>
      </c>
      <c r="G67" s="94" t="n">
        <v>1647</v>
      </c>
      <c r="H67" s="94" t="n">
        <v>2261</v>
      </c>
      <c r="I67" s="56"/>
      <c r="J67" s="117" t="n">
        <f aca="false">(H67-G67)/G67</f>
        <v>0.372799028536733</v>
      </c>
      <c r="K67" s="56"/>
      <c r="L67" s="17"/>
      <c r="M67" s="37" t="s">
        <v>75</v>
      </c>
      <c r="N67" s="176" t="n">
        <v>37.8</v>
      </c>
      <c r="O67" s="176" t="n">
        <v>36</v>
      </c>
      <c r="P67" s="176" t="n">
        <v>35.3</v>
      </c>
      <c r="Q67" s="176"/>
      <c r="R67" s="177"/>
      <c r="S67" s="156"/>
    </row>
    <row r="68" customFormat="false" ht="13.5" hidden="false" customHeight="false" outlineLevel="0" collapsed="false">
      <c r="E68" s="17"/>
      <c r="F68" s="76" t="s">
        <v>60</v>
      </c>
      <c r="G68" s="128" t="n">
        <v>1846.2556</v>
      </c>
      <c r="H68" s="128" t="n">
        <v>2635.07377916667</v>
      </c>
      <c r="I68" s="78"/>
      <c r="J68" s="129" t="n">
        <f aca="false">(H68-G68)/G68</f>
        <v>0.427252964956026</v>
      </c>
      <c r="K68" s="78"/>
      <c r="L68" s="17"/>
      <c r="M68" s="166" t="s">
        <v>116</v>
      </c>
      <c r="N68" s="181" t="n">
        <v>73.3</v>
      </c>
      <c r="O68" s="181" t="n">
        <v>72.6</v>
      </c>
      <c r="P68" s="181" t="n">
        <v>72.5</v>
      </c>
      <c r="Q68" s="181"/>
      <c r="R68" s="182"/>
      <c r="S68" s="156"/>
    </row>
    <row r="69" customFormat="false" ht="13.5" hidden="false" customHeight="false" outlineLevel="0" collapsed="false">
      <c r="A69" s="5" t="s">
        <v>121</v>
      </c>
      <c r="B69" s="6"/>
      <c r="C69" s="6"/>
      <c r="D69" s="7"/>
      <c r="E69" s="17"/>
      <c r="F69" s="17"/>
      <c r="G69" s="17"/>
      <c r="H69" s="17"/>
      <c r="I69" s="17"/>
      <c r="J69" s="17"/>
      <c r="K69" s="17"/>
      <c r="L69" s="17"/>
      <c r="M69" s="183"/>
      <c r="N69" s="94"/>
      <c r="O69" s="94"/>
      <c r="P69" s="184"/>
      <c r="Q69" s="184"/>
      <c r="R69" s="184"/>
      <c r="S69" s="185"/>
    </row>
    <row r="70" customFormat="false" ht="11.25" hidden="false" customHeight="false" outlineLevel="0" collapsed="false">
      <c r="A70" s="37"/>
      <c r="B70" s="186"/>
      <c r="C70" s="158"/>
      <c r="D70" s="187"/>
      <c r="E70" s="17"/>
      <c r="F70" s="17"/>
      <c r="G70" s="17"/>
      <c r="H70" s="17"/>
      <c r="I70" s="17"/>
      <c r="J70" s="17"/>
      <c r="K70" s="17"/>
      <c r="L70" s="17"/>
      <c r="M70" s="183"/>
      <c r="N70" s="94"/>
      <c r="O70" s="94"/>
      <c r="P70" s="184"/>
      <c r="Q70" s="184"/>
      <c r="R70" s="184"/>
      <c r="S70" s="185"/>
    </row>
    <row r="71" customFormat="false" ht="11.25" hidden="false" customHeight="false" outlineLevel="0" collapsed="false">
      <c r="A71" s="93" t="s">
        <v>122</v>
      </c>
      <c r="B71" s="188"/>
      <c r="C71" s="189" t="s">
        <v>123</v>
      </c>
      <c r="D71" s="190"/>
      <c r="E71" s="17"/>
      <c r="F71" s="17"/>
      <c r="G71" s="17"/>
      <c r="H71" s="17"/>
      <c r="I71" s="17"/>
      <c r="J71" s="17"/>
      <c r="K71" s="17"/>
      <c r="L71" s="17"/>
      <c r="M71" s="183"/>
      <c r="N71" s="191"/>
      <c r="O71" s="191"/>
      <c r="P71" s="191"/>
      <c r="Q71" s="192"/>
      <c r="R71" s="40"/>
      <c r="S71" s="185"/>
    </row>
    <row r="72" customFormat="false" ht="11.25" hidden="false" customHeight="false" outlineLevel="0" collapsed="false">
      <c r="A72" s="93"/>
      <c r="B72" s="188"/>
      <c r="C72" s="193"/>
      <c r="D72" s="190"/>
      <c r="E72" s="17"/>
      <c r="F72" s="17"/>
      <c r="G72" s="17"/>
      <c r="H72" s="17"/>
      <c r="I72" s="17"/>
      <c r="J72" s="17"/>
      <c r="K72" s="17"/>
      <c r="L72" s="17"/>
      <c r="M72" s="194"/>
      <c r="N72" s="40"/>
      <c r="O72" s="40"/>
      <c r="P72" s="40"/>
      <c r="Q72" s="40"/>
      <c r="R72" s="40"/>
      <c r="S72" s="185"/>
    </row>
    <row r="73" customFormat="false" ht="11.25" hidden="false" customHeight="false" outlineLevel="0" collapsed="false">
      <c r="A73" s="37"/>
      <c r="B73" s="193"/>
      <c r="C73" s="193"/>
      <c r="D73" s="190"/>
      <c r="E73" s="17"/>
      <c r="F73" s="17"/>
      <c r="G73" s="17"/>
      <c r="H73" s="17"/>
      <c r="I73" s="17"/>
      <c r="J73" s="17"/>
      <c r="K73" s="17"/>
      <c r="L73" s="17"/>
      <c r="M73" s="194"/>
      <c r="N73" s="40"/>
      <c r="O73" s="40"/>
      <c r="P73" s="40"/>
      <c r="Q73" s="40"/>
      <c r="R73" s="40"/>
      <c r="S73" s="185"/>
    </row>
    <row r="74" customFormat="false" ht="11.25" hidden="false" customHeight="false" outlineLevel="0" collapsed="false">
      <c r="A74" s="93"/>
      <c r="B74" s="188"/>
      <c r="C74" s="193"/>
      <c r="D74" s="190"/>
      <c r="E74" s="17"/>
      <c r="F74" s="17"/>
      <c r="G74" s="17"/>
      <c r="H74" s="17"/>
      <c r="I74" s="17"/>
      <c r="J74" s="17"/>
      <c r="K74" s="17"/>
      <c r="L74" s="17"/>
      <c r="M74" s="194"/>
      <c r="N74" s="40"/>
      <c r="O74" s="40"/>
      <c r="P74" s="40"/>
      <c r="Q74" s="40"/>
      <c r="R74" s="40"/>
      <c r="S74" s="185"/>
    </row>
    <row r="75" customFormat="false" ht="13.5" hidden="false" customHeight="true" outlineLevel="0" collapsed="false">
      <c r="A75" s="93"/>
      <c r="B75" s="188"/>
      <c r="C75" s="40"/>
      <c r="D75" s="41"/>
      <c r="E75" s="17"/>
      <c r="F75" s="17"/>
      <c r="G75" s="17"/>
      <c r="H75" s="17"/>
      <c r="I75" s="17"/>
      <c r="J75" s="17"/>
      <c r="K75" s="17"/>
      <c r="L75" s="17"/>
      <c r="M75" s="194"/>
      <c r="N75" s="40"/>
      <c r="O75" s="40"/>
      <c r="P75" s="40"/>
      <c r="Q75" s="40"/>
      <c r="R75" s="40"/>
      <c r="S75" s="185"/>
    </row>
    <row r="76" customFormat="false" ht="11.25" hidden="false" customHeight="false" outlineLevel="0" collapsed="false">
      <c r="A76" s="195"/>
      <c r="B76" s="194"/>
      <c r="C76" s="40"/>
      <c r="D76" s="41"/>
      <c r="E76" s="17"/>
      <c r="F76" s="17"/>
      <c r="G76" s="17"/>
      <c r="H76" s="17"/>
      <c r="I76" s="17"/>
      <c r="J76" s="17"/>
      <c r="K76" s="17"/>
      <c r="L76" s="17"/>
      <c r="M76" s="194"/>
      <c r="N76" s="40"/>
      <c r="O76" s="40"/>
      <c r="P76" s="40"/>
      <c r="Q76" s="40"/>
      <c r="R76" s="40"/>
      <c r="S76" s="185"/>
    </row>
    <row r="77" customFormat="false" ht="11.25" hidden="false" customHeight="false" outlineLevel="0" collapsed="false">
      <c r="A77" s="93"/>
      <c r="B77" s="188"/>
      <c r="C77" s="40"/>
      <c r="D77" s="41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</row>
    <row r="78" customFormat="false" ht="11.25" hidden="false" customHeight="false" outlineLevel="0" collapsed="false">
      <c r="A78" s="93"/>
      <c r="B78" s="188"/>
      <c r="C78" s="40"/>
      <c r="D78" s="41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</row>
    <row r="79" customFormat="false" ht="11.25" hidden="false" customHeight="false" outlineLevel="0" collapsed="false">
      <c r="A79" s="195"/>
      <c r="B79" s="194"/>
      <c r="C79" s="40"/>
      <c r="D79" s="41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</row>
    <row r="80" customFormat="false" ht="11.25" hidden="false" customHeight="false" outlineLevel="0" collapsed="false">
      <c r="A80" s="93"/>
      <c r="B80" s="188"/>
      <c r="C80" s="40"/>
      <c r="D80" s="41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</row>
    <row r="81" customFormat="false" ht="12.75" hidden="false" customHeight="false" outlineLevel="0" collapsed="false">
      <c r="A81" s="93"/>
      <c r="B81" s="188"/>
      <c r="C81" s="40"/>
      <c r="D81" s="41"/>
      <c r="E81" s="17"/>
      <c r="F81" s="17"/>
      <c r="G81" s="17"/>
      <c r="H81" s="17"/>
      <c r="I81" s="17"/>
      <c r="N81" s="17"/>
      <c r="O81" s="17"/>
      <c r="P81" s="17"/>
      <c r="Q81" s="17"/>
      <c r="R81" s="17"/>
    </row>
    <row r="82" customFormat="false" ht="12.75" hidden="false" customHeight="false" outlineLevel="0" collapsed="false">
      <c r="A82" s="195"/>
      <c r="B82" s="194"/>
      <c r="C82" s="40"/>
      <c r="D82" s="41"/>
      <c r="F82" s="17"/>
      <c r="G82" s="17"/>
      <c r="H82" s="17"/>
      <c r="I82" s="17"/>
      <c r="N82" s="17"/>
      <c r="O82" s="17"/>
      <c r="P82" s="17"/>
      <c r="Q82" s="17"/>
      <c r="R82" s="17"/>
    </row>
    <row r="83" customFormat="false" ht="12.75" hidden="false" customHeight="false" outlineLevel="0" collapsed="false">
      <c r="A83" s="112"/>
      <c r="B83" s="40"/>
      <c r="C83" s="40"/>
      <c r="D83" s="41"/>
    </row>
    <row r="84" customFormat="false" ht="12.75" hidden="false" customHeight="false" outlineLevel="0" collapsed="false">
      <c r="A84" s="112"/>
      <c r="B84" s="40"/>
      <c r="C84" s="40"/>
      <c r="D84" s="41"/>
      <c r="J84" s="196"/>
      <c r="K84" s="17"/>
      <c r="L84" s="17"/>
      <c r="M84" s="17"/>
    </row>
    <row r="85" customFormat="false" ht="12.75" hidden="false" customHeight="false" outlineLevel="0" collapsed="false">
      <c r="A85" s="93" t="s">
        <v>124</v>
      </c>
      <c r="B85" s="40"/>
      <c r="C85" s="189" t="s">
        <v>125</v>
      </c>
      <c r="D85" s="41"/>
      <c r="J85" s="196"/>
      <c r="K85" s="17"/>
      <c r="L85" s="17"/>
      <c r="M85" s="17"/>
    </row>
    <row r="86" customFormat="false" ht="12.75" hidden="false" customHeight="false" outlineLevel="0" collapsed="false">
      <c r="A86" s="112"/>
      <c r="B86" s="40"/>
      <c r="C86" s="40"/>
      <c r="D86" s="41"/>
    </row>
    <row r="87" customFormat="false" ht="12.75" hidden="false" customHeight="false" outlineLevel="0" collapsed="false">
      <c r="A87" s="112"/>
      <c r="B87" s="40"/>
      <c r="C87" s="40"/>
      <c r="D87" s="41"/>
    </row>
    <row r="88" customFormat="false" ht="12.75" hidden="false" customHeight="false" outlineLevel="0" collapsed="false">
      <c r="A88" s="112"/>
      <c r="B88" s="40"/>
      <c r="C88" s="40"/>
      <c r="D88" s="41"/>
    </row>
    <row r="89" customFormat="false" ht="12.75" hidden="false" customHeight="false" outlineLevel="0" collapsed="false">
      <c r="A89" s="112"/>
      <c r="B89" s="40"/>
      <c r="C89" s="40"/>
      <c r="D89" s="41"/>
    </row>
    <row r="90" customFormat="false" ht="12.75" hidden="false" customHeight="false" outlineLevel="0" collapsed="false">
      <c r="A90" s="112"/>
      <c r="B90" s="40"/>
      <c r="C90" s="40"/>
      <c r="D90" s="41"/>
    </row>
    <row r="91" customFormat="false" ht="12.75" hidden="false" customHeight="false" outlineLevel="0" collapsed="false">
      <c r="A91" s="112"/>
      <c r="B91" s="40"/>
      <c r="C91" s="40"/>
      <c r="D91" s="41"/>
    </row>
    <row r="92" customFormat="false" ht="12.75" hidden="false" customHeight="false" outlineLevel="0" collapsed="false">
      <c r="A92" s="112"/>
      <c r="B92" s="40"/>
      <c r="C92" s="40"/>
      <c r="D92" s="41"/>
    </row>
    <row r="93" customFormat="false" ht="12.75" hidden="false" customHeight="false" outlineLevel="0" collapsed="false">
      <c r="A93" s="112"/>
      <c r="B93" s="40"/>
      <c r="C93" s="40"/>
      <c r="D93" s="41"/>
    </row>
    <row r="94" customFormat="false" ht="12.75" hidden="false" customHeight="false" outlineLevel="0" collapsed="false">
      <c r="A94" s="112"/>
      <c r="B94" s="40"/>
      <c r="C94" s="40"/>
      <c r="D94" s="41"/>
    </row>
    <row r="95" customFormat="false" ht="12.75" hidden="false" customHeight="false" outlineLevel="0" collapsed="false">
      <c r="A95" s="112"/>
      <c r="B95" s="40"/>
      <c r="C95" s="40"/>
      <c r="D95" s="41"/>
    </row>
    <row r="96" customFormat="false" ht="12.75" hidden="false" customHeight="false" outlineLevel="0" collapsed="false">
      <c r="A96" s="112"/>
      <c r="B96" s="40"/>
      <c r="C96" s="40"/>
      <c r="D96" s="41"/>
    </row>
    <row r="97" customFormat="false" ht="12.75" hidden="false" customHeight="false" outlineLevel="0" collapsed="false">
      <c r="A97" s="112"/>
      <c r="B97" s="40"/>
      <c r="C97" s="40"/>
      <c r="D97" s="41"/>
    </row>
    <row r="98" customFormat="false" ht="13.5" hidden="false" customHeight="false" outlineLevel="0" collapsed="false">
      <c r="A98" s="197"/>
      <c r="B98" s="111"/>
      <c r="C98" s="111"/>
      <c r="D98" s="126"/>
    </row>
  </sheetData>
  <mergeCells count="11">
    <mergeCell ref="A1:R1"/>
    <mergeCell ref="A2:R2"/>
    <mergeCell ref="I6:L6"/>
    <mergeCell ref="N7:R7"/>
    <mergeCell ref="N22:R22"/>
    <mergeCell ref="F39:I39"/>
    <mergeCell ref="J39:K39"/>
    <mergeCell ref="M39:P39"/>
    <mergeCell ref="Q39:R39"/>
    <mergeCell ref="F55:I55"/>
    <mergeCell ref="J55:K55"/>
  </mergeCells>
  <printOptions headings="false" gridLines="false" gridLinesSet="true" horizontalCentered="true" verticalCentered="false"/>
  <pageMargins left="0.1" right="0.1" top="0.4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1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true" outlineLevel="0" max="2" min="2" style="0" width="24.99"/>
    <col collapsed="false" customWidth="true" hidden="false" outlineLevel="0" max="8" min="3" style="0" width="8.7"/>
    <col collapsed="false" customWidth="true" hidden="false" outlineLevel="0" max="10" min="9" style="0" width="9.28"/>
    <col collapsed="false" customWidth="true" hidden="false" outlineLevel="0" max="11" min="11" style="0" width="3.56"/>
    <col collapsed="false" customWidth="true" hidden="false" outlineLevel="0" max="12" min="12" style="0" width="14.99"/>
    <col collapsed="false" customWidth="true" hidden="true" outlineLevel="0" max="13" min="13" style="0" width="12.7"/>
    <col collapsed="false" customWidth="true" hidden="false" outlineLevel="0" max="18" min="14" style="0" width="9.7"/>
    <col collapsed="false" customWidth="true" hidden="false" outlineLevel="0" max="19" min="19" style="0" width="9.56"/>
    <col collapsed="false" customWidth="true" hidden="false" outlineLevel="0" max="22" min="22" style="0" width="12.28"/>
    <col collapsed="false" customWidth="true" hidden="false" outlineLevel="0" max="23" min="23" style="0" width="4.85"/>
  </cols>
  <sheetData>
    <row r="1" customFormat="false" ht="13.5" hidden="false" customHeight="false" outlineLevel="0" collapsed="false">
      <c r="A1" s="5" t="s">
        <v>126</v>
      </c>
      <c r="B1" s="198"/>
      <c r="C1" s="198"/>
      <c r="D1" s="198"/>
      <c r="E1" s="198"/>
      <c r="F1" s="199"/>
      <c r="G1" s="199"/>
      <c r="H1" s="199"/>
      <c r="I1" s="199"/>
      <c r="J1" s="199"/>
      <c r="K1" s="200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201"/>
    </row>
    <row r="2" customFormat="false" ht="13.5" hidden="false" customHeight="false" outlineLevel="0" collapsed="false">
      <c r="A2" s="202"/>
      <c r="B2" s="202"/>
      <c r="C2" s="202"/>
      <c r="D2" s="202"/>
      <c r="E2" s="202"/>
      <c r="F2" s="202"/>
      <c r="G2" s="202"/>
      <c r="H2" s="202"/>
      <c r="I2" s="202"/>
      <c r="J2" s="202"/>
      <c r="K2" s="203"/>
      <c r="L2" s="202"/>
      <c r="M2" s="202"/>
      <c r="N2" s="202"/>
      <c r="O2" s="202"/>
      <c r="P2" s="202"/>
      <c r="Q2" s="202"/>
      <c r="R2" s="204"/>
      <c r="S2" s="202"/>
      <c r="T2" s="202"/>
      <c r="U2" s="202"/>
      <c r="V2" s="202"/>
    </row>
    <row r="3" customFormat="false" ht="13.5" hidden="false" customHeight="false" outlineLevel="0" collapsed="false">
      <c r="A3" s="8" t="s">
        <v>127</v>
      </c>
      <c r="B3" s="205"/>
      <c r="C3" s="205"/>
      <c r="D3" s="205"/>
      <c r="E3" s="205"/>
      <c r="F3" s="206"/>
      <c r="G3" s="206"/>
      <c r="H3" s="206"/>
      <c r="I3" s="206"/>
      <c r="J3" s="207"/>
      <c r="K3" s="203"/>
      <c r="L3" s="8" t="s">
        <v>128</v>
      </c>
      <c r="M3" s="205"/>
      <c r="N3" s="206"/>
      <c r="O3" s="206"/>
      <c r="P3" s="206"/>
      <c r="Q3" s="206"/>
      <c r="R3" s="206"/>
      <c r="S3" s="206"/>
      <c r="T3" s="206"/>
      <c r="U3" s="206"/>
      <c r="V3" s="207"/>
    </row>
    <row r="4" customFormat="false" ht="13.5" hidden="false" customHeight="false" outlineLevel="0" collapsed="false">
      <c r="A4" s="33" t="s">
        <v>129</v>
      </c>
      <c r="B4" s="208" t="s">
        <v>129</v>
      </c>
      <c r="C4" s="209" t="s">
        <v>130</v>
      </c>
      <c r="D4" s="210" t="s">
        <v>131</v>
      </c>
      <c r="E4" s="210" t="s">
        <v>132</v>
      </c>
      <c r="F4" s="211" t="s">
        <v>16</v>
      </c>
      <c r="G4" s="211" t="s">
        <v>17</v>
      </c>
      <c r="H4" s="211" t="s">
        <v>133</v>
      </c>
      <c r="I4" s="211" t="s">
        <v>134</v>
      </c>
      <c r="J4" s="212" t="s">
        <v>135</v>
      </c>
      <c r="K4" s="203"/>
      <c r="L4" s="33" t="s">
        <v>129</v>
      </c>
      <c r="M4" s="75"/>
      <c r="N4" s="213" t="s">
        <v>130</v>
      </c>
      <c r="O4" s="214" t="s">
        <v>131</v>
      </c>
      <c r="P4" s="214" t="s">
        <v>132</v>
      </c>
      <c r="Q4" s="213" t="s">
        <v>16</v>
      </c>
      <c r="R4" s="214" t="s">
        <v>17</v>
      </c>
      <c r="S4" s="214" t="s">
        <v>133</v>
      </c>
      <c r="T4" s="213" t="s">
        <v>134</v>
      </c>
      <c r="U4" s="213" t="s">
        <v>135</v>
      </c>
      <c r="V4" s="215" t="s">
        <v>136</v>
      </c>
      <c r="W4" s="216"/>
    </row>
    <row r="5" customFormat="false" ht="12.75" hidden="false" customHeight="false" outlineLevel="0" collapsed="false">
      <c r="A5" s="217" t="s">
        <v>137</v>
      </c>
      <c r="B5" s="218" t="s">
        <v>138</v>
      </c>
      <c r="C5" s="219" t="n">
        <f aca="false">VLOOKUP($B5,'[1]4-Disponibilidade'!$A$8:$C$103,2,FALSE())</f>
        <v>70.4225387573242</v>
      </c>
      <c r="D5" s="220" t="n">
        <f aca="false">IF(OR(C5=0,E5=0),"n/a",E5/C5*100)</f>
        <v>35.499998212433</v>
      </c>
      <c r="E5" s="221" t="n">
        <f aca="false">VLOOKUP($B5,'[1]4-Disponibilidade'!$A$8:$C$103,3,FALSE())</f>
        <v>25</v>
      </c>
      <c r="F5" s="222" t="n">
        <f aca="false">IF(ISNA(VLOOKUP($A5,'[1]3-Produção'!$A$9:$C$104,2,FALSE()))=TRUE(),"n/a",VLOOKUP($A5,'[1]3-Produção'!$A$9:$C$104,2,FALSE()))</f>
        <v>12.7083333333333</v>
      </c>
      <c r="G5" s="222" t="n">
        <f aca="false">IF(ISNA(VLOOKUP($A5,'[1]3-Produção'!$A$9:$C$104,3,FALSE()))=TRUE(),"n/a",VLOOKUP($A5,'[1]3-Produção'!$A$9:$C$104,3,FALSE()))</f>
        <v>12.7083333333333</v>
      </c>
      <c r="H5" s="222" t="n">
        <f aca="false">IF(OR(F5="n/a",G5="n/a"),"n/a",G5-F5)</f>
        <v>0</v>
      </c>
      <c r="I5" s="222" t="n">
        <f aca="false">IF(OR(G5="n/a",D5="n/a"),"n/a",D5-G5)</f>
        <v>22.7916648790996</v>
      </c>
      <c r="J5" s="223" t="n">
        <f aca="false">IF(OR(G5="n/a",G5=0,E5="n/a",E5=0),"n/a",E5-G5)</f>
        <v>12.2916666666667</v>
      </c>
      <c r="K5" s="224" t="str">
        <f aca="false">IF(OR(C5&gt;100,D5="n/a",F5="n/a",G5="n/a",H5="n/a",I5="n/a",J5="n/a"),"X","")</f>
        <v/>
      </c>
      <c r="L5" s="217" t="s">
        <v>139</v>
      </c>
      <c r="M5" s="225" t="s">
        <v>139</v>
      </c>
      <c r="N5" s="226" t="str">
        <f aca="false">VLOOKUP("ANGRA **",'[1]4-Disponibilidade'!$E$8:$G$26,2,FALSE())</f>
        <v>-</v>
      </c>
      <c r="O5" s="226" t="n">
        <v>1850</v>
      </c>
      <c r="P5" s="226" t="n">
        <f aca="false">VLOOKUP("ANGRA **",'[1]4-Disponibilidade'!$E$8:$G$26,3,FALSE())</f>
        <v>1712</v>
      </c>
      <c r="Q5" s="226" t="n">
        <f aca="false">VLOOKUP($L5,'[1]3-Produção'!$A$125:$C$146,2,FALSE())</f>
        <v>1760</v>
      </c>
      <c r="R5" s="226" t="n">
        <f aca="false">IF(ISNA(VLOOKUP($L5,'[1]3-Produção'!$A$125:$C$146,3,FALSE())),"n/a",VLOOKUP($L5,'[1]3-Produção'!$A$125:$C$146,3,FALSE()))</f>
        <v>1714.62916666667</v>
      </c>
      <c r="S5" s="227" t="n">
        <f aca="false">IF(OR(Q5="n/a",R5="n/a"),"n/a",R5-Q5)</f>
        <v>-45.3708333333336</v>
      </c>
      <c r="T5" s="227" t="n">
        <f aca="false">IF(OR(O5="n/a",P5="n/a",R5="n/a"),"n/a",O5-R5)</f>
        <v>135.370833333334</v>
      </c>
      <c r="U5" s="227" t="n">
        <f aca="false">IF(OR(P5="n/a",O5="n/a",R5="n/a"),"n/a",P5-R5)</f>
        <v>-2.62916666666638</v>
      </c>
      <c r="V5" s="228" t="n">
        <v>8.5</v>
      </c>
      <c r="W5" s="224" t="str">
        <f aca="false">IF(OR(N5&gt;100,N5="n/a",O5="n/a",P5="n/a",Q5="n/a",R5="n/a"),"X","")</f>
        <v>X</v>
      </c>
    </row>
    <row r="6" customFormat="false" ht="12.75" hidden="false" customHeight="false" outlineLevel="0" collapsed="false">
      <c r="A6" s="229" t="s">
        <v>140</v>
      </c>
      <c r="B6" s="218" t="s">
        <v>140</v>
      </c>
      <c r="C6" s="230" t="n">
        <f aca="false">VLOOKUP($B6,'[1]4-Disponibilidade'!$A$8:$C$103,2,FALSE())</f>
        <v>70.8333358764648</v>
      </c>
      <c r="D6" s="231" t="n">
        <f aca="false">IF(OR(C6=0,E6=0),"n/a",E6/C6*100)</f>
        <v>47.9999982766545</v>
      </c>
      <c r="E6" s="231" t="n">
        <f aca="false">VLOOKUP($B6,'[1]4-Disponibilidade'!$A$8:$C$103,3,FALSE())</f>
        <v>34</v>
      </c>
      <c r="F6" s="232" t="n">
        <f aca="false">IF(ISNA(VLOOKUP($A6,'[1]3-Produção'!$A$9:$C$104,2,FALSE()))=TRUE(),"n/a",VLOOKUP($A6,'[1]3-Produção'!$A$9:$C$104,2,FALSE()))</f>
        <v>9.5</v>
      </c>
      <c r="G6" s="232" t="n">
        <f aca="false">IF(ISNA(VLOOKUP($A6,'[1]3-Produção'!$A$9:$C$104,3,FALSE()))=TRUE(),"n/a",VLOOKUP($A6,'[1]3-Produção'!$A$9:$C$104,3,FALSE()))</f>
        <v>9.75</v>
      </c>
      <c r="H6" s="232" t="n">
        <f aca="false">IF(OR(F6="n/a",G6="n/a"),"n/a",G6-F6)</f>
        <v>0.25</v>
      </c>
      <c r="I6" s="232" t="n">
        <f aca="false">IF(OR(G6="n/a",D6="n/a"),"n/a",D6-G6)</f>
        <v>38.2499982766545</v>
      </c>
      <c r="J6" s="233" t="n">
        <f aca="false">IF(OR(G6="n/a",G6=0,E6="n/a",E6=0),"n/a",E6-G6)</f>
        <v>24.25</v>
      </c>
      <c r="K6" s="224" t="str">
        <f aca="false">IF(OR(C6&gt;100,D6="n/a",F6="n/a",G6="n/a",H6="n/a",I6="n/a",J6="n/a"),"X","")</f>
        <v/>
      </c>
      <c r="L6" s="234" t="s">
        <v>141</v>
      </c>
      <c r="M6" s="235" t="s">
        <v>141</v>
      </c>
      <c r="N6" s="236" t="n">
        <f aca="false">VLOOKUP($M6,'[1]4-Disponibilidade'!$E$8:$G$26,2,FALSE())</f>
        <v>40.3587455749512</v>
      </c>
      <c r="O6" s="236" t="n">
        <f aca="false">IF(OR(N6=0,P6=0),P6,P6/N6*100)</f>
        <v>445.999986956279</v>
      </c>
      <c r="P6" s="236" t="n">
        <f aca="false">VLOOKUP($M6,'[1]4-Disponibilidade'!$E$8:$G$26,3,FALSE())</f>
        <v>180</v>
      </c>
      <c r="Q6" s="237" t="n">
        <f aca="false">VLOOKUP($L6,'[1]3-Produção'!$A$125:$C$146,2,FALSE())</f>
        <v>260.208333333333</v>
      </c>
      <c r="R6" s="237" t="n">
        <f aca="false">IF(ISNA(VLOOKUP($L6,'[1]3-Produção'!$A$125:$C$146,3,FALSE())),"n/a",VLOOKUP($L6,'[1]3-Produção'!$A$125:$C$146,3,FALSE()))</f>
        <v>169.966666666667</v>
      </c>
      <c r="S6" s="238" t="n">
        <f aca="false">IF(OR(Q6="n/a",R6="n/a"),"n/a",R6-Q6)</f>
        <v>-90.2416666666667</v>
      </c>
      <c r="T6" s="238" t="n">
        <f aca="false">IF(OR(O6="n/a",P6="n/a",R6="n/a"),"n/a",O6-R6)</f>
        <v>276.033320289612</v>
      </c>
      <c r="U6" s="238" t="n">
        <f aca="false">IF(OR(P6="n/a",O6="n/a",R6="n/a"),"n/a",P6-R6)</f>
        <v>10.0333333333333</v>
      </c>
      <c r="V6" s="239" t="n">
        <v>28.6</v>
      </c>
      <c r="W6" s="224" t="str">
        <f aca="false">IF(OR(N6&gt;100,N6="n/a",O6="n/a",P6="n/a",Q6="n/a",R6="n/a"),"X","")</f>
        <v/>
      </c>
    </row>
    <row r="7" customFormat="false" ht="12.75" hidden="false" customHeight="false" outlineLevel="0" collapsed="false">
      <c r="A7" s="229" t="s">
        <v>38</v>
      </c>
      <c r="B7" s="218" t="s">
        <v>38</v>
      </c>
      <c r="C7" s="230" t="n">
        <f aca="false">VLOOKUP($B7,'[1]4-Disponibilidade'!$A$8:$C$103,2,FALSE())</f>
        <v>52.8523483276367</v>
      </c>
      <c r="D7" s="231" t="n">
        <f aca="false">IF(OR(C7=0,E7=0),"n/a",E7/C7*100)</f>
        <v>1192.00001501271</v>
      </c>
      <c r="E7" s="231" t="n">
        <f aca="false">VLOOKUP($B7,'[1]4-Disponibilidade'!$A$8:$C$103,3,FALSE())</f>
        <v>630</v>
      </c>
      <c r="F7" s="232" t="n">
        <f aca="false">IF(ISNA(VLOOKUP($A7,'[1]3-Produção'!$A$9:$C$104,2,FALSE()))=TRUE(),"n/a",VLOOKUP($A7,'[1]3-Produção'!$A$9:$C$104,2,FALSE()))</f>
        <v>135</v>
      </c>
      <c r="G7" s="232" t="n">
        <f aca="false">IF(ISNA(VLOOKUP($A7,'[1]3-Produção'!$A$9:$C$104,3,FALSE()))=TRUE(),"n/a",VLOOKUP($A7,'[1]3-Produção'!$A$9:$C$104,3,FALSE()))</f>
        <v>167.3</v>
      </c>
      <c r="H7" s="232" t="n">
        <f aca="false">IF(OR(F7="n/a",G7="n/a"),"n/a",G7-F7)</f>
        <v>32.3</v>
      </c>
      <c r="I7" s="232" t="n">
        <f aca="false">IF(OR(G7="n/a",D7="n/a"),"n/a",D7-G7)</f>
        <v>1024.70001501271</v>
      </c>
      <c r="J7" s="233" t="n">
        <f aca="false">IF(OR(G7="n/a",G7=0,E7="n/a",E7=0),"n/a",E7-G7)</f>
        <v>462.7</v>
      </c>
      <c r="K7" s="224" t="str">
        <f aca="false">IF(OR(C7&gt;100,D7="n/a",F7="n/a",G7="n/a",H7="n/a",I7="n/a",J7="n/a"),"X","")</f>
        <v/>
      </c>
      <c r="L7" s="234" t="s">
        <v>142</v>
      </c>
      <c r="M7" s="235" t="s">
        <v>143</v>
      </c>
      <c r="N7" s="236" t="n">
        <v>0</v>
      </c>
      <c r="O7" s="236" t="e">
        <f aca="false">IF(OR(N7=0,P7=0),P7,P7/N7*100)</f>
        <v>#N/A</v>
      </c>
      <c r="P7" s="236" t="e">
        <f aca="false">VLOOKUP($M7,'[1]4-Disponibilidade'!$E$8:$G$26,3,FALSE())</f>
        <v>#N/A</v>
      </c>
      <c r="Q7" s="237" t="n">
        <f aca="false">VLOOKUP($L7,'[1]3-Produção'!$A$125:$C$146,2,FALSE())</f>
        <v>500</v>
      </c>
      <c r="R7" s="237" t="n">
        <f aca="false">IF(ISNA(VLOOKUP($L7,'[1]3-Produção'!$A$125:$C$146,3,FALSE())),"n/a",VLOOKUP($L7,'[1]3-Produção'!$A$125:$C$146,3,FALSE()))</f>
        <v>549.154166666667</v>
      </c>
      <c r="S7" s="238" t="n">
        <f aca="false">IF(OR(Q7="n/a",R7="n/a"),"n/a",R7-Q7)</f>
        <v>49.1541666666666</v>
      </c>
      <c r="T7" s="238" t="e">
        <f aca="false">IF(OR(O7="n/a",P7="n/a",R7="n/a"),"n/a",O7-R7)</f>
        <v>#N/A</v>
      </c>
      <c r="U7" s="238" t="e">
        <f aca="false">IF(OR(P7="n/a",O7="n/a",R7="n/a"),"n/a",P7-R7)</f>
        <v>#N/A</v>
      </c>
      <c r="V7" s="239" t="n">
        <v>38.95</v>
      </c>
      <c r="W7" s="224" t="e">
        <f aca="false">IF(OR(N7&gt;100,N7="n/a",O7="n/a",P7="n/a",Q7="n/a",R7="n/a"),"X","")</f>
        <v>#N/A</v>
      </c>
    </row>
    <row r="8" customFormat="false" ht="12.75" hidden="false" customHeight="false" outlineLevel="0" collapsed="false">
      <c r="A8" s="229" t="s">
        <v>144</v>
      </c>
      <c r="B8" s="218" t="s">
        <v>144</v>
      </c>
      <c r="C8" s="230" t="n">
        <f aca="false">VLOOKUP($B8,'[1]4-Disponibilidade'!$A$8:$C$103,2,FALSE())</f>
        <v>102.857139587402</v>
      </c>
      <c r="D8" s="231" t="n">
        <f aca="false">IF(OR(C8=0,E8=0),"n/a",E8/C8*100)</f>
        <v>140.00000445048</v>
      </c>
      <c r="E8" s="231" t="n">
        <f aca="false">VLOOKUP($B8,'[1]4-Disponibilidade'!$A$8:$C$103,3,FALSE())</f>
        <v>144</v>
      </c>
      <c r="F8" s="232" t="n">
        <f aca="false">IF(ISNA(VLOOKUP($A8,'[1]3-Produção'!$A$9:$C$104,2,FALSE()))=TRUE(),"n/a",VLOOKUP($A8,'[1]3-Produção'!$A$9:$C$104,2,FALSE()))</f>
        <v>36.8958333333333</v>
      </c>
      <c r="G8" s="232" t="n">
        <f aca="false">IF(ISNA(VLOOKUP($A8,'[1]3-Produção'!$A$9:$C$104,3,FALSE()))=TRUE(),"n/a",VLOOKUP($A8,'[1]3-Produção'!$A$9:$C$104,3,FALSE()))</f>
        <v>64.3416666666667</v>
      </c>
      <c r="H8" s="232" t="n">
        <f aca="false">IF(OR(F8="n/a",G8="n/a"),"n/a",G8-F8)</f>
        <v>27.4458333333333</v>
      </c>
      <c r="I8" s="232" t="n">
        <f aca="false">IF(OR(G8="n/a",D8="n/a"),"n/a",D8-G8)</f>
        <v>75.6583377838136</v>
      </c>
      <c r="J8" s="233" t="n">
        <f aca="false">IF(OR(G8="n/a",G8=0,E8="n/a",E8=0),"n/a",E8-G8)</f>
        <v>79.6583333333333</v>
      </c>
      <c r="K8" s="224" t="str">
        <f aca="false">IF(OR(C8&gt;100,D8="n/a",F8="n/a",G8="n/a",H8="n/a",I8="n/a",J8="n/a"),"X","")</f>
        <v>X</v>
      </c>
      <c r="L8" s="234" t="s">
        <v>145</v>
      </c>
      <c r="M8" s="235" t="s">
        <v>145</v>
      </c>
      <c r="N8" s="236" t="n">
        <f aca="false">VLOOKUP($M8,'[1]4-Disponibilidade'!$E$8:$G$26,2,FALSE())</f>
        <v>99.1735534667969</v>
      </c>
      <c r="O8" s="236" t="n">
        <f aca="false">IF(OR(N8=0,P8=0),P8,P8/N8*100)</f>
        <v>363.000000923157</v>
      </c>
      <c r="P8" s="236" t="n">
        <f aca="false">VLOOKUP($M8,'[1]4-Disponibilidade'!$E$8:$G$26,3,FALSE())</f>
        <v>360</v>
      </c>
      <c r="Q8" s="237" t="n">
        <f aca="false">VLOOKUP($L8,'[1]3-Produção'!$A$125:$C$146,2,FALSE())</f>
        <v>288.125</v>
      </c>
      <c r="R8" s="237" t="n">
        <f aca="false">IF(ISNA(VLOOKUP($L8,'[1]3-Produção'!$A$125:$C$146,3,FALSE())),"n/a",VLOOKUP($L8,'[1]3-Produção'!$A$125:$C$146,3,FALSE()))</f>
        <v>296.320833333333</v>
      </c>
      <c r="S8" s="238" t="n">
        <f aca="false">IF(OR(Q8="n/a",R8="n/a"),"n/a",R8-Q8)</f>
        <v>8.19583333333333</v>
      </c>
      <c r="T8" s="238" t="n">
        <f aca="false">IF(OR(O8="n/a",P8="n/a",R8="n/a"),"n/a",O8-R8)</f>
        <v>66.6791675898234</v>
      </c>
      <c r="U8" s="238" t="n">
        <f aca="false">IF(OR(P8="n/a",O8="n/a",R8="n/a"),"n/a",P8-R8)</f>
        <v>63.6791666666667</v>
      </c>
      <c r="V8" s="239" t="n">
        <v>45.4</v>
      </c>
      <c r="W8" s="224" t="str">
        <f aca="false">IF(OR(N8&gt;100,N8="n/a",O8="n/a",P8="n/a",Q8="n/a",R8="n/a"),"X","")</f>
        <v/>
      </c>
    </row>
    <row r="9" customFormat="false" ht="12.75" hidden="false" customHeight="false" outlineLevel="0" collapsed="false">
      <c r="A9" s="229" t="s">
        <v>146</v>
      </c>
      <c r="B9" s="218" t="s">
        <v>146</v>
      </c>
      <c r="C9" s="230" t="n">
        <f aca="false">VLOOKUP($B9,'[1]4-Disponibilidade'!$A$8:$C$103,2,FALSE())</f>
        <v>100</v>
      </c>
      <c r="D9" s="231" t="n">
        <f aca="false">IF(OR(C9=0,E9=0),"n/a",E9/C9*100)</f>
        <v>210</v>
      </c>
      <c r="E9" s="231" t="n">
        <f aca="false">VLOOKUP($B9,'[1]4-Disponibilidade'!$A$8:$C$103,3,FALSE())</f>
        <v>210</v>
      </c>
      <c r="F9" s="232" t="n">
        <f aca="false">IF(ISNA(VLOOKUP($A9,'[1]3-Produção'!$A$9:$C$104,2,FALSE()))=TRUE(),"n/a",VLOOKUP($A9,'[1]3-Produção'!$A$9:$C$104,2,FALSE()))</f>
        <v>163.125</v>
      </c>
      <c r="G9" s="232" t="n">
        <f aca="false">IF(ISNA(VLOOKUP($A9,'[1]3-Produção'!$A$9:$C$104,3,FALSE()))=TRUE(),"n/a",VLOOKUP($A9,'[1]3-Produção'!$A$9:$C$104,3,FALSE()))</f>
        <v>163.291666666667</v>
      </c>
      <c r="H9" s="232" t="n">
        <f aca="false">IF(OR(F9="n/a",G9="n/a"),"n/a",G9-F9)</f>
        <v>0.166666666666714</v>
      </c>
      <c r="I9" s="232" t="n">
        <f aca="false">IF(OR(G9="n/a",D9="n/a"),"n/a",D9-G9)</f>
        <v>46.7083333333333</v>
      </c>
      <c r="J9" s="233" t="n">
        <f aca="false">IF(OR(G9="n/a",G9=0,E9="n/a",E9=0),"n/a",E9-G9)</f>
        <v>46.7083333333333</v>
      </c>
      <c r="K9" s="224" t="str">
        <f aca="false">IF(OR(C9&gt;100,D9="n/a",F9="n/a",G9="n/a",H9="n/a",I9="n/a",J9="n/a"),"X","")</f>
        <v/>
      </c>
      <c r="L9" s="234" t="s">
        <v>147</v>
      </c>
      <c r="M9" s="235" t="s">
        <v>147</v>
      </c>
      <c r="N9" s="236" t="n">
        <f aca="false">VLOOKUP($M9,'[1]4-Disponibilidade'!$E$8:$G$26,2,FALSE())</f>
        <v>91.6030502319336</v>
      </c>
      <c r="O9" s="236" t="n">
        <f aca="false">IF(OR(N9=0,P9=0),P9,P9/N9*100)</f>
        <v>262.000009161632</v>
      </c>
      <c r="P9" s="236" t="n">
        <f aca="false">VLOOKUP($M9,'[1]4-Disponibilidade'!$E$8:$G$26,3,FALSE())</f>
        <v>240</v>
      </c>
      <c r="Q9" s="237" t="n">
        <f aca="false">VLOOKUP($L9,'[1]3-Produção'!$A$125:$C$146,2,FALSE())</f>
        <v>208.541666666667</v>
      </c>
      <c r="R9" s="237" t="n">
        <f aca="false">IF(ISNA(VLOOKUP($L9,'[1]3-Produção'!$A$125:$C$146,3,FALSE())),"n/a",VLOOKUP($L9,'[1]3-Produção'!$A$125:$C$146,3,FALSE()))</f>
        <v>213.2625</v>
      </c>
      <c r="S9" s="238" t="n">
        <f aca="false">IF(OR(Q9="n/a",R9="n/a"),"n/a",R9-Q9)</f>
        <v>4.72083333333333</v>
      </c>
      <c r="T9" s="238" t="n">
        <f aca="false">IF(OR(O9="n/a",P9="n/a",R9="n/a"),"n/a",O9-R9)</f>
        <v>48.7375091616316</v>
      </c>
      <c r="U9" s="238" t="n">
        <f aca="false">IF(OR(P9="n/a",O9="n/a",R9="n/a"),"n/a",P9-R9)</f>
        <v>26.7375</v>
      </c>
      <c r="V9" s="239" t="n">
        <v>53.31</v>
      </c>
      <c r="W9" s="224" t="str">
        <f aca="false">IF(OR(N9&gt;100,N9="n/a",O9="n/a",P9="n/a",Q9="n/a",R9="n/a"),"X","")</f>
        <v/>
      </c>
    </row>
    <row r="10" customFormat="false" ht="12.75" hidden="false" customHeight="false" outlineLevel="0" collapsed="false">
      <c r="A10" s="229" t="s">
        <v>148</v>
      </c>
      <c r="B10" s="218" t="s">
        <v>148</v>
      </c>
      <c r="C10" s="230" t="n">
        <f aca="false">VLOOKUP($B10,'[1]4-Disponibilidade'!$A$8:$C$103,2,FALSE())</f>
        <v>75</v>
      </c>
      <c r="D10" s="231" t="n">
        <f aca="false">IF(OR(C10=0,E10=0),"n/a",E10/C10*100)</f>
        <v>52</v>
      </c>
      <c r="E10" s="231" t="n">
        <f aca="false">VLOOKUP($B10,'[1]4-Disponibilidade'!$A$8:$C$103,3,FALSE())</f>
        <v>39</v>
      </c>
      <c r="F10" s="232" t="n">
        <f aca="false">IF(ISNA(VLOOKUP($A10,'[1]3-Produção'!$A$9:$C$104,2,FALSE()))=TRUE(),"n/a",VLOOKUP($A10,'[1]3-Produção'!$A$9:$C$104,2,FALSE()))</f>
        <v>13.6666666666667</v>
      </c>
      <c r="G10" s="232" t="n">
        <f aca="false">IF(ISNA(VLOOKUP($A10,'[1]3-Produção'!$A$9:$C$104,3,FALSE()))=TRUE(),"n/a",VLOOKUP($A10,'[1]3-Produção'!$A$9:$C$104,3,FALSE()))</f>
        <v>14.85</v>
      </c>
      <c r="H10" s="232" t="n">
        <f aca="false">IF(OR(F10="n/a",G10="n/a"),"n/a",G10-F10)</f>
        <v>1.18333333333333</v>
      </c>
      <c r="I10" s="232" t="n">
        <f aca="false">IF(OR(G10="n/a",D10="n/a"),"n/a",D10-G10)</f>
        <v>37.15</v>
      </c>
      <c r="J10" s="233" t="n">
        <f aca="false">IF(OR(G10="n/a",G10=0,E10="n/a",E10=0),"n/a",E10-G10)</f>
        <v>24.15</v>
      </c>
      <c r="K10" s="224" t="str">
        <f aca="false">IF(OR(C10&gt;100,D10="n/a",F10="n/a",G10="n/a",H10="n/a",I10="n/a",J10="n/a"),"X","")</f>
        <v/>
      </c>
      <c r="L10" s="234" t="s">
        <v>149</v>
      </c>
      <c r="M10" s="235" t="s">
        <v>149</v>
      </c>
      <c r="N10" s="236" t="n">
        <f aca="false">VLOOKUP($M10,'[1]4-Disponibilidade'!$E$8:$G$26,2,FALSE())</f>
        <v>32.3275871276856</v>
      </c>
      <c r="O10" s="236" t="n">
        <f aca="false">IF(OR(N10=0,P10=0),P10,P10/N10*100)</f>
        <v>231.999993391927</v>
      </c>
      <c r="P10" s="236" t="n">
        <f aca="false">VLOOKUP($M10,'[1]4-Disponibilidade'!$E$8:$G$26,3,FALSE())</f>
        <v>75</v>
      </c>
      <c r="Q10" s="237" t="n">
        <f aca="false">VLOOKUP($L10,'[1]3-Produção'!$A$125:$C$146,2,FALSE())</f>
        <v>158.75</v>
      </c>
      <c r="R10" s="237" t="n">
        <f aca="false">IF(ISNA(VLOOKUP($L10,'[1]3-Produção'!$A$125:$C$146,3,FALSE())),"n/a",VLOOKUP($L10,'[1]3-Produção'!$A$125:$C$146,3,FALSE()))</f>
        <v>67.3791666666667</v>
      </c>
      <c r="S10" s="238" t="n">
        <f aca="false">IF(OR(Q10="n/a",R10="n/a"),"n/a",R10-Q10)</f>
        <v>-91.3708333333333</v>
      </c>
      <c r="T10" s="238" t="n">
        <f aca="false">IF(OR(O10="n/a",P10="n/a",R10="n/a"),"n/a",O10-R10)</f>
        <v>164.620826725261</v>
      </c>
      <c r="U10" s="238" t="n">
        <f aca="false">IF(OR(P10="n/a",O10="n/a",R10="n/a"),"n/a",P10-R10)</f>
        <v>7.62083333333334</v>
      </c>
      <c r="V10" s="239" t="n">
        <v>57.3</v>
      </c>
      <c r="W10" s="224" t="str">
        <f aca="false">IF(OR(N11&gt;100,N11="n/a",O11="n/a",P11="n/a",Q11="n/a",R11="n/a"),"X","")</f>
        <v/>
      </c>
    </row>
    <row r="11" customFormat="false" ht="12.75" hidden="false" customHeight="false" outlineLevel="0" collapsed="false">
      <c r="A11" s="229" t="s">
        <v>150</v>
      </c>
      <c r="B11" s="218" t="s">
        <v>150</v>
      </c>
      <c r="C11" s="230" t="n">
        <f aca="false">VLOOKUP($B11,'[1]4-Disponibilidade'!$A$8:$C$103,2,FALSE())</f>
        <v>95.7547149658203</v>
      </c>
      <c r="D11" s="231" t="n">
        <f aca="false">IF(OR(C11=0,E11=0),"n/a",E11/C11*100)</f>
        <v>424.000008923761</v>
      </c>
      <c r="E11" s="231" t="n">
        <f aca="false">VLOOKUP($B11,'[1]4-Disponibilidade'!$A$8:$C$103,3,FALSE())</f>
        <v>406</v>
      </c>
      <c r="F11" s="232" t="n">
        <f aca="false">IF(ISNA(VLOOKUP($A11,'[1]3-Produção'!$A$9:$C$104,2,FALSE()))=TRUE(),"n/a",VLOOKUP($A11,'[1]3-Produção'!$A$9:$C$104,2,FALSE()))</f>
        <v>394.791666666667</v>
      </c>
      <c r="G11" s="232" t="n">
        <f aca="false">IF(ISNA(VLOOKUP($A11,'[1]3-Produção'!$A$9:$C$104,3,FALSE()))=TRUE(),"n/a",VLOOKUP($A11,'[1]3-Produção'!$A$9:$C$104,3,FALSE()))</f>
        <v>390.520833333333</v>
      </c>
      <c r="H11" s="232" t="n">
        <f aca="false">IF(OR(F11="n/a",G11="n/a"),"n/a",G11-F11)</f>
        <v>-4.27083333333337</v>
      </c>
      <c r="I11" s="232" t="n">
        <f aca="false">IF(OR(G11="n/a",D11="n/a"),"n/a",D11-G11)</f>
        <v>33.4791755904276</v>
      </c>
      <c r="J11" s="233" t="n">
        <f aca="false">IF(OR(G11="n/a",G11=0,E11="n/a",E11=0),"n/a",E11-G11)</f>
        <v>15.4791666666667</v>
      </c>
      <c r="K11" s="224" t="str">
        <f aca="false">IF(OR(C11&gt;100,D11="n/a",F11="n/a",G11="n/a",H11="n/a",I11="n/a",J11="n/a"),"X","")</f>
        <v/>
      </c>
      <c r="L11" s="234" t="s">
        <v>151</v>
      </c>
      <c r="M11" s="235" t="s">
        <v>151</v>
      </c>
      <c r="N11" s="236" t="n">
        <f aca="false">VLOOKUP($M11,'[1]4-Disponibilidade'!$E$8:$G$26,2,FALSE())</f>
        <v>58.3333320617676</v>
      </c>
      <c r="O11" s="236" t="n">
        <f aca="false">IF(OR(N11=0,P11=0),P11,P11/N11*100)</f>
        <v>72.0000015694755</v>
      </c>
      <c r="P11" s="236" t="n">
        <f aca="false">VLOOKUP($M11,'[1]4-Disponibilidade'!$E$8:$G$26,3,FALSE())</f>
        <v>42</v>
      </c>
      <c r="Q11" s="237" t="n">
        <f aca="false">VLOOKUP($L11,'[1]3-Produção'!$A$125:$C$146,2,FALSE())</f>
        <v>25</v>
      </c>
      <c r="R11" s="237" t="n">
        <f aca="false">IF(ISNA(VLOOKUP($L11,'[1]3-Produção'!$A$125:$C$146,3,FALSE())),"n/a",VLOOKUP($L11,'[1]3-Produção'!$A$125:$C$146,3,FALSE()))</f>
        <v>40.8708333333333</v>
      </c>
      <c r="S11" s="238" t="n">
        <f aca="false">IF(OR(Q11="n/a",R11="n/a"),"n/a",R11-Q11)</f>
        <v>15.8708333333333</v>
      </c>
      <c r="T11" s="238" t="n">
        <f aca="false">IF(OR(O11="n/a",P11="n/a",R11="n/a"),"n/a",O11-R11)</f>
        <v>31.1291682361422</v>
      </c>
      <c r="U11" s="238" t="n">
        <f aca="false">IF(OR(P11="n/a",O11="n/a",R11="n/a"),"n/a",P11-R11)</f>
        <v>1.12916666666667</v>
      </c>
      <c r="V11" s="239" t="n">
        <v>57.65</v>
      </c>
      <c r="W11" s="224" t="str">
        <f aca="false">IF(OR(N10&gt;100,N10="n/a",O10="n/a",P10="n/a",Q10="n/a",R10="n/a"),"X","")</f>
        <v/>
      </c>
    </row>
    <row r="12" customFormat="false" ht="12.75" hidden="false" customHeight="false" outlineLevel="0" collapsed="false">
      <c r="A12" s="229" t="s">
        <v>152</v>
      </c>
      <c r="B12" s="218" t="s">
        <v>152</v>
      </c>
      <c r="C12" s="230" t="n">
        <f aca="false">VLOOKUP($B12,'[1]4-Disponibilidade'!$A$8:$C$103,2,FALSE())</f>
        <v>99.5098037719727</v>
      </c>
      <c r="D12" s="231" t="n">
        <f aca="false">IF(OR(C12=0,E12=0),"n/a",E12/C12*100)</f>
        <v>408.000000613358</v>
      </c>
      <c r="E12" s="231" t="n">
        <f aca="false">VLOOKUP($B12,'[1]4-Disponibilidade'!$A$8:$C$103,3,FALSE())</f>
        <v>406</v>
      </c>
      <c r="F12" s="232" t="n">
        <f aca="false">IF(ISNA(VLOOKUP($A12,'[1]3-Produção'!$A$9:$C$104,2,FALSE()))=TRUE(),"n/a",VLOOKUP($A12,'[1]3-Produção'!$A$9:$C$104,2,FALSE()))</f>
        <v>145.416666666667</v>
      </c>
      <c r="G12" s="232" t="n">
        <f aca="false">IF(ISNA(VLOOKUP($A12,'[1]3-Produção'!$A$9:$C$104,3,FALSE()))=TRUE(),"n/a",VLOOKUP($A12,'[1]3-Produção'!$A$9:$C$104,3,FALSE()))</f>
        <v>190.270833333333</v>
      </c>
      <c r="H12" s="232" t="n">
        <f aca="false">IF(OR(F12="n/a",G12="n/a"),"n/a",G12-F12)</f>
        <v>44.8541666666667</v>
      </c>
      <c r="I12" s="232" t="n">
        <f aca="false">IF(OR(G12="n/a",D12="n/a"),"n/a",D12-G12)</f>
        <v>217.729167280025</v>
      </c>
      <c r="J12" s="233" t="n">
        <f aca="false">IF(OR(G12="n/a",G12=0,E12="n/a",E12=0),"n/a",E12-G12)</f>
        <v>215.729166666667</v>
      </c>
      <c r="K12" s="224" t="str">
        <f aca="false">IF(OR(C12&gt;100,D12="n/a",F12="n/a",G12="n/a",H12="n/a",I12="n/a",J12="n/a"),"X","")</f>
        <v/>
      </c>
      <c r="L12" s="229" t="s">
        <v>153</v>
      </c>
      <c r="M12" s="240" t="s">
        <v>153</v>
      </c>
      <c r="N12" s="241" t="n">
        <f aca="false">VLOOKUP($M12,'[1]4-Disponibilidade'!$E$8:$G$26,2,FALSE())</f>
        <v>81.25</v>
      </c>
      <c r="O12" s="241" t="n">
        <f aca="false">IF(OR(N12=0,P12=0),P12,P12/N12*100)</f>
        <v>32</v>
      </c>
      <c r="P12" s="241" t="n">
        <f aca="false">VLOOKUP($M12,'[1]4-Disponibilidade'!$E$8:$G$26,3,FALSE())</f>
        <v>26</v>
      </c>
      <c r="Q12" s="242" t="n">
        <f aca="false">VLOOKUP($L12,'[1]3-Produção'!$A$125:$C$146,2,FALSE())</f>
        <v>30</v>
      </c>
      <c r="R12" s="242" t="n">
        <f aca="false">IF(ISNA(VLOOKUP($L12,'[1]3-Produção'!$A$125:$C$146,3,FALSE())),"n/a",VLOOKUP($L12,'[1]3-Produção'!$A$125:$C$146,3,FALSE()))</f>
        <v>26</v>
      </c>
      <c r="S12" s="232" t="n">
        <f aca="false">IF(OR(Q12="n/a",R12="n/a"),"n/a",R12-Q12)</f>
        <v>-4</v>
      </c>
      <c r="T12" s="232" t="n">
        <f aca="false">IF(OR(O12="n/a",P12="n/a",R12="n/a"),"n/a",O12-R12)</f>
        <v>6</v>
      </c>
      <c r="U12" s="232" t="n">
        <f aca="false">IF(OR(P12="n/a",O12="n/a",R12="n/a"),"n/a",P12-R12)</f>
        <v>0</v>
      </c>
      <c r="V12" s="243" t="n">
        <v>69.35</v>
      </c>
      <c r="W12" s="224" t="str">
        <f aca="false">IF(OR(N12&gt;100,N12="n/a",O12="n/a",P12="n/a",Q12="n/a",R12="n/a"),"X","")</f>
        <v/>
      </c>
    </row>
    <row r="13" customFormat="false" ht="12.75" hidden="false" customHeight="false" outlineLevel="0" collapsed="false">
      <c r="A13" s="244" t="s">
        <v>41</v>
      </c>
      <c r="B13" s="245" t="s">
        <v>41</v>
      </c>
      <c r="C13" s="230" t="n">
        <f aca="false">VLOOKUP($B13,'[1]4-Disponibilidade'!$A$8:$C$103,2,FALSE())</f>
        <v>54.9019622802734</v>
      </c>
      <c r="D13" s="231" t="n">
        <f aca="false">IF(OR(C13=0,E13=0),"n/a",E13/C13*100)</f>
        <v>509.999986103603</v>
      </c>
      <c r="E13" s="231" t="n">
        <f aca="false">VLOOKUP($B13,'[1]4-Disponibilidade'!$A$8:$C$103,3,FALSE())</f>
        <v>280</v>
      </c>
      <c r="F13" s="232" t="n">
        <f aca="false">IF(ISNA(VLOOKUP($A13,'[1]3-Produção'!$A$9:$C$104,2,FALSE()))=TRUE(),"n/a",VLOOKUP($A13,'[1]3-Produção'!$A$9:$C$104,2,FALSE()))</f>
        <v>111</v>
      </c>
      <c r="G13" s="232" t="n">
        <f aca="false">IF(ISNA(VLOOKUP($A13,'[1]3-Produção'!$A$9:$C$104,3,FALSE()))=TRUE(),"n/a",VLOOKUP($A13,'[1]3-Produção'!$A$9:$C$104,3,FALSE()))</f>
        <v>143.441666666667</v>
      </c>
      <c r="H13" s="232" t="n">
        <f aca="false">IF(OR(F13="n/a",G13="n/a"),"n/a",G13-F13)</f>
        <v>32.4416666666667</v>
      </c>
      <c r="I13" s="232" t="n">
        <f aca="false">IF(OR(G13="n/a",D13="n/a"),"n/a",D13-G13)</f>
        <v>366.558319436937</v>
      </c>
      <c r="J13" s="233" t="n">
        <f aca="false">IF(OR(G13="n/a",G13=0,E13="n/a",E13=0),"n/a",E13-G13)</f>
        <v>136.558333333333</v>
      </c>
      <c r="K13" s="224" t="str">
        <f aca="false">IF(OR(C13&gt;100,D13="n/a",F13="n/a",G13="n/a",H13="n/a",I13="n/a",J13="n/a"),"X","")</f>
        <v/>
      </c>
      <c r="L13" s="229" t="s">
        <v>154</v>
      </c>
      <c r="M13" s="240" t="s">
        <v>154</v>
      </c>
      <c r="N13" s="241" t="n">
        <f aca="false">VLOOKUP($M13,'[1]4-Disponibilidade'!$E$8:$G$26,2,FALSE())</f>
        <v>99.7715148925781</v>
      </c>
      <c r="O13" s="241" t="n">
        <f aca="false">IF(OR(N13=0,P13=0),P13,P13/N13*100)</f>
        <v>131.300000948211</v>
      </c>
      <c r="P13" s="241" t="n">
        <f aca="false">VLOOKUP($M13,'[1]4-Disponibilidade'!$E$8:$G$26,3,FALSE())</f>
        <v>131</v>
      </c>
      <c r="Q13" s="242" t="n">
        <f aca="false">VLOOKUP($L13,'[1]3-Produção'!$A$125:$C$146,2,FALSE())</f>
        <v>131</v>
      </c>
      <c r="R13" s="242" t="n">
        <f aca="false">IF(ISNA(VLOOKUP($L13,'[1]3-Produção'!$A$125:$C$146,3,FALSE())),"n/a",VLOOKUP($L13,'[1]3-Produção'!$A$125:$C$146,3,FALSE()))</f>
        <v>130.708333333333</v>
      </c>
      <c r="S13" s="232" t="n">
        <f aca="false">IF(OR(Q13="n/a",R13="n/a"),"n/a",R13-Q13)</f>
        <v>-0.291666666666629</v>
      </c>
      <c r="T13" s="232" t="n">
        <f aca="false">IF(OR(O13="n/a",P13="n/a",R13="n/a"),"n/a",O13-R13)</f>
        <v>0.591667614878077</v>
      </c>
      <c r="U13" s="232" t="n">
        <f aca="false">IF(OR(P13="n/a",O13="n/a",R13="n/a"),"n/a",P13-R13)</f>
        <v>0.291666666666629</v>
      </c>
      <c r="V13" s="243" t="n">
        <v>78.13</v>
      </c>
      <c r="W13" s="224" t="str">
        <f aca="false">IF(OR(N13&gt;100,N13="n/a",O13="n/a",P13="n/a",Q13="n/a",R13="n/a"),"X","")</f>
        <v/>
      </c>
    </row>
    <row r="14" customFormat="false" ht="12.75" hidden="false" customHeight="false" outlineLevel="0" collapsed="false">
      <c r="A14" s="229" t="s">
        <v>155</v>
      </c>
      <c r="B14" s="218" t="s">
        <v>155</v>
      </c>
      <c r="C14" s="230" t="n">
        <f aca="false">VLOOKUP($B14,'[1]4-Disponibilidade'!$A$8:$C$103,2,FALSE())</f>
        <v>63.9938316345215</v>
      </c>
      <c r="D14" s="231" t="n">
        <f aca="false">IF(OR(C14=0,E14=0),"n/a",E14/C14*100)</f>
        <v>129.700000578221</v>
      </c>
      <c r="E14" s="231" t="n">
        <f aca="false">VLOOKUP($B14,'[1]4-Disponibilidade'!$A$8:$C$103,3,FALSE())</f>
        <v>83</v>
      </c>
      <c r="F14" s="232" t="n">
        <f aca="false">IF(ISNA(VLOOKUP($A14,'[1]3-Produção'!$A$9:$C$104,2,FALSE()))=TRUE(),"n/a",VLOOKUP($A14,'[1]3-Produção'!$A$9:$C$104,2,FALSE()))</f>
        <v>74.2916666666667</v>
      </c>
      <c r="G14" s="232" t="n">
        <f aca="false">IF(ISNA(VLOOKUP($A14,'[1]3-Produção'!$A$9:$C$104,3,FALSE()))=TRUE(),"n/a",VLOOKUP($A14,'[1]3-Produção'!$A$9:$C$104,3,FALSE()))</f>
        <v>74.2916666666667</v>
      </c>
      <c r="H14" s="232" t="n">
        <f aca="false">IF(OR(F14="n/a",G14="n/a"),"n/a",G14-F14)</f>
        <v>0</v>
      </c>
      <c r="I14" s="232" t="n">
        <f aca="false">IF(OR(G14="n/a",D14="n/a"),"n/a",D14-G14)</f>
        <v>55.4083339115541</v>
      </c>
      <c r="J14" s="233" t="n">
        <f aca="false">IF(OR(G14="n/a",G14=0,E14="n/a",E14=0),"n/a",E14-G14)</f>
        <v>8.70833333333333</v>
      </c>
      <c r="K14" s="224" t="str">
        <f aca="false">IF(OR(C14&gt;100,D14="n/a",F14="n/a",G14="n/a",H14="n/a",I14="n/a",J14="n/a"),"X","")</f>
        <v/>
      </c>
      <c r="L14" s="234" t="s">
        <v>156</v>
      </c>
      <c r="M14" s="235" t="s">
        <v>156</v>
      </c>
      <c r="N14" s="236" t="n">
        <f aca="false">VLOOKUP($M14,'[1]4-Disponibilidade'!$E$8:$G$26,2,FALSE())</f>
        <v>30</v>
      </c>
      <c r="O14" s="236" t="n">
        <f aca="false">IF(OR(N14=0,P14=0),P14,P14/N14*100)</f>
        <v>20</v>
      </c>
      <c r="P14" s="236" t="n">
        <f aca="false">VLOOKUP($M14,'[1]4-Disponibilidade'!$E$8:$G$26,3,FALSE())</f>
        <v>6</v>
      </c>
      <c r="Q14" s="237" t="n">
        <f aca="false">VLOOKUP($L14,'[1]3-Produção'!$A$125:$C$146,2,FALSE())</f>
        <v>6</v>
      </c>
      <c r="R14" s="237" t="n">
        <f aca="false">IF(ISNA(VLOOKUP($L14,'[1]3-Produção'!$A$125:$C$146,3,FALSE())),"n/a",VLOOKUP($L14,'[1]3-Produção'!$A$125:$C$146,3,FALSE()))</f>
        <v>3.15833333333333</v>
      </c>
      <c r="S14" s="238" t="n">
        <f aca="false">IF(OR(Q14="n/a",R14="n/a"),"n/a",R14-Q14)</f>
        <v>-2.84166666666667</v>
      </c>
      <c r="T14" s="238" t="n">
        <f aca="false">IF(OR(O14="n/a",P14="n/a",R14="n/a"),"n/a",O14-R14)</f>
        <v>16.8416666666667</v>
      </c>
      <c r="U14" s="238" t="n">
        <f aca="false">IF(OR(P14="n/a",O14="n/a",R14="n/a"),"n/a",P14-R14)</f>
        <v>2.84166666666667</v>
      </c>
      <c r="V14" s="239" t="n">
        <v>78.52</v>
      </c>
      <c r="W14" s="224" t="str">
        <f aca="false">IF(OR(N14&gt;100,N14="n/a",O14="n/a",P14="n/a",Q14="n/a",R14="n/a"),"X","")</f>
        <v/>
      </c>
    </row>
    <row r="15" customFormat="false" ht="12.75" hidden="false" customHeight="false" outlineLevel="0" collapsed="false">
      <c r="A15" s="229" t="s">
        <v>157</v>
      </c>
      <c r="B15" s="218" t="s">
        <v>157</v>
      </c>
      <c r="C15" s="230" t="n">
        <f aca="false">VLOOKUP($B15,'[1]4-Disponibilidade'!$A$8:$C$103,2,FALSE())</f>
        <v>100</v>
      </c>
      <c r="D15" s="231" t="n">
        <f aca="false">IF(OR(C15=0,E15=0),"n/a",E15/C15*100)</f>
        <v>102</v>
      </c>
      <c r="E15" s="231" t="n">
        <f aca="false">VLOOKUP($B15,'[1]4-Disponibilidade'!$A$8:$C$103,3,FALSE())</f>
        <v>102</v>
      </c>
      <c r="F15" s="232" t="n">
        <f aca="false">IF(ISNA(VLOOKUP($A15,'[1]3-Produção'!$A$9:$C$104,2,FALSE()))=TRUE(),"n/a",VLOOKUP($A15,'[1]3-Produção'!$A$9:$C$104,2,FALSE()))</f>
        <v>41.875</v>
      </c>
      <c r="G15" s="232" t="n">
        <f aca="false">IF(ISNA(VLOOKUP($A15,'[1]3-Produção'!$A$9:$C$104,3,FALSE()))=TRUE(),"n/a",VLOOKUP($A15,'[1]3-Produção'!$A$9:$C$104,3,FALSE()))</f>
        <v>41.7333333333333</v>
      </c>
      <c r="H15" s="232" t="n">
        <f aca="false">IF(OR(F15="n/a",G15="n/a"),"n/a",G15-F15)</f>
        <v>-0.141666666666666</v>
      </c>
      <c r="I15" s="232" t="n">
        <f aca="false">IF(OR(G15="n/a",D15="n/a"),"n/a",D15-G15)</f>
        <v>60.2666666666667</v>
      </c>
      <c r="J15" s="233" t="n">
        <f aca="false">IF(OR(G15="n/a",G15=0,E15="n/a",E15=0),"n/a",E15-G15)</f>
        <v>60.2666666666667</v>
      </c>
      <c r="K15" s="224" t="str">
        <f aca="false">IF(OR(C15&gt;100,D15="n/a",F15="n/a",G15="n/a",H15="n/a",I15="n/a",J15="n/a"),"X","")</f>
        <v/>
      </c>
      <c r="L15" s="234" t="s">
        <v>158</v>
      </c>
      <c r="M15" s="235" t="s">
        <v>159</v>
      </c>
      <c r="N15" s="236" t="n">
        <f aca="false">VLOOKUP($M15,'[1]4-Disponibilidade'!$E$8:$G$26,2,FALSE())</f>
        <v>23.529411315918</v>
      </c>
      <c r="O15" s="236" t="n">
        <f aca="false">IF(OR(N15=0,P15=0),P15,P15/N15*100)</f>
        <v>17.0000003242493</v>
      </c>
      <c r="P15" s="236" t="n">
        <f aca="false">VLOOKUP($M15,'[1]4-Disponibilidade'!$E$8:$G$26,3,FALSE())</f>
        <v>4</v>
      </c>
      <c r="Q15" s="237" t="n">
        <f aca="false">VLOOKUP($L15,'[1]3-Produção'!$A$125:$C$146,2,FALSE())</f>
        <v>5</v>
      </c>
      <c r="R15" s="237" t="str">
        <f aca="false">IF(ISNA(VLOOKUP($L15,'[1]3-Produção'!$A$125:$C$146,3,FALSE())),"n/a",VLOOKUP($L15,'[1]3-Produção'!$A$125:$C$146,3,FALSE()))</f>
        <v/>
      </c>
      <c r="S15" s="238" t="e">
        <f aca="false">IF(OR(Q15="n/a",R15="n/a"),"n/a",R15-Q15)</f>
        <v>#VALUE!</v>
      </c>
      <c r="T15" s="238" t="e">
        <f aca="false">IF(OR(O15="n/a",P15="n/a",R15="n/a"),"n/a",O15-R15)</f>
        <v>#VALUE!</v>
      </c>
      <c r="U15" s="238" t="e">
        <f aca="false">IF(OR(P15="n/a",O15="n/a",R15="n/a"),"n/a",P15-R15)</f>
        <v>#VALUE!</v>
      </c>
      <c r="V15" s="239" t="n">
        <v>87.33</v>
      </c>
      <c r="W15" s="224" t="str">
        <f aca="false">IF(OR(N15&gt;100,N15="n/a",O15="n/a",P15="n/a",Q15="n/a",R15="n/a"),"X","")</f>
        <v/>
      </c>
    </row>
    <row r="16" customFormat="false" ht="12.75" hidden="false" customHeight="false" outlineLevel="0" collapsed="false">
      <c r="A16" s="229" t="s">
        <v>160</v>
      </c>
      <c r="B16" s="218" t="s">
        <v>160</v>
      </c>
      <c r="C16" s="230" t="n">
        <f aca="false">VLOOKUP($B16,'[1]4-Disponibilidade'!$A$8:$C$103,2,FALSE())</f>
        <v>83.3333358764648</v>
      </c>
      <c r="D16" s="231" t="n">
        <f aca="false">IF(OR(C16=0,E16=0),"n/a",E16/C16*100)</f>
        <v>1709.99994781494</v>
      </c>
      <c r="E16" s="231" t="n">
        <f aca="false">VLOOKUP($B16,'[1]4-Disponibilidade'!$A$8:$C$103,3,FALSE())</f>
        <v>1425</v>
      </c>
      <c r="F16" s="232" t="n">
        <f aca="false">IF(ISNA(VLOOKUP($A16,'[1]3-Produção'!$A$9:$C$104,2,FALSE()))=TRUE(),"n/a",VLOOKUP($A16,'[1]3-Produção'!$A$9:$C$104,2,FALSE()))</f>
        <v>1275.83333333333</v>
      </c>
      <c r="G16" s="232" t="n">
        <f aca="false">IF(ISNA(VLOOKUP($A16,'[1]3-Produção'!$A$9:$C$104,3,FALSE()))=TRUE(),"n/a",VLOOKUP($A16,'[1]3-Produção'!$A$9:$C$104,3,FALSE()))</f>
        <v>1323.78333333333</v>
      </c>
      <c r="H16" s="232" t="n">
        <f aca="false">IF(OR(F16="n/a",G16="n/a"),"n/a",G16-F16)</f>
        <v>47.95</v>
      </c>
      <c r="I16" s="232" t="n">
        <f aca="false">IF(OR(G16="n/a",D16="n/a"),"n/a",D16-G16)</f>
        <v>386.21661448161</v>
      </c>
      <c r="J16" s="233" t="n">
        <f aca="false">IF(OR(G16="n/a",G16=0,E16="n/a",E16=0),"n/a",E16-G16)</f>
        <v>101.216666666667</v>
      </c>
      <c r="K16" s="224" t="str">
        <f aca="false">IF(OR(C16&gt;100,D16="n/a",F16="n/a",G16="n/a",H16="n/a",I16="n/a",J16="n/a"),"X","")</f>
        <v/>
      </c>
      <c r="L16" s="229" t="s">
        <v>161</v>
      </c>
      <c r="M16" s="240" t="s">
        <v>161</v>
      </c>
      <c r="N16" s="241" t="n">
        <f aca="false">VLOOKUP($M16,'[1]4-Disponibilidade'!$E$8:$G$26,2,FALSE())</f>
        <v>49.3421058654785</v>
      </c>
      <c r="O16" s="241" t="n">
        <f aca="false">IF(OR(N16=0,P16=0),P16,P16/N16*100)</f>
        <v>607.999992578125</v>
      </c>
      <c r="P16" s="241" t="n">
        <f aca="false">VLOOKUP($M16,'[1]4-Disponibilidade'!$E$8:$G$26,3,FALSE())</f>
        <v>300</v>
      </c>
      <c r="Q16" s="242" t="n">
        <f aca="false">VLOOKUP($L16,'[1]3-Produção'!$A$125:$C$146,2,FALSE())</f>
        <v>300</v>
      </c>
      <c r="R16" s="242" t="n">
        <f aca="false">IF(ISNA(VLOOKUP($L16,'[1]3-Produção'!$A$125:$C$146,3,FALSE())),"n/a",VLOOKUP($L16,'[1]3-Produção'!$A$125:$C$146,3,FALSE()))</f>
        <v>295.045833333333</v>
      </c>
      <c r="S16" s="232" t="n">
        <f aca="false">IF(OR(Q16="n/a",R16="n/a"),"n/a",R16-Q16)</f>
        <v>-4.95416666666671</v>
      </c>
      <c r="T16" s="232" t="n">
        <f aca="false">IF(OR(O16="n/a",P16="n/a",R16="n/a"),"n/a",O16-R16)</f>
        <v>312.954159244792</v>
      </c>
      <c r="U16" s="232" t="n">
        <f aca="false">IF(OR(P16="n/a",O16="n/a",R16="n/a"),"n/a",P16-R16)</f>
        <v>4.95416666666671</v>
      </c>
      <c r="V16" s="243" t="n">
        <v>97.11</v>
      </c>
      <c r="W16" s="224" t="str">
        <f aca="false">IF(OR(N16&gt;100,N16="n/a",O16="n/a",P16="n/a",Q16="n/a",R16="n/a"),"X","")</f>
        <v/>
      </c>
    </row>
    <row r="17" customFormat="false" ht="12.75" hidden="false" customHeight="false" outlineLevel="0" collapsed="false">
      <c r="A17" s="229" t="s">
        <v>162</v>
      </c>
      <c r="B17" s="218" t="s">
        <v>162</v>
      </c>
      <c r="C17" s="230" t="n">
        <f aca="false">VLOOKUP($B17,'[1]4-Disponibilidade'!$A$8:$C$103,2,FALSE())</f>
        <v>65.3594818115234</v>
      </c>
      <c r="D17" s="231" t="n">
        <f aca="false">IF(OR(C17=0,E17=0),"n/a",E17/C17*100)</f>
        <v>61.1999956109622</v>
      </c>
      <c r="E17" s="231" t="n">
        <f aca="false">VLOOKUP($B17,'[1]4-Disponibilidade'!$A$8:$C$103,3,FALSE())</f>
        <v>40</v>
      </c>
      <c r="F17" s="232" t="n">
        <f aca="false">IF(ISNA(VLOOKUP($A17,'[1]3-Produção'!$A$9:$C$104,2,FALSE()))=TRUE(),"n/a",VLOOKUP($A17,'[1]3-Produção'!$A$9:$C$104,2,FALSE()))</f>
        <v>24</v>
      </c>
      <c r="G17" s="232" t="n">
        <f aca="false">IF(ISNA(VLOOKUP($A17,'[1]3-Produção'!$A$9:$C$104,3,FALSE()))=TRUE(),"n/a",VLOOKUP($A17,'[1]3-Produção'!$A$9:$C$104,3,FALSE()))</f>
        <v>25.2041666666667</v>
      </c>
      <c r="H17" s="232" t="n">
        <f aca="false">IF(OR(F17="n/a",G17="n/a"),"n/a",G17-F17)</f>
        <v>1.20416666666667</v>
      </c>
      <c r="I17" s="232" t="n">
        <f aca="false">IF(OR(G17="n/a",D17="n/a"),"n/a",D17-G17)</f>
        <v>35.9958289442956</v>
      </c>
      <c r="J17" s="233" t="n">
        <f aca="false">IF(OR(G17="n/a",G17=0,E17="n/a",E17=0),"n/a",E17-G17)</f>
        <v>14.7958333333333</v>
      </c>
      <c r="K17" s="224" t="str">
        <f aca="false">IF(OR(C17&gt;100,D17="n/a",F17="n/a",G17="n/a",H17="n/a",I17="n/a",J17="n/a"),"X","")</f>
        <v/>
      </c>
      <c r="L17" s="229" t="s">
        <v>163</v>
      </c>
      <c r="M17" s="240" t="s">
        <v>163</v>
      </c>
      <c r="N17" s="241" t="n">
        <f aca="false">VLOOKUP($M17,'[1]4-Disponibilidade'!$E$8:$G$26,2,FALSE())</f>
        <v>59.5744667053223</v>
      </c>
      <c r="O17" s="241" t="n">
        <f aca="false">IF(OR(N17=0,P17=0),P17,P17/N17*100)</f>
        <v>470.000010885511</v>
      </c>
      <c r="P17" s="241" t="n">
        <f aca="false">VLOOKUP($M17,'[1]4-Disponibilidade'!$E$8:$G$26,3,FALSE())</f>
        <v>280</v>
      </c>
      <c r="Q17" s="242" t="n">
        <f aca="false">VLOOKUP($L17,'[1]3-Produção'!$A$125:$C$146,2,FALSE())</f>
        <v>237.5</v>
      </c>
      <c r="R17" s="242" t="n">
        <f aca="false">IF(ISNA(VLOOKUP($L17,'[1]3-Produção'!$A$125:$C$146,3,FALSE())),"n/a",VLOOKUP($L17,'[1]3-Produção'!$A$125:$C$146,3,FALSE()))</f>
        <v>196.991666666667</v>
      </c>
      <c r="S17" s="232" t="n">
        <f aca="false">IF(OR(Q17="n/a",R17="n/a"),"n/a",R17-Q17)</f>
        <v>-40.5083333333334</v>
      </c>
      <c r="T17" s="232" t="n">
        <f aca="false">IF(OR(O17="n/a",P17="n/a",R17="n/a"),"n/a",O17-R17)</f>
        <v>273.008344218845</v>
      </c>
      <c r="U17" s="232" t="n">
        <f aca="false">IF(OR(P17="n/a",O17="n/a",R17="n/a"),"n/a",P17-R17)</f>
        <v>83.0083333333334</v>
      </c>
      <c r="V17" s="243" t="n">
        <v>115.27</v>
      </c>
      <c r="W17" s="224" t="str">
        <f aca="false">IF(OR(N17&gt;100,N17="n/a",O17="n/a",P17="n/a",Q17="n/a",R17="n/a"),"X","")</f>
        <v/>
      </c>
    </row>
    <row r="18" customFormat="false" ht="12.75" hidden="false" customHeight="false" outlineLevel="0" collapsed="false">
      <c r="A18" s="244" t="s">
        <v>164</v>
      </c>
      <c r="B18" s="245" t="s">
        <v>164</v>
      </c>
      <c r="C18" s="230" t="n">
        <f aca="false">VLOOKUP($B18,'[1]4-Disponibilidade'!$A$8:$C$103,2,FALSE())</f>
        <v>86.363639831543</v>
      </c>
      <c r="D18" s="231" t="n">
        <f aca="false">IF(OR(C18=0,E18=0),"n/a",E18/C18*100)</f>
        <v>395.999984098736</v>
      </c>
      <c r="E18" s="231" t="n">
        <f aca="false">VLOOKUP($B18,'[1]4-Disponibilidade'!$A$8:$C$103,3,FALSE())</f>
        <v>342</v>
      </c>
      <c r="F18" s="232" t="n">
        <f aca="false">IF(ISNA(VLOOKUP($A18,'[1]3-Produção'!$A$9:$C$104,2,FALSE()))=TRUE(),"n/a",VLOOKUP($A18,'[1]3-Produção'!$A$9:$C$104,2,FALSE()))</f>
        <v>177.5</v>
      </c>
      <c r="G18" s="232" t="n">
        <f aca="false">IF(ISNA(VLOOKUP($A18,'[1]3-Produção'!$A$9:$C$104,3,FALSE()))=TRUE(),"n/a",VLOOKUP($A18,'[1]3-Produção'!$A$9:$C$104,3,FALSE()))</f>
        <v>181.3875</v>
      </c>
      <c r="H18" s="232" t="n">
        <f aca="false">IF(OR(F18="n/a",G18="n/a"),"n/a",G18-F18)</f>
        <v>3.88749999999999</v>
      </c>
      <c r="I18" s="232" t="n">
        <f aca="false">IF(OR(G18="n/a",D18="n/a"),"n/a",D18-G18)</f>
        <v>214.612484098736</v>
      </c>
      <c r="J18" s="233" t="n">
        <f aca="false">IF(OR(G18="n/a",G18=0,E18="n/a",E18=0),"n/a",E18-G18)</f>
        <v>160.6125</v>
      </c>
      <c r="K18" s="224" t="str">
        <f aca="false">IF(OR(C18&gt;100,D18="n/a",F18="n/a",G18="n/a",H18="n/a",I18="n/a",J18="n/a"),"X","")</f>
        <v/>
      </c>
      <c r="L18" s="234" t="s">
        <v>165</v>
      </c>
      <c r="M18" s="235" t="s">
        <v>165</v>
      </c>
      <c r="N18" s="236" t="n">
        <f aca="false">VLOOKUP($M18,'[1]4-Disponibilidade'!$E$8:$G$26,2,FALSE())</f>
        <v>19.6969699859619</v>
      </c>
      <c r="O18" s="236" t="n">
        <f aca="false">IF(OR(N18=0,P18=0),P18,P18/N18*100)</f>
        <v>65.9999990316538</v>
      </c>
      <c r="P18" s="236" t="n">
        <f aca="false">VLOOKUP($M18,'[1]4-Disponibilidade'!$E$8:$G$26,3,FALSE())</f>
        <v>13</v>
      </c>
      <c r="Q18" s="237" t="n">
        <f aca="false">VLOOKUP($L18,'[1]3-Produção'!$A$125:$C$146,2,FALSE())</f>
        <v>13</v>
      </c>
      <c r="R18" s="237" t="n">
        <f aca="false">IF(ISNA(VLOOKUP($L18,'[1]3-Produção'!$A$125:$C$146,3,FALSE())),"n/a",VLOOKUP($L18,'[1]3-Produção'!$A$125:$C$146,3,FALSE()))</f>
        <v>13</v>
      </c>
      <c r="S18" s="238" t="n">
        <f aca="false">IF(OR(Q18="n/a",R18="n/a"),"n/a",R18-Q18)</f>
        <v>0</v>
      </c>
      <c r="T18" s="238" t="n">
        <f aca="false">IF(OR(O18="n/a",P18="n/a",R18="n/a"),"n/a",O18-R18)</f>
        <v>52.9999990316538</v>
      </c>
      <c r="U18" s="238" t="n">
        <f aca="false">IF(OR(P18="n/a",O18="n/a",R18="n/a"),"n/a",P18-R18)</f>
        <v>0</v>
      </c>
      <c r="V18" s="239" t="n">
        <v>128.24</v>
      </c>
      <c r="W18" s="224" t="str">
        <f aca="false">IF(OR(N18&gt;100,N18="n/a",O18="n/a",P18="n/a",Q18="n/a",R18="n/a"),"X","")</f>
        <v/>
      </c>
    </row>
    <row r="19" customFormat="false" ht="12.75" hidden="false" customHeight="false" outlineLevel="0" collapsed="false">
      <c r="A19" s="229" t="s">
        <v>166</v>
      </c>
      <c r="B19" s="218" t="s">
        <v>166</v>
      </c>
      <c r="C19" s="230" t="n">
        <f aca="false">VLOOKUP($B19,'[1]4-Disponibilidade'!$A$8:$C$103,2,FALSE())</f>
        <v>100</v>
      </c>
      <c r="D19" s="231" t="n">
        <f aca="false">IF(OR(C19=0,E19=0),"n/a",E19/C19*100)</f>
        <v>380</v>
      </c>
      <c r="E19" s="231" t="n">
        <f aca="false">VLOOKUP($B19,'[1]4-Disponibilidade'!$A$8:$C$103,3,FALSE())</f>
        <v>380</v>
      </c>
      <c r="F19" s="232" t="n">
        <f aca="false">IF(ISNA(VLOOKUP($A19,'[1]3-Produção'!$A$9:$C$104,2,FALSE()))=TRUE(),"n/a",VLOOKUP($A19,'[1]3-Produção'!$A$9:$C$104,2,FALSE()))</f>
        <v>255.833333333333</v>
      </c>
      <c r="G19" s="232" t="n">
        <f aca="false">IF(ISNA(VLOOKUP($A19,'[1]3-Produção'!$A$9:$C$104,3,FALSE()))=TRUE(),"n/a",VLOOKUP($A19,'[1]3-Produção'!$A$9:$C$104,3,FALSE()))</f>
        <v>255.316666666667</v>
      </c>
      <c r="H19" s="232" t="n">
        <f aca="false">IF(OR(F19="n/a",G19="n/a"),"n/a",G19-F19)</f>
        <v>-0.516666666666652</v>
      </c>
      <c r="I19" s="232" t="n">
        <f aca="false">IF(OR(G19="n/a",D19="n/a"),"n/a",D19-G19)</f>
        <v>124.683333333333</v>
      </c>
      <c r="J19" s="233" t="n">
        <f aca="false">IF(OR(G19="n/a",G19=0,E19="n/a",E19=0),"n/a",E19-G19)</f>
        <v>124.683333333333</v>
      </c>
      <c r="K19" s="224" t="str">
        <f aca="false">IF(OR(C19&gt;100,D19="n/a",F19="n/a",G19="n/a",H19="n/a",I19="n/a",J19="n/a"),"X","")</f>
        <v/>
      </c>
      <c r="L19" s="229" t="s">
        <v>167</v>
      </c>
      <c r="M19" s="240" t="s">
        <v>168</v>
      </c>
      <c r="N19" s="241" t="e">
        <f aca="false">VLOOKUP($M19,'[1]4-Disponibilidade'!$E$8:$G$26,2,FALSE())</f>
        <v>#N/A</v>
      </c>
      <c r="O19" s="241" t="e">
        <f aca="false">IF(OR(N19=0,P19=0),P19,P19/N19*100)</f>
        <v>#N/A</v>
      </c>
      <c r="P19" s="241" t="e">
        <f aca="false">VLOOKUP($M19,'[1]4-Disponibilidade'!$E$8:$G$26,3,FALSE())</f>
        <v>#N/A</v>
      </c>
      <c r="Q19" s="242" t="n">
        <f aca="false">VLOOKUP("Carioba*",'[1]3-Produção'!$A$125:$C$146,2,FALSE())</f>
        <v>0</v>
      </c>
      <c r="R19" s="242" t="str">
        <f aca="false">IF(ISNA(VLOOKUP($L19,'[1]3-Produção'!$A$125:$C$146,3,FALSE())),"n/a",VLOOKUP($L19,'[1]3-Produção'!$A$125:$C$146,3,FALSE()))</f>
        <v>n/a</v>
      </c>
      <c r="S19" s="232" t="str">
        <f aca="false">IF(OR(Q19="n/a",R19="n/a"),"n/a",R19-Q19)</f>
        <v>n/a</v>
      </c>
      <c r="T19" s="232" t="e">
        <f aca="false">IF(OR(O19="n/a",P19="n/a",R19="n/a"),"n/a",O19-R19)</f>
        <v>#N/A</v>
      </c>
      <c r="U19" s="232" t="e">
        <f aca="false">IF(OR(P19="n/a",O19="n/a",R19="n/a"),"n/a",P19-R19)</f>
        <v>#N/A</v>
      </c>
      <c r="V19" s="243" t="n">
        <v>142.88</v>
      </c>
      <c r="W19" s="224" t="e">
        <f aca="false">IF(OR(N19&gt;100,N19="n/a",O19="n/a",P19="n/a",Q19="n/a",R19="n/a"),"X","")</f>
        <v>#N/A</v>
      </c>
    </row>
    <row r="20" customFormat="false" ht="12.75" hidden="false" customHeight="false" outlineLevel="0" collapsed="false">
      <c r="A20" s="229" t="s">
        <v>169</v>
      </c>
      <c r="B20" s="218" t="s">
        <v>170</v>
      </c>
      <c r="C20" s="230" t="n">
        <f aca="false">VLOOKUP($B20,'[1]4-Disponibilidade'!$A$8:$C$103,2,FALSE())</f>
        <v>85.6653366088867</v>
      </c>
      <c r="D20" s="231" t="n">
        <f aca="false">IF(OR(C20=0,E20=0),"n/a",E20/C20*100)</f>
        <v>17.5099994861211</v>
      </c>
      <c r="E20" s="231" t="n">
        <f aca="false">VLOOKUP($B20,'[1]4-Disponibilidade'!$A$8:$C$103,3,FALSE())</f>
        <v>15</v>
      </c>
      <c r="F20" s="232" t="n">
        <f aca="false">IF(ISNA(VLOOKUP($A20,'[1]3-Produção'!$A$9:$C$104,2,FALSE()))=TRUE(),"n/a",VLOOKUP($A20,'[1]3-Produção'!$A$9:$C$104,2,FALSE()))</f>
        <v>8.70833333333333</v>
      </c>
      <c r="G20" s="232" t="n">
        <f aca="false">IF(ISNA(VLOOKUP($A20,'[1]3-Produção'!$A$9:$C$104,3,FALSE()))=TRUE(),"n/a",VLOOKUP($A20,'[1]3-Produção'!$A$9:$C$104,3,FALSE()))</f>
        <v>8.70833333333333</v>
      </c>
      <c r="H20" s="232" t="n">
        <f aca="false">IF(OR(F20="n/a",G20="n/a"),"n/a",G20-F20)</f>
        <v>0</v>
      </c>
      <c r="I20" s="232" t="n">
        <f aca="false">IF(OR(G20="n/a",D20="n/a"),"n/a",D20-G20)</f>
        <v>8.8016661527878</v>
      </c>
      <c r="J20" s="233" t="n">
        <f aca="false">IF(OR(G20="n/a",G20=0,E20="n/a",E20=0),"n/a",E20-G20)</f>
        <v>6.29166666666667</v>
      </c>
      <c r="K20" s="224" t="str">
        <f aca="false">IF(OR(C20&gt;100,D20="n/a",F20="n/a",G20="n/a",H20="n/a",I20="n/a",J20="n/a"),"X","")</f>
        <v/>
      </c>
      <c r="L20" s="229" t="s">
        <v>171</v>
      </c>
      <c r="M20" s="240" t="s">
        <v>171</v>
      </c>
      <c r="N20" s="241" t="n">
        <f aca="false">VLOOKUP($M20,'[1]4-Disponibilidade'!$E$8:$G$26,2,FALSE())</f>
        <v>28.125</v>
      </c>
      <c r="O20" s="241" t="n">
        <f aca="false">IF(OR(N20=0,P20=0),P20,P20/N20*100)</f>
        <v>480</v>
      </c>
      <c r="P20" s="241" t="n">
        <f aca="false">VLOOKUP($M20,'[1]4-Disponibilidade'!$E$8:$G$26,3,FALSE())</f>
        <v>135</v>
      </c>
      <c r="Q20" s="242" t="n">
        <f aca="false">VLOOKUP($L20,'[1]3-Produção'!$A$125:$C$146,2,FALSE())</f>
        <v>450</v>
      </c>
      <c r="R20" s="242" t="n">
        <f aca="false">IF(ISNA(VLOOKUP($L20,'[1]3-Produção'!$A$125:$C$146,3,FALSE())),"n/a",VLOOKUP($L20,'[1]3-Produção'!$A$125:$C$146,3,FALSE()))</f>
        <v>135</v>
      </c>
      <c r="S20" s="232" t="n">
        <f aca="false">IF(OR(Q20="n/a",R20="n/a"),"n/a",R20-Q20)</f>
        <v>-315</v>
      </c>
      <c r="T20" s="232" t="n">
        <f aca="false">IF(OR(O20="n/a",P20="n/a",R20="n/a"),"n/a",O20-R20)</f>
        <v>345</v>
      </c>
      <c r="U20" s="232" t="n">
        <f aca="false">IF(OR(P20="n/a",O20="n/a",R20="n/a"),"n/a",P20-R20)</f>
        <v>0</v>
      </c>
      <c r="V20" s="243" t="n">
        <v>160.06</v>
      </c>
      <c r="W20" s="224" t="str">
        <f aca="false">IF(OR(N20&gt;100,N20="n/a",O20="n/a",P20="n/a",Q20="n/a",R20="n/a"),"X","")</f>
        <v/>
      </c>
    </row>
    <row r="21" customFormat="false" ht="12.75" hidden="false" customHeight="false" outlineLevel="0" collapsed="false">
      <c r="A21" s="229" t="s">
        <v>172</v>
      </c>
      <c r="B21" s="218" t="s">
        <v>172</v>
      </c>
      <c r="C21" s="230" t="n">
        <f aca="false">VLOOKUP($B21,'[1]4-Disponibilidade'!$A$8:$C$103,2,FALSE())</f>
        <v>33.9588928222656</v>
      </c>
      <c r="D21" s="231" t="n">
        <f aca="false">IF(OR(C21=0,E21=0),"n/a",E21/C21*100)</f>
        <v>111.899996854682</v>
      </c>
      <c r="E21" s="231" t="n">
        <f aca="false">VLOOKUP($B21,'[1]4-Disponibilidade'!$A$8:$C$103,3,FALSE())</f>
        <v>38</v>
      </c>
      <c r="F21" s="232" t="n">
        <f aca="false">IF(ISNA(VLOOKUP($A21,'[1]3-Produção'!$A$9:$C$104,2,FALSE()))=TRUE(),"n/a",VLOOKUP($A21,'[1]3-Produção'!$A$9:$C$104,2,FALSE()))</f>
        <v>40</v>
      </c>
      <c r="G21" s="232" t="n">
        <f aca="false">IF(ISNA(VLOOKUP($A21,'[1]3-Produção'!$A$9:$C$104,3,FALSE()))=TRUE(),"n/a",VLOOKUP($A21,'[1]3-Produção'!$A$9:$C$104,3,FALSE()))</f>
        <v>40</v>
      </c>
      <c r="H21" s="232" t="n">
        <f aca="false">IF(OR(F21="n/a",G21="n/a"),"n/a",G21-F21)</f>
        <v>0</v>
      </c>
      <c r="I21" s="232" t="n">
        <f aca="false">IF(OR(G21="n/a",D21="n/a"),"n/a",D21-G21)</f>
        <v>71.8999968546818</v>
      </c>
      <c r="J21" s="233" t="n">
        <f aca="false">IF(OR(G21="n/a",G21=0,E21="n/a",E21=0),"n/a",E21-G21)</f>
        <v>-2</v>
      </c>
      <c r="K21" s="224" t="str">
        <f aca="false">IF(OR(C21&gt;100,D21="n/a",F21="n/a",G21="n/a",H21="n/a",I21="n/a",J21="n/a"),"X","")</f>
        <v/>
      </c>
      <c r="L21" s="234" t="s">
        <v>173</v>
      </c>
      <c r="M21" s="235" t="s">
        <v>173</v>
      </c>
      <c r="N21" s="236" t="n">
        <f aca="false">VLOOKUP($M21,'[1]4-Disponibilidade'!$E$8:$G$26,2,FALSE())</f>
        <v>0</v>
      </c>
      <c r="O21" s="236" t="n">
        <f aca="false">IF(OR(N21=0,P21=0),P21,P21/N21*100)</f>
        <v>0</v>
      </c>
      <c r="P21" s="236" t="n">
        <f aca="false">VLOOKUP($M21,'[1]4-Disponibilidade'!$E$8:$G$26,3,FALSE())</f>
        <v>0</v>
      </c>
      <c r="Q21" s="237" t="n">
        <f aca="false">VLOOKUP($L21,'[1]3-Produção'!$A$125:$C$146,2,FALSE())</f>
        <v>0</v>
      </c>
      <c r="R21" s="237" t="n">
        <f aca="false">IF(ISNA(VLOOKUP($L21,'[1]3-Produção'!$A$125:$C$146,3,FALSE())),"n/a",VLOOKUP($L21,'[1]3-Produção'!$A$125:$C$146,3,FALSE()))</f>
        <v>0</v>
      </c>
      <c r="S21" s="238" t="n">
        <f aca="false">IF(OR(Q21="n/a",R21="n/a"),"n/a",R21-Q21)</f>
        <v>0</v>
      </c>
      <c r="T21" s="238" t="n">
        <f aca="false">IF(OR(O21="n/a",P21="n/a",R21="n/a"),"n/a",O21-R21)</f>
        <v>0</v>
      </c>
      <c r="U21" s="238" t="n">
        <f aca="false">IF(OR(P21="n/a",O21="n/a",R21="n/a"),"n/a",P21-R21)</f>
        <v>0</v>
      </c>
      <c r="V21" s="239" t="n">
        <v>204.96</v>
      </c>
      <c r="W21" s="224" t="str">
        <f aca="false">IF(OR(N21&gt;100,N21="n/a",O21="n/a",P21="n/a",Q21="n/a",R21="n/a"),"X","")</f>
        <v/>
      </c>
    </row>
    <row r="22" customFormat="false" ht="12.75" hidden="false" customHeight="false" outlineLevel="0" collapsed="false">
      <c r="A22" s="244" t="s">
        <v>174</v>
      </c>
      <c r="B22" s="245" t="s">
        <v>174</v>
      </c>
      <c r="C22" s="230" t="n">
        <f aca="false">VLOOKUP($B22,'[1]4-Disponibilidade'!$A$8:$C$103,2,FALSE())</f>
        <v>84.0474624633789</v>
      </c>
      <c r="D22" s="231" t="n">
        <f aca="false">IF(OR(C22=0,E22=0),"n/a",E22/C22*100)</f>
        <v>60.6799997349375</v>
      </c>
      <c r="E22" s="231" t="n">
        <f aca="false">VLOOKUP($B22,'[1]4-Disponibilidade'!$A$8:$C$103,3,FALSE())</f>
        <v>51</v>
      </c>
      <c r="F22" s="232" t="n">
        <f aca="false">IF(ISNA(VLOOKUP($A22,'[1]3-Produção'!$A$9:$C$104,2,FALSE()))=TRUE(),"n/a",VLOOKUP($A22,'[1]3-Produção'!$A$9:$C$104,2,FALSE()))</f>
        <v>28.5833333333333</v>
      </c>
      <c r="G22" s="232" t="n">
        <f aca="false">IF(ISNA(VLOOKUP($A22,'[1]3-Produção'!$A$9:$C$104,3,FALSE()))=TRUE(),"n/a",VLOOKUP($A22,'[1]3-Produção'!$A$9:$C$104,3,FALSE()))</f>
        <v>28.5833333333333</v>
      </c>
      <c r="H22" s="232" t="n">
        <f aca="false">IF(OR(F22="n/a",G22="n/a"),"n/a",G22-F22)</f>
        <v>0</v>
      </c>
      <c r="I22" s="232" t="n">
        <f aca="false">IF(OR(G22="n/a",D22="n/a"),"n/a",D22-G22)</f>
        <v>32.0966664016042</v>
      </c>
      <c r="J22" s="233" t="n">
        <f aca="false">IF(OR(G22="n/a",G22=0,E22="n/a",E22=0),"n/a",E22-G22)</f>
        <v>22.4166666666667</v>
      </c>
      <c r="K22" s="224" t="str">
        <f aca="false">IF(OR(C22&gt;100,D22="n/a",F22="n/a",G22="n/a",H22="n/a",I22="n/a",J22="n/a"),"X","")</f>
        <v/>
      </c>
      <c r="L22" s="246" t="s">
        <v>175</v>
      </c>
      <c r="M22" s="247" t="s">
        <v>175</v>
      </c>
      <c r="N22" s="248" t="n">
        <f aca="false">VLOOKUP($M22,'[1]4-Disponibilidade'!$E$8:$G$26,2,FALSE())</f>
        <v>20</v>
      </c>
      <c r="O22" s="248" t="n">
        <f aca="false">IF(OR(N22=0,P22=0),P22,P22/N22*100)</f>
        <v>200</v>
      </c>
      <c r="P22" s="248" t="n">
        <f aca="false">VLOOKUP($M22,'[1]4-Disponibilidade'!$E$8:$G$26,3,FALSE())</f>
        <v>40</v>
      </c>
      <c r="Q22" s="249" t="n">
        <f aca="false">VLOOKUP($L22,'[1]3-Produção'!$A$125:$C$146,2,FALSE())</f>
        <v>40</v>
      </c>
      <c r="R22" s="249" t="n">
        <f aca="false">IF(ISNA(VLOOKUP($L22,'[1]3-Produção'!$A$125:$C$146,3,FALSE())),"n/a",VLOOKUP($L22,'[1]3-Produção'!$A$125:$C$146,3,FALSE()))</f>
        <v>35.5708333333333</v>
      </c>
      <c r="S22" s="250" t="n">
        <f aca="false">IF(OR(Q22="n/a",R22="n/a"),"n/a",R22-Q22)</f>
        <v>-4.42916666666667</v>
      </c>
      <c r="T22" s="250" t="n">
        <f aca="false">IF(OR(O22="n/a",P22="n/a",R22="n/a"),"n/a",O22-R22)</f>
        <v>164.429166666667</v>
      </c>
      <c r="U22" s="250" t="n">
        <f aca="false">IF(OR(P22="n/a",O22="n/a",R22="n/a"),"n/a",P22-R22)</f>
        <v>4.42916666666667</v>
      </c>
      <c r="V22" s="251" t="n">
        <v>247.78</v>
      </c>
      <c r="W22" s="224" t="str">
        <f aca="false">IF(OR(N22&gt;100,N22="n/a",O22="n/a",P22="n/a",Q22="n/a",R22="n/a"),"X","")</f>
        <v/>
      </c>
    </row>
    <row r="23" customFormat="false" ht="13.5" hidden="false" customHeight="false" outlineLevel="0" collapsed="false">
      <c r="A23" s="229" t="s">
        <v>176</v>
      </c>
      <c r="B23" s="218" t="s">
        <v>176</v>
      </c>
      <c r="C23" s="230" t="n">
        <f aca="false">VLOOKUP($B23,'[1]4-Disponibilidade'!$A$8:$C$103,2,FALSE())</f>
        <v>87.9828338623047</v>
      </c>
      <c r="D23" s="231" t="n">
        <f aca="false">IF(OR(C23=0,E23=0),"n/a",E23/C23*100)</f>
        <v>1397.99998022908</v>
      </c>
      <c r="E23" s="231" t="n">
        <f aca="false">VLOOKUP($B23,'[1]4-Disponibilidade'!$A$8:$C$103,3,FALSE())</f>
        <v>1230</v>
      </c>
      <c r="F23" s="232" t="n">
        <f aca="false">IF(ISNA(VLOOKUP($A23,'[1]3-Produção'!$A$9:$C$104,2,FALSE()))=TRUE(),"n/a",VLOOKUP($A23,'[1]3-Produção'!$A$9:$C$104,2,FALSE()))</f>
        <v>746.875</v>
      </c>
      <c r="G23" s="232" t="n">
        <f aca="false">IF(ISNA(VLOOKUP($A23,'[1]3-Produção'!$A$9:$C$104,3,FALSE()))=TRUE(),"n/a",VLOOKUP($A23,'[1]3-Produção'!$A$9:$C$104,3,FALSE()))</f>
        <v>756.379166666667</v>
      </c>
      <c r="H23" s="232" t="n">
        <f aca="false">IF(OR(F23="n/a",G23="n/a"),"n/a",G23-F23)</f>
        <v>9.50416666666661</v>
      </c>
      <c r="I23" s="232" t="n">
        <f aca="false">IF(OR(G23="n/a",D23="n/a"),"n/a",D23-G23)</f>
        <v>641.620813562409</v>
      </c>
      <c r="J23" s="233" t="n">
        <f aca="false">IF(OR(G23="n/a",G23=0,E23="n/a",E23=0),"n/a",E23-G23)</f>
        <v>473.620833333333</v>
      </c>
      <c r="K23" s="224" t="str">
        <f aca="false">IF(OR(C23&gt;100,D23="n/a",F23="n/a",G23="n/a",H23="n/a",I23="n/a",J23="n/a"),"X","")</f>
        <v/>
      </c>
      <c r="L23" s="252" t="s">
        <v>177</v>
      </c>
      <c r="M23" s="253" t="s">
        <v>177</v>
      </c>
      <c r="N23" s="254" t="n">
        <f aca="false">VLOOKUP($M23,'[1]4-Disponibilidade'!$E$8:$G$26,2,FALSE())</f>
        <v>43.75</v>
      </c>
      <c r="O23" s="254" t="n">
        <f aca="false">IF(OR(N23=0,P23=0),P23,P23/N23*100)</f>
        <v>80</v>
      </c>
      <c r="P23" s="254" t="n">
        <f aca="false">VLOOKUP($M23,'[1]4-Disponibilidade'!$E$8:$G$26,3,FALSE())</f>
        <v>35</v>
      </c>
      <c r="Q23" s="255" t="n">
        <f aca="false">VLOOKUP($L23,'[1]3-Produção'!$A$125:$C$146,2,FALSE())</f>
        <v>2.91666666666667</v>
      </c>
      <c r="R23" s="255" t="n">
        <f aca="false">IF(ISNA(VLOOKUP($L23,'[1]3-Produção'!$A$125:$C$146,3,FALSE())),"n/a",VLOOKUP($L23,'[1]3-Produção'!$A$125:$C$146,3,FALSE()))</f>
        <v>5.08333333333333</v>
      </c>
      <c r="S23" s="256" t="n">
        <f aca="false">IF(OR(Q23="n/a",R23="n/a"),"n/a",R23-Q23)</f>
        <v>2.16666666666667</v>
      </c>
      <c r="T23" s="256" t="n">
        <f aca="false">IF(OR(O23="n/a",P23="n/a",R23="n/a"),"n/a",O23-R23)</f>
        <v>74.9166666666667</v>
      </c>
      <c r="U23" s="256" t="n">
        <f aca="false">IF(OR(P23="n/a",O23="n/a",R23="n/a"),"n/a",P23-R23)</f>
        <v>29.9166666666667</v>
      </c>
      <c r="V23" s="257" t="n">
        <v>324.06</v>
      </c>
      <c r="W23" s="224" t="str">
        <f aca="false">IF(OR(N23&gt;100,N23="n/a",O23="n/a",P23="n/a",Q23="n/a",R23="n/a"),"X","")</f>
        <v/>
      </c>
    </row>
    <row r="24" customFormat="false" ht="13.5" hidden="false" customHeight="false" outlineLevel="0" collapsed="false">
      <c r="A24" s="229" t="s">
        <v>178</v>
      </c>
      <c r="B24" s="218" t="s">
        <v>178</v>
      </c>
      <c r="C24" s="230" t="n">
        <f aca="false">VLOOKUP($B24,'[1]4-Disponibilidade'!$A$8:$C$103,2,FALSE())</f>
        <v>90</v>
      </c>
      <c r="D24" s="231" t="n">
        <f aca="false">IF(OR(C24=0,E24=0),"n/a",E24/C24*100)</f>
        <v>140</v>
      </c>
      <c r="E24" s="231" t="n">
        <f aca="false">VLOOKUP($B24,'[1]4-Disponibilidade'!$A$8:$C$103,3,FALSE())</f>
        <v>126</v>
      </c>
      <c r="F24" s="232" t="n">
        <f aca="false">IF(ISNA(VLOOKUP($A24,'[1]3-Produção'!$A$9:$C$104,2,FALSE()))=TRUE(),"n/a",VLOOKUP($A24,'[1]3-Produção'!$A$9:$C$104,2,FALSE()))</f>
        <v>64.1666666666667</v>
      </c>
      <c r="G24" s="232" t="n">
        <f aca="false">IF(ISNA(VLOOKUP($A24,'[1]3-Produção'!$A$9:$C$104,3,FALSE()))=TRUE(),"n/a",VLOOKUP($A24,'[1]3-Produção'!$A$9:$C$104,3,FALSE()))</f>
        <v>72.3625</v>
      </c>
      <c r="H24" s="232" t="n">
        <f aca="false">IF(OR(F24="n/a",G24="n/a"),"n/a",G24-F24)</f>
        <v>8.19583333333333</v>
      </c>
      <c r="I24" s="232" t="n">
        <f aca="false">IF(OR(G24="n/a",D24="n/a"),"n/a",D24-G24)</f>
        <v>67.6375</v>
      </c>
      <c r="J24" s="233" t="n">
        <f aca="false">IF(OR(G24="n/a",G24=0,E24="n/a",E24=0),"n/a",E24-G24)</f>
        <v>53.6375</v>
      </c>
      <c r="K24" s="224" t="str">
        <f aca="false">IF(OR(C24&gt;100,D24="n/a",F24="n/a",G24="n/a",H24="n/a",I24="n/a",J24="n/a"),"X","")</f>
        <v/>
      </c>
      <c r="L24" s="258" t="s">
        <v>103</v>
      </c>
      <c r="M24" s="259"/>
      <c r="N24" s="260" t="e">
        <f aca="false">SUMPRODUCT(N5:N23,O5:O23)/O24</f>
        <v>#N/A</v>
      </c>
      <c r="O24" s="260" t="e">
        <f aca="false">SUM(O5:O23)</f>
        <v>#N/A</v>
      </c>
      <c r="P24" s="260" t="e">
        <f aca="false">SUM(P5:P23)</f>
        <v>#N/A</v>
      </c>
      <c r="Q24" s="260" t="n">
        <f aca="false">SUM(Q5:Q23)</f>
        <v>4416.04166666667</v>
      </c>
      <c r="R24" s="260" t="n">
        <f aca="false">SUM(R5:R23)</f>
        <v>3892.14166666667</v>
      </c>
      <c r="S24" s="261" t="e">
        <f aca="false">SUM(S5:S23)</f>
        <v>#VALUE!</v>
      </c>
      <c r="T24" s="261" t="e">
        <f aca="false">SUM(T5:T23)</f>
        <v>#N/A</v>
      </c>
      <c r="U24" s="261" t="e">
        <f aca="false">SUM(U5:U23)</f>
        <v>#N/A</v>
      </c>
      <c r="V24" s="262"/>
      <c r="W24" s="203"/>
    </row>
    <row r="25" customFormat="false" ht="12.75" hidden="false" customHeight="false" outlineLevel="0" collapsed="false">
      <c r="A25" s="229" t="s">
        <v>179</v>
      </c>
      <c r="B25" s="218" t="s">
        <v>179</v>
      </c>
      <c r="C25" s="230" t="n">
        <f aca="false">VLOOKUP($B25,'[1]4-Disponibilidade'!$A$8:$C$103,2,FALSE())</f>
        <v>91.6666641235352</v>
      </c>
      <c r="D25" s="231" t="n">
        <f aca="false">IF(OR(C25=0,E25=0),"n/a",E25/C25*100)</f>
        <v>144.000003995029</v>
      </c>
      <c r="E25" s="231" t="n">
        <f aca="false">VLOOKUP($B25,'[1]4-Disponibilidade'!$A$8:$C$103,3,FALSE())</f>
        <v>132</v>
      </c>
      <c r="F25" s="232" t="n">
        <f aca="false">IF(ISNA(VLOOKUP($A25,'[1]3-Produção'!$A$9:$C$104,2,FALSE()))=TRUE(),"n/a",VLOOKUP($A25,'[1]3-Produção'!$A$9:$C$104,2,FALSE()))</f>
        <v>62.5</v>
      </c>
      <c r="G25" s="232" t="n">
        <f aca="false">IF(ISNA(VLOOKUP($A25,'[1]3-Produção'!$A$9:$C$104,3,FALSE()))=TRUE(),"n/a",VLOOKUP($A25,'[1]3-Produção'!$A$9:$C$104,3,FALSE()))</f>
        <v>76.4</v>
      </c>
      <c r="H25" s="232" t="n">
        <f aca="false">IF(OR(F25="n/a",G25="n/a"),"n/a",G25-F25)</f>
        <v>13.9</v>
      </c>
      <c r="I25" s="232" t="n">
        <f aca="false">IF(OR(G25="n/a",D25="n/a"),"n/a",D25-G25)</f>
        <v>67.6000039950285</v>
      </c>
      <c r="J25" s="233" t="n">
        <f aca="false">IF(OR(G25="n/a",G25=0,E25="n/a",E25=0),"n/a",E25-G25)</f>
        <v>55.6</v>
      </c>
      <c r="K25" s="224" t="str">
        <f aca="false">IF(OR(C25&gt;100,D25="n/a",F25="n/a",G25="n/a",H25="n/a",I25="n/a",J25="n/a"),"X","")</f>
        <v/>
      </c>
      <c r="R25" s="263"/>
      <c r="S25" s="264"/>
      <c r="T25" s="264"/>
      <c r="U25" s="264"/>
    </row>
    <row r="26" customFormat="false" ht="12.75" hidden="false" customHeight="false" outlineLevel="0" collapsed="false">
      <c r="A26" s="229" t="s">
        <v>180</v>
      </c>
      <c r="B26" s="218" t="s">
        <v>180</v>
      </c>
      <c r="C26" s="230" t="n">
        <f aca="false">VLOOKUP($B26,'[1]4-Disponibilidade'!$A$8:$C$103,2,FALSE())</f>
        <v>81.25</v>
      </c>
      <c r="D26" s="231" t="n">
        <f aca="false">IF(OR(C26=0,E26=0),"n/a",E26/C26*100)</f>
        <v>80</v>
      </c>
      <c r="E26" s="231" t="n">
        <f aca="false">VLOOKUP($B26,'[1]4-Disponibilidade'!$A$8:$C$103,3,FALSE())</f>
        <v>65</v>
      </c>
      <c r="F26" s="232" t="n">
        <f aca="false">IF(ISNA(VLOOKUP($A26,'[1]3-Produção'!$A$9:$C$104,2,FALSE()))=TRUE(),"n/a",VLOOKUP($A26,'[1]3-Produção'!$A$9:$C$104,2,FALSE()))</f>
        <v>35.75</v>
      </c>
      <c r="G26" s="232" t="n">
        <f aca="false">IF(ISNA(VLOOKUP($A26,'[1]3-Produção'!$A$9:$C$104,3,FALSE()))=TRUE(),"n/a",VLOOKUP($A26,'[1]3-Produção'!$A$9:$C$104,3,FALSE()))</f>
        <v>35.4875</v>
      </c>
      <c r="H26" s="232" t="n">
        <f aca="false">IF(OR(F26="n/a",G26="n/a"),"n/a",G26-F26)</f>
        <v>-0.262500000000003</v>
      </c>
      <c r="I26" s="232" t="n">
        <f aca="false">IF(OR(G26="n/a",D26="n/a"),"n/a",D26-G26)</f>
        <v>44.5125</v>
      </c>
      <c r="J26" s="233" t="n">
        <f aca="false">IF(OR(G26="n/a",G26=0,E26="n/a",E26=0),"n/a",E26-G26)</f>
        <v>29.5125</v>
      </c>
      <c r="K26" s="224" t="str">
        <f aca="false">IF(OR(C26&gt;100,D26="n/a",F26="n/a",G26="n/a",H26="n/a",I26="n/a",J26="n/a"),"X","")</f>
        <v/>
      </c>
      <c r="L26" s="265" t="s">
        <v>181</v>
      </c>
      <c r="M26" s="266"/>
      <c r="R26" s="263"/>
    </row>
    <row r="27" customFormat="false" ht="12.75" hidden="false" customHeight="false" outlineLevel="0" collapsed="false">
      <c r="A27" s="229" t="s">
        <v>66</v>
      </c>
      <c r="B27" s="218" t="s">
        <v>66</v>
      </c>
      <c r="C27" s="230" t="n">
        <f aca="false">VLOOKUP($B27,'[1]4-Disponibilidade'!$A$8:$C$103,2,FALSE())</f>
        <v>93.75</v>
      </c>
      <c r="D27" s="231" t="n">
        <f aca="false">IF(OR(C27=0,E27=0),"n/a",E27/C27*100)</f>
        <v>416</v>
      </c>
      <c r="E27" s="231" t="n">
        <f aca="false">VLOOKUP($B27,'[1]4-Disponibilidade'!$A$8:$C$103,3,FALSE())</f>
        <v>390</v>
      </c>
      <c r="F27" s="232" t="n">
        <f aca="false">IF(ISNA(VLOOKUP($A27,'[1]3-Produção'!$A$9:$C$104,2,FALSE()))=TRUE(),"n/a",VLOOKUP($A27,'[1]3-Produção'!$A$9:$C$104,2,FALSE()))</f>
        <v>212.291666666667</v>
      </c>
      <c r="G27" s="232" t="n">
        <f aca="false">IF(ISNA(VLOOKUP($A27,'[1]3-Produção'!$A$9:$C$104,3,FALSE()))=TRUE(),"n/a",VLOOKUP($A27,'[1]3-Produção'!$A$9:$C$104,3,FALSE()))</f>
        <v>194.870833333333</v>
      </c>
      <c r="H27" s="232" t="n">
        <f aca="false">IF(OR(F27="n/a",G27="n/a"),"n/a",G27-F27)</f>
        <v>-17.4208333333333</v>
      </c>
      <c r="I27" s="232" t="n">
        <f aca="false">IF(OR(G27="n/a",D27="n/a"),"n/a",D27-G27)</f>
        <v>221.129166666667</v>
      </c>
      <c r="J27" s="233" t="n">
        <f aca="false">IF(OR(G27="n/a",G27=0,E27="n/a",E27=0),"n/a",E27-G27)</f>
        <v>195.129166666667</v>
      </c>
      <c r="K27" s="224" t="str">
        <f aca="false">IF(OR(C27&gt;100,D27="n/a",F27="n/a",G27="n/a",H27="n/a",I27="n/a",J27="n/a"),"X","")</f>
        <v/>
      </c>
      <c r="L27" s="265" t="s">
        <v>182</v>
      </c>
      <c r="M27" s="266"/>
      <c r="R27" s="204"/>
      <c r="S27" s="202"/>
      <c r="T27" s="202"/>
      <c r="U27" s="202"/>
      <c r="V27" s="202"/>
      <c r="W27" s="202"/>
      <c r="X27" s="202"/>
      <c r="Y27" s="202"/>
      <c r="Z27" s="202"/>
      <c r="AA27" s="202"/>
    </row>
    <row r="28" customFormat="false" ht="12.75" hidden="false" customHeight="false" outlineLevel="0" collapsed="false">
      <c r="A28" s="229" t="s">
        <v>68</v>
      </c>
      <c r="B28" s="218" t="s">
        <v>68</v>
      </c>
      <c r="C28" s="230" t="n">
        <f aca="false">VLOOKUP($B28,'[1]4-Disponibilidade'!$A$8:$C$103,2,FALSE())</f>
        <v>93.75</v>
      </c>
      <c r="D28" s="231" t="n">
        <f aca="false">IF(OR(C28=0,E28=0),"n/a",E28/C28*100)</f>
        <v>640</v>
      </c>
      <c r="E28" s="231" t="n">
        <f aca="false">VLOOKUP($B28,'[1]4-Disponibilidade'!$A$8:$C$103,3,FALSE())</f>
        <v>600</v>
      </c>
      <c r="F28" s="232" t="n">
        <f aca="false">IF(ISNA(VLOOKUP($A28,'[1]3-Produção'!$A$9:$C$104,2,FALSE()))=TRUE(),"n/a",VLOOKUP($A28,'[1]3-Produção'!$A$9:$C$104,2,FALSE()))</f>
        <v>527.5</v>
      </c>
      <c r="G28" s="232" t="n">
        <f aca="false">IF(ISNA(VLOOKUP($A28,'[1]3-Produção'!$A$9:$C$104,3,FALSE()))=TRUE(),"n/a",VLOOKUP($A28,'[1]3-Produção'!$A$9:$C$104,3,FALSE()))</f>
        <v>501</v>
      </c>
      <c r="H28" s="232" t="n">
        <f aca="false">IF(OR(F28="n/a",G28="n/a"),"n/a",G28-F28)</f>
        <v>-26.5</v>
      </c>
      <c r="I28" s="232" t="n">
        <f aca="false">IF(OR(G28="n/a",D28="n/a"),"n/a",D28-G28)</f>
        <v>139</v>
      </c>
      <c r="J28" s="233" t="n">
        <f aca="false">IF(OR(G28="n/a",G28=0,E28="n/a",E28=0),"n/a",E28-G28)</f>
        <v>99</v>
      </c>
      <c r="K28" s="224" t="str">
        <f aca="false">IF(OR(C28&gt;100,D28="n/a",F28="n/a",G28="n/a",H28="n/a",I28="n/a",J28="n/a"),"X","")</f>
        <v/>
      </c>
      <c r="L28" s="265"/>
      <c r="O28" s="267"/>
      <c r="R28" s="202"/>
      <c r="S28" s="202"/>
      <c r="T28" s="202"/>
      <c r="U28" s="202"/>
      <c r="V28" s="202"/>
      <c r="W28" s="202"/>
      <c r="X28" s="202"/>
      <c r="Y28" s="202"/>
      <c r="Z28" s="202"/>
      <c r="AA28" s="202"/>
    </row>
    <row r="29" customFormat="false" ht="12.75" hidden="false" customHeight="false" outlineLevel="0" collapsed="false">
      <c r="A29" s="229" t="s">
        <v>183</v>
      </c>
      <c r="B29" s="218" t="s">
        <v>183</v>
      </c>
      <c r="C29" s="230" t="n">
        <f aca="false">VLOOKUP($B29,'[1]4-Disponibilidade'!$A$8:$C$103,2,FALSE())</f>
        <v>98.1818161010742</v>
      </c>
      <c r="D29" s="231" t="n">
        <f aca="false">IF(OR(C29=0,E29=0),"n/a",E29/C29*100)</f>
        <v>82.500001748403</v>
      </c>
      <c r="E29" s="231" t="n">
        <f aca="false">VLOOKUP($B29,'[1]4-Disponibilidade'!$A$8:$C$103,3,FALSE())</f>
        <v>81</v>
      </c>
      <c r="F29" s="232" t="n">
        <f aca="false">IF(ISNA(VLOOKUP($A29,'[1]3-Produção'!$A$9:$C$104,2,FALSE()))=TRUE(),"n/a",VLOOKUP($A29,'[1]3-Produção'!$A$9:$C$104,2,FALSE()))</f>
        <v>77.5</v>
      </c>
      <c r="G29" s="232" t="n">
        <f aca="false">IF(ISNA(VLOOKUP($A29,'[1]3-Produção'!$A$9:$C$104,3,FALSE()))=TRUE(),"n/a",VLOOKUP($A29,'[1]3-Produção'!$A$9:$C$104,3,FALSE()))</f>
        <v>73.0541666666667</v>
      </c>
      <c r="H29" s="232" t="n">
        <f aca="false">IF(OR(F29="n/a",G29="n/a"),"n/a",G29-F29)</f>
        <v>-4.44583333333334</v>
      </c>
      <c r="I29" s="232" t="n">
        <f aca="false">IF(OR(G29="n/a",D29="n/a"),"n/a",D29-G29)</f>
        <v>9.44583508173629</v>
      </c>
      <c r="J29" s="233" t="n">
        <f aca="false">IF(OR(G29="n/a",G29=0,E29="n/a",E29=0),"n/a",E29-G29)</f>
        <v>7.94583333333334</v>
      </c>
      <c r="K29" s="224" t="str">
        <f aca="false">IF(OR(C29&gt;100,D29="n/a",F29="n/a",G29="n/a",H29="n/a",I29="n/a",J29="n/a"),"X","")</f>
        <v/>
      </c>
      <c r="R29" s="202"/>
      <c r="S29" s="202"/>
      <c r="T29" s="202"/>
      <c r="U29" s="202"/>
      <c r="V29" s="202"/>
      <c r="W29" s="202"/>
      <c r="X29" s="202"/>
      <c r="Y29" s="202"/>
      <c r="Z29" s="202"/>
      <c r="AA29" s="202"/>
    </row>
    <row r="30" customFormat="false" ht="12.75" hidden="false" customHeight="false" outlineLevel="0" collapsed="false">
      <c r="A30" s="229" t="s">
        <v>184</v>
      </c>
      <c r="B30" s="218" t="s">
        <v>184</v>
      </c>
      <c r="C30" s="230" t="n">
        <f aca="false">VLOOKUP($B30,'[1]4-Disponibilidade'!$A$8:$C$103,2,FALSE())</f>
        <v>65.3061218261719</v>
      </c>
      <c r="D30" s="231" t="n">
        <f aca="false">IF(OR(C30=0,E30=0),"n/a",E30/C30*100)</f>
        <v>73.5000007009506</v>
      </c>
      <c r="E30" s="231" t="n">
        <f aca="false">VLOOKUP($B30,'[1]4-Disponibilidade'!$A$8:$C$103,3,FALSE())</f>
        <v>48</v>
      </c>
      <c r="F30" s="232" t="n">
        <f aca="false">IF(ISNA(VLOOKUP($A30,'[1]3-Produção'!$A$9:$C$104,2,FALSE()))=TRUE(),"n/a",VLOOKUP($A30,'[1]3-Produção'!$A$9:$C$104,2,FALSE()))</f>
        <v>48</v>
      </c>
      <c r="G30" s="232" t="n">
        <f aca="false">IF(ISNA(VLOOKUP($A30,'[1]3-Produção'!$A$9:$C$104,3,FALSE()))=TRUE(),"n/a",VLOOKUP($A30,'[1]3-Produção'!$A$9:$C$104,3,FALSE()))</f>
        <v>48</v>
      </c>
      <c r="H30" s="232" t="n">
        <f aca="false">IF(OR(F30="n/a",G30="n/a"),"n/a",G30-F30)</f>
        <v>0</v>
      </c>
      <c r="I30" s="232" t="n">
        <f aca="false">IF(OR(G30="n/a",D30="n/a"),"n/a",D30-G30)</f>
        <v>25.5000007009506</v>
      </c>
      <c r="J30" s="233" t="n">
        <f aca="false">IF(OR(G30="n/a",G30=0,E30="n/a",E30=0),"n/a",E30-G30)</f>
        <v>0</v>
      </c>
      <c r="K30" s="224" t="str">
        <f aca="false">IF(OR(C30&gt;100,D30="n/a",F30="n/a",G30="n/a",H30="n/a",I30="n/a",J30="n/a"),"X","")</f>
        <v/>
      </c>
      <c r="L30" s="268"/>
      <c r="M30" s="268"/>
      <c r="N30" s="269" t="s">
        <v>185</v>
      </c>
      <c r="O30" s="270"/>
      <c r="P30" s="270"/>
      <c r="Q30" s="270"/>
      <c r="R30" s="270"/>
      <c r="S30" s="202"/>
    </row>
    <row r="31" customFormat="false" ht="12.75" hidden="false" customHeight="false" outlineLevel="0" collapsed="false">
      <c r="A31" s="244" t="s">
        <v>186</v>
      </c>
      <c r="B31" s="218" t="s">
        <v>186</v>
      </c>
      <c r="C31" s="230" t="n">
        <f aca="false">VLOOKUP($B31,'[1]4-Disponibilidade'!$A$8:$C$103,2,FALSE())</f>
        <v>89.814811706543</v>
      </c>
      <c r="D31" s="231" t="n">
        <f aca="false">IF(OR(C31=0,E31=0),"n/a",E31/C31*100)</f>
        <v>108.000003737617</v>
      </c>
      <c r="E31" s="231" t="n">
        <f aca="false">VLOOKUP($B31,'[1]4-Disponibilidade'!$A$8:$C$103,3,FALSE())</f>
        <v>97</v>
      </c>
      <c r="F31" s="232" t="n">
        <f aca="false">IF(ISNA(VLOOKUP($A31,'[1]3-Produção'!$A$9:$C$104,2,FALSE()))=TRUE(),"n/a",VLOOKUP($A31,'[1]3-Produção'!$A$9:$C$104,2,FALSE()))</f>
        <v>42.4583333333333</v>
      </c>
      <c r="G31" s="232" t="n">
        <f aca="false">IF(ISNA(VLOOKUP($A31,'[1]3-Produção'!$A$9:$C$104,3,FALSE()))=TRUE(),"n/a",VLOOKUP($A31,'[1]3-Produção'!$A$9:$C$104,3,FALSE()))</f>
        <v>53.9833333333333</v>
      </c>
      <c r="H31" s="232" t="n">
        <f aca="false">IF(OR(F31="n/a",G31="n/a"),"n/a",G31-F31)</f>
        <v>11.525</v>
      </c>
      <c r="I31" s="232" t="n">
        <f aca="false">IF(OR(G31="n/a",D31="n/a"),"n/a",D31-G31)</f>
        <v>54.0166704042836</v>
      </c>
      <c r="J31" s="233" t="n">
        <f aca="false">IF(OR(G31="n/a",G31=0,E31="n/a",E31=0),"n/a",E31-G31)</f>
        <v>43.0166666666667</v>
      </c>
      <c r="K31" s="224" t="str">
        <f aca="false">IF(OR(C31&gt;100,D31="n/a",F31="n/a",G31="n/a",H31="n/a",I31="n/a",J31="n/a"),"X","")</f>
        <v/>
      </c>
      <c r="L31" s="202"/>
      <c r="M31" s="202"/>
      <c r="N31" s="271"/>
      <c r="O31" s="272" t="s">
        <v>187</v>
      </c>
      <c r="P31" s="273"/>
      <c r="Q31" s="274"/>
      <c r="R31" s="272" t="s">
        <v>188</v>
      </c>
      <c r="S31" s="202"/>
      <c r="T31" s="202"/>
      <c r="U31" s="202"/>
    </row>
    <row r="32" customFormat="false" ht="12.75" hidden="false" customHeight="false" outlineLevel="0" collapsed="false">
      <c r="A32" s="229" t="s">
        <v>189</v>
      </c>
      <c r="B32" s="245" t="s">
        <v>189</v>
      </c>
      <c r="C32" s="230" t="n">
        <f aca="false">VLOOKUP($B32,'[1]4-Disponibilidade'!$A$8:$C$103,2,FALSE())</f>
        <v>86.363639831543</v>
      </c>
      <c r="D32" s="231" t="n">
        <f aca="false">IF(OR(C32=0,E32=0),"n/a",E32/C32*100)</f>
        <v>131.999994699579</v>
      </c>
      <c r="E32" s="231" t="n">
        <f aca="false">VLOOKUP($B32,'[1]4-Disponibilidade'!$A$8:$C$103,3,FALSE())</f>
        <v>114</v>
      </c>
      <c r="F32" s="232" t="n">
        <f aca="false">IF(ISNA(VLOOKUP($A32,'[1]3-Produção'!$A$9:$C$104,2,FALSE()))=TRUE(),"n/a",VLOOKUP($A32,'[1]3-Produção'!$A$9:$C$104,2,FALSE()))</f>
        <v>80</v>
      </c>
      <c r="G32" s="232" t="n">
        <f aca="false">IF(ISNA(VLOOKUP($A32,'[1]3-Produção'!$A$9:$C$104,3,FALSE()))=TRUE(),"n/a",VLOOKUP($A32,'[1]3-Produção'!$A$9:$C$104,3,FALSE()))</f>
        <v>82.6541666666667</v>
      </c>
      <c r="H32" s="232" t="n">
        <f aca="false">IF(OR(F32="n/a",G32="n/a"),"n/a",G32-F32)</f>
        <v>2.65416666666667</v>
      </c>
      <c r="I32" s="232" t="n">
        <f aca="false">IF(OR(G32="n/a",D32="n/a"),"n/a",D32-G32)</f>
        <v>49.3458280329121</v>
      </c>
      <c r="J32" s="233" t="n">
        <f aca="false">IF(OR(G32="n/a",G32=0,E32="n/a",E32=0),"n/a",E32-G32)</f>
        <v>31.3458333333333</v>
      </c>
      <c r="K32" s="224" t="str">
        <f aca="false">IF(OR(C32&gt;100,D32="n/a",F32="n/a",G32="n/a",H32="n/a",I32="n/a",J32="n/a"),"X","")</f>
        <v/>
      </c>
      <c r="L32" s="202"/>
      <c r="M32" s="202"/>
      <c r="N32" s="202"/>
      <c r="O32" s="202"/>
      <c r="P32" s="273"/>
      <c r="Q32" s="202"/>
      <c r="R32" s="202"/>
      <c r="S32" s="202"/>
      <c r="T32" s="202"/>
      <c r="U32" s="202"/>
    </row>
    <row r="33" customFormat="false" ht="12.75" hidden="false" customHeight="false" outlineLevel="0" collapsed="false">
      <c r="A33" s="229" t="s">
        <v>190</v>
      </c>
      <c r="B33" s="218" t="s">
        <v>190</v>
      </c>
      <c r="C33" s="230" t="n">
        <f aca="false">VLOOKUP($B33,'[1]4-Disponibilidade'!$A$8:$C$103,2,FALSE())</f>
        <v>88.9953536987305</v>
      </c>
      <c r="D33" s="231" t="n">
        <f aca="false">IF(OR(C33=0,E33=0),"n/a",E33/C33*100)</f>
        <v>3444.00002091763</v>
      </c>
      <c r="E33" s="231" t="n">
        <f aca="false">VLOOKUP($B33,'[1]4-Disponibilidade'!$A$8:$C$103,3,FALSE())</f>
        <v>3065</v>
      </c>
      <c r="F33" s="232" t="n">
        <f aca="false">IF(ISNA(VLOOKUP($A33,'[1]3-Produção'!$A$9:$C$104,2,FALSE()))=TRUE(),"n/a",VLOOKUP($A33,'[1]3-Produção'!$A$9:$C$104,2,FALSE()))</f>
        <v>1981.25</v>
      </c>
      <c r="G33" s="232" t="n">
        <f aca="false">IF(ISNA(VLOOKUP($A33,'[1]3-Produção'!$A$9:$C$104,3,FALSE()))=TRUE(),"n/a",VLOOKUP($A33,'[1]3-Produção'!$A$9:$C$104,3,FALSE()))</f>
        <v>2122.00833333333</v>
      </c>
      <c r="H33" s="232" t="n">
        <f aca="false">IF(OR(F33="n/a",G33="n/a"),"n/a",G33-F33)</f>
        <v>140.758333333333</v>
      </c>
      <c r="I33" s="232" t="n">
        <f aca="false">IF(OR(G33="n/a",D33="n/a"),"n/a",D33-G33)</f>
        <v>1321.9916875843</v>
      </c>
      <c r="J33" s="233" t="n">
        <f aca="false">IF(OR(G33="n/a",G33=0,E33="n/a",E33=0),"n/a",E33-G33)</f>
        <v>942.991666666667</v>
      </c>
      <c r="K33" s="224" t="str">
        <f aca="false">IF(OR(C33&gt;100,D33="n/a",F33="n/a",G33="n/a",H33="n/a",I33="n/a",J33="n/a"),"X","")</f>
        <v/>
      </c>
      <c r="L33" s="202"/>
      <c r="M33" s="202"/>
      <c r="N33" s="275"/>
      <c r="O33" s="272" t="s">
        <v>191</v>
      </c>
      <c r="P33" s="273"/>
      <c r="Q33" s="276"/>
      <c r="R33" s="272" t="s">
        <v>192</v>
      </c>
      <c r="S33" s="202"/>
      <c r="T33" s="202"/>
      <c r="U33" s="202"/>
    </row>
    <row r="34" customFormat="false" ht="12.75" hidden="false" customHeight="false" outlineLevel="0" collapsed="false">
      <c r="A34" s="229" t="s">
        <v>193</v>
      </c>
      <c r="B34" s="218" t="s">
        <v>193</v>
      </c>
      <c r="C34" s="230" t="n">
        <f aca="false">VLOOKUP($B34,'[1]4-Disponibilidade'!$A$8:$C$103,2,FALSE())</f>
        <v>75</v>
      </c>
      <c r="D34" s="231" t="n">
        <f aca="false">IF(OR(C34=0,E34=0),"n/a",E34/C34*100)</f>
        <v>28</v>
      </c>
      <c r="E34" s="231" t="n">
        <f aca="false">VLOOKUP($B34,'[1]4-Disponibilidade'!$A$8:$C$103,3,FALSE())</f>
        <v>21</v>
      </c>
      <c r="F34" s="232" t="n">
        <f aca="false">IF(ISNA(VLOOKUP($A34,'[1]3-Produção'!$A$9:$C$104,2,FALSE()))=TRUE(),"n/a",VLOOKUP($A34,'[1]3-Produção'!$A$9:$C$104,2,FALSE()))</f>
        <v>4</v>
      </c>
      <c r="G34" s="232" t="n">
        <f aca="false">IF(ISNA(VLOOKUP($A34,'[1]3-Produção'!$A$9:$C$104,3,FALSE()))=TRUE(),"n/a",VLOOKUP($A34,'[1]3-Produção'!$A$9:$C$104,3,FALSE()))</f>
        <v>1.65416666666667</v>
      </c>
      <c r="H34" s="232" t="n">
        <f aca="false">IF(OR(F34="n/a",G34="n/a"),"n/a",G34-F34)</f>
        <v>-2.34583333333333</v>
      </c>
      <c r="I34" s="232" t="n">
        <f aca="false">IF(OR(G34="n/a",D34="n/a"),"n/a",D34-G34)</f>
        <v>26.3458333333333</v>
      </c>
      <c r="J34" s="233" t="n">
        <f aca="false">IF(OR(G34="n/a",G34=0,E34="n/a",E34=0),"n/a",E34-G34)</f>
        <v>19.3458333333333</v>
      </c>
      <c r="K34" s="224" t="str">
        <f aca="false">IF(OR(C34&gt;100,D34="n/a",F34="n/a",G34="n/a",H34="n/a",I34="n/a",J34="n/a"),"X","")</f>
        <v/>
      </c>
      <c r="L34" s="202"/>
      <c r="M34" s="202"/>
      <c r="N34" s="202"/>
      <c r="O34" s="202"/>
      <c r="P34" s="202"/>
      <c r="Q34" s="202"/>
      <c r="R34" s="202"/>
      <c r="S34" s="202"/>
      <c r="T34" s="202"/>
      <c r="U34" s="202"/>
    </row>
    <row r="35" customFormat="false" ht="12.75" hidden="false" customHeight="false" outlineLevel="0" collapsed="false">
      <c r="A35" s="244" t="s">
        <v>194</v>
      </c>
      <c r="B35" s="218" t="s">
        <v>194</v>
      </c>
      <c r="C35" s="230" t="n">
        <f aca="false">VLOOKUP($B35,'[1]4-Disponibilidade'!$A$8:$C$103,2,FALSE())</f>
        <v>91.5420227050781</v>
      </c>
      <c r="D35" s="231" t="n">
        <f aca="false">IF(OR(C35=0,E35=0),"n/a",E35/C35*100)</f>
        <v>1551.20015708505</v>
      </c>
      <c r="E35" s="231" t="n">
        <f aca="false">VLOOKUP($B35,'[1]4-Disponibilidade'!$A$8:$C$103,3,FALSE())</f>
        <v>1420</v>
      </c>
      <c r="F35" s="232" t="n">
        <f aca="false">IF(ISNA(VLOOKUP($A35,'[1]3-Produção'!$A$9:$C$104,2,FALSE()))=TRUE(),"n/a",VLOOKUP($A35,'[1]3-Produção'!$A$9:$C$104,2,FALSE()))</f>
        <v>1137.5</v>
      </c>
      <c r="G35" s="232" t="n">
        <f aca="false">IF(ISNA(VLOOKUP($A35,'[1]3-Produção'!$A$9:$C$104,3,FALSE()))=TRUE(),"n/a",VLOOKUP($A35,'[1]3-Produção'!$A$9:$C$104,3,FALSE()))</f>
        <v>1135.62083333333</v>
      </c>
      <c r="H35" s="232" t="n">
        <f aca="false">IF(OR(F35="n/a",G35="n/a"),"n/a",G35-F35)</f>
        <v>-1.87916666666615</v>
      </c>
      <c r="I35" s="232" t="n">
        <f aca="false">IF(OR(G35="n/a",D35="n/a"),"n/a",D35-G35)</f>
        <v>415.579323751712</v>
      </c>
      <c r="J35" s="233" t="n">
        <f aca="false">IF(OR(G35="n/a",G35=0,E35="n/a",E35=0),"n/a",E35-G35)</f>
        <v>284.379166666666</v>
      </c>
      <c r="K35" s="224" t="str">
        <f aca="false">IF(OR(C35&gt;100,D35="n/a",F35="n/a",G35="n/a",H35="n/a",I35="n/a",J35="n/a"),"X","")</f>
        <v/>
      </c>
      <c r="L35" s="202"/>
      <c r="M35" s="202"/>
      <c r="N35" s="202"/>
      <c r="O35" s="202"/>
      <c r="P35" s="202"/>
      <c r="Q35" s="202"/>
      <c r="R35" s="202"/>
      <c r="S35" s="202"/>
      <c r="T35" s="202"/>
      <c r="U35" s="202"/>
    </row>
    <row r="36" customFormat="false" ht="12.75" hidden="false" customHeight="false" outlineLevel="0" collapsed="false">
      <c r="A36" s="244" t="s">
        <v>65</v>
      </c>
      <c r="B36" s="245" t="s">
        <v>65</v>
      </c>
      <c r="C36" s="230" t="n">
        <f aca="false">VLOOKUP($B36,'[1]4-Disponibilidade'!$A$8:$C$103,2,FALSE())</f>
        <v>98.9795913696289</v>
      </c>
      <c r="D36" s="231" t="n">
        <f aca="false">IF(OR(C36=0,E36=0),"n/a",E36/C36*100)</f>
        <v>98.0000004624829</v>
      </c>
      <c r="E36" s="231" t="n">
        <f aca="false">VLOOKUP($B36,'[1]4-Disponibilidade'!$A$8:$C$103,3,FALSE())</f>
        <v>97</v>
      </c>
      <c r="F36" s="232" t="n">
        <f aca="false">IF(ISNA(VLOOKUP($A36,'[1]3-Produção'!$A$9:$C$104,2,FALSE()))=TRUE(),"n/a",VLOOKUP($A36,'[1]3-Produção'!$A$9:$C$104,2,FALSE()))</f>
        <v>96</v>
      </c>
      <c r="G36" s="232" t="n">
        <f aca="false">IF(ISNA(VLOOKUP($A36,'[1]3-Produção'!$A$9:$C$104,3,FALSE()))=TRUE(),"n/a",VLOOKUP($A36,'[1]3-Produção'!$A$9:$C$104,3,FALSE()))</f>
        <v>95.5375</v>
      </c>
      <c r="H36" s="232" t="n">
        <f aca="false">IF(OR(F36="n/a",G36="n/a"),"n/a",G36-F36)</f>
        <v>-0.462500000000006</v>
      </c>
      <c r="I36" s="232" t="n">
        <f aca="false">IF(OR(G36="n/a",D36="n/a"),"n/a",D36-G36)</f>
        <v>2.46250046248289</v>
      </c>
      <c r="J36" s="233" t="n">
        <f aca="false">IF(OR(G36="n/a",G36=0,E36="n/a",E36=0),"n/a",E36-G36)</f>
        <v>1.46250000000001</v>
      </c>
      <c r="K36" s="224" t="str">
        <f aca="false">IF(OR(C36&gt;100,D36="n/a",F36="n/a",G36="n/a",H36="n/a",I36="n/a",J36="n/a"),"X","")</f>
        <v/>
      </c>
      <c r="L36" s="202"/>
      <c r="M36" s="202"/>
      <c r="N36" s="202"/>
      <c r="O36" s="202"/>
      <c r="P36" s="202"/>
      <c r="Q36" s="202"/>
      <c r="R36" s="202"/>
      <c r="S36" s="202"/>
      <c r="T36" s="202"/>
      <c r="U36" s="202"/>
    </row>
    <row r="37" customFormat="false" ht="12.75" hidden="false" customHeight="false" outlineLevel="0" collapsed="false">
      <c r="A37" s="229" t="s">
        <v>195</v>
      </c>
      <c r="B37" s="245" t="s">
        <v>195</v>
      </c>
      <c r="C37" s="230" t="n">
        <f aca="false">VLOOKUP($B37,'[1]4-Disponibilidade'!$A$8:$C$103,2,FALSE())</f>
        <v>100</v>
      </c>
      <c r="D37" s="231" t="n">
        <f aca="false">IF(OR(C37=0,E37=0),"n/a",E37/C37*100)</f>
        <v>32</v>
      </c>
      <c r="E37" s="231" t="n">
        <f aca="false">VLOOKUP($B37,'[1]4-Disponibilidade'!$A$8:$C$103,3,FALSE())</f>
        <v>32</v>
      </c>
      <c r="F37" s="232" t="n">
        <f aca="false">IF(ISNA(VLOOKUP($A37,'[1]3-Produção'!$A$9:$C$104,2,FALSE()))=TRUE(),"n/a",VLOOKUP($A37,'[1]3-Produção'!$A$9:$C$104,2,FALSE()))</f>
        <v>13.4166666666667</v>
      </c>
      <c r="G37" s="232" t="n">
        <f aca="false">IF(ISNA(VLOOKUP($A37,'[1]3-Produção'!$A$9:$C$104,3,FALSE()))=TRUE(),"n/a",VLOOKUP($A37,'[1]3-Produção'!$A$9:$C$104,3,FALSE()))</f>
        <v>16.325</v>
      </c>
      <c r="H37" s="232" t="n">
        <f aca="false">IF(OR(F37="n/a",G37="n/a"),"n/a",G37-F37)</f>
        <v>2.90833333333333</v>
      </c>
      <c r="I37" s="232" t="n">
        <f aca="false">IF(OR(G37="n/a",D37="n/a"),"n/a",D37-G37)</f>
        <v>15.675</v>
      </c>
      <c r="J37" s="233" t="n">
        <f aca="false">IF(OR(G37="n/a",G37=0,E37="n/a",E37=0),"n/a",E37-G37)</f>
        <v>15.675</v>
      </c>
      <c r="K37" s="224" t="str">
        <f aca="false">IF(OR(C37&gt;100,D37="n/a",F37="n/a",G37="n/a",H37="n/a",I37="n/a",J37="n/a"),"X","")</f>
        <v/>
      </c>
      <c r="L37" s="202"/>
      <c r="M37" s="202"/>
      <c r="N37" s="202"/>
      <c r="O37" s="202"/>
      <c r="P37" s="202"/>
      <c r="Q37" s="202"/>
      <c r="R37" s="202"/>
      <c r="S37" s="202"/>
      <c r="T37" s="202"/>
      <c r="U37" s="202"/>
    </row>
    <row r="38" customFormat="false" ht="12.75" hidden="false" customHeight="false" outlineLevel="0" collapsed="false">
      <c r="A38" s="229" t="s">
        <v>196</v>
      </c>
      <c r="B38" s="218" t="s">
        <v>196</v>
      </c>
      <c r="C38" s="230" t="n">
        <f aca="false">VLOOKUP($B38,'[1]4-Disponibilidade'!$A$8:$C$103,2,FALSE())</f>
        <v>99.0212936401367</v>
      </c>
      <c r="D38" s="231" t="n">
        <f aca="false">IF(OR(C38=0,E38=0),"n/a",E38/C38*100)</f>
        <v>347.400026150098</v>
      </c>
      <c r="E38" s="231" t="n">
        <f aca="false">VLOOKUP($B38,'[1]4-Disponibilidade'!$A$8:$C$103,3,FALSE())</f>
        <v>344</v>
      </c>
      <c r="F38" s="232" t="n">
        <f aca="false">IF(ISNA(VLOOKUP($A38,'[1]3-Produção'!$A$9:$C$104,2,FALSE()))=TRUE(),"n/a",VLOOKUP($A38,'[1]3-Produção'!$A$9:$C$104,2,FALSE()))</f>
        <v>295</v>
      </c>
      <c r="G38" s="232" t="n">
        <f aca="false">IF(ISNA(VLOOKUP($A38,'[1]3-Produção'!$A$9:$C$104,3,FALSE()))=TRUE(),"n/a",VLOOKUP($A38,'[1]3-Produção'!$A$9:$C$104,3,FALSE()))</f>
        <v>288.866666666667</v>
      </c>
      <c r="H38" s="232" t="n">
        <f aca="false">IF(OR(F38="n/a",G38="n/a"),"n/a",G38-F38)</f>
        <v>-6.13333333333333</v>
      </c>
      <c r="I38" s="232" t="n">
        <f aca="false">IF(OR(G38="n/a",D38="n/a"),"n/a",D38-G38)</f>
        <v>58.533359483431</v>
      </c>
      <c r="J38" s="233" t="n">
        <f aca="false">IF(OR(G38="n/a",G38=0,E38="n/a",E38=0),"n/a",E38-G38)</f>
        <v>55.1333333333333</v>
      </c>
      <c r="K38" s="224" t="str">
        <f aca="false">IF(OR(C38&gt;100,D38="n/a",F38="n/a",G38="n/a",H38="n/a",I38="n/a",J38="n/a"),"X","")</f>
        <v/>
      </c>
      <c r="L38" s="202"/>
      <c r="M38" s="202"/>
      <c r="N38" s="202"/>
      <c r="O38" s="202"/>
      <c r="P38" s="202"/>
      <c r="Q38" s="202"/>
      <c r="R38" s="202"/>
      <c r="S38" s="202"/>
      <c r="T38" s="202"/>
      <c r="U38" s="202"/>
    </row>
    <row r="39" customFormat="false" ht="12.75" hidden="false" customHeight="false" outlineLevel="0" collapsed="false">
      <c r="A39" s="229" t="s">
        <v>197</v>
      </c>
      <c r="B39" s="218" t="s">
        <v>197</v>
      </c>
      <c r="C39" s="230" t="n">
        <f aca="false">VLOOKUP($B39,'[1]4-Disponibilidade'!$A$8:$C$103,2,FALSE())</f>
        <v>89.5348815917969</v>
      </c>
      <c r="D39" s="231" t="n">
        <f aca="false">IF(OR(C39=0,E39=0),"n/a",E39/C39*100)</f>
        <v>86.0000020450741</v>
      </c>
      <c r="E39" s="231" t="n">
        <f aca="false">VLOOKUP($B39,'[1]4-Disponibilidade'!$A$8:$C$103,3,FALSE())</f>
        <v>77</v>
      </c>
      <c r="F39" s="232" t="n">
        <f aca="false">IF(ISNA(VLOOKUP($A39,'[1]3-Produção'!$A$9:$C$104,2,FALSE()))=TRUE(),"n/a",VLOOKUP($A39,'[1]3-Produção'!$A$9:$C$104,2,FALSE()))</f>
        <v>37</v>
      </c>
      <c r="G39" s="232" t="n">
        <f aca="false">IF(ISNA(VLOOKUP($A39,'[1]3-Produção'!$A$9:$C$104,3,FALSE()))=TRUE(),"n/a",VLOOKUP($A39,'[1]3-Produção'!$A$9:$C$104,3,FALSE()))</f>
        <v>37.3958333333333</v>
      </c>
      <c r="H39" s="232" t="n">
        <f aca="false">IF(OR(F39="n/a",G39="n/a"),"n/a",G39-F39)</f>
        <v>0.395833333333336</v>
      </c>
      <c r="I39" s="232" t="n">
        <f aca="false">IF(OR(G39="n/a",D39="n/a"),"n/a",D39-G39)</f>
        <v>48.6041687117408</v>
      </c>
      <c r="J39" s="233" t="n">
        <f aca="false">IF(OR(G39="n/a",G39=0,E39="n/a",E39=0),"n/a",E39-G39)</f>
        <v>39.6041666666667</v>
      </c>
      <c r="K39" s="224" t="str">
        <f aca="false">IF(OR(C39&gt;100,D39="n/a",F39="n/a",G39="n/a",H39="n/a",I39="n/a",J39="n/a"),"X","")</f>
        <v/>
      </c>
      <c r="L39" s="202"/>
      <c r="M39" s="202"/>
      <c r="N39" s="202"/>
      <c r="O39" s="202"/>
      <c r="P39" s="202"/>
      <c r="Q39" s="202"/>
      <c r="R39" s="202"/>
      <c r="S39" s="202"/>
      <c r="T39" s="202"/>
      <c r="U39" s="202"/>
    </row>
    <row r="40" customFormat="false" ht="12.75" hidden="false" customHeight="false" outlineLevel="0" collapsed="false">
      <c r="A40" s="229" t="s">
        <v>198</v>
      </c>
      <c r="B40" s="218" t="s">
        <v>198</v>
      </c>
      <c r="C40" s="230" t="n">
        <f aca="false">VLOOKUP($B40,'[1]4-Disponibilidade'!$A$8:$C$103,2,FALSE())</f>
        <v>93.0059585571289</v>
      </c>
      <c r="D40" s="231" t="n">
        <f aca="false">IF(OR(C40=0,E40=0),"n/a",E40/C40*100)</f>
        <v>806.399946450004</v>
      </c>
      <c r="E40" s="231" t="n">
        <f aca="false">VLOOKUP($B40,'[1]4-Disponibilidade'!$A$8:$C$103,3,FALSE())</f>
        <v>750</v>
      </c>
      <c r="F40" s="232" t="n">
        <f aca="false">IF(ISNA(VLOOKUP($A40,'[1]3-Produção'!$A$9:$C$104,2,FALSE()))=TRUE(),"n/a",VLOOKUP($A40,'[1]3-Produção'!$A$9:$C$104,2,FALSE()))</f>
        <v>640</v>
      </c>
      <c r="G40" s="232" t="n">
        <f aca="false">IF(ISNA(VLOOKUP($A40,'[1]3-Produção'!$A$9:$C$104,3,FALSE()))=TRUE(),"n/a",VLOOKUP($A40,'[1]3-Produção'!$A$9:$C$104,3,FALSE()))</f>
        <v>601.3375</v>
      </c>
      <c r="H40" s="232" t="n">
        <f aca="false">IF(OR(F40="n/a",G40="n/a"),"n/a",G40-F40)</f>
        <v>-38.6625</v>
      </c>
      <c r="I40" s="232" t="n">
        <f aca="false">IF(OR(G40="n/a",D40="n/a"),"n/a",D40-G40)</f>
        <v>205.062446450004</v>
      </c>
      <c r="J40" s="233" t="n">
        <f aca="false">IF(OR(G40="n/a",G40=0,E40="n/a",E40=0),"n/a",E40-G40)</f>
        <v>148.6625</v>
      </c>
      <c r="K40" s="224" t="str">
        <f aca="false">IF(OR(C40&gt;100,D40="n/a",F40="n/a",G40="n/a",H40="n/a",I40="n/a",J40="n/a"),"X","")</f>
        <v/>
      </c>
      <c r="R40" s="204"/>
      <c r="S40" s="202"/>
      <c r="T40" s="202"/>
      <c r="U40" s="202"/>
      <c r="V40" s="202"/>
      <c r="W40" s="202"/>
      <c r="X40" s="202"/>
      <c r="Y40" s="202"/>
      <c r="Z40" s="202"/>
      <c r="AA40" s="202"/>
    </row>
    <row r="41" customFormat="false" ht="12.75" hidden="false" customHeight="false" outlineLevel="0" collapsed="false">
      <c r="A41" s="229" t="s">
        <v>61</v>
      </c>
      <c r="B41" s="218" t="s">
        <v>61</v>
      </c>
      <c r="C41" s="230" t="n">
        <f aca="false">VLOOKUP($B41,'[1]4-Disponibilidade'!$A$8:$C$103,2,FALSE())</f>
        <v>97.7272720336914</v>
      </c>
      <c r="D41" s="231" t="n">
        <f aca="false">IF(OR(C41=0,E41=0),"n/a",E41/C41*100)</f>
        <v>264.000001873637</v>
      </c>
      <c r="E41" s="231" t="n">
        <f aca="false">VLOOKUP($B41,'[1]4-Disponibilidade'!$A$8:$C$103,3,FALSE())</f>
        <v>258</v>
      </c>
      <c r="F41" s="232" t="n">
        <f aca="false">IF(ISNA(VLOOKUP($A41,'[1]3-Produção'!$A$9:$C$104,2,FALSE()))=TRUE(),"n/a",VLOOKUP($A41,'[1]3-Produção'!$A$9:$C$104,2,FALSE()))</f>
        <v>218</v>
      </c>
      <c r="G41" s="232" t="n">
        <f aca="false">IF(ISNA(VLOOKUP($A41,'[1]3-Produção'!$A$9:$C$104,3,FALSE()))=TRUE(),"n/a",VLOOKUP($A41,'[1]3-Produção'!$A$9:$C$104,3,FALSE()))</f>
        <v>215.708333333333</v>
      </c>
      <c r="H41" s="232" t="n">
        <f aca="false">IF(OR(F41="n/a",G41="n/a"),"n/a",G41-F41)</f>
        <v>-2.29166666666666</v>
      </c>
      <c r="I41" s="232" t="n">
        <f aca="false">IF(OR(G41="n/a",D41="n/a"),"n/a",D41-G41)</f>
        <v>48.291668540304</v>
      </c>
      <c r="J41" s="233" t="n">
        <f aca="false">IF(OR(G41="n/a",G41=0,E41="n/a",E41=0),"n/a",E41-G41)</f>
        <v>42.2916666666667</v>
      </c>
      <c r="K41" s="224" t="str">
        <f aca="false">IF(OR(C41&gt;100,D41="n/a",F41="n/a",G41="n/a",H41="n/a",I41="n/a",J41="n/a"),"X","")</f>
        <v/>
      </c>
      <c r="R41" s="204"/>
      <c r="S41" s="202"/>
      <c r="T41" s="202"/>
      <c r="U41" s="202"/>
      <c r="V41" s="202"/>
      <c r="W41" s="202"/>
      <c r="X41" s="202"/>
      <c r="Y41" s="202"/>
      <c r="Z41" s="202"/>
      <c r="AA41" s="202"/>
    </row>
    <row r="42" customFormat="false" ht="12.75" hidden="false" customHeight="false" outlineLevel="0" collapsed="false">
      <c r="A42" s="229" t="s">
        <v>199</v>
      </c>
      <c r="B42" s="218" t="s">
        <v>199</v>
      </c>
      <c r="C42" s="230" t="n">
        <f aca="false">VLOOKUP($B42,'[1]4-Disponibilidade'!$A$8:$C$103,2,FALSE())</f>
        <v>98.3871002197266</v>
      </c>
      <c r="D42" s="231" t="n">
        <f aca="false">IF(OR(C42=0,E42=0),"n/a",E42/C42*100)</f>
        <v>371.999986972497</v>
      </c>
      <c r="E42" s="231" t="n">
        <f aca="false">VLOOKUP($B42,'[1]4-Disponibilidade'!$A$8:$C$103,3,FALSE())</f>
        <v>366</v>
      </c>
      <c r="F42" s="232" t="n">
        <f aca="false">IF(ISNA(VLOOKUP($A42,'[1]3-Produção'!$A$9:$C$104,2,FALSE()))=TRUE(),"n/a",VLOOKUP($A42,'[1]3-Produção'!$A$9:$C$104,2,FALSE()))</f>
        <v>256.666666666667</v>
      </c>
      <c r="G42" s="232" t="n">
        <f aca="false">IF(ISNA(VLOOKUP($A42,'[1]3-Produção'!$A$9:$C$104,3,FALSE()))=TRUE(),"n/a",VLOOKUP($A42,'[1]3-Produção'!$A$9:$C$104,3,FALSE()))</f>
        <v>260.220833333333</v>
      </c>
      <c r="H42" s="232" t="n">
        <f aca="false">IF(OR(F42="n/a",G42="n/a"),"n/a",G42-F42)</f>
        <v>3.55416666666662</v>
      </c>
      <c r="I42" s="232" t="n">
        <f aca="false">IF(OR(G42="n/a",D42="n/a"),"n/a",D42-G42)</f>
        <v>111.779153639163</v>
      </c>
      <c r="J42" s="233" t="n">
        <f aca="false">IF(OR(G42="n/a",G42=0,E42="n/a",E42=0),"n/a",E42-G42)</f>
        <v>105.779166666667</v>
      </c>
      <c r="K42" s="224" t="str">
        <f aca="false">IF(OR(C42&gt;100,D42="n/a",F42="n/a",G42="n/a",H42="n/a",I42="n/a",J42="n/a"),"X","")</f>
        <v/>
      </c>
      <c r="R42" s="204"/>
      <c r="S42" s="202"/>
      <c r="T42" s="202"/>
      <c r="U42" s="202"/>
      <c r="V42" s="202"/>
      <c r="W42" s="202"/>
      <c r="X42" s="202"/>
      <c r="Y42" s="202"/>
      <c r="Z42" s="202"/>
      <c r="AA42" s="202"/>
    </row>
    <row r="43" customFormat="false" ht="12.75" hidden="false" customHeight="false" outlineLevel="0" collapsed="false">
      <c r="A43" s="229" t="s">
        <v>200</v>
      </c>
      <c r="B43" s="218" t="s">
        <v>200</v>
      </c>
      <c r="C43" s="230" t="n">
        <f aca="false">VLOOKUP($B43,'[1]4-Disponibilidade'!$A$8:$C$103,2,FALSE())</f>
        <v>73.6111145019531</v>
      </c>
      <c r="D43" s="231" t="n">
        <f aca="false">IF(OR(C43=0,E43=0),"n/a",E43/C43*100)</f>
        <v>71.9999966833728</v>
      </c>
      <c r="E43" s="231" t="n">
        <f aca="false">VLOOKUP($B43,'[1]4-Disponibilidade'!$A$8:$C$103,3,FALSE())</f>
        <v>53</v>
      </c>
      <c r="F43" s="232" t="n">
        <f aca="false">IF(ISNA(VLOOKUP($A43,'[1]3-Produção'!$A$9:$C$104,2,FALSE()))=TRUE(),"n/a",VLOOKUP($A43,'[1]3-Produção'!$A$9:$C$104,2,FALSE()))</f>
        <v>53</v>
      </c>
      <c r="G43" s="232" t="n">
        <f aca="false">IF(ISNA(VLOOKUP($A43,'[1]3-Produção'!$A$9:$C$104,3,FALSE()))=TRUE(),"n/a",VLOOKUP($A43,'[1]3-Produção'!$A$9:$C$104,3,FALSE()))</f>
        <v>51.775</v>
      </c>
      <c r="H43" s="232" t="n">
        <f aca="false">IF(OR(F43="n/a",G43="n/a"),"n/a",G43-F43)</f>
        <v>-1.225</v>
      </c>
      <c r="I43" s="232" t="n">
        <f aca="false">IF(OR(G43="n/a",D43="n/a"),"n/a",D43-G43)</f>
        <v>20.2249966833728</v>
      </c>
      <c r="J43" s="233" t="n">
        <f aca="false">IF(OR(G43="n/a",G43=0,E43="n/a",E43=0),"n/a",E43-G43)</f>
        <v>1.225</v>
      </c>
      <c r="K43" s="224" t="str">
        <f aca="false">IF(OR(C43&gt;100,D43="n/a",F43="n/a",G43="n/a",H43="n/a",I43="n/a",J43="n/a"),"X","")</f>
        <v/>
      </c>
      <c r="R43" s="204"/>
      <c r="S43" s="202"/>
      <c r="T43" s="202"/>
      <c r="U43" s="202"/>
      <c r="V43" s="202"/>
      <c r="W43" s="202"/>
      <c r="X43" s="202"/>
      <c r="Y43" s="202"/>
      <c r="Z43" s="202"/>
      <c r="AA43" s="202"/>
    </row>
    <row r="44" customFormat="false" ht="12.75" hidden="false" customHeight="false" outlineLevel="0" collapsed="false">
      <c r="A44" s="244" t="s">
        <v>201</v>
      </c>
      <c r="B44" s="218" t="s">
        <v>201</v>
      </c>
      <c r="C44" s="230" t="n">
        <f aca="false">VLOOKUP($B44,'[1]4-Disponibilidade'!$A$8:$C$103,2,FALSE())</f>
        <v>100</v>
      </c>
      <c r="D44" s="231" t="n">
        <f aca="false">IF(OR(C44=0,E44=0),"n/a",E44/C44*100)</f>
        <v>554</v>
      </c>
      <c r="E44" s="231" t="n">
        <f aca="false">VLOOKUP($B44,'[1]4-Disponibilidade'!$A$8:$C$103,3,FALSE())</f>
        <v>554</v>
      </c>
      <c r="F44" s="232" t="n">
        <f aca="false">IF(ISNA(VLOOKUP($A44,'[1]3-Produção'!$A$9:$C$104,2,FALSE()))=TRUE(),"n/a",VLOOKUP($A44,'[1]3-Produção'!$A$9:$C$104,2,FALSE()))</f>
        <v>272.5</v>
      </c>
      <c r="G44" s="232" t="n">
        <f aca="false">IF(ISNA(VLOOKUP($A44,'[1]3-Produção'!$A$9:$C$104,3,FALSE()))=TRUE(),"n/a",VLOOKUP($A44,'[1]3-Produção'!$A$9:$C$104,3,FALSE()))</f>
        <v>271.775</v>
      </c>
      <c r="H44" s="232" t="n">
        <f aca="false">IF(OR(F44="n/a",G44="n/a"),"n/a",G44-F44)</f>
        <v>-0.725000000000023</v>
      </c>
      <c r="I44" s="232" t="n">
        <f aca="false">IF(OR(G44="n/a",D44="n/a"),"n/a",D44-G44)</f>
        <v>282.225</v>
      </c>
      <c r="J44" s="233" t="n">
        <f aca="false">IF(OR(G44="n/a",G44=0,E44="n/a",E44=0),"n/a",E44-G44)</f>
        <v>282.225</v>
      </c>
      <c r="K44" s="224" t="str">
        <f aca="false">IF(OR(C44&gt;100,D44="n/a",F44="n/a",G44="n/a",H44="n/a",I44="n/a",J44="n/a"),"X","")</f>
        <v/>
      </c>
      <c r="R44" s="204"/>
      <c r="S44" s="202"/>
      <c r="T44" s="202"/>
      <c r="U44" s="202"/>
      <c r="V44" s="202"/>
      <c r="W44" s="202"/>
      <c r="X44" s="202"/>
      <c r="Y44" s="202"/>
      <c r="Z44" s="202"/>
      <c r="AA44" s="202"/>
    </row>
    <row r="45" customFormat="false" ht="12.75" hidden="false" customHeight="false" outlineLevel="0" collapsed="false">
      <c r="A45" s="229" t="s">
        <v>202</v>
      </c>
      <c r="B45" s="245" t="s">
        <v>202</v>
      </c>
      <c r="C45" s="230" t="n">
        <f aca="false">VLOOKUP($B45,'[1]4-Disponibilidade'!$A$8:$C$103,2,FALSE())</f>
        <v>99.7530899047852</v>
      </c>
      <c r="D45" s="231" t="n">
        <f aca="false">IF(OR(C45=0,E45=0),"n/a",E45/C45*100)</f>
        <v>809.999971701368</v>
      </c>
      <c r="E45" s="231" t="n">
        <f aca="false">VLOOKUP($B45,'[1]4-Disponibilidade'!$A$8:$C$103,3,FALSE())</f>
        <v>808</v>
      </c>
      <c r="F45" s="232" t="n">
        <f aca="false">IF(ISNA(VLOOKUP($A45,'[1]3-Produção'!$A$9:$C$104,2,FALSE()))=TRUE(),"n/a",VLOOKUP($A45,'[1]3-Produção'!$A$9:$C$104,2,FALSE()))</f>
        <v>205.833333333333</v>
      </c>
      <c r="G45" s="232" t="n">
        <f aca="false">IF(ISNA(VLOOKUP($A45,'[1]3-Produção'!$A$9:$C$104,3,FALSE()))=TRUE(),"n/a",VLOOKUP($A45,'[1]3-Produção'!$A$9:$C$104,3,FALSE()))</f>
        <v>255.170833333333</v>
      </c>
      <c r="H45" s="232" t="n">
        <f aca="false">IF(OR(F45="n/a",G45="n/a"),"n/a",G45-F45)</f>
        <v>49.3375</v>
      </c>
      <c r="I45" s="232" t="n">
        <f aca="false">IF(OR(G45="n/a",D45="n/a"),"n/a",D45-G45)</f>
        <v>554.829138368035</v>
      </c>
      <c r="J45" s="233" t="n">
        <f aca="false">IF(OR(G45="n/a",G45=0,E45="n/a",E45=0),"n/a",E45-G45)</f>
        <v>552.829166666667</v>
      </c>
      <c r="K45" s="224" t="str">
        <f aca="false">IF(OR(C45&gt;100,D45="n/a",F45="n/a",G45="n/a",H45="n/a",I45="n/a",J45="n/a"),"X","")</f>
        <v/>
      </c>
      <c r="R45" s="204"/>
      <c r="S45" s="202"/>
      <c r="T45" s="202"/>
      <c r="U45" s="202"/>
      <c r="V45" s="202"/>
      <c r="W45" s="202"/>
      <c r="X45" s="202"/>
      <c r="Y45" s="202"/>
      <c r="Z45" s="202"/>
      <c r="AA45" s="202"/>
    </row>
    <row r="46" customFormat="false" ht="12.75" hidden="false" customHeight="false" outlineLevel="0" collapsed="false">
      <c r="A46" s="229" t="s">
        <v>203</v>
      </c>
      <c r="B46" s="218" t="s">
        <v>204</v>
      </c>
      <c r="C46" s="230" t="n">
        <f aca="false">VLOOKUP($B46,'[1]4-Disponibilidade'!$A$8:$C$103,2,FALSE())</f>
        <v>27.7790966033936</v>
      </c>
      <c r="D46" s="231" t="n">
        <f aca="false">IF(OR(C46=0,E46=0),"n/a",E46/C46*100)</f>
        <v>421.180003332819</v>
      </c>
      <c r="E46" s="231" t="n">
        <f aca="false">VLOOKUP($B46,'[1]4-Disponibilidade'!$A$8:$C$103,3,FALSE())</f>
        <v>117</v>
      </c>
      <c r="F46" s="232" t="n">
        <f aca="false">IF(ISNA(VLOOKUP($A46,'[1]3-Produção'!$A$9:$C$104,2,FALSE()))=TRUE(),"n/a",VLOOKUP($A46,'[1]3-Produção'!$A$9:$C$104,2,FALSE()))</f>
        <v>100.220833333333</v>
      </c>
      <c r="G46" s="232" t="n">
        <f aca="false">IF(ISNA(VLOOKUP($A46,'[1]3-Produção'!$A$9:$C$104,3,FALSE()))=TRUE(),"n/a",VLOOKUP($A46,'[1]3-Produção'!$A$9:$C$104,3,FALSE()))</f>
        <v>100.220833333333</v>
      </c>
      <c r="H46" s="232" t="n">
        <f aca="false">IF(OR(F46="n/a",G46="n/a"),"n/a",G46-F46)</f>
        <v>0</v>
      </c>
      <c r="I46" s="232" t="n">
        <f aca="false">IF(OR(G46="n/a",D46="n/a"),"n/a",D46-G46)</f>
        <v>320.959169999486</v>
      </c>
      <c r="J46" s="233" t="n">
        <f aca="false">IF(OR(G46="n/a",G46=0,E46="n/a",E46=0),"n/a",E46-G46)</f>
        <v>16.7791666666667</v>
      </c>
      <c r="K46" s="224" t="str">
        <f aca="false">IF(OR(C46&gt;100,D46="n/a",F46="n/a",G46="n/a",H46="n/a",I46="n/a",J46="n/a"),"X","")</f>
        <v/>
      </c>
      <c r="R46" s="202"/>
      <c r="S46" s="202"/>
      <c r="T46" s="202"/>
      <c r="U46" s="202"/>
      <c r="V46" s="202"/>
      <c r="W46" s="202"/>
      <c r="X46" s="202"/>
      <c r="Y46" s="202"/>
      <c r="Z46" s="202"/>
      <c r="AA46" s="202"/>
    </row>
    <row r="47" customFormat="false" ht="12.75" hidden="false" customHeight="false" outlineLevel="0" collapsed="false">
      <c r="A47" s="229" t="s">
        <v>205</v>
      </c>
      <c r="B47" s="218" t="s">
        <v>205</v>
      </c>
      <c r="C47" s="230" t="n">
        <f aca="false">VLOOKUP($B47,'[1]4-Disponibilidade'!$A$8:$C$103,2,FALSE())</f>
        <v>102.362205505371</v>
      </c>
      <c r="D47" s="231" t="n">
        <f aca="false">IF(OR(C47=0,E47=0),"n/a",E47/C47*100)</f>
        <v>126.999999031067</v>
      </c>
      <c r="E47" s="231" t="n">
        <f aca="false">VLOOKUP($B47,'[1]4-Disponibilidade'!$A$8:$C$103,3,FALSE())</f>
        <v>130</v>
      </c>
      <c r="F47" s="232" t="n">
        <f aca="false">IF(ISNA(VLOOKUP($A47,'[1]3-Produção'!$A$9:$C$104,2,FALSE()))=TRUE(),"n/a",VLOOKUP($A47,'[1]3-Produção'!$A$9:$C$104,2,FALSE()))</f>
        <v>66.9583333333333</v>
      </c>
      <c r="G47" s="232" t="n">
        <f aca="false">IF(ISNA(VLOOKUP($A47,'[1]3-Produção'!$A$9:$C$104,3,FALSE()))=TRUE(),"n/a",VLOOKUP($A47,'[1]3-Produção'!$A$9:$C$104,3,FALSE()))</f>
        <v>66.9583333333333</v>
      </c>
      <c r="H47" s="232" t="n">
        <f aca="false">IF(OR(F47="n/a",G47="n/a"),"n/a",G47-F47)</f>
        <v>0</v>
      </c>
      <c r="I47" s="232" t="n">
        <f aca="false">IF(OR(G47="n/a",D47="n/a"),"n/a",D47-G47)</f>
        <v>60.0416656977336</v>
      </c>
      <c r="J47" s="233" t="n">
        <f aca="false">IF(OR(G47="n/a",G47=0,E47="n/a",E47=0),"n/a",E47-G47)</f>
        <v>63.0416666666667</v>
      </c>
      <c r="K47" s="224" t="str">
        <f aca="false">IF(OR(C47&gt;100,D47="n/a",F47="n/a",G47="n/a",H47="n/a",I47="n/a",J47="n/a"),"X","")</f>
        <v>X</v>
      </c>
      <c r="R47" s="202"/>
      <c r="S47" s="202"/>
      <c r="T47" s="202"/>
      <c r="U47" s="202"/>
      <c r="V47" s="202"/>
      <c r="W47" s="202"/>
      <c r="X47" s="202"/>
      <c r="Y47" s="202"/>
      <c r="Z47" s="202"/>
      <c r="AA47" s="202"/>
    </row>
    <row r="48" customFormat="false" ht="12.75" hidden="false" customHeight="false" outlineLevel="0" collapsed="false">
      <c r="A48" s="229" t="s">
        <v>206</v>
      </c>
      <c r="B48" s="218" t="s">
        <v>207</v>
      </c>
      <c r="C48" s="230" t="n">
        <f aca="false">VLOOKUP($B48,'[1]4-Disponibilidade'!$A$8:$C$103,2,FALSE())</f>
        <v>39.4011039733887</v>
      </c>
      <c r="D48" s="277" t="n">
        <f aca="false">IF(OR(C48=0,E48=0),"n/a",E48/C48*100)</f>
        <v>139.589997369482</v>
      </c>
      <c r="E48" s="231" t="n">
        <f aca="false">VLOOKUP($B48,'[1]4-Disponibilidade'!$A$8:$C$103,3,FALSE())</f>
        <v>55</v>
      </c>
      <c r="F48" s="232" t="n">
        <f aca="false">IF(ISNA(VLOOKUP($A48,'[1]3-Produção'!$A$9:$C$104,2,FALSE()))=TRUE(),"n/a",VLOOKUP($A48,'[1]3-Produção'!$A$9:$C$104,2,FALSE()))</f>
        <v>25</v>
      </c>
      <c r="G48" s="232" t="n">
        <f aca="false">IF(ISNA(VLOOKUP($A48,'[1]3-Produção'!$A$9:$C$104,3,FALSE()))=TRUE(),"n/a",VLOOKUP($A48,'[1]3-Produção'!$A$9:$C$104,3,FALSE()))</f>
        <v>25</v>
      </c>
      <c r="H48" s="232" t="n">
        <f aca="false">IF(OR(F48="n/a",G48="n/a"),"n/a",G48-F48)</f>
        <v>0</v>
      </c>
      <c r="I48" s="232" t="n">
        <f aca="false">IF(OR(G48="n/a",D48="n/a"),"n/a",D48-G48)</f>
        <v>114.589997369482</v>
      </c>
      <c r="J48" s="233" t="n">
        <f aca="false">IF(OR(G48="n/a",G48=0,E48="n/a",E48=0),"n/a",E48-G48)</f>
        <v>30</v>
      </c>
      <c r="K48" s="224" t="str">
        <f aca="false">IF(OR(C48&gt;100,D48="n/a",F48="n/a",G48="n/a",H48="n/a",I48="n/a",J48="n/a"),"X","")</f>
        <v/>
      </c>
      <c r="R48" s="202"/>
      <c r="S48" s="202"/>
      <c r="T48" s="202"/>
      <c r="U48" s="202"/>
      <c r="V48" s="202"/>
      <c r="W48" s="202"/>
      <c r="X48" s="202"/>
      <c r="Y48" s="202"/>
      <c r="Z48" s="202"/>
      <c r="AA48" s="202"/>
    </row>
    <row r="49" customFormat="false" ht="12.75" hidden="false" customHeight="false" outlineLevel="0" collapsed="false">
      <c r="A49" s="229" t="s">
        <v>208</v>
      </c>
      <c r="B49" s="218" t="s">
        <v>208</v>
      </c>
      <c r="C49" s="230" t="n">
        <f aca="false">VLOOKUP($B49,'[1]4-Disponibilidade'!$A$8:$C$103,2,FALSE())</f>
        <v>100</v>
      </c>
      <c r="D49" s="231" t="n">
        <f aca="false">IF(OR(C49=0,E49=0),"n/a",E49/C49*100)</f>
        <v>469</v>
      </c>
      <c r="E49" s="231" t="n">
        <f aca="false">VLOOKUP($B49,'[1]4-Disponibilidade'!$A$8:$C$103,3,FALSE())</f>
        <v>469</v>
      </c>
      <c r="F49" s="232" t="n">
        <f aca="false">IF(ISNA(VLOOKUP($A49,'[1]3-Produção'!$A$9:$C$104,2,FALSE()))=TRUE(),"n/a",VLOOKUP($A49,'[1]3-Produção'!$A$9:$C$104,2,FALSE()))</f>
        <v>62.4583333333333</v>
      </c>
      <c r="G49" s="232" t="n">
        <f aca="false">IF(ISNA(VLOOKUP($A49,'[1]3-Produção'!$A$9:$C$104,3,FALSE()))=TRUE(),"n/a",VLOOKUP($A49,'[1]3-Produção'!$A$9:$C$104,3,FALSE()))</f>
        <v>57.7333333333333</v>
      </c>
      <c r="H49" s="232" t="n">
        <f aca="false">IF(OR(F49="n/a",G49="n/a"),"n/a",G49-F49)</f>
        <v>-4.72499999999999</v>
      </c>
      <c r="I49" s="232" t="n">
        <f aca="false">IF(OR(G49="n/a",D49="n/a"),"n/a",D49-G49)</f>
        <v>411.266666666667</v>
      </c>
      <c r="J49" s="233" t="n">
        <f aca="false">IF(OR(G49="n/a",G49=0,E49="n/a",E49=0),"n/a",E49-G49)</f>
        <v>411.266666666667</v>
      </c>
      <c r="K49" s="224" t="str">
        <f aca="false">IF(OR(C49&gt;100,D49="n/a",F49="n/a",G49="n/a",H49="n/a",I49="n/a",J49="n/a"),"X","")</f>
        <v/>
      </c>
      <c r="R49" s="202"/>
      <c r="S49" s="202"/>
      <c r="T49" s="202"/>
      <c r="U49" s="202"/>
      <c r="V49" s="202"/>
      <c r="W49" s="202"/>
      <c r="X49" s="202"/>
      <c r="Y49" s="202"/>
      <c r="Z49" s="202"/>
      <c r="AA49" s="202"/>
    </row>
    <row r="50" customFormat="false" ht="12.75" hidden="false" customHeight="false" outlineLevel="0" collapsed="false">
      <c r="A50" s="229" t="s">
        <v>209</v>
      </c>
      <c r="B50" s="218" t="s">
        <v>210</v>
      </c>
      <c r="C50" s="230" t="n">
        <f aca="false">VLOOKUP($B50,'[1]4-Disponibilidade'!$A$8:$C$103,2,FALSE())</f>
        <v>50</v>
      </c>
      <c r="D50" s="231" t="n">
        <f aca="false">IF(OR(C50=0,E50=0),"n/a",E50/C50*100)</f>
        <v>420</v>
      </c>
      <c r="E50" s="231" t="n">
        <f aca="false">VLOOKUP($B50,'[1]4-Disponibilidade'!$A$8:$C$103,3,FALSE())</f>
        <v>210</v>
      </c>
      <c r="F50" s="232" t="n">
        <f aca="false">IF(ISNA(VLOOKUP($A50,'[1]3-Produção'!$A$9:$C$104,2,FALSE()))=TRUE(),"n/a",VLOOKUP($A50,'[1]3-Produção'!$A$9:$C$104,2,FALSE()))</f>
        <v>0</v>
      </c>
      <c r="G50" s="232" t="n">
        <f aca="false">IF(ISNA(VLOOKUP($A50,'[1]3-Produção'!$A$9:$C$104,3,FALSE()))=TRUE(),"n/a",VLOOKUP($A50,'[1]3-Produção'!$A$9:$C$104,3,FALSE()))</f>
        <v>47.9958333333333</v>
      </c>
      <c r="H50" s="232" t="n">
        <f aca="false">IF(OR(F50="n/a",G50="n/a"),"n/a",G50-F50)</f>
        <v>47.9958333333333</v>
      </c>
      <c r="I50" s="232" t="n">
        <f aca="false">IF(OR(G50="n/a",D50="n/a"),"n/a",D50-G50)</f>
        <v>372.004166666667</v>
      </c>
      <c r="J50" s="233" t="n">
        <f aca="false">IF(OR(G50="n/a",G50=0,E50="n/a",E50=0),"n/a",E50-G50)</f>
        <v>162.004166666667</v>
      </c>
      <c r="K50" s="224" t="str">
        <f aca="false">IF(OR(C50&gt;100,D50="n/a",F50="n/a",G50="n/a",H50="n/a",I50="n/a",J50="n/a"),"X","")</f>
        <v/>
      </c>
      <c r="S50" s="202"/>
      <c r="T50" s="202"/>
      <c r="U50" s="202"/>
      <c r="V50" s="202"/>
      <c r="W50" s="202"/>
      <c r="X50" s="202"/>
      <c r="Y50" s="202"/>
      <c r="Z50" s="202"/>
      <c r="AA50" s="202"/>
    </row>
    <row r="51" customFormat="false" ht="12.75" hidden="false" customHeight="false" outlineLevel="0" collapsed="false">
      <c r="A51" s="229" t="s">
        <v>211</v>
      </c>
      <c r="B51" s="218" t="s">
        <v>211</v>
      </c>
      <c r="C51" s="230" t="n">
        <f aca="false">VLOOKUP($B51,'[1]4-Disponibilidade'!$A$8:$C$103,2,FALSE())</f>
        <v>41.0677604675293</v>
      </c>
      <c r="D51" s="231" t="n">
        <f aca="false">IF(OR(C51=0,E51=0),"n/a",E51/C51*100)</f>
        <v>48.7000015883828</v>
      </c>
      <c r="E51" s="231" t="n">
        <f aca="false">VLOOKUP($B51,'[1]4-Disponibilidade'!$A$8:$C$103,3,FALSE())</f>
        <v>20</v>
      </c>
      <c r="F51" s="232" t="n">
        <f aca="false">IF(ISNA(VLOOKUP($A51,'[1]3-Produção'!$A$9:$C$104,2,FALSE()))=TRUE(),"n/a",VLOOKUP($A51,'[1]3-Produção'!$A$9:$C$104,2,FALSE()))</f>
        <v>20</v>
      </c>
      <c r="G51" s="232" t="n">
        <f aca="false">IF(ISNA(VLOOKUP($A51,'[1]3-Produção'!$A$9:$C$104,3,FALSE()))=TRUE(),"n/a",VLOOKUP($A51,'[1]3-Produção'!$A$9:$C$104,3,FALSE()))</f>
        <v>20</v>
      </c>
      <c r="H51" s="232" t="n">
        <f aca="false">IF(OR(F51="n/a",G51="n/a"),"n/a",G51-F51)</f>
        <v>0</v>
      </c>
      <c r="I51" s="232" t="n">
        <f aca="false">IF(OR(G51="n/a",D51="n/a"),"n/a",D51-G51)</f>
        <v>28.7000015883828</v>
      </c>
      <c r="J51" s="233" t="n">
        <f aca="false">IF(OR(G51="n/a",G51=0,E51="n/a",E51=0),"n/a",E51-G51)</f>
        <v>0</v>
      </c>
      <c r="K51" s="224" t="str">
        <f aca="false">IF(OR(C51&gt;100,D51="n/a",F51="n/a",G51="n/a",H51="n/a",I51="n/a",J51="n/a"),"X","")</f>
        <v/>
      </c>
    </row>
    <row r="52" customFormat="false" ht="12.75" hidden="false" customHeight="false" outlineLevel="0" collapsed="false">
      <c r="A52" s="229" t="s">
        <v>212</v>
      </c>
      <c r="B52" s="218" t="s">
        <v>212</v>
      </c>
      <c r="C52" s="230" t="n">
        <f aca="false">VLOOKUP($B52,'[1]4-Disponibilidade'!$A$8:$C$103,2,FALSE())</f>
        <v>97.5609741210938</v>
      </c>
      <c r="D52" s="231" t="n">
        <f aca="false">IF(OR(C52=0,E52=0),"n/a",E52/C52*100)</f>
        <v>328.000005004883</v>
      </c>
      <c r="E52" s="231" t="n">
        <f aca="false">VLOOKUP($B52,'[1]4-Disponibilidade'!$A$8:$C$103,3,FALSE())</f>
        <v>320</v>
      </c>
      <c r="F52" s="232" t="n">
        <f aca="false">IF(ISNA(VLOOKUP($A52,'[1]3-Produção'!$A$9:$C$104,2,FALSE()))=TRUE(),"n/a",VLOOKUP($A52,'[1]3-Produção'!$A$9:$C$104,2,FALSE()))</f>
        <v>208.333333333333</v>
      </c>
      <c r="G52" s="232" t="n">
        <f aca="false">IF(ISNA(VLOOKUP($A52,'[1]3-Produção'!$A$9:$C$104,3,FALSE()))=TRUE(),"n/a",VLOOKUP($A52,'[1]3-Produção'!$A$9:$C$104,3,FALSE()))</f>
        <v>210.816666666667</v>
      </c>
      <c r="H52" s="232" t="n">
        <f aca="false">IF(OR(F52="n/a",G52="n/a"),"n/a",G52-F52)</f>
        <v>2.48333333333335</v>
      </c>
      <c r="I52" s="232" t="n">
        <f aca="false">IF(OR(G52="n/a",D52="n/a"),"n/a",D52-G52)</f>
        <v>117.183338338216</v>
      </c>
      <c r="J52" s="233" t="n">
        <f aca="false">IF(OR(G52="n/a",G52=0,E52="n/a",E52=0),"n/a",E52-G52)</f>
        <v>109.183333333333</v>
      </c>
      <c r="K52" s="224" t="str">
        <f aca="false">IF(OR(C52&gt;100,D52="n/a",F52="n/a",G52="n/a",H52="n/a",I52="n/a",J52="n/a"),"X","")</f>
        <v/>
      </c>
    </row>
    <row r="53" customFormat="false" ht="12.75" hidden="false" customHeight="false" outlineLevel="0" collapsed="false">
      <c r="A53" s="229" t="s">
        <v>213</v>
      </c>
      <c r="B53" s="218" t="s">
        <v>214</v>
      </c>
      <c r="C53" s="230" t="n">
        <f aca="false">VLOOKUP($B53,'[1]4-Disponibilidade'!$A$8:$C$103,2,FALSE())</f>
        <v>80</v>
      </c>
      <c r="D53" s="231" t="n">
        <f aca="false">IF(OR(C53=0,E53=0),"n/a",E53/C53*100)</f>
        <v>375</v>
      </c>
      <c r="E53" s="231" t="n">
        <f aca="false">VLOOKUP($B53,'[1]4-Disponibilidade'!$A$8:$C$103,3,FALSE())</f>
        <v>300</v>
      </c>
      <c r="F53" s="232" t="n">
        <f aca="false">IF(ISNA(VLOOKUP($A53,'[1]3-Produção'!$A$9:$C$104,2,FALSE()))=TRUE(),"n/a",VLOOKUP($A53,'[1]3-Produção'!$A$9:$C$104,2,FALSE()))</f>
        <v>270</v>
      </c>
      <c r="G53" s="232" t="n">
        <f aca="false">IF(ISNA(VLOOKUP($A53,'[1]3-Produção'!$A$9:$C$104,3,FALSE()))=TRUE(),"n/a",VLOOKUP($A53,'[1]3-Produção'!$A$9:$C$104,3,FALSE()))</f>
        <v>270.4125</v>
      </c>
      <c r="H53" s="232" t="n">
        <f aca="false">IF(OR(F53="n/a",G53="n/a"),"n/a",G53-F53)</f>
        <v>0.412500000000023</v>
      </c>
      <c r="I53" s="232" t="n">
        <f aca="false">IF(OR(G53="n/a",D53="n/a"),"n/a",D53-G53)</f>
        <v>104.5875</v>
      </c>
      <c r="J53" s="233" t="n">
        <f aca="false">IF(OR(G53="n/a",G53=0,E53="n/a",E53=0),"n/a",E53-G53)</f>
        <v>29.5875</v>
      </c>
      <c r="K53" s="224" t="str">
        <f aca="false">IF(OR(C53&gt;100,D53="n/a",F53="n/a",G53="n/a",H53="n/a",I53="n/a",J53="n/a"),"X","")</f>
        <v/>
      </c>
    </row>
    <row r="54" customFormat="false" ht="12.75" hidden="false" customHeight="false" outlineLevel="0" collapsed="false">
      <c r="A54" s="229" t="s">
        <v>215</v>
      </c>
      <c r="B54" s="218" t="s">
        <v>215</v>
      </c>
      <c r="C54" s="230" t="n">
        <f aca="false">VLOOKUP($B54,'[1]4-Disponibilidade'!$A$8:$C$103,2,FALSE())</f>
        <v>83.7837829589844</v>
      </c>
      <c r="D54" s="231" t="n">
        <f aca="false">IF(OR(C54=0,E54=0),"n/a",E54/C54*100)</f>
        <v>222.000002185452</v>
      </c>
      <c r="E54" s="231" t="n">
        <f aca="false">VLOOKUP($B54,'[1]4-Disponibilidade'!$A$8:$C$103,3,FALSE())</f>
        <v>186</v>
      </c>
      <c r="F54" s="232" t="n">
        <f aca="false">IF(ISNA(VLOOKUP($A54,'[1]3-Produção'!$A$9:$C$104,2,FALSE()))=TRUE(),"n/a",VLOOKUP($A54,'[1]3-Produção'!$A$9:$C$104,2,FALSE()))</f>
        <v>112.5</v>
      </c>
      <c r="G54" s="232" t="n">
        <f aca="false">IF(ISNA(VLOOKUP($A54,'[1]3-Produção'!$A$9:$C$104,3,FALSE()))=TRUE(),"n/a",VLOOKUP($A54,'[1]3-Produção'!$A$9:$C$104,3,FALSE()))</f>
        <v>131.1875</v>
      </c>
      <c r="H54" s="232" t="n">
        <f aca="false">IF(OR(F54="n/a",G54="n/a"),"n/a",G54-F54)</f>
        <v>18.6875</v>
      </c>
      <c r="I54" s="232" t="n">
        <f aca="false">IF(OR(G54="n/a",D54="n/a"),"n/a",D54-G54)</f>
        <v>90.8125021854524</v>
      </c>
      <c r="J54" s="233" t="n">
        <f aca="false">IF(OR(G54="n/a",G54=0,E54="n/a",E54=0),"n/a",E54-G54)</f>
        <v>54.8125</v>
      </c>
      <c r="K54" s="224" t="str">
        <f aca="false">IF(OR(C54&gt;100,D54="n/a",F54="n/a",G54="n/a",H54="n/a",I54="n/a",J54="n/a"),"X","")</f>
        <v/>
      </c>
    </row>
    <row r="55" customFormat="false" ht="12.75" hidden="false" customHeight="false" outlineLevel="0" collapsed="false">
      <c r="A55" s="229" t="s">
        <v>25</v>
      </c>
      <c r="B55" s="218" t="s">
        <v>25</v>
      </c>
      <c r="C55" s="230" t="n">
        <f aca="false">VLOOKUP($B55,'[1]4-Disponibilidade'!$A$8:$C$103,2,FALSE())</f>
        <v>82.9268264770508</v>
      </c>
      <c r="D55" s="231" t="n">
        <f aca="false">IF(OR(C55=0,E55=0),"n/a",E55/C55*100)</f>
        <v>1312.00004416073</v>
      </c>
      <c r="E55" s="231" t="n">
        <f aca="false">VLOOKUP($B55,'[1]4-Disponibilidade'!$A$8:$C$103,3,FALSE())</f>
        <v>1088</v>
      </c>
      <c r="F55" s="232" t="n">
        <f aca="false">IF(ISNA(VLOOKUP($A55,'[1]3-Produção'!$A$9:$C$104,2,FALSE()))=TRUE(),"n/a",VLOOKUP($A55,'[1]3-Produção'!$A$9:$C$104,2,FALSE()))</f>
        <v>430.208333333333</v>
      </c>
      <c r="G55" s="232" t="n">
        <f aca="false">IF(ISNA(VLOOKUP($A55,'[1]3-Produção'!$A$9:$C$104,3,FALSE()))=TRUE(),"n/a",VLOOKUP($A55,'[1]3-Produção'!$A$9:$C$104,3,FALSE()))</f>
        <v>588.679166666667</v>
      </c>
      <c r="H55" s="232" t="n">
        <f aca="false">IF(OR(F55="n/a",G55="n/a"),"n/a",G55-F55)</f>
        <v>158.470833333333</v>
      </c>
      <c r="I55" s="232" t="n">
        <f aca="false">IF(OR(G55="n/a",D55="n/a"),"n/a",D55-G55)</f>
        <v>723.320877494066</v>
      </c>
      <c r="J55" s="233" t="n">
        <f aca="false">IF(OR(G55="n/a",G55=0,E55="n/a",E55=0),"n/a",E55-G55)</f>
        <v>499.320833333333</v>
      </c>
      <c r="K55" s="224" t="str">
        <f aca="false">IF(OR(C55&gt;100,D55="n/a",F55="n/a",G55="n/a",H55="n/a",I55="n/a",J55="n/a"),"X","")</f>
        <v/>
      </c>
      <c r="R55" s="263"/>
    </row>
    <row r="56" customFormat="false" ht="12.75" hidden="false" customHeight="false" outlineLevel="0" collapsed="false">
      <c r="A56" s="229" t="s">
        <v>44</v>
      </c>
      <c r="B56" s="218" t="s">
        <v>44</v>
      </c>
      <c r="C56" s="230" t="n">
        <f aca="false">VLOOKUP($B56,'[1]4-Disponibilidade'!$A$8:$C$103,2,FALSE())</f>
        <v>57.0175437927246</v>
      </c>
      <c r="D56" s="231" t="n">
        <f aca="false">IF(OR(C56=0,E56=0),"n/a",E56/C56*100)</f>
        <v>2280.00000267616</v>
      </c>
      <c r="E56" s="231" t="n">
        <f aca="false">VLOOKUP($B56,'[1]4-Disponibilidade'!$A$8:$C$103,3,FALSE())</f>
        <v>1300</v>
      </c>
      <c r="F56" s="232" t="n">
        <f aca="false">IF(ISNA(VLOOKUP($A56,'[1]3-Produção'!$A$9:$C$104,2,FALSE()))=TRUE(),"n/a",VLOOKUP($A56,'[1]3-Produção'!$A$9:$C$104,2,FALSE()))</f>
        <v>703.333333333333</v>
      </c>
      <c r="G56" s="232" t="n">
        <f aca="false">IF(ISNA(VLOOKUP($A56,'[1]3-Produção'!$A$9:$C$104,3,FALSE()))=TRUE(),"n/a",VLOOKUP($A56,'[1]3-Produção'!$A$9:$C$104,3,FALSE()))</f>
        <v>789.6125</v>
      </c>
      <c r="H56" s="232" t="n">
        <f aca="false">IF(OR(F56="n/a",G56="n/a"),"n/a",G56-F56)</f>
        <v>86.2791666666666</v>
      </c>
      <c r="I56" s="232" t="n">
        <f aca="false">IF(OR(G56="n/a",D56="n/a"),"n/a",D56-G56)</f>
        <v>1490.38750267616</v>
      </c>
      <c r="J56" s="233" t="n">
        <f aca="false">IF(OR(G56="n/a",G56=0,E56="n/a",E56=0),"n/a",E56-G56)</f>
        <v>510.3875</v>
      </c>
      <c r="K56" s="224" t="str">
        <f aca="false">IF(OR(C56&gt;100,D56="n/a",F56="n/a",G56="n/a",H56="n/a",I56="n/a",J56="n/a"),"X","")</f>
        <v/>
      </c>
      <c r="R56" s="263"/>
    </row>
    <row r="57" customFormat="false" ht="12.75" hidden="false" customHeight="false" outlineLevel="0" collapsed="false">
      <c r="A57" s="229" t="s">
        <v>216</v>
      </c>
      <c r="B57" s="218" t="s">
        <v>216</v>
      </c>
      <c r="C57" s="230" t="n">
        <f aca="false">VLOOKUP($B57,'[1]4-Disponibilidade'!$A$8:$C$103,2,FALSE())</f>
        <v>96.1956558227539</v>
      </c>
      <c r="D57" s="231" t="n">
        <f aca="false">IF(OR(C57=0,E57=0),"n/a",E57/C57*100)</f>
        <v>1103.99995812368</v>
      </c>
      <c r="E57" s="231" t="n">
        <f aca="false">VLOOKUP($B57,'[1]4-Disponibilidade'!$A$8:$C$103,3,FALSE())</f>
        <v>1062</v>
      </c>
      <c r="F57" s="232" t="n">
        <f aca="false">IF(ISNA(VLOOKUP($A57,'[1]3-Produção'!$A$9:$C$104,2,FALSE()))=TRUE(),"n/a",VLOOKUP($A57,'[1]3-Produção'!$A$9:$C$104,2,FALSE()))</f>
        <v>497.916666666667</v>
      </c>
      <c r="G57" s="232" t="n">
        <f aca="false">IF(ISNA(VLOOKUP($A57,'[1]3-Produção'!$A$9:$C$104,3,FALSE()))=TRUE(),"n/a",VLOOKUP($A57,'[1]3-Produção'!$A$9:$C$104,3,FALSE()))</f>
        <v>493.508333333333</v>
      </c>
      <c r="H57" s="232" t="n">
        <f aca="false">IF(OR(F57="n/a",G57="n/a"),"n/a",G57-F57)</f>
        <v>-4.4083333333333</v>
      </c>
      <c r="I57" s="232" t="n">
        <f aca="false">IF(OR(G57="n/a",D57="n/a"),"n/a",D57-G57)</f>
        <v>610.491624790344</v>
      </c>
      <c r="J57" s="233" t="n">
        <f aca="false">IF(OR(G57="n/a",G57=0,E57="n/a",E57=0),"n/a",E57-G57)</f>
        <v>568.491666666667</v>
      </c>
      <c r="K57" s="224" t="str">
        <f aca="false">IF(OR(C57&gt;100,D57="n/a",F57="n/a",G57="n/a",H57="n/a",I57="n/a",J57="n/a"),"X","")</f>
        <v/>
      </c>
      <c r="R57" s="263"/>
    </row>
    <row r="58" customFormat="false" ht="12.75" hidden="false" customHeight="false" outlineLevel="0" collapsed="false">
      <c r="A58" s="229" t="s">
        <v>217</v>
      </c>
      <c r="B58" s="218" t="s">
        <v>217</v>
      </c>
      <c r="C58" s="230" t="n">
        <f aca="false">VLOOKUP($B58,'[1]4-Disponibilidade'!$A$8:$C$103,2,FALSE())</f>
        <v>12.380952835083</v>
      </c>
      <c r="D58" s="231" t="n">
        <f aca="false">IF(OR(C58=0,E58=0),"n/a",E58/C58*100)</f>
        <v>104.999996148623</v>
      </c>
      <c r="E58" s="231" t="n">
        <f aca="false">VLOOKUP($B58,'[1]4-Disponibilidade'!$A$8:$C$103,3,FALSE())</f>
        <v>13</v>
      </c>
      <c r="F58" s="232" t="n">
        <f aca="false">IF(ISNA(VLOOKUP($A58,'[1]3-Produção'!$A$9:$C$104,2,FALSE()))=TRUE(),"n/a",VLOOKUP($A58,'[1]3-Produção'!$A$9:$C$104,2,FALSE()))</f>
        <v>13</v>
      </c>
      <c r="G58" s="232" t="n">
        <f aca="false">IF(ISNA(VLOOKUP($A58,'[1]3-Produção'!$A$9:$C$104,3,FALSE()))=TRUE(),"n/a",VLOOKUP($A58,'[1]3-Produção'!$A$9:$C$104,3,FALSE()))</f>
        <v>13</v>
      </c>
      <c r="H58" s="232" t="n">
        <f aca="false">IF(OR(F58="n/a",G58="n/a"),"n/a",G58-F58)</f>
        <v>0</v>
      </c>
      <c r="I58" s="232" t="n">
        <f aca="false">IF(OR(G58="n/a",D58="n/a"),"n/a",D58-G58)</f>
        <v>91.9999961486231</v>
      </c>
      <c r="J58" s="233" t="n">
        <f aca="false">IF(OR(G58="n/a",G58=0,E58="n/a",E58=0),"n/a",E58-G58)</f>
        <v>0</v>
      </c>
      <c r="K58" s="224" t="str">
        <f aca="false">IF(OR(C58&gt;100,D58="n/a",F58="n/a",G58="n/a",H58="n/a",I58="n/a",J58="n/a"),"X","")</f>
        <v/>
      </c>
      <c r="R58" s="263"/>
    </row>
    <row r="59" customFormat="false" ht="12.75" hidden="false" customHeight="false" outlineLevel="0" collapsed="false">
      <c r="A59" s="229" t="s">
        <v>28</v>
      </c>
      <c r="B59" s="218" t="s">
        <v>28</v>
      </c>
      <c r="C59" s="230" t="n">
        <f aca="false">VLOOKUP($B59,'[1]4-Disponibilidade'!$A$8:$C$103,2,FALSE())</f>
        <v>82.8451919555664</v>
      </c>
      <c r="D59" s="231" t="n">
        <f aca="false">IF(OR(C59=0,E59=0),"n/a",E59/C59*100)</f>
        <v>477.999978818798</v>
      </c>
      <c r="E59" s="231" t="n">
        <f aca="false">VLOOKUP($B59,'[1]4-Disponibilidade'!$A$8:$C$103,3,FALSE())</f>
        <v>396</v>
      </c>
      <c r="F59" s="232" t="n">
        <f aca="false">IF(ISNA(VLOOKUP($A59,'[1]3-Produção'!$A$9:$C$104,2,FALSE()))=TRUE(),"n/a",VLOOKUP($A59,'[1]3-Produção'!$A$9:$C$104,2,FALSE()))</f>
        <v>339.583333333333</v>
      </c>
      <c r="G59" s="232" t="n">
        <f aca="false">IF(ISNA(VLOOKUP($A59,'[1]3-Produção'!$A$9:$C$104,3,FALSE()))=TRUE(),"n/a",VLOOKUP($A59,'[1]3-Produção'!$A$9:$C$104,3,FALSE()))</f>
        <v>338.570833333333</v>
      </c>
      <c r="H59" s="232" t="n">
        <f aca="false">IF(OR(F59="n/a",G59="n/a"),"n/a",G59-F59)</f>
        <v>-1.01249999999999</v>
      </c>
      <c r="I59" s="232" t="n">
        <f aca="false">IF(OR(G59="n/a",D59="n/a"),"n/a",D59-G59)</f>
        <v>139.429145485465</v>
      </c>
      <c r="J59" s="233" t="n">
        <f aca="false">IF(OR(G59="n/a",G59=0,E59="n/a",E59=0),"n/a",E59-G59)</f>
        <v>57.4291666666667</v>
      </c>
      <c r="K59" s="224" t="str">
        <f aca="false">IF(OR(C59&gt;100,D59="n/a",F59="n/a",G59="n/a",H59="n/a",I59="n/a",J59="n/a"),"X","")</f>
        <v/>
      </c>
      <c r="R59" s="263"/>
    </row>
    <row r="60" customFormat="false" ht="12.75" hidden="false" customHeight="false" outlineLevel="0" collapsed="false">
      <c r="A60" s="229" t="s">
        <v>31</v>
      </c>
      <c r="B60" s="218" t="s">
        <v>31</v>
      </c>
      <c r="C60" s="230" t="n">
        <f aca="false">VLOOKUP($B60,'[1]4-Disponibilidade'!$A$8:$C$103,2,FALSE())</f>
        <v>70.5645141601563</v>
      </c>
      <c r="D60" s="231" t="n">
        <f aca="false">IF(OR(C60=0,E60=0),"n/a",E60/C60*100)</f>
        <v>1488.00004151786</v>
      </c>
      <c r="E60" s="231" t="n">
        <f aca="false">VLOOKUP($B60,'[1]4-Disponibilidade'!$A$8:$C$103,3,FALSE())</f>
        <v>1050</v>
      </c>
      <c r="F60" s="232" t="n">
        <f aca="false">IF(ISNA(VLOOKUP($A60,'[1]3-Produção'!$A$9:$C$104,2,FALSE()))=TRUE(),"n/a",VLOOKUP($A60,'[1]3-Produção'!$A$9:$C$104,2,FALSE()))</f>
        <v>554.583333333333</v>
      </c>
      <c r="G60" s="232" t="n">
        <f aca="false">IF(ISNA(VLOOKUP($A60,'[1]3-Produção'!$A$9:$C$104,3,FALSE()))=TRUE(),"n/a",VLOOKUP($A60,'[1]3-Produção'!$A$9:$C$104,3,FALSE()))</f>
        <v>646.6125</v>
      </c>
      <c r="H60" s="232" t="n">
        <f aca="false">IF(OR(F60="n/a",G60="n/a"),"n/a",G60-F60)</f>
        <v>92.0291666666666</v>
      </c>
      <c r="I60" s="232" t="n">
        <f aca="false">IF(OR(G60="n/a",D60="n/a"),"n/a",D60-G60)</f>
        <v>841.387541517858</v>
      </c>
      <c r="J60" s="233" t="n">
        <f aca="false">IF(OR(G60="n/a",G60=0,E60="n/a",E60=0),"n/a",E60-G60)</f>
        <v>403.3875</v>
      </c>
      <c r="K60" s="224" t="str">
        <f aca="false">IF(OR(C60&gt;100,D60="n/a",F60="n/a",G60="n/a",H60="n/a",I60="n/a",J60="n/a"),"X","")</f>
        <v/>
      </c>
      <c r="R60" s="263"/>
    </row>
    <row r="61" customFormat="false" ht="12.75" hidden="false" customHeight="false" outlineLevel="0" collapsed="false">
      <c r="A61" s="229" t="s">
        <v>218</v>
      </c>
      <c r="B61" s="218" t="s">
        <v>219</v>
      </c>
      <c r="C61" s="230" t="n">
        <f aca="false">VLOOKUP($B61,'[1]4-Disponibilidade'!$A$8:$C$103,2,FALSE())</f>
        <v>54.2635650634766</v>
      </c>
      <c r="D61" s="231" t="n">
        <f aca="false">IF(OR(C61=0,E61=0),"n/a",E61/C61*100)</f>
        <v>1290.00001968384</v>
      </c>
      <c r="E61" s="231" t="n">
        <f aca="false">VLOOKUP($B61,'[1]4-Disponibilidade'!$A$8:$C$103,3,FALSE())</f>
        <v>700</v>
      </c>
      <c r="F61" s="232" t="n">
        <f aca="false">IF(ISNA(VLOOKUP($A61,'[1]3-Produção'!$A$9:$C$104,2,FALSE()))=TRUE(),"n/a",VLOOKUP($A61,'[1]3-Produção'!$A$9:$C$104,2,FALSE()))</f>
        <v>635.416666666667</v>
      </c>
      <c r="G61" s="232" t="n">
        <f aca="false">IF(ISNA(VLOOKUP($A61,'[1]3-Produção'!$A$9:$C$104,3,FALSE()))=TRUE(),"n/a",VLOOKUP($A61,'[1]3-Produção'!$A$9:$C$104,3,FALSE()))</f>
        <v>716.041666666667</v>
      </c>
      <c r="H61" s="232" t="n">
        <f aca="false">IF(OR(F61="n/a",G61="n/a"),"n/a",G61-F61)</f>
        <v>80.6250000000002</v>
      </c>
      <c r="I61" s="232" t="n">
        <f aca="false">IF(OR(G61="n/a",D61="n/a"),"n/a",D61-G61)</f>
        <v>573.958353017171</v>
      </c>
      <c r="J61" s="233" t="n">
        <f aca="false">IF(OR(G61="n/a",G61=0,E61="n/a",E61=0),"n/a",E61-G61)</f>
        <v>-16.0416666666669</v>
      </c>
      <c r="K61" s="224" t="str">
        <f aca="false">IF(OR(C61&gt;100,D61="n/a",F61="n/a",G61="n/a",H61="n/a",I61="n/a",J61="n/a"),"X","")</f>
        <v/>
      </c>
      <c r="R61" s="263"/>
    </row>
    <row r="62" customFormat="false" ht="12.75" hidden="false" customHeight="false" outlineLevel="0" collapsed="false">
      <c r="A62" s="229" t="s">
        <v>220</v>
      </c>
      <c r="B62" s="218" t="s">
        <v>220</v>
      </c>
      <c r="C62" s="230" t="n">
        <f aca="false">VLOOKUP($B62,'[1]4-Disponibilidade'!$A$8:$C$103,2,FALSE())</f>
        <v>97.2644348144531</v>
      </c>
      <c r="D62" s="231" t="n">
        <f aca="false">IF(OR(C62=0,E62=0),"n/a",E62/C62*100)</f>
        <v>658.000019453049</v>
      </c>
      <c r="E62" s="231" t="n">
        <f aca="false">VLOOKUP($B62,'[1]4-Disponibilidade'!$A$8:$C$103,3,FALSE())</f>
        <v>640</v>
      </c>
      <c r="F62" s="232" t="n">
        <f aca="false">IF(ISNA(VLOOKUP($A62,'[1]3-Produção'!$A$9:$C$104,2,FALSE()))=TRUE(),"n/a",VLOOKUP($A62,'[1]3-Produção'!$A$9:$C$104,2,FALSE()))</f>
        <v>412.083333333333</v>
      </c>
      <c r="G62" s="232" t="n">
        <f aca="false">IF(ISNA(VLOOKUP($A62,'[1]3-Produção'!$A$9:$C$104,3,FALSE()))=TRUE(),"n/a",VLOOKUP($A62,'[1]3-Produção'!$A$9:$C$104,3,FALSE()))</f>
        <v>343.766666666667</v>
      </c>
      <c r="H62" s="232" t="n">
        <f aca="false">IF(OR(F62="n/a",G62="n/a"),"n/a",G62-F62)</f>
        <v>-68.3166666666667</v>
      </c>
      <c r="I62" s="232" t="n">
        <f aca="false">IF(OR(G62="n/a",D62="n/a"),"n/a",D62-G62)</f>
        <v>314.233352786383</v>
      </c>
      <c r="J62" s="233" t="n">
        <f aca="false">IF(OR(G62="n/a",G62=0,E62="n/a",E62=0),"n/a",E62-G62)</f>
        <v>296.233333333333</v>
      </c>
      <c r="K62" s="224" t="str">
        <f aca="false">IF(OR(C62&gt;100,D62="n/a",F62="n/a",G62="n/a",H62="n/a",I62="n/a",J62="n/a"),"X","")</f>
        <v/>
      </c>
      <c r="R62" s="263"/>
    </row>
    <row r="63" customFormat="false" ht="12.75" hidden="false" customHeight="false" outlineLevel="0" collapsed="false">
      <c r="A63" s="229" t="s">
        <v>221</v>
      </c>
      <c r="B63" s="218" t="s">
        <v>221</v>
      </c>
      <c r="C63" s="230" t="n">
        <f aca="false">VLOOKUP($B63,'[1]4-Disponibilidade'!$A$8:$C$103,2,FALSE())</f>
        <v>100</v>
      </c>
      <c r="D63" s="231" t="n">
        <f aca="false">IF(OR(C63=0,E63=0),"n/a",E63/C63*100)</f>
        <v>132</v>
      </c>
      <c r="E63" s="231" t="n">
        <f aca="false">VLOOKUP($B63,'[1]4-Disponibilidade'!$A$8:$C$103,3,FALSE())</f>
        <v>132</v>
      </c>
      <c r="F63" s="232" t="n">
        <f aca="false">IF(ISNA(VLOOKUP($A63,'[1]3-Produção'!$A$9:$C$104,2,FALSE()))=TRUE(),"n/a",VLOOKUP($A63,'[1]3-Produção'!$A$9:$C$104,2,FALSE()))</f>
        <v>108.708333333333</v>
      </c>
      <c r="G63" s="232" t="n">
        <f aca="false">IF(ISNA(VLOOKUP($A63,'[1]3-Produção'!$A$9:$C$104,3,FALSE()))=TRUE(),"n/a",VLOOKUP($A63,'[1]3-Produção'!$A$9:$C$104,3,FALSE()))</f>
        <v>118.516666666667</v>
      </c>
      <c r="H63" s="232" t="n">
        <f aca="false">IF(OR(F63="n/a",G63="n/a"),"n/a",G63-F63)</f>
        <v>9.80833333333332</v>
      </c>
      <c r="I63" s="232" t="n">
        <f aca="false">IF(OR(G63="n/a",D63="n/a"),"n/a",D63-G63)</f>
        <v>13.4833333333333</v>
      </c>
      <c r="J63" s="233" t="n">
        <f aca="false">IF(OR(G63="n/a",G63=0,E63="n/a",E63=0),"n/a",E63-G63)</f>
        <v>13.4833333333333</v>
      </c>
      <c r="K63" s="224" t="str">
        <f aca="false">IF(OR(C63&gt;100,D63="n/a",F63="n/a",G63="n/a",H63="n/a",I63="n/a",J63="n/a"),"X","")</f>
        <v/>
      </c>
      <c r="R63" s="263"/>
    </row>
    <row r="64" customFormat="false" ht="12.75" hidden="false" customHeight="false" outlineLevel="0" collapsed="false">
      <c r="A64" s="244" t="s">
        <v>222</v>
      </c>
      <c r="B64" s="218" t="s">
        <v>222</v>
      </c>
      <c r="C64" s="230" t="n">
        <f aca="false">VLOOKUP($B64,'[1]4-Disponibilidade'!$A$8:$C$103,2,FALSE())</f>
        <v>90.8045959472656</v>
      </c>
      <c r="D64" s="231" t="n">
        <f aca="false">IF(OR(C64=0,E64=0),"n/a",E64/C64*100)</f>
        <v>174.000003360797</v>
      </c>
      <c r="E64" s="231" t="n">
        <f aca="false">VLOOKUP($B64,'[1]4-Disponibilidade'!$A$8:$C$103,3,FALSE())</f>
        <v>158</v>
      </c>
      <c r="F64" s="232" t="n">
        <f aca="false">IF(ISNA(VLOOKUP($A64,'[1]3-Produção'!$A$9:$C$104,2,FALSE()))=TRUE(),"n/a",VLOOKUP($A64,'[1]3-Produção'!$A$9:$C$104,2,FALSE()))</f>
        <v>42.1666666666667</v>
      </c>
      <c r="G64" s="232" t="n">
        <f aca="false">IF(ISNA(VLOOKUP($A64,'[1]3-Produção'!$A$9:$C$104,3,FALSE()))=TRUE(),"n/a",VLOOKUP($A64,'[1]3-Produção'!$A$9:$C$104,3,FALSE()))</f>
        <v>78.1875</v>
      </c>
      <c r="H64" s="232" t="n">
        <f aca="false">IF(OR(F64="n/a",G64="n/a"),"n/a",G64-F64)</f>
        <v>36.0208333333333</v>
      </c>
      <c r="I64" s="232" t="n">
        <f aca="false">IF(OR(G64="n/a",D64="n/a"),"n/a",D64-G64)</f>
        <v>95.8125033607967</v>
      </c>
      <c r="J64" s="233" t="n">
        <f aca="false">IF(OR(G64="n/a",G64=0,E64="n/a",E64=0),"n/a",E64-G64)</f>
        <v>79.8125</v>
      </c>
      <c r="K64" s="224" t="str">
        <f aca="false">IF(OR(C64&gt;100,D64="n/a",F64="n/a",G64="n/a",H64="n/a",I64="n/a",J64="n/a"),"X","")</f>
        <v/>
      </c>
      <c r="R64" s="263"/>
    </row>
    <row r="65" customFormat="false" ht="12.75" hidden="false" customHeight="false" outlineLevel="0" collapsed="false">
      <c r="A65" s="244" t="s">
        <v>223</v>
      </c>
      <c r="B65" s="218" t="s">
        <v>223</v>
      </c>
      <c r="C65" s="230" t="n">
        <f aca="false">VLOOKUP($B65,'[1]4-Disponibilidade'!$A$8:$C$103,2,FALSE())</f>
        <v>98.9473648071289</v>
      </c>
      <c r="D65" s="231" t="n">
        <f aca="false">IF(OR(C65=0,E65=0),"n/a",E65/C65*100)</f>
        <v>380.000013879005</v>
      </c>
      <c r="E65" s="231" t="n">
        <f aca="false">VLOOKUP($B65,'[1]4-Disponibilidade'!$A$8:$C$103,3,FALSE())</f>
        <v>376</v>
      </c>
      <c r="F65" s="232" t="n">
        <f aca="false">IF(ISNA(VLOOKUP($A65,'[1]3-Produção'!$A$9:$C$104,2,FALSE()))=TRUE(),"n/a",VLOOKUP($A65,'[1]3-Produção'!$A$9:$C$104,2,FALSE()))</f>
        <v>313.833333333333</v>
      </c>
      <c r="G65" s="232" t="n">
        <f aca="false">IF(ISNA(VLOOKUP($A65,'[1]3-Produção'!$A$9:$C$104,3,FALSE()))=TRUE(),"n/a",VLOOKUP($A65,'[1]3-Produção'!$A$9:$C$104,3,FALSE()))</f>
        <v>347.095833333333</v>
      </c>
      <c r="H65" s="232" t="n">
        <f aca="false">IF(OR(F65="n/a",G65="n/a"),"n/a",G65-F65)</f>
        <v>33.2625</v>
      </c>
      <c r="I65" s="232" t="n">
        <f aca="false">IF(OR(G65="n/a",D65="n/a"),"n/a",D65-G65)</f>
        <v>32.9041805456722</v>
      </c>
      <c r="J65" s="233" t="n">
        <f aca="false">IF(OR(G65="n/a",G65=0,E65="n/a",E65=0),"n/a",E65-G65)</f>
        <v>28.9041666666667</v>
      </c>
      <c r="K65" s="224" t="str">
        <f aca="false">IF(OR(C65&gt;100,D65="n/a",F65="n/a",G65="n/a",H65="n/a",I65="n/a",J65="n/a"),"X","")</f>
        <v/>
      </c>
      <c r="R65" s="263"/>
    </row>
    <row r="66" customFormat="false" ht="12.75" hidden="false" customHeight="false" outlineLevel="0" collapsed="false">
      <c r="A66" s="244" t="s">
        <v>224</v>
      </c>
      <c r="B66" s="245" t="s">
        <v>224</v>
      </c>
      <c r="C66" s="230" t="n">
        <f aca="false">VLOOKUP($B66,'[1]4-Disponibilidade'!$A$8:$C$103,2,FALSE())</f>
        <v>100</v>
      </c>
      <c r="D66" s="277" t="n">
        <f aca="false">IF(OR(C66=0,E66=0),"n/a",E66/C66*100)</f>
        <v>100</v>
      </c>
      <c r="E66" s="231" t="n">
        <f aca="false">VLOOKUP($B66,'[1]4-Disponibilidade'!$A$8:$C$103,3,FALSE())</f>
        <v>100</v>
      </c>
      <c r="F66" s="232" t="n">
        <f aca="false">IF(ISNA(VLOOKUP($A66,'[1]3-Produção'!$A$9:$C$104,2,FALSE()))=TRUE(),"n/a",VLOOKUP($A66,'[1]3-Produção'!$A$9:$C$104,2,FALSE()))</f>
        <v>42.2916666666667</v>
      </c>
      <c r="G66" s="232" t="n">
        <f aca="false">IF(ISNA(VLOOKUP($A66,'[1]3-Produção'!$A$9:$C$104,3,FALSE()))=TRUE(),"n/a",VLOOKUP($A66,'[1]3-Produção'!$A$9:$C$104,3,FALSE()))</f>
        <v>49.2791666666667</v>
      </c>
      <c r="H66" s="232" t="n">
        <f aca="false">IF(OR(F66="n/a",G66="n/a"),"n/a",G66-F66)</f>
        <v>6.9875</v>
      </c>
      <c r="I66" s="232" t="n">
        <f aca="false">IF(OR(G66="n/a",D66="n/a"),"n/a",D66-G66)</f>
        <v>50.7208333333333</v>
      </c>
      <c r="J66" s="233" t="n">
        <f aca="false">IF(OR(G66="n/a",G66=0,E66="n/a",E66=0),"n/a",E66-G66)</f>
        <v>50.7208333333333</v>
      </c>
      <c r="K66" s="224" t="str">
        <f aca="false">IF(OR(C66&gt;100,D66="n/a",F66="n/a",G66="n/a",H66="n/a",I66="n/a",J66="n/a"),"X","")</f>
        <v/>
      </c>
      <c r="R66" s="263"/>
    </row>
    <row r="67" customFormat="false" ht="12.75" hidden="false" customHeight="false" outlineLevel="0" collapsed="false">
      <c r="A67" s="229" t="s">
        <v>225</v>
      </c>
      <c r="B67" s="245" t="s">
        <v>226</v>
      </c>
      <c r="C67" s="230" t="n">
        <f aca="false">VLOOKUP($B67,'[1]4-Disponibilidade'!$A$8:$C$103,2,FALSE())</f>
        <v>22.8070182800293</v>
      </c>
      <c r="D67" s="277" t="n">
        <f aca="false">IF(OR(C67=0,E67=0),"n/a",E67/C67*100)</f>
        <v>56.9999981601422</v>
      </c>
      <c r="E67" s="231" t="n">
        <f aca="false">VLOOKUP($B67,'[1]4-Disponibilidade'!$A$8:$C$103,3,FALSE())</f>
        <v>13</v>
      </c>
      <c r="F67" s="232" t="n">
        <f aca="false">IF(ISNA(VLOOKUP($A67,'[1]3-Produção'!$A$9:$C$104,2,FALSE()))=TRUE(),"n/a",VLOOKUP($A67,'[1]3-Produção'!$A$9:$C$104,2,FALSE()))</f>
        <v>12</v>
      </c>
      <c r="G67" s="232" t="n">
        <f aca="false">IF(ISNA(VLOOKUP($A67,'[1]3-Produção'!$A$9:$C$104,3,FALSE()))=TRUE(),"n/a",VLOOKUP($A67,'[1]3-Produção'!$A$9:$C$104,3,FALSE()))</f>
        <v>12.925</v>
      </c>
      <c r="H67" s="232" t="n">
        <f aca="false">IF(OR(F67="n/a",G67="n/a"),"n/a",G67-F67)</f>
        <v>0.925000000000001</v>
      </c>
      <c r="I67" s="232" t="n">
        <f aca="false">IF(OR(G67="n/a",D67="n/a"),"n/a",D67-G67)</f>
        <v>44.0749981601422</v>
      </c>
      <c r="J67" s="233" t="n">
        <f aca="false">IF(OR(G67="n/a",G67=0,E67="n/a",E67=0),"n/a",E67-G67)</f>
        <v>0.0749999999999993</v>
      </c>
      <c r="K67" s="224" t="str">
        <f aca="false">IF(OR(C67&gt;100,D67="n/a",F67="n/a",G67="n/a",H67="n/a",I67="n/a",J67="n/a"),"X","")</f>
        <v/>
      </c>
      <c r="R67" s="263"/>
    </row>
    <row r="68" customFormat="false" ht="12.75" hidden="false" customHeight="false" outlineLevel="0" collapsed="false">
      <c r="A68" s="244" t="s">
        <v>227</v>
      </c>
      <c r="B68" s="245" t="s">
        <v>227</v>
      </c>
      <c r="C68" s="230" t="n">
        <f aca="false">VLOOKUP($B68,'[1]4-Disponibilidade'!$A$8:$C$103,2,FALSE())</f>
        <v>91.2539672851563</v>
      </c>
      <c r="D68" s="231" t="n">
        <f aca="false">IF(OR(C68=0,E68=0),"n/a",E68/C68*100)</f>
        <v>6300.00006688493</v>
      </c>
      <c r="E68" s="231" t="n">
        <f aca="false">VLOOKUP($B68,'[1]4-Disponibilidade'!$A$8:$C$103,3,FALSE())</f>
        <v>5749</v>
      </c>
      <c r="F68" s="232" t="n">
        <f aca="false">IF(ISNA(VLOOKUP($A68,'[1]3-Produção'!$A$9:$C$104,2,FALSE()))=TRUE(),"n/a",VLOOKUP($A68,'[1]3-Produção'!$A$9:$C$104,2,FALSE()))</f>
        <v>5793.75</v>
      </c>
      <c r="G68" s="232" t="n">
        <f aca="false">IF(ISNA(VLOOKUP($A68,'[1]3-Produção'!$A$9:$C$104,3,FALSE()))=TRUE(),"n/a",VLOOKUP($A68,'[1]3-Produção'!$A$9:$C$104,3,FALSE()))</f>
        <v>5726.225</v>
      </c>
      <c r="H68" s="232" t="n">
        <f aca="false">IF(OR(F68="n/a",G68="n/a"),"n/a",G68-F68)</f>
        <v>-67.5249999999987</v>
      </c>
      <c r="I68" s="232" t="n">
        <f aca="false">IF(OR(G68="n/a",D68="n/a"),"n/a",D68-G68)</f>
        <v>573.775066884933</v>
      </c>
      <c r="J68" s="233" t="n">
        <f aca="false">IF(OR(G68="n/a",G68=0,E68="n/a",E68=0),"n/a",E68-G68)</f>
        <v>22.7749999999987</v>
      </c>
      <c r="K68" s="224" t="str">
        <f aca="false">IF(OR(C68&gt;100,D68="n/a",F68="n/a",G68="n/a",H68="n/a",I68="n/a",J68="n/a"),"X","")</f>
        <v/>
      </c>
      <c r="R68" s="263"/>
    </row>
    <row r="69" customFormat="false" ht="13.5" hidden="false" customHeight="false" outlineLevel="0" collapsed="false">
      <c r="A69" s="278" t="s">
        <v>228</v>
      </c>
      <c r="B69" s="279" t="s">
        <v>228</v>
      </c>
      <c r="C69" s="280" t="n">
        <f aca="false">VLOOKUP($B69,'[1]4-Disponibilidade'!$A$8:$C$103,2,FALSE())</f>
        <v>79.3650817871094</v>
      </c>
      <c r="D69" s="281" t="n">
        <f aca="false">IF(OR(C69=0,E69=0),"n/a",E69/C69*100)</f>
        <v>6299.99980773926</v>
      </c>
      <c r="E69" s="281" t="n">
        <f aca="false">VLOOKUP($B69,'[1]4-Disponibilidade'!$A$8:$C$103,3,FALSE())</f>
        <v>5000</v>
      </c>
      <c r="F69" s="282" t="n">
        <f aca="false">IF(ISNA(VLOOKUP($A69,'[1]3-Produção'!$A$9:$C$104,2,FALSE()))=TRUE(),"n/a",VLOOKUP($A69,'[1]3-Produção'!$A$9:$C$104,2,FALSE()))</f>
        <v>3903.125</v>
      </c>
      <c r="G69" s="282" t="n">
        <f aca="false">IF(ISNA(VLOOKUP($A69,'[1]3-Produção'!$A$9:$C$104,3,FALSE()))=TRUE(),"n/a",VLOOKUP($A69,'[1]3-Produção'!$A$9:$C$104,3,FALSE()))</f>
        <v>3997.67083333333</v>
      </c>
      <c r="H69" s="282" t="n">
        <f aca="false">IF(OR(F69="n/a",G69="n/a"),"n/a",G69-F69)</f>
        <v>94.5458333333336</v>
      </c>
      <c r="I69" s="282" t="n">
        <f aca="false">IF(OR(G69="n/a",D69="n/a"),"n/a",D69-G69)</f>
        <v>2302.32897440593</v>
      </c>
      <c r="J69" s="283" t="n">
        <f aca="false">IF(OR(G69="n/a",G69=0,E69="n/a",E69=0),"n/a",E69-G69)</f>
        <v>1002.32916666667</v>
      </c>
      <c r="K69" s="224" t="str">
        <f aca="false">IF(OR(C69&gt;100,D69="n/a",F69="n/a",G69="n/a",H69="n/a",I69="n/a",J69="n/a"),"X","")</f>
        <v/>
      </c>
      <c r="R69" s="263"/>
    </row>
    <row r="70" customFormat="false" ht="13.5" hidden="false" customHeight="false" outlineLevel="0" collapsed="false">
      <c r="A70" s="284" t="s">
        <v>229</v>
      </c>
      <c r="B70" s="285"/>
      <c r="C70" s="286" t="n">
        <f aca="false">SUMPRODUCT(C5:C69,E5:E69)/E70</f>
        <v>85.4796593800664</v>
      </c>
      <c r="D70" s="287" t="n">
        <f aca="false">SUM(D5:D69)</f>
        <v>42375.9599903424</v>
      </c>
      <c r="E70" s="287" t="n">
        <f aca="false">SUM(E5:E69)</f>
        <v>34962</v>
      </c>
      <c r="F70" s="288" t="n">
        <f aca="false">SUM(F5:F69)</f>
        <v>24723.4083333333</v>
      </c>
      <c r="G70" s="288" t="n">
        <f aca="false">SUM(G5:G69)</f>
        <v>25573.0875</v>
      </c>
      <c r="H70" s="288" t="n">
        <f aca="false">SUM(H36:H69)</f>
        <v>529.241666666668</v>
      </c>
      <c r="I70" s="288" t="n">
        <f aca="false">SUM(I5:I69)</f>
        <v>16802.8724903424</v>
      </c>
      <c r="J70" s="289" t="n">
        <f aca="false">SUM(J5:J69)</f>
        <v>9388.9125</v>
      </c>
      <c r="K70" s="224" t="str">
        <f aca="false">IF(OR(C70&gt;100,D70="n/a",F70="n/a",G70="n/a",H70="n/a",I70="n/a",J70="n/a"),"X","")</f>
        <v/>
      </c>
      <c r="R70" s="263"/>
    </row>
    <row r="71" customFormat="false" ht="13.5" hidden="false" customHeight="false" outlineLevel="0" collapsed="false">
      <c r="A71" s="290"/>
      <c r="B71" s="290"/>
      <c r="C71" s="291"/>
      <c r="D71" s="292"/>
      <c r="E71" s="292"/>
      <c r="F71" s="293"/>
      <c r="G71" s="293"/>
      <c r="H71" s="293"/>
      <c r="I71" s="293"/>
      <c r="J71" s="293"/>
      <c r="K71" s="224" t="str">
        <f aca="false">IF(OR(C71&gt;100,D71="n/a",F71="n/a",G71="n/a",H71="n/a",I71="n/a",J71="n/a"),"X","")</f>
        <v/>
      </c>
      <c r="R71" s="263"/>
    </row>
    <row r="72" customFormat="false" ht="12.75" hidden="false" customHeight="false" outlineLevel="0" collapsed="false">
      <c r="A72" s="294" t="s">
        <v>230</v>
      </c>
      <c r="B72" s="295" t="s">
        <v>230</v>
      </c>
      <c r="C72" s="296" t="n">
        <f aca="false">VLOOKUP($B72,'[1]4-Disponibilidade'!$A$8:$C$103,2,FALSE())</f>
        <v>82.8817291259766</v>
      </c>
      <c r="D72" s="297" t="n">
        <f aca="false">IF(OR(C72=0,E72=0),"n/a",E72/C72*100)</f>
        <v>31.3700018981037</v>
      </c>
      <c r="E72" s="297" t="n">
        <f aca="false">VLOOKUP($B72,'[1]4-Disponibilidade'!$A$8:$C$103,3,FALSE())</f>
        <v>26</v>
      </c>
      <c r="F72" s="298" t="str">
        <f aca="false">IF(ISNA(VLOOKUP($A72,'[1]3-Produção'!$A$9:$C$104,2,FALSE()))=TRUE(),"n/a",VLOOKUP($A72,'[1]3-Produção'!$A$9:$C$104,2,FALSE()))</f>
        <v>n/a</v>
      </c>
      <c r="G72" s="298" t="str">
        <f aca="false">IF(ISNA(VLOOKUP($A72,'[1]3-Produção'!$A$9:$C$104,3,FALSE()))=TRUE(),"n/a",VLOOKUP($A72,'[1]3-Produção'!$A$9:$C$104,3,FALSE()))</f>
        <v>n/a</v>
      </c>
      <c r="H72" s="298" t="str">
        <f aca="false">IF(OR(F72="n/a",G72="n/a"),"n/a",G72-F72)</f>
        <v>n/a</v>
      </c>
      <c r="I72" s="298" t="str">
        <f aca="false">IF(OR(G72="n/a",D72="n/a"),"n/a",D72-G72)</f>
        <v>n/a</v>
      </c>
      <c r="J72" s="299" t="str">
        <f aca="false">IF(OR(G72="n/a",G72=0,E72="n/a",E72=0),"n/a",E72-G72)</f>
        <v>n/a</v>
      </c>
      <c r="K72" s="224" t="str">
        <f aca="false">IF(OR(C72&gt;100,D72="n/a",F72="n/a",G72="n/a",H72="n/a",I72="n/a",J72="n/a"),"X","")</f>
        <v>X</v>
      </c>
      <c r="L72" s="300"/>
      <c r="M72" s="300"/>
      <c r="N72" s="301"/>
      <c r="O72" s="301"/>
      <c r="P72" s="301"/>
      <c r="R72" s="263"/>
    </row>
    <row r="73" customFormat="false" ht="12.75" hidden="false" customHeight="false" outlineLevel="0" collapsed="false">
      <c r="A73" s="234" t="s">
        <v>231</v>
      </c>
      <c r="B73" s="295" t="s">
        <v>231</v>
      </c>
      <c r="C73" s="302" t="n">
        <f aca="false">VLOOKUP($B73,'[1]4-Disponibilidade'!$A$8:$C$103,2,FALSE())</f>
        <v>90.9090881347656</v>
      </c>
      <c r="D73" s="275" t="n">
        <f aca="false">IF(OR(C73=0,E73=0),"n/a",E73/C73*100)</f>
        <v>44.0000013427735</v>
      </c>
      <c r="E73" s="275" t="n">
        <f aca="false">VLOOKUP($B73,'[1]4-Disponibilidade'!$A$8:$C$103,3,FALSE())</f>
        <v>40</v>
      </c>
      <c r="F73" s="238" t="n">
        <f aca="false">IF(ISNA(VLOOKUP($A73,'[1]3-Produção'!$A$9:$C$104,2,FALSE()))=TRUE(),"n/a",VLOOKUP($A73,'[1]3-Produção'!$A$9:$C$104,2,FALSE()))</f>
        <v>30.5208333333333</v>
      </c>
      <c r="G73" s="238" t="n">
        <f aca="false">IF(ISNA(VLOOKUP($A73,'[1]3-Produção'!$A$9:$C$104,3,FALSE()))=TRUE(),"n/a",VLOOKUP($A73,'[1]3-Produção'!$A$9:$C$104,3,FALSE()))</f>
        <v>21.7708333333333</v>
      </c>
      <c r="H73" s="238" t="n">
        <f aca="false">IF(OR(F73="n/a",G73="n/a"),"n/a",G73-F73)</f>
        <v>-8.75</v>
      </c>
      <c r="I73" s="238" t="n">
        <f aca="false">IF(OR(G73="n/a",D73="n/a"),"n/a",D73-G73)</f>
        <v>22.2291680094401</v>
      </c>
      <c r="J73" s="303" t="n">
        <f aca="false">IF(OR(G73="n/a",G73=0,E73="n/a",E73=0),"n/a",E73-G73)</f>
        <v>18.2291666666667</v>
      </c>
      <c r="K73" s="224" t="str">
        <f aca="false">IF(OR(C73&gt;100,D73="n/a",F73="n/a",G73="n/a",H73="n/a",I73="n/a",J73="n/a"),"X","")</f>
        <v/>
      </c>
      <c r="L73" s="300"/>
      <c r="M73" s="300"/>
      <c r="N73" s="301"/>
      <c r="O73" s="301"/>
      <c r="P73" s="301"/>
      <c r="R73" s="263"/>
    </row>
    <row r="74" customFormat="false" ht="12.75" hidden="false" customHeight="false" outlineLevel="0" collapsed="false">
      <c r="A74" s="234" t="s">
        <v>232</v>
      </c>
      <c r="B74" s="295" t="s">
        <v>232</v>
      </c>
      <c r="C74" s="302" t="n">
        <f aca="false">VLOOKUP($B74,'[1]4-Disponibilidade'!$A$8:$C$103,2,FALSE())</f>
        <v>100.800003051758</v>
      </c>
      <c r="D74" s="275" t="n">
        <f aca="false">IF(OR(C74=0,E74=0),"n/a",E74/C74*100)</f>
        <v>62.4999981077891</v>
      </c>
      <c r="E74" s="275" t="n">
        <f aca="false">VLOOKUP($B74,'[1]4-Disponibilidade'!$A$8:$C$103,3,FALSE())</f>
        <v>63</v>
      </c>
      <c r="F74" s="238" t="str">
        <f aca="false">IF(ISNA(VLOOKUP($A74,'[1]3-Produção'!$A$9:$C$104,2,FALSE()))=TRUE(),"n/a",VLOOKUP($A74,'[1]3-Produção'!$A$9:$C$104,2,FALSE()))</f>
        <v>n/a</v>
      </c>
      <c r="G74" s="238" t="str">
        <f aca="false">IF(ISNA(VLOOKUP($A74,'[1]3-Produção'!$A$9:$C$104,3,FALSE()))=TRUE(),"n/a",VLOOKUP($A74,'[1]3-Produção'!$A$9:$C$104,3,FALSE()))</f>
        <v>n/a</v>
      </c>
      <c r="H74" s="238" t="str">
        <f aca="false">IF(OR(F74="n/a",G74="n/a"),"n/a",G74-F74)</f>
        <v>n/a</v>
      </c>
      <c r="I74" s="238" t="str">
        <f aca="false">IF(OR(G74="n/a",D74="n/a"),"n/a",D74-G74)</f>
        <v>n/a</v>
      </c>
      <c r="J74" s="303" t="str">
        <f aca="false">IF(OR(G74="n/a",G74=0,E74="n/a",E74=0),"n/a",E74-G74)</f>
        <v>n/a</v>
      </c>
      <c r="K74" s="224"/>
      <c r="L74" s="300"/>
      <c r="M74" s="300"/>
      <c r="N74" s="301"/>
      <c r="O74" s="301"/>
      <c r="P74" s="301"/>
      <c r="R74" s="263"/>
    </row>
    <row r="75" customFormat="false" ht="12.75" hidden="false" customHeight="false" outlineLevel="0" collapsed="false">
      <c r="A75" s="234" t="s">
        <v>233</v>
      </c>
      <c r="B75" s="295" t="s">
        <v>233</v>
      </c>
      <c r="C75" s="302" t="n">
        <f aca="false">VLOOKUP($B75,'[1]4-Disponibilidade'!$A$8:$C$103,2,FALSE())</f>
        <v>100</v>
      </c>
      <c r="D75" s="275" t="n">
        <f aca="false">IF(OR(C75=0,E75=0),"n/a",E75/C75*100)</f>
        <v>500</v>
      </c>
      <c r="E75" s="275" t="n">
        <f aca="false">VLOOKUP($B75,'[1]4-Disponibilidade'!$A$8:$C$103,3,FALSE())</f>
        <v>500</v>
      </c>
      <c r="F75" s="238" t="n">
        <f aca="false">IF(ISNA(VLOOKUP($A75,'[1]3-Produção'!$A$9:$C$104,2,FALSE()))=TRUE(),"n/a",VLOOKUP($A75,'[1]3-Produção'!$A$9:$C$104,2,FALSE()))</f>
        <v>179.020833333333</v>
      </c>
      <c r="G75" s="238" t="n">
        <f aca="false">IF(ISNA(VLOOKUP($A75,'[1]3-Produção'!$A$9:$C$104,3,FALSE()))=TRUE(),"n/a",VLOOKUP($A75,'[1]3-Produção'!$A$9:$C$104,3,FALSE()))</f>
        <v>218.325</v>
      </c>
      <c r="H75" s="238" t="n">
        <f aca="false">IF(OR(F75="n/a",G75="n/a"),"n/a",G75-F75)</f>
        <v>39.3041666666666</v>
      </c>
      <c r="I75" s="238" t="n">
        <f aca="false">IF(OR(G75="n/a",D75="n/a"),"n/a",D75-G75)</f>
        <v>281.675</v>
      </c>
      <c r="J75" s="303" t="n">
        <f aca="false">IF(OR(G75="n/a",G75=0,E75="n/a",E75=0),"n/a",E75-G75)</f>
        <v>281.675</v>
      </c>
      <c r="K75" s="224" t="str">
        <f aca="false">IF(OR(C75&gt;100,D75="n/a",F75="n/a",G75="n/a",H75="n/a",I75="n/a",J75="n/a"),"X","")</f>
        <v/>
      </c>
      <c r="L75" s="300"/>
      <c r="M75" s="300"/>
      <c r="N75" s="301"/>
      <c r="O75" s="301"/>
      <c r="P75" s="301"/>
      <c r="R75" s="263"/>
    </row>
    <row r="76" customFormat="false" ht="12.75" hidden="false" customHeight="false" outlineLevel="0" collapsed="false">
      <c r="A76" s="304" t="s">
        <v>234</v>
      </c>
      <c r="B76" s="305" t="s">
        <v>234</v>
      </c>
      <c r="C76" s="302" t="n">
        <f aca="false">VLOOKUP($B76,'[1]4-Disponibilidade'!$A$8:$C$103,2,FALSE())</f>
        <v>100</v>
      </c>
      <c r="D76" s="275" t="n">
        <f aca="false">IF(OR(C76=0,E76=0),"n/a",E76/C76*100)</f>
        <v>180</v>
      </c>
      <c r="E76" s="275" t="n">
        <f aca="false">VLOOKUP($B76,'[1]4-Disponibilidade'!$A$8:$C$103,3,FALSE())</f>
        <v>180</v>
      </c>
      <c r="F76" s="238" t="n">
        <f aca="false">IF(ISNA(VLOOKUP($A76,'[1]3-Produção'!$A$9:$C$104,2,FALSE()))=TRUE(),"n/a",VLOOKUP($A76,'[1]3-Produção'!$A$9:$C$104,2,FALSE()))</f>
        <v>170.625</v>
      </c>
      <c r="G76" s="238" t="n">
        <f aca="false">IF(ISNA(VLOOKUP($A76,'[1]3-Produção'!$A$9:$C$104,3,FALSE()))=TRUE(),"n/a",VLOOKUP($A76,'[1]3-Produção'!$A$9:$C$104,3,FALSE()))</f>
        <v>156.35</v>
      </c>
      <c r="H76" s="238" t="n">
        <f aca="false">IF(OR(F76="n/a",G76="n/a"),"n/a",G76-F76)</f>
        <v>-14.275</v>
      </c>
      <c r="I76" s="238" t="n">
        <f aca="false">IF(OR(G76="n/a",D76="n/a"),"n/a",D76-G76)</f>
        <v>23.65</v>
      </c>
      <c r="J76" s="303" t="n">
        <f aca="false">IF(OR(G76="n/a",G76=0,E76="n/a",E76=0),"n/a",E76-G76)</f>
        <v>23.65</v>
      </c>
      <c r="K76" s="224" t="str">
        <f aca="false">IF(OR(C76&gt;100,D76="n/a",F76="n/a",G76="n/a",H76="n/a",I76="n/a",J76="n/a"),"X","")</f>
        <v/>
      </c>
      <c r="L76" s="300"/>
      <c r="M76" s="300"/>
      <c r="N76" s="301"/>
      <c r="O76" s="301"/>
      <c r="P76" s="301"/>
      <c r="R76" s="263"/>
    </row>
    <row r="77" customFormat="false" ht="12.75" hidden="false" customHeight="false" outlineLevel="0" collapsed="false">
      <c r="A77" s="234" t="s">
        <v>235</v>
      </c>
      <c r="B77" s="295" t="s">
        <v>235</v>
      </c>
      <c r="C77" s="302" t="n">
        <f aca="false">VLOOKUP($B77,'[1]4-Disponibilidade'!$A$8:$C$103,2,FALSE())</f>
        <v>100</v>
      </c>
      <c r="D77" s="275" t="n">
        <f aca="false">IF(OR(C77=0,E77=0),"n/a",E77/C77*100)</f>
        <v>158</v>
      </c>
      <c r="E77" s="275" t="n">
        <f aca="false">VLOOKUP($B77,'[1]4-Disponibilidade'!$A$8:$C$103,3,FALSE())</f>
        <v>158</v>
      </c>
      <c r="F77" s="238" t="n">
        <f aca="false">IF(ISNA(VLOOKUP($A77,'[1]3-Produção'!$A$9:$C$104,2,FALSE()))=TRUE(),"n/a",VLOOKUP($A77,'[1]3-Produção'!$A$9:$C$104,2,FALSE()))</f>
        <v>87.2916666666667</v>
      </c>
      <c r="G77" s="238" t="n">
        <f aca="false">IF(ISNA(VLOOKUP($A77,'[1]3-Produção'!$A$9:$C$104,3,FALSE()))=TRUE(),"n/a",VLOOKUP($A77,'[1]3-Produção'!$A$9:$C$104,3,FALSE()))</f>
        <v>81.75</v>
      </c>
      <c r="H77" s="238" t="n">
        <f aca="false">IF(OR(F77="n/a",G77="n/a"),"n/a",G77-F77)</f>
        <v>-5.54166666666667</v>
      </c>
      <c r="I77" s="238" t="n">
        <f aca="false">IF(OR(G77="n/a",D77="n/a"),"n/a",D77-G77)</f>
        <v>76.25</v>
      </c>
      <c r="J77" s="303" t="n">
        <f aca="false">IF(OR(G77="n/a",G77=0,E77="n/a",E77=0),"n/a",E77-G77)</f>
        <v>76.25</v>
      </c>
      <c r="K77" s="224" t="str">
        <f aca="false">IF(OR(C77&gt;100,D77="n/a",F77="n/a",G77="n/a",H77="n/a",I77="n/a",J77="n/a"),"X","")</f>
        <v/>
      </c>
      <c r="L77" s="300"/>
      <c r="M77" s="300"/>
      <c r="N77" s="301"/>
      <c r="O77" s="301"/>
      <c r="P77" s="301"/>
      <c r="R77" s="263"/>
    </row>
    <row r="78" customFormat="false" ht="12.75" hidden="false" customHeight="false" outlineLevel="0" collapsed="false">
      <c r="A78" s="234" t="s">
        <v>236</v>
      </c>
      <c r="B78" s="295" t="s">
        <v>236</v>
      </c>
      <c r="C78" s="302" t="n">
        <f aca="false">VLOOKUP($B78,'[1]4-Disponibilidade'!$A$8:$C$103,2,FALSE())</f>
        <v>73.6873474121094</v>
      </c>
      <c r="D78" s="275" t="n">
        <f aca="false">IF(OR(C78=0,E78=0),"n/a",E78/C78*100)</f>
        <v>1676.00007786011</v>
      </c>
      <c r="E78" s="275" t="n">
        <f aca="false">VLOOKUP($B78,'[1]4-Disponibilidade'!$A$8:$C$103,3,FALSE())</f>
        <v>1235</v>
      </c>
      <c r="F78" s="238" t="n">
        <f aca="false">IF(ISNA(VLOOKUP($A78,'[1]3-Produção'!$A$9:$C$104,2,FALSE()))=TRUE(),"n/a",VLOOKUP($A78,'[1]3-Produção'!$A$9:$C$104,2,FALSE()))</f>
        <v>1048.75</v>
      </c>
      <c r="G78" s="238" t="n">
        <f aca="false">IF(ISNA(VLOOKUP($A78,'[1]3-Produção'!$A$9:$C$104,3,FALSE()))=TRUE(),"n/a",VLOOKUP($A78,'[1]3-Produção'!$A$9:$C$104,3,FALSE()))</f>
        <v>1088.5375</v>
      </c>
      <c r="H78" s="238" t="n">
        <f aca="false">IF(OR(F78="n/a",G78="n/a"),"n/a",G78-F78)</f>
        <v>39.7874999999999</v>
      </c>
      <c r="I78" s="238" t="n">
        <f aca="false">IF(OR(G78="n/a",D78="n/a"),"n/a",D78-G78)</f>
        <v>587.462577860106</v>
      </c>
      <c r="J78" s="303" t="n">
        <f aca="false">IF(OR(G78="n/a",G78=0,E78="n/a",E78=0),"n/a",E78-G78)</f>
        <v>146.4625</v>
      </c>
      <c r="K78" s="224" t="str">
        <f aca="false">IF(OR(C78&gt;100,D78="n/a",F78="n/a",G78="n/a",H78="n/a",I78="n/a",J78="n/a"),"X","")</f>
        <v/>
      </c>
      <c r="L78" s="300"/>
      <c r="M78" s="300"/>
      <c r="N78" s="301"/>
      <c r="O78" s="301"/>
      <c r="P78" s="301"/>
      <c r="R78" s="263"/>
    </row>
    <row r="79" customFormat="false" ht="12.75" hidden="false" customHeight="false" outlineLevel="0" collapsed="false">
      <c r="A79" s="304" t="s">
        <v>237</v>
      </c>
      <c r="B79" s="305" t="s">
        <v>237</v>
      </c>
      <c r="C79" s="302" t="n">
        <f aca="false">VLOOKUP($B79,'[1]4-Disponibilidade'!$A$8:$C$103,2,FALSE())</f>
        <v>100</v>
      </c>
      <c r="D79" s="275" t="n">
        <f aca="false">IF(OR(C79=0,E79=0),"n/a",E79/C79*100)</f>
        <v>260</v>
      </c>
      <c r="E79" s="275" t="n">
        <f aca="false">VLOOKUP($B79,'[1]4-Disponibilidade'!$A$8:$C$103,3,FALSE())</f>
        <v>260</v>
      </c>
      <c r="F79" s="238" t="n">
        <f aca="false">IF(ISNA(VLOOKUP($A79,'[1]3-Produção'!$A$9:$C$104,2,FALSE()))=TRUE(),"n/a",VLOOKUP($A79,'[1]3-Produção'!$A$9:$C$104,2,FALSE()))</f>
        <v>111.875</v>
      </c>
      <c r="G79" s="238" t="n">
        <f aca="false">IF(ISNA(VLOOKUP($A79,'[1]3-Produção'!$A$9:$C$104,3,FALSE()))=TRUE(),"n/a",VLOOKUP($A79,'[1]3-Produção'!$A$9:$C$104,3,FALSE()))</f>
        <v>137.370833333333</v>
      </c>
      <c r="H79" s="238" t="n">
        <f aca="false">IF(OR(F79="n/a",G79="n/a"),"n/a",G79-F79)</f>
        <v>25.4958333333333</v>
      </c>
      <c r="I79" s="238" t="n">
        <f aca="false">IF(OR(G79="n/a",D79="n/a"),"n/a",D79-G79)</f>
        <v>122.629166666667</v>
      </c>
      <c r="J79" s="303" t="n">
        <f aca="false">IF(OR(G79="n/a",G79=0,E79="n/a",E79=0),"n/a",E79-G79)</f>
        <v>122.629166666667</v>
      </c>
      <c r="K79" s="224" t="str">
        <f aca="false">IF(OR(C79&gt;100,D79="n/a",F79="n/a",G79="n/a",H79="n/a",I79="n/a",J79="n/a"),"X","")</f>
        <v/>
      </c>
      <c r="L79" s="300"/>
      <c r="M79" s="300"/>
      <c r="N79" s="301"/>
      <c r="O79" s="301"/>
      <c r="P79" s="301"/>
      <c r="R79" s="263"/>
    </row>
    <row r="80" customFormat="false" ht="12.75" hidden="false" customHeight="false" outlineLevel="0" collapsed="false">
      <c r="A80" s="234" t="s">
        <v>238</v>
      </c>
      <c r="B80" s="305" t="s">
        <v>238</v>
      </c>
      <c r="C80" s="306" t="str">
        <f aca="false">VLOOKUP("PCH COPEL *",'[1]4-Disponibilidade'!$A$8:$C$103,2,FALSE())</f>
        <v>-</v>
      </c>
      <c r="D80" s="307" t="s">
        <v>239</v>
      </c>
      <c r="E80" s="275" t="n">
        <f aca="false">VLOOKUP("PCH COPEL *",'[1]4-Disponibilidade'!$A$8:$C$103,3,FALSE())</f>
        <v>135</v>
      </c>
      <c r="F80" s="238" t="n">
        <f aca="false">IF(ISNA(VLOOKUP($A80,'[1]3-Produção'!$A$9:$C$104,2,FALSE()))=TRUE(),"n/a",VLOOKUP($A80,'[1]3-Produção'!$A$9:$C$104,2,FALSE()))</f>
        <v>87</v>
      </c>
      <c r="G80" s="238" t="n">
        <f aca="false">IF(ISNA(VLOOKUP($A80,'[1]3-Produção'!$A$9:$C$104,3,FALSE()))=TRUE(),"n/a",VLOOKUP($A80,'[1]3-Produção'!$A$9:$C$104,3,FALSE()))</f>
        <v>86.8083333333334</v>
      </c>
      <c r="H80" s="238" t="n">
        <f aca="false">IF(OR(F80="n/a",G80="n/a"),"n/a",G80-F80)</f>
        <v>-0.191666666666649</v>
      </c>
      <c r="I80" s="238" t="str">
        <f aca="false">IF(OR(G80="n/a",D80="n/a"),"n/a",D80-G80)</f>
        <v>n/a</v>
      </c>
      <c r="J80" s="303" t="n">
        <f aca="false">IF(OR(G80="n/a",G80=0,E80="n/a",E80=0),"n/a",E80-G80)</f>
        <v>48.1916666666667</v>
      </c>
      <c r="K80" s="224" t="str">
        <f aca="false">IF(OR(C80&gt;100,D80="n/a",F80="n/a",G80="n/a",H80="n/a",I80="n/a",J80="n/a"),"X","")</f>
        <v>X</v>
      </c>
      <c r="L80" s="300"/>
      <c r="M80" s="300"/>
      <c r="N80" s="301"/>
      <c r="O80" s="301"/>
      <c r="P80" s="301"/>
      <c r="R80" s="263"/>
    </row>
    <row r="81" customFormat="false" ht="12.75" hidden="false" customHeight="false" outlineLevel="0" collapsed="false">
      <c r="A81" s="234" t="s">
        <v>240</v>
      </c>
      <c r="B81" s="295" t="s">
        <v>240</v>
      </c>
      <c r="C81" s="302" t="n">
        <f aca="false">VLOOKUP($B81,'[1]4-Disponibilidade'!$A$8:$C$103,2,FALSE())</f>
        <v>100</v>
      </c>
      <c r="D81" s="275" t="n">
        <f aca="false">IF(OR(C81=0,E81=0),"n/a",E81/C81*100)</f>
        <v>1240</v>
      </c>
      <c r="E81" s="275" t="n">
        <f aca="false">VLOOKUP($B81,'[1]4-Disponibilidade'!$A$8:$C$103,3,FALSE())</f>
        <v>1240</v>
      </c>
      <c r="F81" s="238" t="n">
        <f aca="false">IF(ISNA(VLOOKUP($A81,'[1]3-Produção'!$A$9:$C$104,2,FALSE()))=TRUE(),"n/a",VLOOKUP($A81,'[1]3-Produção'!$A$9:$C$104,2,FALSE()))</f>
        <v>1240</v>
      </c>
      <c r="G81" s="238" t="n">
        <f aca="false">IF(ISNA(VLOOKUP($A81,'[1]3-Produção'!$A$9:$C$104,3,FALSE()))=TRUE(),"n/a",VLOOKUP($A81,'[1]3-Produção'!$A$9:$C$104,3,FALSE()))</f>
        <v>1233.89583333333</v>
      </c>
      <c r="H81" s="238" t="n">
        <f aca="false">IF(OR(F81="n/a",G81="n/a"),"n/a",G81-F81)</f>
        <v>-6.10416666666652</v>
      </c>
      <c r="I81" s="238" t="n">
        <f aca="false">IF(OR(G81="n/a",D81="n/a"),"n/a",D81-G81)</f>
        <v>6.10416666666652</v>
      </c>
      <c r="J81" s="303" t="n">
        <f aca="false">IF(OR(G81="n/a",G81=0,E81="n/a",E81=0),"n/a",E81-G81)</f>
        <v>6.10416666666652</v>
      </c>
      <c r="K81" s="224" t="str">
        <f aca="false">IF(OR(C81&gt;100,D81="n/a",F81="n/a",G81="n/a",H81="n/a",I81="n/a",J81="n/a"),"X","")</f>
        <v/>
      </c>
      <c r="L81" s="300"/>
      <c r="M81" s="300"/>
      <c r="N81" s="301"/>
      <c r="O81" s="301"/>
      <c r="P81" s="301"/>
      <c r="R81" s="263"/>
    </row>
    <row r="82" customFormat="false" ht="12.75" hidden="false" customHeight="false" outlineLevel="0" collapsed="false">
      <c r="A82" s="234" t="s">
        <v>241</v>
      </c>
      <c r="B82" s="295" t="s">
        <v>241</v>
      </c>
      <c r="C82" s="302" t="n">
        <f aca="false">VLOOKUP($B82,'[1]4-Disponibilidade'!$A$8:$C$103,2,FALSE())</f>
        <v>89.9206314086914</v>
      </c>
      <c r="D82" s="275" t="n">
        <f aca="false">IF(OR(C82=0,E82=0),"n/a",E82/C82*100)</f>
        <v>1260.00004921061</v>
      </c>
      <c r="E82" s="275" t="n">
        <f aca="false">VLOOKUP($B82,'[1]4-Disponibilidade'!$A$8:$C$103,3,FALSE())</f>
        <v>1133</v>
      </c>
      <c r="F82" s="238" t="n">
        <f aca="false">IF(ISNA(VLOOKUP($A82,'[1]3-Produção'!$A$9:$C$104,2,FALSE()))=TRUE(),"n/a",VLOOKUP($A82,'[1]3-Produção'!$A$9:$C$104,2,FALSE()))</f>
        <v>1122</v>
      </c>
      <c r="G82" s="238" t="n">
        <f aca="false">IF(ISNA(VLOOKUP($A82,'[1]3-Produção'!$A$9:$C$104,3,FALSE()))=TRUE(),"n/a",VLOOKUP($A82,'[1]3-Produção'!$A$9:$C$104,3,FALSE()))</f>
        <v>1116.41666666667</v>
      </c>
      <c r="H82" s="238" t="n">
        <f aca="false">IF(OR(F82="n/a",G82="n/a"),"n/a",G82-F82)</f>
        <v>-5.58333333333349</v>
      </c>
      <c r="I82" s="238" t="n">
        <f aca="false">IF(OR(G82="n/a",D82="n/a"),"n/a",D82-G82)</f>
        <v>143.58338254394</v>
      </c>
      <c r="J82" s="303" t="n">
        <f aca="false">IF(OR(G82="n/a",G82=0,E82="n/a",E82=0),"n/a",E82-G82)</f>
        <v>16.5833333333335</v>
      </c>
      <c r="K82" s="224" t="str">
        <f aca="false">IF(OR(C82&gt;100,D82="n/a",F82="n/a",G82="n/a",H82="n/a",I82="n/a",J82="n/a"),"X","")</f>
        <v/>
      </c>
      <c r="L82" s="300"/>
      <c r="M82" s="300"/>
      <c r="N82" s="301"/>
      <c r="O82" s="301"/>
      <c r="P82" s="301"/>
      <c r="R82" s="263"/>
    </row>
    <row r="83" customFormat="false" ht="12.75" hidden="false" customHeight="false" outlineLevel="0" collapsed="false">
      <c r="A83" s="234" t="s">
        <v>242</v>
      </c>
      <c r="B83" s="308" t="s">
        <v>242</v>
      </c>
      <c r="C83" s="306" t="str">
        <f aca="false">VLOOKUP("ITA ****",'[1]4-Disponibilidade'!$A$8:$C$103,2,FALSE())</f>
        <v>-</v>
      </c>
      <c r="D83" s="307" t="s">
        <v>239</v>
      </c>
      <c r="E83" s="275" t="n">
        <f aca="false">VLOOKUP("ITA ****",'[1]4-Disponibilidade'!$A$8:$C$103,3,FALSE())</f>
        <v>1170</v>
      </c>
      <c r="F83" s="238" t="n">
        <f aca="false">IF(ISNA(VLOOKUP($A83,'[1]3-Produção'!$A$9:$C$104,2,FALSE()))=TRUE(),"n/a",VLOOKUP($A83,'[1]3-Produção'!$A$9:$C$104,2,FALSE()))</f>
        <v>1050</v>
      </c>
      <c r="G83" s="238" t="n">
        <f aca="false">IF(ISNA(VLOOKUP($A83,'[1]3-Produção'!$A$9:$C$104,3,FALSE()))=TRUE(),"n/a",VLOOKUP($A83,'[1]3-Produção'!$A$9:$C$104,3,FALSE()))</f>
        <v>1071.5125</v>
      </c>
      <c r="H83" s="238" t="n">
        <f aca="false">IF(OR(F83="n/a",G83="n/a"),"n/a",G83-F83)</f>
        <v>21.5125</v>
      </c>
      <c r="I83" s="238" t="str">
        <f aca="false">IF(OR(G83="n/a",D83="n/a"),"n/a",D83-G83)</f>
        <v>n/a</v>
      </c>
      <c r="J83" s="303" t="n">
        <f aca="false">IF(OR(G83="n/a",G83=0,E83="n/a",E83=0),"n/a",E83-G83)</f>
        <v>98.4875</v>
      </c>
      <c r="K83" s="224" t="str">
        <f aca="false">IF(OR(C83&gt;100,D83="n/a",F83="n/a",G83="n/a",H83="n/a",I83="n/a",J83="n/a"),"X","")</f>
        <v>X</v>
      </c>
      <c r="R83" s="263"/>
    </row>
    <row r="84" customFormat="false" ht="12.75" hidden="false" customHeight="false" outlineLevel="0" collapsed="false">
      <c r="A84" s="234" t="s">
        <v>243</v>
      </c>
      <c r="B84" s="295" t="s">
        <v>243</v>
      </c>
      <c r="C84" s="302" t="n">
        <f aca="false">VLOOKUP($B84,'[1]4-Disponibilidade'!$A$8:$C$103,2,FALSE())</f>
        <v>100</v>
      </c>
      <c r="D84" s="275" t="n">
        <f aca="false">IF(OR(C84=0,E84=0),"n/a",E84/C84*100)</f>
        <v>226</v>
      </c>
      <c r="E84" s="275" t="n">
        <f aca="false">VLOOKUP($B84,'[1]4-Disponibilidade'!$A$8:$C$103,3,FALSE())</f>
        <v>226</v>
      </c>
      <c r="F84" s="238" t="n">
        <f aca="false">IF(ISNA(VLOOKUP($A84,'[1]3-Produção'!$A$9:$C$104,2,FALSE()))=TRUE(),"n/a",VLOOKUP($A84,'[1]3-Produção'!$A$9:$C$104,2,FALSE()))</f>
        <v>125.833333333333</v>
      </c>
      <c r="G84" s="238" t="n">
        <f aca="false">IF(ISNA(VLOOKUP($A84,'[1]3-Produção'!$A$9:$C$104,3,FALSE()))=TRUE(),"n/a",VLOOKUP($A84,'[1]3-Produção'!$A$9:$C$104,3,FALSE()))</f>
        <v>130.133333333333</v>
      </c>
      <c r="H84" s="238" t="n">
        <f aca="false">IF(OR(F84="n/a",G84="n/a"),"n/a",G84-F84)</f>
        <v>4.30000000000003</v>
      </c>
      <c r="I84" s="238" t="n">
        <f aca="false">IF(OR(G84="n/a",D84="n/a"),"n/a",D84-G84)</f>
        <v>95.8666666666666</v>
      </c>
      <c r="J84" s="303" t="n">
        <f aca="false">IF(OR(G84="n/a",G84=0,E84="n/a",E84=0),"n/a",E84-G84)</f>
        <v>95.8666666666667</v>
      </c>
      <c r="K84" s="224" t="str">
        <f aca="false">IF(OR(C84&gt;100,D84="n/a",F84="n/a",G84="n/a",H84="n/a",I84="n/a",J84="n/a"),"X","")</f>
        <v/>
      </c>
      <c r="R84" s="263"/>
    </row>
    <row r="85" customFormat="false" ht="12.75" hidden="false" customHeight="false" outlineLevel="0" collapsed="false">
      <c r="A85" s="234" t="s">
        <v>244</v>
      </c>
      <c r="B85" s="308" t="s">
        <v>245</v>
      </c>
      <c r="C85" s="302" t="n">
        <f aca="false">VLOOKUP($B85,'[1]4-Disponibilidade'!$A$8:$C$103,2,FALSE())</f>
        <v>82.8729248046875</v>
      </c>
      <c r="D85" s="275" t="n">
        <f aca="false">IF(OR(C85=0,E85=0),"n/a",E85/C85*100)</f>
        <v>1086.00004418946</v>
      </c>
      <c r="E85" s="275" t="n">
        <f aca="false">VLOOKUP($B85,'[1]4-Disponibilidade'!$A$8:$C$103,3,FALSE())</f>
        <v>900</v>
      </c>
      <c r="F85" s="238" t="n">
        <f aca="false">IF(ISNA(VLOOKUP($A85,'[1]3-Produção'!$A$9:$C$104,2,FALSE()))=TRUE(),"n/a",VLOOKUP($A85,'[1]3-Produção'!$A$9:$C$104,2,FALSE()))</f>
        <v>779.375</v>
      </c>
      <c r="G85" s="238" t="n">
        <f aca="false">IF(ISNA(VLOOKUP($A85,'[1]3-Produção'!$A$9:$C$104,3,FALSE()))=TRUE(),"n/a",VLOOKUP($A85,'[1]3-Produção'!$A$9:$C$104,3,FALSE()))</f>
        <v>845.033333333333</v>
      </c>
      <c r="H85" s="238" t="n">
        <f aca="false">IF(OR(F85="n/a",G85="n/a"),"n/a",G85-F85)</f>
        <v>65.6583333333334</v>
      </c>
      <c r="I85" s="238" t="n">
        <f aca="false">IF(OR(G85="n/a",D85="n/a"),"n/a",D85-G85)</f>
        <v>240.966710856122</v>
      </c>
      <c r="J85" s="303" t="n">
        <f aca="false">IF(OR(G85="n/a",G85=0,E85="n/a",E85=0),"n/a",E85-G85)</f>
        <v>54.9666666666666</v>
      </c>
      <c r="K85" s="224" t="str">
        <f aca="false">IF(OR(C85&gt;100,D85="n/a",F85="n/a",G85="n/a",H85="n/a",I85="n/a",J85="n/a"),"X","")</f>
        <v/>
      </c>
      <c r="R85" s="263"/>
    </row>
    <row r="86" customFormat="false" ht="12.75" hidden="false" customHeight="false" outlineLevel="0" collapsed="false">
      <c r="A86" s="234" t="s">
        <v>246</v>
      </c>
      <c r="B86" s="295" t="s">
        <v>246</v>
      </c>
      <c r="C86" s="302" t="n">
        <f aca="false">VLOOKUP($B86,'[1]4-Disponibilidade'!$A$8:$C$103,2,FALSE())</f>
        <v>100</v>
      </c>
      <c r="D86" s="275" t="n">
        <f aca="false">IF(OR(C86=0,E86=0),"n/a",E86/C86*100)</f>
        <v>1420</v>
      </c>
      <c r="E86" s="275" t="n">
        <f aca="false">VLOOKUP($B86,'[1]4-Disponibilidade'!$A$8:$C$103,3,FALSE())</f>
        <v>1420</v>
      </c>
      <c r="F86" s="238" t="n">
        <f aca="false">IF(ISNA(VLOOKUP($A86,'[1]3-Produção'!$A$9:$C$104,2,FALSE()))=TRUE(),"n/a",VLOOKUP($A86,'[1]3-Produção'!$A$9:$C$104,2,FALSE()))</f>
        <v>1293.04166666667</v>
      </c>
      <c r="G86" s="238" t="n">
        <f aca="false">IF(ISNA(VLOOKUP($A86,'[1]3-Produção'!$A$9:$C$104,3,FALSE()))=TRUE(),"n/a",VLOOKUP($A86,'[1]3-Produção'!$A$9:$C$104,3,FALSE()))</f>
        <v>1221.03333333333</v>
      </c>
      <c r="H86" s="238" t="n">
        <f aca="false">IF(OR(F86="n/a",G86="n/a"),"n/a",G86-F86)</f>
        <v>-72.0083333333337</v>
      </c>
      <c r="I86" s="238" t="n">
        <f aca="false">IF(OR(G86="n/a",D86="n/a"),"n/a",D86-G86)</f>
        <v>198.966666666667</v>
      </c>
      <c r="J86" s="303" t="n">
        <f aca="false">IF(OR(G86="n/a",G86=0,E86="n/a",E86=0),"n/a",E86-G86)</f>
        <v>198.966666666667</v>
      </c>
      <c r="K86" s="224" t="str">
        <f aca="false">IF(OR(C86&gt;100,D86="n/a",F86="n/a",G86="n/a",H86="n/a",I86="n/a",J86="n/a"),"X","")</f>
        <v/>
      </c>
    </row>
    <row r="87" customFormat="false" ht="12.75" hidden="false" customHeight="false" outlineLevel="0" collapsed="false">
      <c r="A87" s="234" t="s">
        <v>247</v>
      </c>
      <c r="B87" s="308" t="s">
        <v>248</v>
      </c>
      <c r="C87" s="302" t="n">
        <f aca="false">VLOOKUP($B87,'[1]4-Disponibilidade'!$A$8:$C$103,2,FALSE())</f>
        <v>93.1677017211914</v>
      </c>
      <c r="D87" s="307" t="n">
        <f aca="false">IF(OR(C87=0,E87=0),"n/a",E87/C87*100)</f>
        <v>32.2000000491333</v>
      </c>
      <c r="E87" s="275" t="n">
        <f aca="false">VLOOKUP($B87,'[1]4-Disponibilidade'!$A$8:$C$103,3,FALSE())</f>
        <v>30</v>
      </c>
      <c r="F87" s="238" t="n">
        <f aca="false">IF(ISNA(VLOOKUP($A87,'[1]3-Produção'!$A$9:$C$104,2,FALSE()))=TRUE(),"n/a",VLOOKUP($A87,'[1]3-Produção'!$A$9:$C$104,2,FALSE()))</f>
        <v>27.75</v>
      </c>
      <c r="G87" s="238" t="n">
        <f aca="false">IF(ISNA(VLOOKUP($A87,'[1]3-Produção'!$A$9:$C$104,3,FALSE()))=TRUE(),"n/a",VLOOKUP($A87,'[1]3-Produção'!$A$9:$C$104,3,FALSE()))</f>
        <v>30.8791666666667</v>
      </c>
      <c r="H87" s="238" t="n">
        <f aca="false">IF(OR(F87="n/a",G87="n/a"),"n/a",G87-F87)</f>
        <v>3.12916666666666</v>
      </c>
      <c r="I87" s="238" t="n">
        <f aca="false">IF(OR(G87="n/a",D87="n/a"),"n/a",D87-G87)</f>
        <v>1.32083338246664</v>
      </c>
      <c r="J87" s="303" t="n">
        <f aca="false">IF(OR(G87="n/a",G87=0,E87="n/a",E87=0),"n/a",E87-G87)</f>
        <v>-0.879166666666659</v>
      </c>
      <c r="K87" s="224" t="str">
        <f aca="false">IF(OR(C87&gt;100,D87="n/a",F87="n/a",G87="n/a",H87="n/a",I87="n/a",J87="n/a"),"X","")</f>
        <v/>
      </c>
    </row>
    <row r="88" customFormat="false" ht="13.5" hidden="false" customHeight="false" outlineLevel="0" collapsed="false">
      <c r="A88" s="309" t="s">
        <v>249</v>
      </c>
      <c r="B88" s="310" t="s">
        <v>249</v>
      </c>
      <c r="C88" s="311" t="n">
        <f aca="false">VLOOKUP($B88,'[1]4-Disponibilidade'!$A$8:$C$103,2,FALSE())</f>
        <v>81.2237701416016</v>
      </c>
      <c r="D88" s="312" t="n">
        <f aca="false">IF(OR(C88=0,E88=0),"n/a",E88/C88*100)</f>
        <v>73.8700012267332</v>
      </c>
      <c r="E88" s="312" t="n">
        <f aca="false">VLOOKUP($B88,'[1]4-Disponibilidade'!$A$8:$C$103,3,FALSE())</f>
        <v>60</v>
      </c>
      <c r="F88" s="256" t="n">
        <f aca="false">IF(ISNA(VLOOKUP($A88,'[1]3-Produção'!$A$9:$C$104,2,FALSE()))=TRUE(),"n/a",VLOOKUP($A88,'[1]3-Produção'!$A$9:$C$104,2,FALSE()))</f>
        <v>60</v>
      </c>
      <c r="G88" s="256" t="n">
        <f aca="false">IF(ISNA(VLOOKUP($A88,'[1]3-Produção'!$A$9:$C$104,3,FALSE()))=TRUE(),"n/a",VLOOKUP($A88,'[1]3-Produção'!$A$9:$C$104,3,FALSE()))</f>
        <v>60</v>
      </c>
      <c r="H88" s="256" t="n">
        <f aca="false">IF(OR(F88="n/a",G88="n/a"),"n/a",G88-F88)</f>
        <v>0</v>
      </c>
      <c r="I88" s="256" t="n">
        <f aca="false">IF(OR(G88="n/a",D88="n/a"),"n/a",D88-G88)</f>
        <v>13.8700012267332</v>
      </c>
      <c r="J88" s="313" t="n">
        <f aca="false">IF(OR(G88="n/a",G88=0,E88="n/a",E88=0),"n/a",E88-G88)</f>
        <v>0</v>
      </c>
      <c r="K88" s="224" t="str">
        <f aca="false">IF(OR(C88&gt;100,D88="n/a",F88="n/a",G88="n/a",H88="n/a",I88="n/a",J88="n/a"),"X","")</f>
        <v/>
      </c>
    </row>
    <row r="89" customFormat="false" ht="13.5" hidden="false" customHeight="false" outlineLevel="0" collapsed="false">
      <c r="A89" s="314" t="s">
        <v>229</v>
      </c>
      <c r="B89" s="315"/>
      <c r="C89" s="316" t="n">
        <f aca="false">SUMPRODUCT(C72:C88,E72:E88)/E89</f>
        <v>78.1312360641841</v>
      </c>
      <c r="D89" s="317" t="n">
        <f aca="false">SUM(D72:D88)</f>
        <v>8249.9401738847</v>
      </c>
      <c r="E89" s="317" t="n">
        <f aca="false">SUM(E72:E88)</f>
        <v>8776</v>
      </c>
      <c r="F89" s="318" t="n">
        <f aca="false">SUM(F72:F88)</f>
        <v>7413.08333333333</v>
      </c>
      <c r="G89" s="318" t="n">
        <f aca="false">SUM(G72:G88)</f>
        <v>7499.81666666667</v>
      </c>
      <c r="H89" s="318" t="n">
        <f aca="false">SUM(H72:H88)</f>
        <v>86.7333333333331</v>
      </c>
      <c r="I89" s="318" t="n">
        <f aca="false">SUM(I72:I88)</f>
        <v>1814.57434054547</v>
      </c>
      <c r="J89" s="319" t="n">
        <f aca="false">SUM(J72:J88)</f>
        <v>1187.18333333333</v>
      </c>
      <c r="K89" s="224" t="str">
        <f aca="false">IF(OR(C89&gt;100,D89="n/a",F89="n/a",G89="n/a",H89="n/a",I89="n/a",J89="n/a"),"X","")</f>
        <v/>
      </c>
    </row>
    <row r="90" customFormat="false" ht="13.5" hidden="false" customHeight="false" outlineLevel="0" collapsed="false">
      <c r="A90" s="320"/>
      <c r="B90" s="320"/>
      <c r="C90" s="291"/>
      <c r="D90" s="292"/>
      <c r="E90" s="292"/>
      <c r="F90" s="293"/>
      <c r="G90" s="293"/>
      <c r="H90" s="293"/>
      <c r="I90" s="293"/>
      <c r="J90" s="293"/>
      <c r="K90" s="224" t="str">
        <f aca="false">IF(OR(C90&gt;100,D90="n/a",F90="n/a",G90="n/a",H90="n/a",I90="n/a",J90="n/a"),"X","")</f>
        <v/>
      </c>
    </row>
    <row r="91" customFormat="false" ht="12.75" hidden="false" customHeight="false" outlineLevel="0" collapsed="false">
      <c r="A91" s="321" t="s">
        <v>250</v>
      </c>
      <c r="B91" s="295" t="s">
        <v>250</v>
      </c>
      <c r="C91" s="322" t="n">
        <f aca="false">VLOOKUP($B91,'[1]4-Disponibilidade'!$A$8:$C$103,2,FALSE())</f>
        <v>86.9565200805664</v>
      </c>
      <c r="D91" s="323" t="n">
        <f aca="false">IF(OR(C91=0,E91=0),"n/a",E91/C91*100)</f>
        <v>57.5000010967255</v>
      </c>
      <c r="E91" s="323" t="n">
        <f aca="false">VLOOKUP($B91,'[1]4-Disponibilidade'!$A$8:$C$103,3,FALSE())</f>
        <v>50</v>
      </c>
      <c r="F91" s="324" t="n">
        <f aca="false">IF(ISNA(VLOOKUP($A91,'[1]3-Produção'!$A$9:$C$104,2,FALSE()))=TRUE(),"n/a",VLOOKUP($A91,'[1]3-Produção'!$A$9:$C$104,2,FALSE()))</f>
        <v>5.83333333333333</v>
      </c>
      <c r="G91" s="324" t="n">
        <f aca="false">IF(ISNA(VLOOKUP($A91,'[1]3-Produção'!$A$9:$C$104,3,FALSE()))=TRUE(),"n/a",VLOOKUP($A91,'[1]3-Produção'!$A$9:$C$104,3,FALSE()))</f>
        <v>7.96666666666667</v>
      </c>
      <c r="H91" s="324" t="n">
        <f aca="false">IF(OR(F91="n/a",G91="n/a"),"n/a",G91-F91)</f>
        <v>2.13333333333333</v>
      </c>
      <c r="I91" s="324" t="n">
        <f aca="false">IF(OR(G91="n/a",D91="n/a"),"n/a",D91-G91)</f>
        <v>49.5333344300588</v>
      </c>
      <c r="J91" s="325" t="n">
        <f aca="false">IF(OR(G91="n/a",G91=0,E91="n/a",E91=0),"n/a",E91-G91)</f>
        <v>42.0333333333333</v>
      </c>
      <c r="K91" s="224" t="str">
        <f aca="false">IF(OR(C91&gt;100,D91="n/a",F91="n/a",G91="n/a",H91="n/a",I91="n/a",J91="n/a"),"X","")</f>
        <v/>
      </c>
    </row>
    <row r="92" customFormat="false" ht="12.75" hidden="false" customHeight="false" outlineLevel="0" collapsed="false">
      <c r="A92" s="246" t="s">
        <v>251</v>
      </c>
      <c r="B92" s="308" t="s">
        <v>252</v>
      </c>
      <c r="C92" s="326" t="n">
        <f aca="false">VLOOKUP($B92,'[1]4-Disponibilidade'!$A$8:$C$103,2,FALSE())</f>
        <v>75</v>
      </c>
      <c r="D92" s="274" t="n">
        <f aca="false">IF(OR(C92=0,E92=0),"n/a",E92/C92*100)</f>
        <v>400</v>
      </c>
      <c r="E92" s="274" t="n">
        <f aca="false">VLOOKUP($B92,'[1]4-Disponibilidade'!$A$8:$C$103,3,FALSE())</f>
        <v>300</v>
      </c>
      <c r="F92" s="250" t="n">
        <f aca="false">IF(ISNA(VLOOKUP($A92,'[1]3-Produção'!$A$9:$C$104,2,FALSE()))=TRUE(),"n/a",VLOOKUP($A92,'[1]3-Produção'!$A$9:$C$104,2,FALSE()))</f>
        <v>169.416666666667</v>
      </c>
      <c r="G92" s="250" t="n">
        <f aca="false">IF(ISNA(VLOOKUP($A92,'[1]3-Produção'!$A$9:$C$104,3,FALSE()))=TRUE(),"n/a",VLOOKUP($A92,'[1]3-Produção'!$A$9:$C$104,3,FALSE()))</f>
        <v>173.420833333333</v>
      </c>
      <c r="H92" s="250" t="n">
        <f aca="false">IF(OR(F92="n/a",G92="n/a"),"n/a",G92-F92)</f>
        <v>4.00416666666669</v>
      </c>
      <c r="I92" s="250" t="n">
        <f aca="false">IF(OR(G92="n/a",D92="n/a"),"n/a",D92-G92)</f>
        <v>226.579166666667</v>
      </c>
      <c r="J92" s="327" t="n">
        <f aca="false">IF(OR(G92="n/a",G92=0,E92="n/a",E92=0),"n/a",E92-G92)</f>
        <v>126.579166666667</v>
      </c>
      <c r="K92" s="224" t="str">
        <f aca="false">IF(OR(C92&gt;100,D92="n/a",F92="n/a",G92="n/a",H92="n/a",I92="n/a",J92="n/a"),"X","")</f>
        <v/>
      </c>
    </row>
    <row r="93" customFormat="false" ht="12.75" hidden="false" customHeight="false" outlineLevel="0" collapsed="false">
      <c r="A93" s="246" t="s">
        <v>253</v>
      </c>
      <c r="B93" s="308" t="s">
        <v>254</v>
      </c>
      <c r="C93" s="326" t="n">
        <f aca="false">VLOOKUP($B93,'[1]4-Disponibilidade'!$A$8:$C$103,2,FALSE())</f>
        <v>100</v>
      </c>
      <c r="D93" s="274" t="n">
        <f aca="false">IF(OR(C93=0,E93=0),"n/a",E93/C93*100)</f>
        <v>225</v>
      </c>
      <c r="E93" s="274" t="n">
        <f aca="false">VLOOKUP($B93,'[1]4-Disponibilidade'!$A$8:$C$103,3,FALSE())</f>
        <v>225</v>
      </c>
      <c r="F93" s="250" t="n">
        <f aca="false">IF(ISNA(VLOOKUP($A93,'[1]3-Produção'!$A$9:$C$104,2,FALSE()))=TRUE(),"n/a",VLOOKUP($A93,'[1]3-Produção'!$A$9:$C$104,2,FALSE()))</f>
        <v>129.5</v>
      </c>
      <c r="G93" s="250" t="n">
        <f aca="false">IF(ISNA(VLOOKUP($A93,'[1]3-Produção'!$A$9:$C$104,3,FALSE()))=TRUE(),"n/a",VLOOKUP($A93,'[1]3-Produção'!$A$9:$C$104,3,FALSE()))</f>
        <v>141.516666666667</v>
      </c>
      <c r="H93" s="250" t="n">
        <f aca="false">IF(OR(F93="n/a",G93="n/a"),"n/a",G93-F93)</f>
        <v>12.0166666666667</v>
      </c>
      <c r="I93" s="250" t="n">
        <f aca="false">IF(OR(G93="n/a",D93="n/a"),"n/a",D93-G93)</f>
        <v>83.4833333333334</v>
      </c>
      <c r="J93" s="327" t="n">
        <f aca="false">IF(OR(G93="n/a",G93=0,E93="n/a",E93=0),"n/a",E93-G93)</f>
        <v>83.4833333333334</v>
      </c>
      <c r="K93" s="224" t="str">
        <f aca="false">IF(OR(C93&gt;100,D93="n/a",F93="n/a",G93="n/a",H93="n/a",I93="n/a",J93="n/a"),"X","")</f>
        <v/>
      </c>
    </row>
    <row r="94" customFormat="false" ht="12.75" hidden="false" customHeight="false" outlineLevel="0" collapsed="false">
      <c r="A94" s="246" t="s">
        <v>255</v>
      </c>
      <c r="B94" s="308" t="s">
        <v>256</v>
      </c>
      <c r="C94" s="326" t="n">
        <f aca="false">VLOOKUP($B94,'[1]4-Disponibilidade'!$A$8:$C$103,2,FALSE())</f>
        <v>78.7333297729492</v>
      </c>
      <c r="D94" s="274" t="n">
        <f aca="false">IF(OR(C94=0,E94=0),"n/a",E94/C94*100)</f>
        <v>1500.0000678312</v>
      </c>
      <c r="E94" s="274" t="n">
        <f aca="false">VLOOKUP($B94,'[1]4-Disponibilidade'!$A$8:$C$103,3,FALSE())</f>
        <v>1181</v>
      </c>
      <c r="F94" s="250" t="n">
        <f aca="false">IF(ISNA(VLOOKUP($A94,'[1]3-Produção'!$A$9:$C$104,2,FALSE()))=TRUE(),"n/a",VLOOKUP($A94,'[1]3-Produção'!$A$9:$C$104,2,FALSE()))</f>
        <v>952.083333333333</v>
      </c>
      <c r="G94" s="250" t="n">
        <f aca="false">IF(ISNA(VLOOKUP($A94,'[1]3-Produção'!$A$9:$C$104,3,FALSE()))=TRUE(),"n/a",VLOOKUP($A94,'[1]3-Produção'!$A$9:$C$104,3,FALSE()))</f>
        <v>950.575</v>
      </c>
      <c r="H94" s="250" t="n">
        <f aca="false">IF(OR(F94="n/a",G94="n/a"),"n/a",G94-F94)</f>
        <v>-1.50833333333333</v>
      </c>
      <c r="I94" s="250" t="n">
        <f aca="false">IF(OR(G94="n/a",D94="n/a"),"n/a",D94-G94)</f>
        <v>549.425067831199</v>
      </c>
      <c r="J94" s="327" t="n">
        <f aca="false">IF(OR(G94="n/a",G94=0,E94="n/a",E94=0),"n/a",E94-G94)</f>
        <v>230.425</v>
      </c>
      <c r="K94" s="224" t="str">
        <f aca="false">IF(OR(C94&gt;100,D94="n/a",F94="n/a",G94="n/a",H94="n/a",I94="n/a",J94="n/a"),"X","")</f>
        <v/>
      </c>
    </row>
    <row r="95" customFormat="false" ht="12.75" hidden="false" customHeight="false" outlineLevel="0" collapsed="false">
      <c r="A95" s="246" t="s">
        <v>78</v>
      </c>
      <c r="B95" s="295" t="s">
        <v>78</v>
      </c>
      <c r="C95" s="326" t="n">
        <f aca="false">VLOOKUP($B95,'[1]4-Disponibilidade'!$A$8:$C$103,2,FALSE())</f>
        <v>78.8571395874023</v>
      </c>
      <c r="D95" s="274" t="n">
        <f aca="false">IF(OR(C95=0,E95=0),"n/a",E95/C95*100)</f>
        <v>1050.00004353731</v>
      </c>
      <c r="E95" s="274" t="n">
        <f aca="false">VLOOKUP($B95,'[1]4-Disponibilidade'!$A$8:$C$103,3,FALSE())</f>
        <v>828</v>
      </c>
      <c r="F95" s="250" t="n">
        <f aca="false">IF(ISNA(VLOOKUP($A95,'[1]3-Produção'!$A$9:$C$104,2,FALSE()))=TRUE(),"n/a",VLOOKUP($A95,'[1]3-Produção'!$A$9:$C$104,2,FALSE()))</f>
        <v>506.25</v>
      </c>
      <c r="G95" s="250" t="n">
        <f aca="false">IF(ISNA(VLOOKUP($A95,'[1]3-Produção'!$A$9:$C$104,3,FALSE()))=TRUE(),"n/a",VLOOKUP($A95,'[1]3-Produção'!$A$9:$C$104,3,FALSE()))</f>
        <v>511.2625</v>
      </c>
      <c r="H95" s="250" t="n">
        <f aca="false">IF(OR(F95="n/a",G95="n/a"),"n/a",G95-F95)</f>
        <v>5.01249999999999</v>
      </c>
      <c r="I95" s="250" t="n">
        <f aca="false">IF(OR(G95="n/a",D95="n/a"),"n/a",D95-G95)</f>
        <v>538.737543537308</v>
      </c>
      <c r="J95" s="327" t="n">
        <f aca="false">IF(OR(G95="n/a",G95=0,E95="n/a",E95=0),"n/a",E95-G95)</f>
        <v>316.7375</v>
      </c>
      <c r="K95" s="224" t="str">
        <f aca="false">IF(OR(C95&gt;100,D95="n/a",F95="n/a",G95="n/a",H95="n/a",I95="n/a",J95="n/a"),"X","")</f>
        <v/>
      </c>
    </row>
    <row r="96" customFormat="false" ht="12.75" hidden="false" customHeight="false" outlineLevel="0" collapsed="false">
      <c r="A96" s="246" t="s">
        <v>257</v>
      </c>
      <c r="B96" s="295" t="s">
        <v>257</v>
      </c>
      <c r="C96" s="326" t="n">
        <f aca="false">VLOOKUP($B96,'[1]4-Disponibilidade'!$A$8:$C$103,2,FALSE())</f>
        <v>66.6666641235352</v>
      </c>
      <c r="D96" s="274" t="n">
        <f aca="false">IF(OR(C96=0,E96=0),"n/a",E96/C96*100)</f>
        <v>180.000006866455</v>
      </c>
      <c r="E96" s="274" t="n">
        <f aca="false">VLOOKUP($B96,'[1]4-Disponibilidade'!$A$8:$C$103,3,FALSE())</f>
        <v>120</v>
      </c>
      <c r="F96" s="250" t="n">
        <f aca="false">IF(ISNA(VLOOKUP($A96,'[1]3-Produção'!$A$9:$C$104,2,FALSE()))=TRUE(),"n/a",VLOOKUP($A96,'[1]3-Produção'!$A$9:$C$104,2,FALSE()))</f>
        <v>120</v>
      </c>
      <c r="G96" s="250" t="n">
        <f aca="false">IF(ISNA(VLOOKUP($A96,'[1]3-Produção'!$A$9:$C$104,3,FALSE()))=TRUE(),"n/a",VLOOKUP($A96,'[1]3-Produção'!$A$9:$C$104,3,FALSE()))</f>
        <v>114.35</v>
      </c>
      <c r="H96" s="250" t="n">
        <f aca="false">IF(OR(F96="n/a",G96="n/a"),"n/a",G96-F96)</f>
        <v>-5.65000000000001</v>
      </c>
      <c r="I96" s="250" t="n">
        <f aca="false">IF(OR(G96="n/a",D96="n/a"),"n/a",D96-G96)</f>
        <v>65.6500068664554</v>
      </c>
      <c r="J96" s="327" t="n">
        <f aca="false">IF(OR(G96="n/a",G96=0,E96="n/a",E96=0),"n/a",E96-G96)</f>
        <v>5.65000000000001</v>
      </c>
      <c r="K96" s="224" t="str">
        <f aca="false">IF(OR(C96&gt;100,D96="n/a",F96="n/a",G96="n/a",H96="n/a",I96="n/a",J96="n/a"),"X","")</f>
        <v/>
      </c>
    </row>
    <row r="97" customFormat="false" ht="12.75" hidden="false" customHeight="false" outlineLevel="0" collapsed="false">
      <c r="A97" s="246" t="s">
        <v>258</v>
      </c>
      <c r="B97" s="295" t="s">
        <v>258</v>
      </c>
      <c r="C97" s="326" t="n">
        <f aca="false">VLOOKUP($B97,'[1]4-Disponibilidade'!$A$8:$C$103,2,FALSE())</f>
        <v>49.6629219055176</v>
      </c>
      <c r="D97" s="274" t="n">
        <f aca="false">IF(OR(C97=0,E97=0),"n/a",E97/C97*100)</f>
        <v>444.999995007235</v>
      </c>
      <c r="E97" s="274" t="n">
        <f aca="false">VLOOKUP($B97,'[1]4-Disponibilidade'!$A$8:$C$103,3,FALSE())</f>
        <v>221</v>
      </c>
      <c r="F97" s="250" t="n">
        <f aca="false">IF(ISNA(VLOOKUP($A97,'[1]3-Produção'!$A$9:$C$104,2,FALSE()))=TRUE(),"n/a",VLOOKUP($A97,'[1]3-Produção'!$A$9:$C$104,2,FALSE()))</f>
        <v>210</v>
      </c>
      <c r="G97" s="250" t="n">
        <f aca="false">IF(ISNA(VLOOKUP($A97,'[1]3-Produção'!$A$9:$C$104,3,FALSE()))=TRUE(),"n/a",VLOOKUP($A97,'[1]3-Produção'!$A$9:$C$104,3,FALSE()))</f>
        <v>221.3875</v>
      </c>
      <c r="H97" s="250" t="n">
        <f aca="false">IF(OR(F97="n/a",G97="n/a"),"n/a",G97-F97)</f>
        <v>11.3875</v>
      </c>
      <c r="I97" s="250" t="n">
        <f aca="false">IF(OR(G97="n/a",D97="n/a"),"n/a",D97-G97)</f>
        <v>223.612495007235</v>
      </c>
      <c r="J97" s="327" t="n">
        <f aca="false">IF(OR(G97="n/a",G97=0,E97="n/a",E97=0),"n/a",E97-G97)</f>
        <v>-0.387499999999989</v>
      </c>
      <c r="K97" s="224" t="str">
        <f aca="false">IF(OR(C97&gt;100,D97="n/a",F97="n/a",G97="n/a",H97="n/a",I97="n/a",J97="n/a"),"X","")</f>
        <v/>
      </c>
    </row>
    <row r="98" customFormat="false" ht="12.75" hidden="false" customHeight="false" outlineLevel="0" collapsed="false">
      <c r="A98" s="246" t="s">
        <v>259</v>
      </c>
      <c r="B98" s="295" t="s">
        <v>259</v>
      </c>
      <c r="C98" s="326" t="n">
        <f aca="false">VLOOKUP($B98,'[1]4-Disponibilidade'!$A$8:$C$103,2,FALSE())</f>
        <v>75</v>
      </c>
      <c r="D98" s="274" t="n">
        <f aca="false">IF(OR(C98=0,E98=0),"n/a",E98/C98*100)</f>
        <v>800</v>
      </c>
      <c r="E98" s="274" t="n">
        <f aca="false">VLOOKUP($B98,'[1]4-Disponibilidade'!$A$8:$C$103,3,FALSE())</f>
        <v>600</v>
      </c>
      <c r="F98" s="250" t="n">
        <f aca="false">IF(ISNA(VLOOKUP($A98,'[1]3-Produção'!$A$9:$C$104,2,FALSE()))=TRUE(),"n/a",VLOOKUP($A98,'[1]3-Produção'!$A$9:$C$104,2,FALSE()))</f>
        <v>385.416666666667</v>
      </c>
      <c r="G98" s="250" t="n">
        <f aca="false">IF(ISNA(VLOOKUP($A98,'[1]3-Produção'!$A$9:$C$104,3,FALSE()))=TRUE(),"n/a",VLOOKUP($A98,'[1]3-Produção'!$A$9:$C$104,3,FALSE()))</f>
        <v>391.145833333333</v>
      </c>
      <c r="H98" s="250" t="n">
        <f aca="false">IF(OR(F98="n/a",G98="n/a"),"n/a",G98-F98)</f>
        <v>5.72916666666663</v>
      </c>
      <c r="I98" s="250" t="n">
        <f aca="false">IF(OR(G98="n/a",D98="n/a"),"n/a",D98-G98)</f>
        <v>408.854166666667</v>
      </c>
      <c r="J98" s="327" t="n">
        <f aca="false">IF(OR(G98="n/a",G98=0,E98="n/a",E98=0),"n/a",E98-G98)</f>
        <v>208.854166666667</v>
      </c>
      <c r="K98" s="224" t="str">
        <f aca="false">IF(OR(C98&gt;100,D98="n/a",F98="n/a",G98="n/a",H98="n/a",I98="n/a",J98="n/a"),"X","")</f>
        <v/>
      </c>
    </row>
    <row r="99" customFormat="false" ht="12.75" hidden="false" customHeight="false" outlineLevel="0" collapsed="false">
      <c r="A99" s="246" t="s">
        <v>260</v>
      </c>
      <c r="B99" s="295" t="s">
        <v>260</v>
      </c>
      <c r="C99" s="326" t="n">
        <f aca="false">VLOOKUP($B99,'[1]4-Disponibilidade'!$A$8:$C$103,2,FALSE())</f>
        <v>83.3333358764648</v>
      </c>
      <c r="D99" s="274" t="n">
        <f aca="false">IF(OR(C99=0,E99=0),"n/a",E99/C99*100)</f>
        <v>2459.99992492676</v>
      </c>
      <c r="E99" s="274" t="n">
        <f aca="false">VLOOKUP($B99,'[1]4-Disponibilidade'!$A$8:$C$103,3,FALSE())</f>
        <v>2050</v>
      </c>
      <c r="F99" s="250" t="n">
        <f aca="false">IF(ISNA(VLOOKUP($A99,'[1]3-Produção'!$A$9:$C$104,2,FALSE()))=TRUE(),"n/a",VLOOKUP($A99,'[1]3-Produção'!$A$9:$C$104,2,FALSE()))</f>
        <v>1304.41666666667</v>
      </c>
      <c r="G99" s="250" t="n">
        <f aca="false">IF(ISNA(VLOOKUP($A99,'[1]3-Produção'!$A$9:$C$104,3,FALSE()))=TRUE(),"n/a",VLOOKUP($A99,'[1]3-Produção'!$A$9:$C$104,3,FALSE()))</f>
        <v>1264.5375</v>
      </c>
      <c r="H99" s="250" t="n">
        <f aca="false">IF(OR(F99="n/a",G99="n/a"),"n/a",G99-F99)</f>
        <v>-39.8791666666668</v>
      </c>
      <c r="I99" s="250" t="n">
        <f aca="false">IF(OR(G99="n/a",D99="n/a"),"n/a",D99-G99)</f>
        <v>1195.46242492676</v>
      </c>
      <c r="J99" s="327" t="n">
        <f aca="false">IF(OR(G99="n/a",G99=0,E99="n/a",E99=0),"n/a",E99-G99)</f>
        <v>785.4625</v>
      </c>
      <c r="K99" s="224" t="str">
        <f aca="false">IF(OR(C99&gt;100,D99="n/a",F99="n/a",G99="n/a",H99="n/a",I99="n/a",J99="n/a"),"X","")</f>
        <v/>
      </c>
    </row>
    <row r="100" customFormat="false" ht="13.5" hidden="false" customHeight="false" outlineLevel="0" collapsed="false">
      <c r="A100" s="328" t="s">
        <v>261</v>
      </c>
      <c r="B100" s="329" t="s">
        <v>261</v>
      </c>
      <c r="C100" s="330" t="n">
        <f aca="false">VLOOKUP($B100,'[1]4-Disponibilidade'!$A$8:$C$103,2,FALSE())</f>
        <v>100</v>
      </c>
      <c r="D100" s="331" t="n">
        <f aca="false">IF(OR(C100=0,E100=0),"n/a",E100/C100*100)</f>
        <v>3162</v>
      </c>
      <c r="E100" s="331" t="n">
        <f aca="false">VLOOKUP($B100,'[1]4-Disponibilidade'!$A$8:$C$103,3,FALSE())</f>
        <v>3162</v>
      </c>
      <c r="F100" s="332" t="n">
        <f aca="false">IF(ISNA(VLOOKUP($A100,'[1]3-Produção'!$A$9:$C$104,2,FALSE()))=TRUE(),"n/a",VLOOKUP($A100,'[1]3-Produção'!$A$9:$C$104,2,FALSE()))</f>
        <v>2243.75</v>
      </c>
      <c r="G100" s="332" t="n">
        <f aca="false">IF(ISNA(VLOOKUP($A100,'[1]3-Produção'!$A$9:$C$104,3,FALSE()))=TRUE(),"n/a",VLOOKUP($A100,'[1]3-Produção'!$A$9:$C$104,3,FALSE()))</f>
        <v>2407.44166666667</v>
      </c>
      <c r="H100" s="332" t="n">
        <f aca="false">IF(OR(F100="n/a",G100="n/a"),"n/a",G100-F100)</f>
        <v>163.691666666667</v>
      </c>
      <c r="I100" s="332" t="n">
        <f aca="false">IF(OR(G100="n/a",D100="n/a"),"n/a",D100-G100)</f>
        <v>754.558333333333</v>
      </c>
      <c r="J100" s="333" t="n">
        <f aca="false">IF(OR(G100="n/a",G100=0,E100="n/a",E100=0),"n/a",E100-G100)</f>
        <v>754.558333333333</v>
      </c>
      <c r="K100" s="224" t="str">
        <f aca="false">IF(OR(C100&gt;100,D100="n/a",F100="n/a",G100="n/a",H100="n/a",I100="n/a",J100="n/a"),"X","")</f>
        <v/>
      </c>
    </row>
    <row r="101" customFormat="false" ht="13.5" hidden="false" customHeight="false" outlineLevel="0" collapsed="false">
      <c r="A101" s="334" t="s">
        <v>229</v>
      </c>
      <c r="B101" s="335"/>
      <c r="C101" s="336" t="n">
        <f aca="false">SUMPRODUCT(C91:C100,E91:E100)/E101</f>
        <v>86.8300840136142</v>
      </c>
      <c r="D101" s="337" t="n">
        <f aca="false">SUM(D91:D100)</f>
        <v>10279.5000392657</v>
      </c>
      <c r="E101" s="337" t="n">
        <f aca="false">SUM(E91:E100)</f>
        <v>8737</v>
      </c>
      <c r="F101" s="338" t="n">
        <f aca="false">SUM(F91:F100)</f>
        <v>6026.66666666667</v>
      </c>
      <c r="G101" s="338" t="n">
        <f aca="false">SUM(G91:G100)</f>
        <v>6183.60416666667</v>
      </c>
      <c r="H101" s="338" t="n">
        <f aca="false">SUM(H91:H100)</f>
        <v>156.9375</v>
      </c>
      <c r="I101" s="338" t="n">
        <f aca="false">SUM(I91:I100)</f>
        <v>4095.89587259902</v>
      </c>
      <c r="J101" s="339" t="n">
        <f aca="false">SUM(J91:J100)</f>
        <v>2553.39583333333</v>
      </c>
      <c r="K101" s="224" t="str">
        <f aca="false">IF(OR(C101&gt;100,D101="n/a",F101="n/a",G101="n/a",H101="n/a",I101="n/a",J101="n/a"),"X","")</f>
        <v/>
      </c>
    </row>
    <row r="102" customFormat="false" ht="13.5" hidden="false" customHeight="false" outlineLevel="0" collapsed="false">
      <c r="C102" s="291"/>
      <c r="K102" s="224" t="str">
        <f aca="false">IF(OR(C102&gt;100,D102="n/a",F102="n/a",G102="n/a",H102="n/a",I102="n/a",J102="n/a"),"X","")</f>
        <v/>
      </c>
    </row>
    <row r="103" customFormat="false" ht="12.75" hidden="false" customHeight="false" outlineLevel="0" collapsed="false">
      <c r="A103" s="340" t="s">
        <v>262</v>
      </c>
      <c r="B103" s="341" t="s">
        <v>85</v>
      </c>
      <c r="C103" s="342" t="n">
        <f aca="false">VLOOKUP($B103,'[1]4-Disponibilidade'!$A$8:$C$103,2,FALSE())</f>
        <v>90</v>
      </c>
      <c r="D103" s="342" t="n">
        <f aca="false">IF(OR(C103=0,E103=0),"n/a",E103/C103*100)</f>
        <v>4200</v>
      </c>
      <c r="E103" s="342" t="n">
        <f aca="false">VLOOKUP($B103,'[1]4-Disponibilidade'!$A$8:$C$103,3,FALSE())</f>
        <v>3780</v>
      </c>
      <c r="F103" s="343" t="n">
        <f aca="false">IF(ISNA(VLOOKUP($A103,'[1]3-Produção'!$A$9:$C$104,2,FALSE()))=TRUE(),"n/a",VLOOKUP($A103,'[1]3-Produção'!$A$9:$C$104,2,FALSE()))</f>
        <v>3603.75</v>
      </c>
      <c r="G103" s="343" t="n">
        <f aca="false">IF(ISNA(VLOOKUP($A103,'[1]3-Produção'!$A$9:$C$104,2,FALSE()))=TRUE(),"n/a",VLOOKUP($A103,'[1]3-Produção'!$A$9:$C$104,2,FALSE()))</f>
        <v>3603.75</v>
      </c>
      <c r="H103" s="343" t="n">
        <f aca="false">IF(OR(F103="n/a",G103="n/a"),"n/a",G103-F103)</f>
        <v>0</v>
      </c>
      <c r="I103" s="343" t="n">
        <f aca="false">IF(OR(G103="n/a",D103="n/a"),"n/a",D103-G103)</f>
        <v>596.25</v>
      </c>
      <c r="J103" s="344" t="n">
        <f aca="false">IF(OR(G103="n/a",G103=0,E103="n/a",E103=0),"n/a",E103-G103)</f>
        <v>176.25</v>
      </c>
      <c r="K103" s="224" t="str">
        <f aca="false">IF(OR(C103&gt;100,D103="n/a",F103="n/a",G103="n/a",H103="n/a",I103="n/a",J103="n/a"),"X","")</f>
        <v/>
      </c>
    </row>
    <row r="104" customFormat="false" ht="12.75" hidden="false" customHeight="false" outlineLevel="0" collapsed="false">
      <c r="A104" s="345" t="s">
        <v>263</v>
      </c>
      <c r="B104" s="346" t="s">
        <v>263</v>
      </c>
      <c r="C104" s="276" t="n">
        <f aca="false">VLOOKUP($B104,'[1]4-Disponibilidade'!$A$8:$C$103,2,FALSE())</f>
        <v>100</v>
      </c>
      <c r="D104" s="276" t="n">
        <f aca="false">IF(OR(C104=0,E104=0),"n/a",E104/C104*100)</f>
        <v>40</v>
      </c>
      <c r="E104" s="276" t="n">
        <f aca="false">VLOOKUP($B104,'[1]4-Disponibilidade'!$A$8:$C$103,3,FALSE())</f>
        <v>40</v>
      </c>
      <c r="F104" s="347" t="str">
        <f aca="false">IF(ISNA(VLOOKUP($A104,'[1]3-Produção'!$A$9:$C$104,2,FALSE()))=TRUE(),"n/a",VLOOKUP($A104,'[1]3-Produção'!$A$9:$C$104,2,FALSE()))</f>
        <v>n/a</v>
      </c>
      <c r="G104" s="347" t="str">
        <f aca="false">IF(ISNA(VLOOKUP($A104,'[1]3-Produção'!$A$9:$C$104,2,FALSE()))=TRUE(),"n/a",VLOOKUP($A104,'[1]3-Produção'!$A$9:$C$104,2,FALSE()))</f>
        <v>n/a</v>
      </c>
      <c r="H104" s="347" t="str">
        <f aca="false">IF(OR(F104="n/a",G104="n/a"),"n/a",G104-F104)</f>
        <v>n/a</v>
      </c>
      <c r="I104" s="347" t="str">
        <f aca="false">IF(OR(G104="n/a",D104="n/a"),"n/a",D104-G104)</f>
        <v>n/a</v>
      </c>
      <c r="J104" s="348" t="str">
        <f aca="false">IF(OR(G104="n/a",G104=0,E104="n/a",E104=0),"n/a",E104-G104)</f>
        <v>n/a</v>
      </c>
      <c r="K104" s="224" t="str">
        <f aca="false">IF(OR(C104&gt;100,D104="n/a",F104="n/a",G104="n/a",H104="n/a",I104="n/a",J104="n/a"),"X","")</f>
        <v>X</v>
      </c>
    </row>
    <row r="105" customFormat="false" ht="13.5" hidden="false" customHeight="false" outlineLevel="0" collapsed="false">
      <c r="A105" s="349" t="s">
        <v>264</v>
      </c>
      <c r="B105" s="350" t="s">
        <v>265</v>
      </c>
      <c r="C105" s="351" t="n">
        <f aca="false">VLOOKUP($B105,'[1]4-Disponibilidade'!$A$8:$C$103,2,FALSE())</f>
        <v>100</v>
      </c>
      <c r="D105" s="351" t="n">
        <f aca="false">IF(OR(C105=0,E105=0),"n/a",E105/C105*100)</f>
        <v>30</v>
      </c>
      <c r="E105" s="351" t="n">
        <f aca="false">VLOOKUP($B105,'[1]4-Disponibilidade'!$A$8:$C$103,3,FALSE())</f>
        <v>30</v>
      </c>
      <c r="F105" s="352" t="n">
        <f aca="false">IF(ISNA(VLOOKUP($A105,'[1]3-Produção'!$A$9:$C$104,2,FALSE()))=TRUE(),"n/a",VLOOKUP($A105,'[1]3-Produção'!$A$9:$C$104,2,FALSE()))</f>
        <v>30</v>
      </c>
      <c r="G105" s="352" t="n">
        <f aca="false">IF(ISNA(VLOOKUP($A105,'[1]3-Produção'!$A$9:$C$104,2,FALSE()))=TRUE(),"n/a",VLOOKUP($A105,'[1]3-Produção'!$A$9:$C$104,2,FALSE()))</f>
        <v>30</v>
      </c>
      <c r="H105" s="352" t="n">
        <f aca="false">IF(OR(F105="n/a",G105="n/a"),"n/a",G105-F105)</f>
        <v>0</v>
      </c>
      <c r="I105" s="352" t="n">
        <f aca="false">IF(OR(G105="n/a",D105="n/a"),"n/a",D105-G105)</f>
        <v>0</v>
      </c>
      <c r="J105" s="353" t="n">
        <f aca="false">IF(OR(G105="n/a",G105=0,E105="n/a",E105=0),"n/a",E105-G105)</f>
        <v>0</v>
      </c>
      <c r="K105" s="224" t="str">
        <f aca="false">IF(OR(C105&gt;100,D105="n/a",F105="n/a",G105="n/a",H105="n/a",I105="n/a",J105="n/a"),"X","")</f>
        <v/>
      </c>
    </row>
    <row r="106" customFormat="false" ht="13.5" hidden="false" customHeight="false" outlineLevel="0" collapsed="false">
      <c r="A106" s="354" t="s">
        <v>229</v>
      </c>
      <c r="B106" s="355"/>
      <c r="C106" s="356" t="n">
        <f aca="false">SUMPRODUCT(C103:C105,E103:E105)/E106</f>
        <v>90.1818181818182</v>
      </c>
      <c r="D106" s="356" t="n">
        <f aca="false">SUM(D103:D105)</f>
        <v>4270</v>
      </c>
      <c r="E106" s="356" t="n">
        <f aca="false">SUM(E103:E105)</f>
        <v>3850</v>
      </c>
      <c r="F106" s="357" t="n">
        <f aca="false">SUM(F103:F105)</f>
        <v>3633.75</v>
      </c>
      <c r="G106" s="357" t="n">
        <f aca="false">SUM(G103:G105)</f>
        <v>3633.75</v>
      </c>
      <c r="H106" s="357" t="n">
        <f aca="false">SUM(H103:H105)</f>
        <v>0</v>
      </c>
      <c r="I106" s="357" t="n">
        <f aca="false">SUM(I103:I105)</f>
        <v>596.25</v>
      </c>
      <c r="J106" s="358" t="n">
        <f aca="false">SUM(J103:J105)</f>
        <v>176.25</v>
      </c>
      <c r="K106" s="224" t="str">
        <f aca="false">IF(OR(C106&gt;100,D106="n/a",F106="n/a",G106="n/a",H106="n/a",I106="n/a",J106="n/a"),"X","")</f>
        <v/>
      </c>
    </row>
    <row r="107" customFormat="false" ht="13.5" hidden="false" customHeight="false" outlineLevel="0" collapsed="false">
      <c r="A107" s="290"/>
      <c r="B107" s="290"/>
      <c r="C107" s="291"/>
      <c r="D107" s="292"/>
      <c r="E107" s="292"/>
      <c r="F107" s="293"/>
      <c r="G107" s="293"/>
      <c r="H107" s="293"/>
      <c r="I107" s="293"/>
      <c r="J107" s="293"/>
      <c r="K107" s="224" t="str">
        <f aca="false">IF(OR(C107&gt;100,D107="n/a",F107="n/a",G107="n/a",H107="n/a",I107="n/a",J107="n/a"),"X","")</f>
        <v/>
      </c>
    </row>
    <row r="108" customFormat="false" ht="13.5" hidden="false" customHeight="false" outlineLevel="0" collapsed="false">
      <c r="A108" s="359" t="s">
        <v>103</v>
      </c>
      <c r="B108" s="259" t="s">
        <v>103</v>
      </c>
      <c r="C108" s="360" t="n">
        <f aca="false">(SUMPRODUCT(C5:C69,E5:E69)+SUMPRODUCT(C72:C88,E72:E88)+SUMPRODUCT(C91:C100,E91:E100)+SUMPRODUCT(C103:C105,E103:E105))/E108</f>
        <v>84.865584074072</v>
      </c>
      <c r="D108" s="360" t="n">
        <f aca="false">D70+D89+D101+D106</f>
        <v>65175.4002034928</v>
      </c>
      <c r="E108" s="360" t="n">
        <f aca="false">E70+E89+E101+E106</f>
        <v>56325</v>
      </c>
      <c r="F108" s="361" t="n">
        <f aca="false">F70+F89+F101+F106</f>
        <v>41796.9083333333</v>
      </c>
      <c r="G108" s="361" t="n">
        <f aca="false">G70+G89+G101+G106</f>
        <v>42890.2583333333</v>
      </c>
      <c r="H108" s="361" t="n">
        <f aca="false">H70+H89+H101+H106</f>
        <v>772.912500000001</v>
      </c>
      <c r="I108" s="361" t="n">
        <f aca="false">I70+I89+I101+I106</f>
        <v>23309.5927034869</v>
      </c>
      <c r="J108" s="362" t="n">
        <f aca="false">J70+J89+J101+J106</f>
        <v>13305.7416666667</v>
      </c>
      <c r="K108" s="224" t="str">
        <f aca="false">IF(OR(C108&gt;100,D108="n/a",F108="n/a",G108="n/a",H108="n/a",I108="n/a",J108="n/a"),"X","")</f>
        <v/>
      </c>
    </row>
    <row r="109" customFormat="false" ht="12.75" hidden="false" customHeight="false" outlineLevel="0" collapsed="false">
      <c r="A109" s="265" t="s">
        <v>266</v>
      </c>
      <c r="G109" s="264"/>
    </row>
    <row r="110" customFormat="false" ht="12.75" hidden="false" customHeight="false" outlineLevel="0" collapsed="false">
      <c r="A110" s="265" t="s">
        <v>267</v>
      </c>
      <c r="I110" s="363"/>
      <c r="J110" s="363"/>
    </row>
    <row r="111" customFormat="false" ht="12.75" hidden="false" customHeight="false" outlineLevel="0" collapsed="false">
      <c r="A111" s="265"/>
      <c r="E111" s="363"/>
    </row>
    <row r="114" customFormat="false" ht="12.75" hidden="false" customHeight="false" outlineLevel="0" collapsed="false">
      <c r="A114" s="146"/>
      <c r="B114" s="301"/>
      <c r="H114" s="301"/>
    </row>
    <row r="115" customFormat="false" ht="12.75" hidden="false" customHeight="false" outlineLevel="0" collapsed="false">
      <c r="B115" s="301"/>
      <c r="H115" s="301"/>
    </row>
    <row r="116" customFormat="false" ht="12.75" hidden="false" customHeight="false" outlineLevel="0" collapsed="false">
      <c r="A116" s="267"/>
      <c r="B116" s="301"/>
      <c r="H116" s="301"/>
    </row>
    <row r="117" customFormat="false" ht="12.75" hidden="false" customHeight="false" outlineLevel="0" collapsed="false">
      <c r="A117" s="267"/>
      <c r="B117" s="301"/>
      <c r="C117" s="301"/>
      <c r="D117" s="301"/>
      <c r="E117" s="301"/>
      <c r="F117" s="301"/>
      <c r="G117" s="301"/>
      <c r="H117" s="301"/>
    </row>
    <row r="118" customFormat="false" ht="12.75" hidden="false" customHeight="false" outlineLevel="0" collapsed="false">
      <c r="A118" s="301"/>
      <c r="B118" s="301"/>
      <c r="C118" s="301"/>
      <c r="D118" s="301"/>
      <c r="E118" s="301"/>
      <c r="F118" s="301"/>
      <c r="G118" s="301"/>
      <c r="H118" s="301"/>
    </row>
  </sheetData>
  <printOptions headings="false" gridLines="false" gridLinesSet="true" horizontalCentered="true" verticalCentered="false"/>
  <pageMargins left="0.25" right="0.25" top="0.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4:X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34" customFormat="false" ht="12.75" hidden="false" customHeight="false" outlineLevel="0" collapsed="false">
      <c r="C34" s="364"/>
      <c r="D34" s="365" t="s">
        <v>268</v>
      </c>
      <c r="E34" s="365"/>
      <c r="F34" s="366" t="s">
        <v>269</v>
      </c>
      <c r="G34" s="366" t="s">
        <v>40</v>
      </c>
      <c r="H34" s="366" t="s">
        <v>270</v>
      </c>
      <c r="I34" s="367" t="s">
        <v>271</v>
      </c>
      <c r="J34" s="364"/>
      <c r="K34" s="364"/>
      <c r="L34" s="364"/>
      <c r="M34" s="364"/>
      <c r="N34" s="364"/>
      <c r="O34" s="364"/>
      <c r="P34" s="364"/>
      <c r="Q34" s="365" t="s">
        <v>272</v>
      </c>
      <c r="R34" s="365"/>
      <c r="S34" s="366" t="s">
        <v>269</v>
      </c>
      <c r="T34" s="366" t="s">
        <v>40</v>
      </c>
      <c r="U34" s="366" t="s">
        <v>270</v>
      </c>
      <c r="V34" s="367" t="s">
        <v>271</v>
      </c>
      <c r="W34" s="364"/>
      <c r="X34" s="364"/>
    </row>
    <row r="35" customFormat="false" ht="12.75" hidden="false" customHeight="false" outlineLevel="0" collapsed="false">
      <c r="C35" s="364"/>
      <c r="D35" s="365" t="s">
        <v>273</v>
      </c>
      <c r="E35" s="365"/>
      <c r="F35" s="368" t="n">
        <v>0.67</v>
      </c>
      <c r="G35" s="368" t="n">
        <v>0.63</v>
      </c>
      <c r="H35" s="369" t="n">
        <v>0.681</v>
      </c>
      <c r="I35" s="370" t="n">
        <v>160269</v>
      </c>
      <c r="J35" s="364"/>
      <c r="K35" s="364"/>
      <c r="L35" s="364"/>
      <c r="M35" s="364"/>
      <c r="N35" s="364"/>
      <c r="O35" s="364"/>
      <c r="P35" s="364"/>
      <c r="Q35" s="365" t="s">
        <v>273</v>
      </c>
      <c r="R35" s="365"/>
      <c r="S35" s="368" t="n">
        <v>0.13</v>
      </c>
      <c r="T35" s="368" t="n">
        <v>0.15</v>
      </c>
      <c r="U35" s="369" t="n">
        <v>0.213</v>
      </c>
      <c r="V35" s="370" t="n">
        <v>50192</v>
      </c>
      <c r="W35" s="364"/>
      <c r="X35" s="364"/>
    </row>
    <row r="71" customFormat="false" ht="12.75" hidden="false" customHeight="false" outlineLevel="0" collapsed="false">
      <c r="C71" s="364"/>
      <c r="D71" s="365" t="s">
        <v>274</v>
      </c>
      <c r="E71" s="365"/>
      <c r="F71" s="366" t="s">
        <v>269</v>
      </c>
      <c r="G71" s="366" t="s">
        <v>40</v>
      </c>
      <c r="H71" s="366" t="s">
        <v>270</v>
      </c>
      <c r="I71" s="367" t="s">
        <v>271</v>
      </c>
      <c r="J71" s="364"/>
      <c r="K71" s="364"/>
      <c r="L71" s="364"/>
      <c r="M71" s="364"/>
      <c r="N71" s="364"/>
      <c r="O71" s="364"/>
      <c r="P71" s="364"/>
      <c r="Q71" s="365" t="s">
        <v>275</v>
      </c>
      <c r="R71" s="365"/>
      <c r="S71" s="366" t="s">
        <v>269</v>
      </c>
      <c r="T71" s="366" t="s">
        <v>40</v>
      </c>
      <c r="U71" s="366" t="s">
        <v>270</v>
      </c>
      <c r="V71" s="367" t="s">
        <v>271</v>
      </c>
      <c r="W71" s="364"/>
    </row>
    <row r="72" customFormat="false" ht="12.75" hidden="false" customHeight="false" outlineLevel="0" collapsed="false">
      <c r="B72" s="301"/>
      <c r="C72" s="364"/>
      <c r="D72" s="365" t="s">
        <v>273</v>
      </c>
      <c r="E72" s="365"/>
      <c r="F72" s="368" t="n">
        <v>0.13</v>
      </c>
      <c r="G72" s="368" t="n">
        <v>0.16</v>
      </c>
      <c r="H72" s="369" t="n">
        <v>0.061</v>
      </c>
      <c r="I72" s="370" t="n">
        <v>14319</v>
      </c>
      <c r="J72" s="364"/>
      <c r="K72" s="364"/>
      <c r="L72" s="364"/>
      <c r="M72" s="364"/>
      <c r="N72" s="364"/>
      <c r="O72" s="371"/>
      <c r="P72" s="364"/>
      <c r="Q72" s="365" t="s">
        <v>273</v>
      </c>
      <c r="R72" s="365"/>
      <c r="S72" s="368" t="n">
        <v>0.07</v>
      </c>
      <c r="T72" s="368" t="n">
        <v>0.06</v>
      </c>
      <c r="U72" s="369" t="n">
        <v>0.045</v>
      </c>
      <c r="V72" s="370" t="n">
        <v>10692</v>
      </c>
      <c r="W72" s="372"/>
      <c r="X72" s="301"/>
    </row>
    <row r="74" customFormat="false" ht="12.75" hidden="false" customHeight="false" outlineLevel="0" collapsed="false">
      <c r="B74" s="373" t="s">
        <v>185</v>
      </c>
      <c r="C74" s="374"/>
      <c r="D74" s="374"/>
      <c r="E74" s="374"/>
      <c r="F74" s="374"/>
      <c r="G74" s="374"/>
      <c r="H74" s="374"/>
      <c r="I74" s="374"/>
      <c r="J74" s="374"/>
      <c r="K74" s="374"/>
      <c r="L74" s="374"/>
      <c r="M74" s="374"/>
      <c r="N74" s="374"/>
      <c r="O74" s="374"/>
      <c r="P74" s="374"/>
      <c r="Q74" s="374"/>
      <c r="R74" s="375"/>
      <c r="S74" s="374"/>
      <c r="T74" s="374"/>
      <c r="U74" s="375"/>
      <c r="V74" s="374"/>
      <c r="W74" s="374"/>
      <c r="X74" s="376"/>
    </row>
    <row r="75" customFormat="false" ht="12.75" hidden="false" customHeight="false" outlineLevel="0" collapsed="false">
      <c r="B75" s="377"/>
      <c r="C75" s="301" t="s">
        <v>276</v>
      </c>
      <c r="D75" s="301"/>
      <c r="E75" s="301"/>
      <c r="F75" s="301"/>
      <c r="G75" s="301"/>
      <c r="H75" s="301" t="s">
        <v>277</v>
      </c>
      <c r="I75" s="301"/>
      <c r="J75" s="301"/>
      <c r="K75" s="301"/>
      <c r="L75" s="301"/>
      <c r="M75" s="301"/>
      <c r="N75" s="301"/>
      <c r="O75" s="301" t="s">
        <v>278</v>
      </c>
      <c r="P75" s="301"/>
      <c r="Q75" s="301"/>
      <c r="R75" s="301"/>
      <c r="S75" s="301" t="s">
        <v>279</v>
      </c>
      <c r="T75" s="301"/>
      <c r="U75" s="301" t="s">
        <v>280</v>
      </c>
      <c r="V75" s="301"/>
      <c r="W75" s="378" t="s">
        <v>281</v>
      </c>
      <c r="X75" s="379"/>
    </row>
    <row r="76" customFormat="false" ht="12.75" hidden="false" customHeight="false" outlineLevel="0" collapsed="false">
      <c r="B76" s="380"/>
      <c r="C76" s="381"/>
      <c r="D76" s="381"/>
      <c r="E76" s="381"/>
      <c r="F76" s="381"/>
      <c r="G76" s="381"/>
      <c r="H76" s="381"/>
      <c r="I76" s="381"/>
      <c r="J76" s="381"/>
      <c r="K76" s="381"/>
      <c r="L76" s="381"/>
      <c r="M76" s="381"/>
      <c r="N76" s="381"/>
      <c r="O76" s="381"/>
      <c r="P76" s="381"/>
      <c r="Q76" s="381"/>
      <c r="R76" s="381"/>
      <c r="S76" s="381"/>
      <c r="T76" s="381"/>
      <c r="U76" s="381"/>
      <c r="V76" s="381"/>
      <c r="W76" s="381"/>
      <c r="X76" s="382"/>
    </row>
    <row r="84" customFormat="false" ht="12.75" hidden="false" customHeight="false" outlineLevel="0" collapsed="false">
      <c r="A84" s="383" t="s">
        <v>282</v>
      </c>
      <c r="B84" s="384"/>
      <c r="C84" s="384"/>
      <c r="D84" s="384"/>
      <c r="E84" s="384"/>
      <c r="F84" s="376"/>
    </row>
    <row r="85" customFormat="false" ht="12.75" hidden="false" customHeight="false" outlineLevel="0" collapsed="false">
      <c r="A85" s="385"/>
      <c r="B85" s="386" t="s">
        <v>269</v>
      </c>
      <c r="C85" s="386" t="s">
        <v>40</v>
      </c>
      <c r="D85" s="386" t="s">
        <v>270</v>
      </c>
      <c r="E85" s="387" t="s">
        <v>271</v>
      </c>
      <c r="F85" s="379"/>
      <c r="H85" s="264"/>
      <c r="I85" s="388"/>
    </row>
    <row r="86" customFormat="false" ht="12.75" hidden="false" customHeight="false" outlineLevel="0" collapsed="false">
      <c r="A86" s="389" t="s">
        <v>283</v>
      </c>
      <c r="B86" s="390" t="str">
        <f aca="false">IF(F35+F72+S35+S72=1,"Ok","Wrong")</f>
        <v>Ok</v>
      </c>
      <c r="C86" s="390" t="str">
        <f aca="false">IF(G35+G72+T35+T72=1,"Ok","Wrong")</f>
        <v>Ok</v>
      </c>
      <c r="D86" s="390" t="str">
        <f aca="false">IF(H35+H72+U35+U72=1,"Ok","Wrong")</f>
        <v>Ok</v>
      </c>
      <c r="E86" s="390" t="str">
        <f aca="false">IF(I35+I72+V35+V72=235472,"Ok","Wrong")</f>
        <v>Ok</v>
      </c>
      <c r="F86" s="382"/>
      <c r="H86" s="264"/>
      <c r="I86" s="388"/>
    </row>
    <row r="87" customFormat="false" ht="12.75" hidden="false" customHeight="false" outlineLevel="0" collapsed="false">
      <c r="H87" s="264"/>
      <c r="I87" s="388"/>
    </row>
    <row r="88" customFormat="false" ht="12.75" hidden="false" customHeight="false" outlineLevel="0" collapsed="false">
      <c r="H88" s="264"/>
      <c r="I88" s="388"/>
    </row>
    <row r="89" customFormat="false" ht="12.75" hidden="false" customHeight="false" outlineLevel="0" collapsed="false">
      <c r="H89" s="264"/>
    </row>
  </sheetData>
  <printOptions headings="false" gridLines="false" gridLinesSet="true" horizontalCentered="true" verticalCentered="false"/>
  <pageMargins left="0.25" right="0.25" top="0.5" bottom="0.25" header="0.511811023622047" footer="0.511811023622047"/>
  <pageSetup paperSize="1" scale="5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M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3" min="1" style="391" width="8.85"/>
    <col collapsed="false" customWidth="true" hidden="false" outlineLevel="0" max="27" min="14" style="372" width="8.85"/>
    <col collapsed="false" customWidth="false" hidden="false" outlineLevel="0" max="257" min="28" style="372" width="9.14"/>
  </cols>
  <sheetData>
    <row r="1" customFormat="false" ht="13.5" hidden="false" customHeight="true" outlineLevel="0" collapsed="false">
      <c r="A1" s="392" t="s">
        <v>284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O1" s="392" t="s">
        <v>285</v>
      </c>
      <c r="P1" s="392"/>
      <c r="Q1" s="392"/>
      <c r="R1" s="392"/>
      <c r="S1" s="392"/>
      <c r="T1" s="392"/>
      <c r="U1" s="392"/>
      <c r="V1" s="392"/>
      <c r="W1" s="392"/>
      <c r="X1" s="392"/>
      <c r="Y1" s="392"/>
      <c r="Z1" s="392"/>
      <c r="AA1" s="392"/>
    </row>
    <row r="2" customFormat="false" ht="12.75" hidden="false" customHeight="true" outlineLevel="0" collapsed="false">
      <c r="A2" s="393"/>
      <c r="B2" s="394" t="s">
        <v>19</v>
      </c>
      <c r="C2" s="394"/>
      <c r="D2" s="394"/>
      <c r="E2" s="394" t="s">
        <v>70</v>
      </c>
      <c r="F2" s="394"/>
      <c r="G2" s="394"/>
      <c r="H2" s="394" t="s">
        <v>75</v>
      </c>
      <c r="I2" s="394"/>
      <c r="J2" s="394"/>
      <c r="K2" s="394" t="s">
        <v>116</v>
      </c>
      <c r="L2" s="394"/>
      <c r="M2" s="394"/>
      <c r="O2" s="393"/>
      <c r="P2" s="394" t="s">
        <v>19</v>
      </c>
      <c r="Q2" s="394"/>
      <c r="R2" s="394"/>
      <c r="S2" s="394" t="s">
        <v>70</v>
      </c>
      <c r="T2" s="394"/>
      <c r="U2" s="394"/>
      <c r="V2" s="394" t="s">
        <v>75</v>
      </c>
      <c r="W2" s="394"/>
      <c r="X2" s="394"/>
      <c r="Y2" s="394" t="s">
        <v>116</v>
      </c>
      <c r="Z2" s="394"/>
      <c r="AA2" s="394"/>
    </row>
    <row r="3" customFormat="false" ht="12.75" hidden="false" customHeight="false" outlineLevel="0" collapsed="false">
      <c r="A3" s="395"/>
      <c r="B3" s="396" t="s">
        <v>286</v>
      </c>
      <c r="C3" s="397" t="s">
        <v>287</v>
      </c>
      <c r="D3" s="398" t="n">
        <v>2000</v>
      </c>
      <c r="E3" s="396" t="s">
        <v>286</v>
      </c>
      <c r="F3" s="397" t="s">
        <v>287</v>
      </c>
      <c r="G3" s="398" t="n">
        <v>2000</v>
      </c>
      <c r="H3" s="396" t="s">
        <v>286</v>
      </c>
      <c r="I3" s="397" t="s">
        <v>287</v>
      </c>
      <c r="J3" s="398" t="n">
        <v>2000</v>
      </c>
      <c r="K3" s="396" t="s">
        <v>286</v>
      </c>
      <c r="L3" s="397" t="s">
        <v>287</v>
      </c>
      <c r="M3" s="398" t="n">
        <v>2000</v>
      </c>
      <c r="O3" s="395"/>
      <c r="P3" s="396" t="s">
        <v>286</v>
      </c>
      <c r="Q3" s="397" t="s">
        <v>287</v>
      </c>
      <c r="R3" s="398" t="n">
        <v>2000</v>
      </c>
      <c r="S3" s="396" t="s">
        <v>286</v>
      </c>
      <c r="T3" s="397" t="s">
        <v>287</v>
      </c>
      <c r="U3" s="398" t="n">
        <v>2000</v>
      </c>
      <c r="V3" s="396" t="s">
        <v>286</v>
      </c>
      <c r="W3" s="397" t="s">
        <v>287</v>
      </c>
      <c r="X3" s="398" t="n">
        <v>2000</v>
      </c>
      <c r="Y3" s="396" t="s">
        <v>286</v>
      </c>
      <c r="Z3" s="397" t="s">
        <v>287</v>
      </c>
      <c r="AA3" s="398" t="n">
        <v>2000</v>
      </c>
    </row>
    <row r="4" customFormat="false" ht="12" hidden="false" customHeight="false" outlineLevel="0" collapsed="false">
      <c r="A4" s="399" t="s">
        <v>26</v>
      </c>
      <c r="B4" s="400" t="n">
        <v>0.688</v>
      </c>
      <c r="C4" s="368" t="n">
        <v>0.568</v>
      </c>
      <c r="D4" s="401" t="n">
        <v>0.293</v>
      </c>
      <c r="E4" s="368" t="n">
        <v>0.978</v>
      </c>
      <c r="F4" s="368" t="n">
        <v>0.792</v>
      </c>
      <c r="G4" s="401" t="n">
        <v>0.475</v>
      </c>
      <c r="H4" s="400" t="n">
        <v>0.794</v>
      </c>
      <c r="I4" s="368" t="n">
        <v>0.444</v>
      </c>
      <c r="J4" s="401" t="n">
        <v>0.357</v>
      </c>
      <c r="K4" s="368" t="n">
        <v>0.961</v>
      </c>
      <c r="L4" s="368" t="n">
        <v>0.742</v>
      </c>
      <c r="M4" s="401" t="n">
        <v>0.755</v>
      </c>
      <c r="O4" s="399" t="s">
        <v>26</v>
      </c>
      <c r="P4" s="402" t="s">
        <v>288</v>
      </c>
      <c r="Q4" s="368" t="n">
        <f aca="false">C4-B4</f>
        <v>-0.12</v>
      </c>
      <c r="R4" s="401" t="n">
        <f aca="false">D4-C4</f>
        <v>-0.275</v>
      </c>
      <c r="S4" s="402" t="s">
        <v>288</v>
      </c>
      <c r="T4" s="368" t="n">
        <f aca="false">F4-E4</f>
        <v>-0.186</v>
      </c>
      <c r="U4" s="401" t="n">
        <f aca="false">G4-F4</f>
        <v>-0.317</v>
      </c>
      <c r="V4" s="402" t="s">
        <v>288</v>
      </c>
      <c r="W4" s="368" t="n">
        <f aca="false">I4-H4</f>
        <v>-0.35</v>
      </c>
      <c r="X4" s="401" t="n">
        <f aca="false">J4-I4</f>
        <v>-0.087</v>
      </c>
      <c r="Y4" s="402" t="s">
        <v>288</v>
      </c>
      <c r="Z4" s="368" t="n">
        <f aca="false">L4-K4</f>
        <v>-0.219</v>
      </c>
      <c r="AA4" s="401" t="n">
        <f aca="false">M4-L4</f>
        <v>0.013</v>
      </c>
    </row>
    <row r="5" customFormat="false" ht="12" hidden="false" customHeight="false" outlineLevel="0" collapsed="false">
      <c r="A5" s="403" t="s">
        <v>29</v>
      </c>
      <c r="B5" s="400" t="n">
        <v>0.79</v>
      </c>
      <c r="C5" s="368" t="n">
        <v>0.622</v>
      </c>
      <c r="D5" s="401" t="n">
        <v>0.45</v>
      </c>
      <c r="E5" s="368" t="n">
        <v>0.989</v>
      </c>
      <c r="F5" s="368" t="n">
        <v>0.844</v>
      </c>
      <c r="G5" s="401" t="n">
        <v>0.473</v>
      </c>
      <c r="H5" s="368" t="n">
        <v>0.857</v>
      </c>
      <c r="I5" s="368" t="n">
        <v>0.426</v>
      </c>
      <c r="J5" s="401" t="n">
        <v>0.541</v>
      </c>
      <c r="K5" s="368" t="n">
        <v>0.97</v>
      </c>
      <c r="L5" s="368" t="n">
        <v>0.802</v>
      </c>
      <c r="M5" s="401" t="n">
        <v>0.807</v>
      </c>
      <c r="O5" s="403" t="s">
        <v>29</v>
      </c>
      <c r="P5" s="402" t="s">
        <v>288</v>
      </c>
      <c r="Q5" s="368" t="n">
        <f aca="false">C5-B5</f>
        <v>-0.168</v>
      </c>
      <c r="R5" s="401" t="n">
        <f aca="false">D5-C5</f>
        <v>-0.172</v>
      </c>
      <c r="S5" s="402" t="s">
        <v>288</v>
      </c>
      <c r="T5" s="368" t="n">
        <f aca="false">F5-E5</f>
        <v>-0.145</v>
      </c>
      <c r="U5" s="401" t="n">
        <f aca="false">G5-F5</f>
        <v>-0.371</v>
      </c>
      <c r="V5" s="402" t="s">
        <v>288</v>
      </c>
      <c r="W5" s="368" t="n">
        <f aca="false">I5-H5</f>
        <v>-0.431</v>
      </c>
      <c r="X5" s="401" t="n">
        <f aca="false">J5-I5</f>
        <v>0.115</v>
      </c>
      <c r="Y5" s="402" t="s">
        <v>288</v>
      </c>
      <c r="Z5" s="368" t="n">
        <f aca="false">L5-K5</f>
        <v>-0.168</v>
      </c>
      <c r="AA5" s="401" t="n">
        <f aca="false">M5-L5</f>
        <v>0.005</v>
      </c>
    </row>
    <row r="6" customFormat="false" ht="12" hidden="false" customHeight="false" outlineLevel="0" collapsed="false">
      <c r="A6" s="403" t="s">
        <v>32</v>
      </c>
      <c r="B6" s="400" t="n">
        <v>0.831</v>
      </c>
      <c r="C6" s="368" t="n">
        <v>0.71</v>
      </c>
      <c r="D6" s="401" t="n">
        <v>0.585</v>
      </c>
      <c r="E6" s="368" t="n">
        <v>0.957</v>
      </c>
      <c r="F6" s="368" t="n">
        <v>0.749</v>
      </c>
      <c r="G6" s="401" t="n">
        <v>0.523</v>
      </c>
      <c r="H6" s="368" t="n">
        <v>0.816</v>
      </c>
      <c r="I6" s="368" t="n">
        <v>0.586</v>
      </c>
      <c r="J6" s="401" t="n">
        <v>0.66</v>
      </c>
      <c r="K6" s="368" t="n">
        <v>0.955</v>
      </c>
      <c r="L6" s="368" t="n">
        <v>0.81</v>
      </c>
      <c r="M6" s="401" t="n">
        <v>0.833</v>
      </c>
      <c r="O6" s="403" t="s">
        <v>32</v>
      </c>
      <c r="P6" s="402" t="s">
        <v>288</v>
      </c>
      <c r="Q6" s="368" t="n">
        <f aca="false">C6-B6</f>
        <v>-0.121</v>
      </c>
      <c r="R6" s="401" t="n">
        <f aca="false">D6-C6</f>
        <v>-0.125</v>
      </c>
      <c r="S6" s="402" t="s">
        <v>288</v>
      </c>
      <c r="T6" s="368" t="n">
        <f aca="false">F6-E6</f>
        <v>-0.208</v>
      </c>
      <c r="U6" s="401" t="n">
        <f aca="false">G6-F6</f>
        <v>-0.226</v>
      </c>
      <c r="V6" s="402" t="s">
        <v>288</v>
      </c>
      <c r="W6" s="368" t="n">
        <f aca="false">I6-H6</f>
        <v>-0.23</v>
      </c>
      <c r="X6" s="401" t="n">
        <f aca="false">J6-I6</f>
        <v>0.0740000000000001</v>
      </c>
      <c r="Y6" s="402" t="s">
        <v>288</v>
      </c>
      <c r="Z6" s="368" t="n">
        <f aca="false">L6-K6</f>
        <v>-0.145</v>
      </c>
      <c r="AA6" s="401" t="n">
        <f aca="false">M6-L6</f>
        <v>0.0229999999999999</v>
      </c>
    </row>
    <row r="7" customFormat="false" ht="12" hidden="false" customHeight="false" outlineLevel="0" collapsed="false">
      <c r="A7" s="403" t="s">
        <v>35</v>
      </c>
      <c r="B7" s="400" t="n">
        <v>0.818</v>
      </c>
      <c r="C7" s="368" t="n">
        <v>0.698</v>
      </c>
      <c r="D7" s="401" t="n">
        <v>0.594</v>
      </c>
      <c r="E7" s="368" t="n">
        <v>0.928</v>
      </c>
      <c r="F7" s="368" t="n">
        <v>0.727</v>
      </c>
      <c r="G7" s="401" t="n">
        <v>0.4</v>
      </c>
      <c r="H7" s="368" t="n">
        <v>0.841</v>
      </c>
      <c r="I7" s="368" t="n">
        <v>0.574</v>
      </c>
      <c r="J7" s="401" t="n">
        <v>0.712</v>
      </c>
      <c r="K7" s="368" t="n">
        <v>1.04</v>
      </c>
      <c r="L7" s="368" t="n">
        <v>0.832</v>
      </c>
      <c r="M7" s="401" t="n">
        <v>0.837</v>
      </c>
      <c r="O7" s="403" t="s">
        <v>35</v>
      </c>
      <c r="P7" s="402" t="s">
        <v>288</v>
      </c>
      <c r="Q7" s="368" t="n">
        <f aca="false">C7-B7</f>
        <v>-0.12</v>
      </c>
      <c r="R7" s="401" t="n">
        <f aca="false">D7-C7</f>
        <v>-0.104</v>
      </c>
      <c r="S7" s="402" t="s">
        <v>288</v>
      </c>
      <c r="T7" s="368" t="n">
        <f aca="false">F7-E7</f>
        <v>-0.201</v>
      </c>
      <c r="U7" s="401" t="n">
        <f aca="false">G7-F7</f>
        <v>-0.327</v>
      </c>
      <c r="V7" s="402" t="s">
        <v>288</v>
      </c>
      <c r="W7" s="368" t="n">
        <f aca="false">I7-H7</f>
        <v>-0.267</v>
      </c>
      <c r="X7" s="401" t="n">
        <f aca="false">J7-I7</f>
        <v>0.138</v>
      </c>
      <c r="Y7" s="402" t="s">
        <v>288</v>
      </c>
      <c r="Z7" s="368" t="n">
        <f aca="false">L7-K7</f>
        <v>-0.208</v>
      </c>
      <c r="AA7" s="401" t="n">
        <f aca="false">M7-L7</f>
        <v>0.005</v>
      </c>
    </row>
    <row r="8" customFormat="false" ht="12" hidden="false" customHeight="false" outlineLevel="0" collapsed="false">
      <c r="A8" s="403" t="s">
        <v>39</v>
      </c>
      <c r="B8" s="400" t="n">
        <v>0.802</v>
      </c>
      <c r="C8" s="368" t="n">
        <v>0.654</v>
      </c>
      <c r="D8" s="401" t="n">
        <v>0.541</v>
      </c>
      <c r="E8" s="368" t="n">
        <v>0.936</v>
      </c>
      <c r="F8" s="368" t="n">
        <v>0.608</v>
      </c>
      <c r="G8" s="401" t="n">
        <v>0.302</v>
      </c>
      <c r="H8" s="368" t="n">
        <v>0.786</v>
      </c>
      <c r="I8" s="368" t="n">
        <v>0.529</v>
      </c>
      <c r="J8" s="401" t="n">
        <v>0.673</v>
      </c>
      <c r="K8" s="368" t="n">
        <v>1.051</v>
      </c>
      <c r="L8" s="368" t="n">
        <v>0.837</v>
      </c>
      <c r="M8" s="401" t="n">
        <v>0.821</v>
      </c>
      <c r="O8" s="403" t="s">
        <v>39</v>
      </c>
      <c r="P8" s="402" t="s">
        <v>288</v>
      </c>
      <c r="Q8" s="368" t="n">
        <f aca="false">C8-B8</f>
        <v>-0.148</v>
      </c>
      <c r="R8" s="401" t="n">
        <f aca="false">D8-C8</f>
        <v>-0.113</v>
      </c>
      <c r="S8" s="402" t="s">
        <v>288</v>
      </c>
      <c r="T8" s="368" t="n">
        <f aca="false">F8-E8</f>
        <v>-0.328</v>
      </c>
      <c r="U8" s="401" t="n">
        <f aca="false">G8-F8</f>
        <v>-0.306</v>
      </c>
      <c r="V8" s="402" t="s">
        <v>288</v>
      </c>
      <c r="W8" s="368" t="n">
        <f aca="false">I8-H8</f>
        <v>-0.257</v>
      </c>
      <c r="X8" s="401" t="n">
        <f aca="false">J8-I8</f>
        <v>0.144</v>
      </c>
      <c r="Y8" s="402" t="s">
        <v>288</v>
      </c>
      <c r="Z8" s="368" t="n">
        <f aca="false">L8-K8</f>
        <v>-0.214</v>
      </c>
      <c r="AA8" s="401" t="n">
        <f aca="false">M8-L8</f>
        <v>-0.016</v>
      </c>
    </row>
    <row r="9" customFormat="false" ht="12" hidden="false" customHeight="false" outlineLevel="0" collapsed="false">
      <c r="A9" s="403" t="s">
        <v>42</v>
      </c>
      <c r="B9" s="400" t="n">
        <v>0.757</v>
      </c>
      <c r="C9" s="368" t="n">
        <v>0.601</v>
      </c>
      <c r="D9" s="401" t="n">
        <v>0.473</v>
      </c>
      <c r="E9" s="368" t="n">
        <v>0.851</v>
      </c>
      <c r="F9" s="368" t="n">
        <v>0.761</v>
      </c>
      <c r="G9" s="401" t="n">
        <v>0.41</v>
      </c>
      <c r="H9" s="368" t="n">
        <v>0.728</v>
      </c>
      <c r="I9" s="368" t="n">
        <v>0.464</v>
      </c>
      <c r="J9" s="401" t="n">
        <v>0.618</v>
      </c>
      <c r="K9" s="368" t="n">
        <v>0.968</v>
      </c>
      <c r="L9" s="368" t="n">
        <v>0.81</v>
      </c>
      <c r="M9" s="401" t="n">
        <v>0.811</v>
      </c>
      <c r="O9" s="403" t="s">
        <v>42</v>
      </c>
      <c r="P9" s="402" t="s">
        <v>288</v>
      </c>
      <c r="Q9" s="368" t="n">
        <f aca="false">C9-B9</f>
        <v>-0.156</v>
      </c>
      <c r="R9" s="401" t="n">
        <f aca="false">D9-C9</f>
        <v>-0.128</v>
      </c>
      <c r="S9" s="402" t="s">
        <v>288</v>
      </c>
      <c r="T9" s="368" t="n">
        <f aca="false">F9-E9</f>
        <v>-0.09</v>
      </c>
      <c r="U9" s="401" t="n">
        <f aca="false">G9-F9</f>
        <v>-0.351</v>
      </c>
      <c r="V9" s="402" t="s">
        <v>288</v>
      </c>
      <c r="W9" s="368" t="n">
        <f aca="false">I9-H9</f>
        <v>-0.264</v>
      </c>
      <c r="X9" s="401" t="n">
        <f aca="false">J9-I9</f>
        <v>0.154</v>
      </c>
      <c r="Y9" s="402" t="s">
        <v>288</v>
      </c>
      <c r="Z9" s="368" t="n">
        <f aca="false">L9-K9</f>
        <v>-0.158</v>
      </c>
      <c r="AA9" s="401" t="n">
        <f aca="false">M9-L9</f>
        <v>0.001</v>
      </c>
    </row>
    <row r="10" customFormat="false" ht="12" hidden="false" customHeight="false" outlineLevel="0" collapsed="false">
      <c r="A10" s="403" t="s">
        <v>45</v>
      </c>
      <c r="B10" s="400" t="n">
        <v>0.678</v>
      </c>
      <c r="C10" s="368" t="n">
        <v>0.542</v>
      </c>
      <c r="D10" s="401" t="n">
        <v>0.406</v>
      </c>
      <c r="E10" s="368" t="n">
        <v>0.959</v>
      </c>
      <c r="F10" s="368" t="n">
        <v>0.879</v>
      </c>
      <c r="G10" s="401" t="n">
        <v>0.441</v>
      </c>
      <c r="H10" s="368" t="n">
        <v>0.638</v>
      </c>
      <c r="I10" s="368" t="n">
        <v>0.396</v>
      </c>
      <c r="J10" s="401" t="n">
        <v>0.557</v>
      </c>
      <c r="K10" s="368" t="n">
        <v>0.819</v>
      </c>
      <c r="L10" s="368" t="n">
        <v>0.714</v>
      </c>
      <c r="M10" s="401" t="n">
        <v>0.755</v>
      </c>
      <c r="O10" s="403" t="s">
        <v>45</v>
      </c>
      <c r="P10" s="402" t="s">
        <v>288</v>
      </c>
      <c r="Q10" s="368" t="n">
        <f aca="false">C10-B10</f>
        <v>-0.136</v>
      </c>
      <c r="R10" s="401" t="n">
        <f aca="false">D10-C10</f>
        <v>-0.136</v>
      </c>
      <c r="S10" s="402" t="s">
        <v>288</v>
      </c>
      <c r="T10" s="368" t="n">
        <f aca="false">F10-E10</f>
        <v>-0.0800000000000001</v>
      </c>
      <c r="U10" s="401" t="n">
        <f aca="false">G10-F10</f>
        <v>-0.438</v>
      </c>
      <c r="V10" s="402" t="s">
        <v>288</v>
      </c>
      <c r="W10" s="368" t="n">
        <f aca="false">I10-H10</f>
        <v>-0.242</v>
      </c>
      <c r="X10" s="401" t="n">
        <f aca="false">J10-I10</f>
        <v>0.161</v>
      </c>
      <c r="Y10" s="402" t="s">
        <v>288</v>
      </c>
      <c r="Z10" s="368" t="n">
        <f aca="false">L10-K10</f>
        <v>-0.105</v>
      </c>
      <c r="AA10" s="401" t="n">
        <f aca="false">M10-L10</f>
        <v>0.041</v>
      </c>
    </row>
    <row r="11" customFormat="false" ht="12" hidden="false" customHeight="false" outlineLevel="0" collapsed="false">
      <c r="A11" s="403" t="s">
        <v>48</v>
      </c>
      <c r="B11" s="400" t="n">
        <v>0.605</v>
      </c>
      <c r="C11" s="368" t="n">
        <v>0.45</v>
      </c>
      <c r="D11" s="401" t="n">
        <v>0.318</v>
      </c>
      <c r="E11" s="368" t="n">
        <v>0.934</v>
      </c>
      <c r="F11" s="368" t="n">
        <v>0.705</v>
      </c>
      <c r="G11" s="401" t="n">
        <v>0.462</v>
      </c>
      <c r="H11" s="368" t="n">
        <v>0.551</v>
      </c>
      <c r="I11" s="368" t="n">
        <v>0.319</v>
      </c>
      <c r="J11" s="401" t="n">
        <v>0.47</v>
      </c>
      <c r="K11" s="368" t="n">
        <v>0.637</v>
      </c>
      <c r="L11" s="368" t="n">
        <v>0.585</v>
      </c>
      <c r="M11" s="401" t="n">
        <v>0.615</v>
      </c>
      <c r="O11" s="403" t="s">
        <v>48</v>
      </c>
      <c r="P11" s="402" t="s">
        <v>288</v>
      </c>
      <c r="Q11" s="368" t="n">
        <f aca="false">C11-B11</f>
        <v>-0.155</v>
      </c>
      <c r="R11" s="401" t="n">
        <f aca="false">D11-C11</f>
        <v>-0.132</v>
      </c>
      <c r="S11" s="402" t="s">
        <v>288</v>
      </c>
      <c r="T11" s="368" t="n">
        <f aca="false">F11-E11</f>
        <v>-0.229</v>
      </c>
      <c r="U11" s="401" t="n">
        <f aca="false">G11-F11</f>
        <v>-0.243</v>
      </c>
      <c r="V11" s="402" t="s">
        <v>288</v>
      </c>
      <c r="W11" s="368" t="n">
        <f aca="false">I11-H11</f>
        <v>-0.232</v>
      </c>
      <c r="X11" s="401" t="n">
        <f aca="false">J11-I11</f>
        <v>0.151</v>
      </c>
      <c r="Y11" s="402" t="s">
        <v>288</v>
      </c>
      <c r="Z11" s="368" t="n">
        <f aca="false">L11-K11</f>
        <v>-0.052</v>
      </c>
      <c r="AA11" s="401" t="n">
        <f aca="false">M11-L11</f>
        <v>0.03</v>
      </c>
    </row>
    <row r="12" customFormat="false" ht="12" hidden="false" customHeight="false" outlineLevel="0" collapsed="false">
      <c r="A12" s="403" t="s">
        <v>52</v>
      </c>
      <c r="B12" s="400" t="n">
        <v>0.525</v>
      </c>
      <c r="C12" s="368" t="n">
        <v>0.367</v>
      </c>
      <c r="D12" s="401" t="n">
        <v>0.307</v>
      </c>
      <c r="E12" s="368" t="n">
        <v>0.936</v>
      </c>
      <c r="F12" s="368" t="n">
        <v>0.616</v>
      </c>
      <c r="G12" s="401" t="n">
        <v>0.867</v>
      </c>
      <c r="H12" s="368" t="n">
        <v>0.442</v>
      </c>
      <c r="I12" s="368" t="n">
        <v>0.252</v>
      </c>
      <c r="J12" s="401" t="n">
        <v>0.393</v>
      </c>
      <c r="K12" s="368" t="n">
        <v>0.448</v>
      </c>
      <c r="L12" s="368" t="n">
        <v>0.438</v>
      </c>
      <c r="M12" s="401" t="n">
        <v>0.45</v>
      </c>
      <c r="O12" s="403" t="s">
        <v>52</v>
      </c>
      <c r="P12" s="402" t="s">
        <v>288</v>
      </c>
      <c r="Q12" s="368" t="n">
        <f aca="false">C12-B12</f>
        <v>-0.158</v>
      </c>
      <c r="R12" s="401" t="n">
        <f aca="false">D12-C12</f>
        <v>-0.0600000000000001</v>
      </c>
      <c r="S12" s="402" t="s">
        <v>288</v>
      </c>
      <c r="T12" s="368" t="n">
        <f aca="false">F12-E12</f>
        <v>-0.32</v>
      </c>
      <c r="U12" s="401" t="n">
        <f aca="false">G12-F12</f>
        <v>0.251</v>
      </c>
      <c r="V12" s="402" t="s">
        <v>288</v>
      </c>
      <c r="W12" s="368" t="n">
        <f aca="false">I12-H12</f>
        <v>-0.19</v>
      </c>
      <c r="X12" s="401" t="n">
        <f aca="false">J12-I12</f>
        <v>0.141</v>
      </c>
      <c r="Y12" s="402" t="s">
        <v>288</v>
      </c>
      <c r="Z12" s="368" t="n">
        <f aca="false">L12-K12</f>
        <v>-0.00999999999999995</v>
      </c>
      <c r="AA12" s="401" t="n">
        <f aca="false">M12-L12</f>
        <v>0.012</v>
      </c>
    </row>
    <row r="13" customFormat="false" ht="12" hidden="false" customHeight="false" outlineLevel="0" collapsed="false">
      <c r="A13" s="403" t="s">
        <v>54</v>
      </c>
      <c r="B13" s="400" t="n">
        <v>0.478</v>
      </c>
      <c r="C13" s="368" t="n">
        <v>0.264</v>
      </c>
      <c r="D13" s="401" t="n">
        <v>0.23</v>
      </c>
      <c r="E13" s="368" t="n">
        <v>0.975</v>
      </c>
      <c r="F13" s="368" t="n">
        <v>0.792</v>
      </c>
      <c r="G13" s="401" t="n">
        <v>0.962</v>
      </c>
      <c r="H13" s="368" t="n">
        <v>0.344</v>
      </c>
      <c r="I13" s="368" t="n">
        <v>0.17</v>
      </c>
      <c r="J13" s="401" t="n">
        <v>0.289</v>
      </c>
      <c r="K13" s="368" t="n">
        <v>0.274</v>
      </c>
      <c r="L13" s="368" t="n">
        <v>0.287</v>
      </c>
      <c r="M13" s="401" t="n">
        <v>0.321</v>
      </c>
      <c r="O13" s="403" t="s">
        <v>54</v>
      </c>
      <c r="P13" s="402" t="s">
        <v>288</v>
      </c>
      <c r="Q13" s="368" t="n">
        <f aca="false">C13-B13</f>
        <v>-0.214</v>
      </c>
      <c r="R13" s="401" t="n">
        <f aca="false">D13-C13</f>
        <v>-0.034</v>
      </c>
      <c r="S13" s="402" t="s">
        <v>288</v>
      </c>
      <c r="T13" s="368" t="n">
        <f aca="false">F13-E13</f>
        <v>-0.183</v>
      </c>
      <c r="U13" s="401" t="n">
        <f aca="false">G13-F13</f>
        <v>0.17</v>
      </c>
      <c r="V13" s="402" t="s">
        <v>288</v>
      </c>
      <c r="W13" s="368" t="n">
        <f aca="false">I13-H13</f>
        <v>-0.174</v>
      </c>
      <c r="X13" s="401" t="n">
        <f aca="false">J13-I13</f>
        <v>0.119</v>
      </c>
      <c r="Y13" s="402" t="s">
        <v>288</v>
      </c>
      <c r="Z13" s="368" t="n">
        <f aca="false">L13-K13</f>
        <v>0.013</v>
      </c>
      <c r="AA13" s="401" t="n">
        <f aca="false">M13-L13</f>
        <v>0.034</v>
      </c>
    </row>
    <row r="14" customFormat="false" ht="12" hidden="false" customHeight="false" outlineLevel="0" collapsed="false">
      <c r="A14" s="403" t="s">
        <v>57</v>
      </c>
      <c r="B14" s="400" t="n">
        <v>0.435</v>
      </c>
      <c r="C14" s="368" t="n">
        <v>0.197</v>
      </c>
      <c r="D14" s="401" t="n">
        <v>0.2209</v>
      </c>
      <c r="E14" s="368" t="n">
        <v>0.879</v>
      </c>
      <c r="F14" s="368" t="n">
        <v>0.662</v>
      </c>
      <c r="G14" s="401" t="n">
        <v>0.929</v>
      </c>
      <c r="H14" s="368" t="n">
        <v>0.337</v>
      </c>
      <c r="I14" s="368" t="n">
        <v>0.159</v>
      </c>
      <c r="J14" s="401" t="n">
        <v>0.2754</v>
      </c>
      <c r="K14" s="368" t="n">
        <v>0.274</v>
      </c>
      <c r="L14" s="368" t="n">
        <v>0.24</v>
      </c>
      <c r="M14" s="401" t="n">
        <v>0.2902</v>
      </c>
      <c r="O14" s="403" t="s">
        <v>57</v>
      </c>
      <c r="P14" s="402" t="s">
        <v>288</v>
      </c>
      <c r="Q14" s="368" t="n">
        <f aca="false">C14-B14</f>
        <v>-0.238</v>
      </c>
      <c r="R14" s="401" t="n">
        <f aca="false">D14-C14</f>
        <v>0.0239</v>
      </c>
      <c r="S14" s="402" t="s">
        <v>288</v>
      </c>
      <c r="T14" s="368" t="n">
        <f aca="false">F14-E14</f>
        <v>-0.217</v>
      </c>
      <c r="U14" s="401" t="n">
        <f aca="false">G14-F14</f>
        <v>0.267</v>
      </c>
      <c r="V14" s="402" t="s">
        <v>288</v>
      </c>
      <c r="W14" s="368" t="n">
        <f aca="false">I14-H14</f>
        <v>-0.178</v>
      </c>
      <c r="X14" s="401" t="n">
        <f aca="false">J14-I14</f>
        <v>0.1164</v>
      </c>
      <c r="Y14" s="402" t="s">
        <v>288</v>
      </c>
      <c r="Z14" s="368" t="n">
        <f aca="false">L14-K14</f>
        <v>-0.034</v>
      </c>
      <c r="AA14" s="401" t="n">
        <f aca="false">M14-L14</f>
        <v>0.0502</v>
      </c>
    </row>
    <row r="15" customFormat="false" ht="12.75" hidden="false" customHeight="false" outlineLevel="0" collapsed="false">
      <c r="A15" s="404" t="s">
        <v>60</v>
      </c>
      <c r="B15" s="405" t="n">
        <v>0.463</v>
      </c>
      <c r="C15" s="406" t="n">
        <v>0.181</v>
      </c>
      <c r="D15" s="407" t="n">
        <v>0.2852</v>
      </c>
      <c r="E15" s="406" t="n">
        <v>0.825</v>
      </c>
      <c r="F15" s="406" t="n">
        <v>0.529</v>
      </c>
      <c r="G15" s="407" t="n">
        <v>0.8937</v>
      </c>
      <c r="H15" s="406" t="n">
        <v>0.391</v>
      </c>
      <c r="I15" s="406" t="n">
        <v>0.218</v>
      </c>
      <c r="J15" s="407" t="n">
        <v>0.3681</v>
      </c>
      <c r="K15" s="406" t="n">
        <v>0.458</v>
      </c>
      <c r="L15" s="406" t="n">
        <v>0.457</v>
      </c>
      <c r="M15" s="407" t="n">
        <v>0.5933</v>
      </c>
      <c r="O15" s="404" t="s">
        <v>60</v>
      </c>
      <c r="P15" s="408" t="s">
        <v>288</v>
      </c>
      <c r="Q15" s="406" t="n">
        <f aca="false">C15-B15</f>
        <v>-0.282</v>
      </c>
      <c r="R15" s="407" t="n">
        <f aca="false">D15-C15</f>
        <v>0.1042</v>
      </c>
      <c r="S15" s="408" t="s">
        <v>288</v>
      </c>
      <c r="T15" s="406" t="n">
        <f aca="false">F15-E15</f>
        <v>-0.296</v>
      </c>
      <c r="U15" s="407" t="n">
        <f aca="false">G15-F15</f>
        <v>0.3647</v>
      </c>
      <c r="V15" s="408" t="s">
        <v>288</v>
      </c>
      <c r="W15" s="406" t="n">
        <f aca="false">I15-H15</f>
        <v>-0.173</v>
      </c>
      <c r="X15" s="407" t="n">
        <f aca="false">J15-I15</f>
        <v>0.1501</v>
      </c>
      <c r="Y15" s="408" t="s">
        <v>288</v>
      </c>
      <c r="Z15" s="406" t="n">
        <f aca="false">L15-K15</f>
        <v>-0.000999999999999945</v>
      </c>
      <c r="AA15" s="407" t="n">
        <f aca="false">M15-L15</f>
        <v>0.1363</v>
      </c>
    </row>
    <row r="16" customFormat="false" ht="12" hidden="false" customHeight="false" outlineLevel="0" collapsed="false"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</row>
    <row r="17" customFormat="false" ht="12" hidden="false" customHeight="false" outlineLevel="0" collapsed="false"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391"/>
      <c r="Z17" s="391"/>
      <c r="AA17" s="391"/>
    </row>
    <row r="18" customFormat="false" ht="12.75" hidden="false" customHeight="false" outlineLevel="0" collapsed="false">
      <c r="O18" s="391"/>
      <c r="P18" s="391"/>
      <c r="Q18" s="391"/>
      <c r="R18" s="391"/>
      <c r="S18" s="391"/>
      <c r="T18" s="391"/>
      <c r="U18" s="391"/>
      <c r="V18" s="391"/>
      <c r="W18" s="391"/>
      <c r="X18" s="391"/>
      <c r="Y18" s="391"/>
      <c r="Z18" s="391"/>
      <c r="AA18" s="391"/>
    </row>
    <row r="19" customFormat="false" ht="13.5" hidden="false" customHeight="true" outlineLevel="0" collapsed="false">
      <c r="A19" s="409" t="s">
        <v>289</v>
      </c>
      <c r="B19" s="409"/>
      <c r="C19" s="409"/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O19" s="409" t="s">
        <v>290</v>
      </c>
      <c r="P19" s="409"/>
      <c r="Q19" s="409"/>
      <c r="R19" s="409"/>
      <c r="S19" s="409"/>
      <c r="T19" s="409"/>
      <c r="U19" s="409"/>
      <c r="V19" s="409"/>
      <c r="W19" s="409"/>
      <c r="X19" s="409"/>
      <c r="Y19" s="409"/>
      <c r="Z19" s="409"/>
      <c r="AA19" s="409"/>
    </row>
    <row r="20" customFormat="false" ht="12.75" hidden="false" customHeight="true" outlineLevel="0" collapsed="false">
      <c r="A20" s="393"/>
      <c r="B20" s="394" t="s">
        <v>19</v>
      </c>
      <c r="C20" s="394"/>
      <c r="D20" s="394"/>
      <c r="E20" s="394" t="s">
        <v>70</v>
      </c>
      <c r="F20" s="394"/>
      <c r="G20" s="394"/>
      <c r="H20" s="394" t="s">
        <v>75</v>
      </c>
      <c r="I20" s="394"/>
      <c r="J20" s="394"/>
      <c r="K20" s="394" t="s">
        <v>116</v>
      </c>
      <c r="L20" s="394"/>
      <c r="M20" s="394"/>
      <c r="O20" s="393"/>
      <c r="P20" s="394" t="s">
        <v>19</v>
      </c>
      <c r="Q20" s="394"/>
      <c r="R20" s="394"/>
      <c r="S20" s="394" t="s">
        <v>70</v>
      </c>
      <c r="T20" s="394"/>
      <c r="U20" s="394"/>
      <c r="V20" s="394" t="s">
        <v>75</v>
      </c>
      <c r="W20" s="394"/>
      <c r="X20" s="394"/>
      <c r="Y20" s="394" t="s">
        <v>116</v>
      </c>
      <c r="Z20" s="394"/>
      <c r="AA20" s="394"/>
    </row>
    <row r="21" customFormat="false" ht="12.75" hidden="false" customHeight="false" outlineLevel="0" collapsed="false">
      <c r="A21" s="395"/>
      <c r="B21" s="396" t="s">
        <v>286</v>
      </c>
      <c r="C21" s="397" t="s">
        <v>287</v>
      </c>
      <c r="D21" s="398" t="n">
        <v>2000</v>
      </c>
      <c r="E21" s="396" t="s">
        <v>286</v>
      </c>
      <c r="F21" s="397" t="s">
        <v>287</v>
      </c>
      <c r="G21" s="398" t="n">
        <v>2000</v>
      </c>
      <c r="H21" s="410" t="s">
        <v>286</v>
      </c>
      <c r="I21" s="397" t="s">
        <v>287</v>
      </c>
      <c r="J21" s="398" t="n">
        <v>2000</v>
      </c>
      <c r="K21" s="396" t="s">
        <v>286</v>
      </c>
      <c r="L21" s="397" t="s">
        <v>287</v>
      </c>
      <c r="M21" s="398" t="n">
        <v>2000</v>
      </c>
      <c r="O21" s="395"/>
      <c r="P21" s="396" t="s">
        <v>286</v>
      </c>
      <c r="Q21" s="397" t="s">
        <v>287</v>
      </c>
      <c r="R21" s="398" t="n">
        <v>2000</v>
      </c>
      <c r="S21" s="396" t="s">
        <v>286</v>
      </c>
      <c r="T21" s="397" t="s">
        <v>287</v>
      </c>
      <c r="U21" s="398" t="n">
        <v>2000</v>
      </c>
      <c r="V21" s="396" t="s">
        <v>286</v>
      </c>
      <c r="W21" s="397" t="s">
        <v>287</v>
      </c>
      <c r="X21" s="398" t="n">
        <v>2000</v>
      </c>
      <c r="Y21" s="396" t="s">
        <v>286</v>
      </c>
      <c r="Z21" s="397" t="s">
        <v>287</v>
      </c>
      <c r="AA21" s="398" t="n">
        <v>2000</v>
      </c>
    </row>
    <row r="22" customFormat="false" ht="12" hidden="false" customHeight="false" outlineLevel="0" collapsed="false">
      <c r="A22" s="399" t="s">
        <v>26</v>
      </c>
      <c r="B22" s="411" t="n">
        <v>0.78440334214097</v>
      </c>
      <c r="C22" s="368" t="n">
        <v>1.11</v>
      </c>
      <c r="D22" s="401" t="n">
        <v>0.97</v>
      </c>
      <c r="E22" s="411" t="n">
        <v>2.44415329184409</v>
      </c>
      <c r="F22" s="368" t="n">
        <v>0.96</v>
      </c>
      <c r="G22" s="401" t="n">
        <v>0.82</v>
      </c>
      <c r="H22" s="368" t="n">
        <v>0.673769771528998</v>
      </c>
      <c r="I22" s="368" t="n">
        <v>0.69</v>
      </c>
      <c r="J22" s="401" t="n">
        <v>0.89</v>
      </c>
      <c r="K22" s="411" t="n">
        <v>0.643612903225806</v>
      </c>
      <c r="L22" s="368" t="n">
        <v>0.79</v>
      </c>
      <c r="M22" s="401" t="n">
        <v>1.42</v>
      </c>
      <c r="O22" s="399" t="s">
        <v>26</v>
      </c>
      <c r="P22" s="402" t="s">
        <v>288</v>
      </c>
      <c r="Q22" s="368" t="n">
        <f aca="false">C22-B22</f>
        <v>0.32559665785903</v>
      </c>
      <c r="R22" s="401" t="n">
        <f aca="false">D22-C22</f>
        <v>-0.14</v>
      </c>
      <c r="S22" s="402" t="s">
        <v>288</v>
      </c>
      <c r="T22" s="368" t="n">
        <f aca="false">F22-E22</f>
        <v>-1.48415329184409</v>
      </c>
      <c r="U22" s="401" t="n">
        <f aca="false">G22-F22</f>
        <v>-0.14</v>
      </c>
      <c r="V22" s="402" t="s">
        <v>288</v>
      </c>
      <c r="W22" s="368" t="n">
        <f aca="false">I22-H22</f>
        <v>0.0162302284710016</v>
      </c>
      <c r="X22" s="401" t="n">
        <f aca="false">J22-I22</f>
        <v>0.2</v>
      </c>
      <c r="Y22" s="402" t="s">
        <v>288</v>
      </c>
      <c r="Z22" s="368" t="n">
        <f aca="false">L22-K22</f>
        <v>0.146387096774194</v>
      </c>
      <c r="AA22" s="401" t="n">
        <f aca="false">M22-L22</f>
        <v>0.63</v>
      </c>
    </row>
    <row r="23" customFormat="false" ht="12" hidden="false" customHeight="false" outlineLevel="0" collapsed="false">
      <c r="A23" s="403" t="s">
        <v>29</v>
      </c>
      <c r="B23" s="411" t="n">
        <v>0.959140804987126</v>
      </c>
      <c r="C23" s="368" t="n">
        <v>0.88</v>
      </c>
      <c r="D23" s="401" t="n">
        <v>1.15</v>
      </c>
      <c r="E23" s="411" t="n">
        <v>2.36773813034503</v>
      </c>
      <c r="F23" s="368" t="n">
        <v>1.41</v>
      </c>
      <c r="G23" s="401" t="n">
        <v>1.08</v>
      </c>
      <c r="H23" s="368" t="n">
        <v>0.641442907512883</v>
      </c>
      <c r="I23" s="368" t="n">
        <v>0.34</v>
      </c>
      <c r="J23" s="401" t="n">
        <v>1.1</v>
      </c>
      <c r="K23" s="411" t="n">
        <v>0.660127606894582</v>
      </c>
      <c r="L23" s="368" t="n">
        <v>0.56</v>
      </c>
      <c r="M23" s="401" t="n">
        <v>1.17</v>
      </c>
      <c r="O23" s="403" t="s">
        <v>29</v>
      </c>
      <c r="P23" s="402" t="s">
        <v>288</v>
      </c>
      <c r="Q23" s="368" t="n">
        <f aca="false">C23-B23</f>
        <v>-0.0791408049871256</v>
      </c>
      <c r="R23" s="401" t="n">
        <f aca="false">D23-C23</f>
        <v>0.27</v>
      </c>
      <c r="S23" s="402" t="s">
        <v>288</v>
      </c>
      <c r="T23" s="368" t="n">
        <f aca="false">F23-E23</f>
        <v>-0.957738130345031</v>
      </c>
      <c r="U23" s="401" t="n">
        <f aca="false">G23-F23</f>
        <v>-0.33</v>
      </c>
      <c r="V23" s="402" t="s">
        <v>288</v>
      </c>
      <c r="W23" s="368" t="n">
        <f aca="false">I23-H23</f>
        <v>-0.301442907512883</v>
      </c>
      <c r="X23" s="401" t="n">
        <f aca="false">J23-I23</f>
        <v>0.76</v>
      </c>
      <c r="Y23" s="402" t="s">
        <v>288</v>
      </c>
      <c r="Z23" s="368" t="n">
        <f aca="false">L23-K23</f>
        <v>-0.100127606894581</v>
      </c>
      <c r="AA23" s="401" t="n">
        <f aca="false">M23-L23</f>
        <v>0.61</v>
      </c>
    </row>
    <row r="24" customFormat="false" ht="12" hidden="false" customHeight="false" outlineLevel="0" collapsed="false">
      <c r="A24" s="403" t="s">
        <v>32</v>
      </c>
      <c r="B24" s="411" t="n">
        <v>0.986443376201773</v>
      </c>
      <c r="C24" s="368" t="n">
        <v>1.09</v>
      </c>
      <c r="D24" s="401" t="n">
        <v>1.09</v>
      </c>
      <c r="E24" s="411" t="n">
        <v>2.52205882352941</v>
      </c>
      <c r="F24" s="368" t="n">
        <v>1.03</v>
      </c>
      <c r="G24" s="401" t="n">
        <v>1.25</v>
      </c>
      <c r="H24" s="368" t="n">
        <v>0.728522336769759</v>
      </c>
      <c r="I24" s="368" t="n">
        <v>0.89</v>
      </c>
      <c r="J24" s="401" t="n">
        <v>0.91</v>
      </c>
      <c r="K24" s="411" t="n">
        <v>0.777896029471961</v>
      </c>
      <c r="L24" s="368" t="n">
        <v>0.79</v>
      </c>
      <c r="M24" s="401" t="n">
        <v>1.27</v>
      </c>
      <c r="O24" s="403" t="s">
        <v>32</v>
      </c>
      <c r="P24" s="402" t="s">
        <v>288</v>
      </c>
      <c r="Q24" s="368" t="n">
        <f aca="false">C24-B24</f>
        <v>0.103556623798227</v>
      </c>
      <c r="R24" s="401" t="n">
        <f aca="false">D24-C24</f>
        <v>0</v>
      </c>
      <c r="S24" s="402" t="s">
        <v>288</v>
      </c>
      <c r="T24" s="368" t="n">
        <f aca="false">F24-E24</f>
        <v>-1.49205882352941</v>
      </c>
      <c r="U24" s="401" t="n">
        <f aca="false">G24-F24</f>
        <v>0.22</v>
      </c>
      <c r="V24" s="402" t="s">
        <v>288</v>
      </c>
      <c r="W24" s="368" t="n">
        <f aca="false">I24-H24</f>
        <v>0.161477663230241</v>
      </c>
      <c r="X24" s="401" t="n">
        <f aca="false">J24-I24</f>
        <v>0.02</v>
      </c>
      <c r="Y24" s="402" t="s">
        <v>288</v>
      </c>
      <c r="Z24" s="368" t="n">
        <f aca="false">L24-K24</f>
        <v>0.0121039705280394</v>
      </c>
      <c r="AA24" s="401" t="n">
        <f aca="false">M24-L24</f>
        <v>0.48</v>
      </c>
    </row>
    <row r="25" customFormat="false" ht="12" hidden="false" customHeight="false" outlineLevel="0" collapsed="false">
      <c r="A25" s="403" t="s">
        <v>35</v>
      </c>
      <c r="B25" s="411" t="n">
        <v>1.16359447696233</v>
      </c>
      <c r="C25" s="368" t="n">
        <v>0.81</v>
      </c>
      <c r="D25" s="401" t="n">
        <v>0.85</v>
      </c>
      <c r="E25" s="411" t="n">
        <v>5.54572163055454</v>
      </c>
      <c r="F25" s="368" t="n">
        <v>1.33</v>
      </c>
      <c r="G25" s="401" t="n">
        <v>0.63</v>
      </c>
      <c r="H25" s="368" t="n">
        <v>0.472920353982301</v>
      </c>
      <c r="I25" s="368" t="n">
        <v>0.59</v>
      </c>
      <c r="J25" s="401" t="n">
        <v>0.9</v>
      </c>
      <c r="K25" s="411" t="n">
        <v>0.549645390070922</v>
      </c>
      <c r="L25" s="368" t="n">
        <v>0.65</v>
      </c>
      <c r="M25" s="401" t="n">
        <v>1.11</v>
      </c>
      <c r="O25" s="403" t="s">
        <v>35</v>
      </c>
      <c r="P25" s="402" t="s">
        <v>288</v>
      </c>
      <c r="Q25" s="368" t="n">
        <f aca="false">C25-B25</f>
        <v>-0.353594476962329</v>
      </c>
      <c r="R25" s="401" t="n">
        <f aca="false">D25-C25</f>
        <v>0.0399999999999999</v>
      </c>
      <c r="S25" s="402" t="s">
        <v>288</v>
      </c>
      <c r="T25" s="368" t="n">
        <f aca="false">F25-E25</f>
        <v>-4.21572163055454</v>
      </c>
      <c r="U25" s="401" t="n">
        <f aca="false">G25-F25</f>
        <v>-0.7</v>
      </c>
      <c r="V25" s="402" t="s">
        <v>288</v>
      </c>
      <c r="W25" s="368" t="n">
        <f aca="false">I25-H25</f>
        <v>0.117079646017699</v>
      </c>
      <c r="X25" s="401" t="n">
        <f aca="false">J25-I25</f>
        <v>0.31</v>
      </c>
      <c r="Y25" s="402" t="s">
        <v>288</v>
      </c>
      <c r="Z25" s="368" t="n">
        <f aca="false">L25-K25</f>
        <v>0.100354609929078</v>
      </c>
      <c r="AA25" s="401" t="n">
        <f aca="false">M25-L25</f>
        <v>0.46</v>
      </c>
    </row>
    <row r="26" customFormat="false" ht="12" hidden="false" customHeight="false" outlineLevel="0" collapsed="false">
      <c r="A26" s="403" t="s">
        <v>39</v>
      </c>
      <c r="B26" s="411" t="n">
        <v>1.19799235644139</v>
      </c>
      <c r="C26" s="368" t="n">
        <v>0.85</v>
      </c>
      <c r="D26" s="401" t="n">
        <v>0.74</v>
      </c>
      <c r="E26" s="411" t="n">
        <v>2.59505031275496</v>
      </c>
      <c r="F26" s="368" t="n">
        <v>0.56</v>
      </c>
      <c r="G26" s="401" t="n">
        <v>0.55</v>
      </c>
      <c r="H26" s="368" t="n">
        <v>0.564022219057114</v>
      </c>
      <c r="I26" s="368" t="n">
        <v>0.56</v>
      </c>
      <c r="J26" s="401" t="n">
        <v>0.73</v>
      </c>
      <c r="K26" s="411" t="n">
        <v>0.45353586928772</v>
      </c>
      <c r="L26" s="368" t="n">
        <v>0.82</v>
      </c>
      <c r="M26" s="401" t="n">
        <v>1.16</v>
      </c>
      <c r="O26" s="403" t="s">
        <v>39</v>
      </c>
      <c r="P26" s="402" t="s">
        <v>288</v>
      </c>
      <c r="Q26" s="368" t="n">
        <f aca="false">C26-B26</f>
        <v>-0.347992356441391</v>
      </c>
      <c r="R26" s="401" t="n">
        <f aca="false">D26-C26</f>
        <v>-0.11</v>
      </c>
      <c r="S26" s="402" t="s">
        <v>288</v>
      </c>
      <c r="T26" s="368" t="n">
        <f aca="false">F26-E26</f>
        <v>-2.03505031275496</v>
      </c>
      <c r="U26" s="401" t="n">
        <f aca="false">G26-F26</f>
        <v>-0.01</v>
      </c>
      <c r="V26" s="402" t="s">
        <v>288</v>
      </c>
      <c r="W26" s="368" t="n">
        <f aca="false">I26-H26</f>
        <v>-0.00402221905711431</v>
      </c>
      <c r="X26" s="401" t="n">
        <f aca="false">J26-I26</f>
        <v>0.17</v>
      </c>
      <c r="Y26" s="402" t="s">
        <v>288</v>
      </c>
      <c r="Z26" s="368" t="n">
        <f aca="false">L26-K26</f>
        <v>0.36646413071228</v>
      </c>
      <c r="AA26" s="401" t="n">
        <f aca="false">M26-L26</f>
        <v>0.34</v>
      </c>
    </row>
    <row r="27" customFormat="false" ht="12" hidden="false" customHeight="false" outlineLevel="0" collapsed="false">
      <c r="A27" s="403" t="s">
        <v>42</v>
      </c>
      <c r="B27" s="411" t="n">
        <v>1.07298626098858</v>
      </c>
      <c r="C27" s="368" t="n">
        <v>0.92</v>
      </c>
      <c r="D27" s="401" t="n">
        <v>0.77</v>
      </c>
      <c r="E27" s="411" t="n">
        <v>0.74217857958438</v>
      </c>
      <c r="F27" s="368" t="n">
        <v>1.17</v>
      </c>
      <c r="G27" s="401" t="n">
        <v>0.55</v>
      </c>
      <c r="H27" s="368" t="n">
        <v>0.744605809128631</v>
      </c>
      <c r="I27" s="368" t="n">
        <v>0.64</v>
      </c>
      <c r="J27" s="401" t="n">
        <v>0.76</v>
      </c>
      <c r="K27" s="411" t="n">
        <v>0.419003115264798</v>
      </c>
      <c r="L27" s="368" t="n">
        <v>0.63</v>
      </c>
      <c r="M27" s="401" t="n">
        <v>0.83</v>
      </c>
      <c r="O27" s="403" t="s">
        <v>42</v>
      </c>
      <c r="P27" s="402" t="s">
        <v>288</v>
      </c>
      <c r="Q27" s="368" t="n">
        <f aca="false">C27-B27</f>
        <v>-0.152986260988577</v>
      </c>
      <c r="R27" s="401" t="n">
        <f aca="false">D27-C27</f>
        <v>-0.15</v>
      </c>
      <c r="S27" s="402" t="s">
        <v>288</v>
      </c>
      <c r="T27" s="368" t="n">
        <f aca="false">F27-E27</f>
        <v>0.42782142041562</v>
      </c>
      <c r="U27" s="401" t="n">
        <f aca="false">G27-F27</f>
        <v>-0.62</v>
      </c>
      <c r="V27" s="402" t="s">
        <v>288</v>
      </c>
      <c r="W27" s="368" t="n">
        <f aca="false">I27-H27</f>
        <v>-0.104605809128631</v>
      </c>
      <c r="X27" s="401" t="n">
        <f aca="false">J27-I27</f>
        <v>0.12</v>
      </c>
      <c r="Y27" s="402" t="s">
        <v>288</v>
      </c>
      <c r="Z27" s="368" t="n">
        <f aca="false">L27-K27</f>
        <v>0.210996884735203</v>
      </c>
      <c r="AA27" s="401" t="n">
        <f aca="false">M27-L27</f>
        <v>0.2</v>
      </c>
    </row>
    <row r="28" customFormat="false" ht="12" hidden="false" customHeight="false" outlineLevel="0" collapsed="false">
      <c r="A28" s="403" t="s">
        <v>45</v>
      </c>
      <c r="B28" s="411" t="n">
        <v>0.9929195661714</v>
      </c>
      <c r="C28" s="368" t="n">
        <v>1.07</v>
      </c>
      <c r="D28" s="401" t="n">
        <v>0.86</v>
      </c>
      <c r="E28" s="411" t="n">
        <v>1.3745995423341</v>
      </c>
      <c r="F28" s="368" t="n">
        <v>2.04</v>
      </c>
      <c r="G28" s="401" t="n">
        <v>0.92</v>
      </c>
      <c r="H28" s="368" t="n">
        <v>0.744542032622334</v>
      </c>
      <c r="I28" s="368" t="n">
        <v>0.72</v>
      </c>
      <c r="J28" s="401" t="n">
        <v>0.78</v>
      </c>
      <c r="K28" s="411" t="n">
        <v>0.607285650821857</v>
      </c>
      <c r="L28" s="368" t="n">
        <v>0.68</v>
      </c>
      <c r="M28" s="401" t="n">
        <v>0.89</v>
      </c>
      <c r="O28" s="403" t="s">
        <v>45</v>
      </c>
      <c r="P28" s="402" t="s">
        <v>288</v>
      </c>
      <c r="Q28" s="368" t="n">
        <f aca="false">C28-B28</f>
        <v>0.0770804338286003</v>
      </c>
      <c r="R28" s="401" t="n">
        <f aca="false">D28-C28</f>
        <v>-0.21</v>
      </c>
      <c r="S28" s="402" t="s">
        <v>288</v>
      </c>
      <c r="T28" s="368" t="n">
        <f aca="false">F28-E28</f>
        <v>0.665400457665904</v>
      </c>
      <c r="U28" s="401" t="n">
        <f aca="false">G28-F28</f>
        <v>-1.12</v>
      </c>
      <c r="V28" s="402" t="s">
        <v>288</v>
      </c>
      <c r="W28" s="368" t="n">
        <f aca="false">I28-H28</f>
        <v>-0.0245420326223338</v>
      </c>
      <c r="X28" s="401" t="n">
        <f aca="false">J28-I28</f>
        <v>0.0600000000000001</v>
      </c>
      <c r="Y28" s="402" t="s">
        <v>288</v>
      </c>
      <c r="Z28" s="368" t="n">
        <f aca="false">L28-K28</f>
        <v>0.0727143491781431</v>
      </c>
      <c r="AA28" s="401" t="n">
        <f aca="false">M28-L28</f>
        <v>0.21</v>
      </c>
    </row>
    <row r="29" customFormat="false" ht="12" hidden="false" customHeight="false" outlineLevel="0" collapsed="false">
      <c r="A29" s="403" t="s">
        <v>48</v>
      </c>
      <c r="B29" s="411" t="n">
        <v>1.33482658959538</v>
      </c>
      <c r="C29" s="368" t="n">
        <v>0.83</v>
      </c>
      <c r="D29" s="401" t="n">
        <v>0.97</v>
      </c>
      <c r="E29" s="411" t="n">
        <v>2.82061473237944</v>
      </c>
      <c r="F29" s="368" t="n">
        <v>0.42</v>
      </c>
      <c r="G29" s="401" t="n">
        <v>0.67</v>
      </c>
      <c r="H29" s="368" t="n">
        <v>0.795081967213115</v>
      </c>
      <c r="I29" s="368" t="n">
        <v>0.63</v>
      </c>
      <c r="J29" s="401" t="n">
        <v>0.73</v>
      </c>
      <c r="K29" s="411" t="n">
        <v>0.595328282828283</v>
      </c>
      <c r="L29" s="368" t="n">
        <v>0.73</v>
      </c>
      <c r="M29" s="401" t="n">
        <v>0.97</v>
      </c>
      <c r="O29" s="403" t="s">
        <v>48</v>
      </c>
      <c r="P29" s="402" t="s">
        <v>288</v>
      </c>
      <c r="Q29" s="368" t="n">
        <f aca="false">C29-B29</f>
        <v>-0.504826589595376</v>
      </c>
      <c r="R29" s="401" t="n">
        <f aca="false">D29-C29</f>
        <v>0.14</v>
      </c>
      <c r="S29" s="402" t="s">
        <v>288</v>
      </c>
      <c r="T29" s="368" t="n">
        <f aca="false">F29-E29</f>
        <v>-2.40061473237944</v>
      </c>
      <c r="U29" s="401" t="n">
        <f aca="false">G29-F29</f>
        <v>0.25</v>
      </c>
      <c r="V29" s="402" t="s">
        <v>288</v>
      </c>
      <c r="W29" s="368" t="n">
        <f aca="false">I29-H29</f>
        <v>-0.165081967213115</v>
      </c>
      <c r="X29" s="401" t="n">
        <f aca="false">J29-I29</f>
        <v>0.1</v>
      </c>
      <c r="Y29" s="402" t="s">
        <v>288</v>
      </c>
      <c r="Z29" s="368" t="n">
        <f aca="false">L29-K29</f>
        <v>0.134671717171717</v>
      </c>
      <c r="AA29" s="401" t="n">
        <f aca="false">M29-L29</f>
        <v>0.24</v>
      </c>
    </row>
    <row r="30" customFormat="false" ht="12" hidden="false" customHeight="false" outlineLevel="0" collapsed="false">
      <c r="A30" s="403" t="s">
        <v>52</v>
      </c>
      <c r="B30" s="411" t="n">
        <v>1.37901591895803</v>
      </c>
      <c r="C30" s="368" t="n">
        <v>0.96</v>
      </c>
      <c r="D30" s="401" t="n">
        <v>0.95</v>
      </c>
      <c r="E30" s="411" t="n">
        <v>2.41201814058957</v>
      </c>
      <c r="F30" s="368" t="n">
        <v>0.47</v>
      </c>
      <c r="G30" s="401" t="n">
        <v>2.1</v>
      </c>
      <c r="H30" s="368" t="n">
        <v>0.81163251817581</v>
      </c>
      <c r="I30" s="368" t="n">
        <v>0.6</v>
      </c>
      <c r="J30" s="401" t="n">
        <v>0.83</v>
      </c>
      <c r="K30" s="411" t="n">
        <v>0.639676113360324</v>
      </c>
      <c r="L30" s="368" t="n">
        <v>0.72</v>
      </c>
      <c r="M30" s="401" t="n">
        <v>0.88</v>
      </c>
      <c r="O30" s="403" t="s">
        <v>52</v>
      </c>
      <c r="P30" s="402" t="s">
        <v>288</v>
      </c>
      <c r="Q30" s="368" t="n">
        <f aca="false">C30-B30</f>
        <v>-0.419015918958032</v>
      </c>
      <c r="R30" s="401" t="n">
        <f aca="false">D30-C30</f>
        <v>-0.01</v>
      </c>
      <c r="S30" s="402" t="s">
        <v>288</v>
      </c>
      <c r="T30" s="368" t="n">
        <f aca="false">F30-E30</f>
        <v>-1.94201814058957</v>
      </c>
      <c r="U30" s="401" t="n">
        <f aca="false">G30-F30</f>
        <v>1.63</v>
      </c>
      <c r="V30" s="402" t="s">
        <v>288</v>
      </c>
      <c r="W30" s="368" t="n">
        <f aca="false">I30-H30</f>
        <v>-0.21163251817581</v>
      </c>
      <c r="X30" s="401" t="n">
        <f aca="false">J30-I30</f>
        <v>0.23</v>
      </c>
      <c r="Y30" s="402" t="s">
        <v>288</v>
      </c>
      <c r="Z30" s="368" t="n">
        <f aca="false">L30-K30</f>
        <v>0.0803238866396761</v>
      </c>
      <c r="AA30" s="401" t="n">
        <f aca="false">M30-L30</f>
        <v>0.16</v>
      </c>
    </row>
    <row r="31" customFormat="false" ht="12" hidden="false" customHeight="false" outlineLevel="0" collapsed="false">
      <c r="A31" s="403" t="s">
        <v>54</v>
      </c>
      <c r="B31" s="411" t="n">
        <v>1.77025888019266</v>
      </c>
      <c r="C31" s="368" t="n">
        <v>0.61</v>
      </c>
      <c r="D31" s="401" t="n">
        <v>0.92</v>
      </c>
      <c r="E31" s="411" t="n">
        <v>2.92143703118831</v>
      </c>
      <c r="F31" s="368" t="n">
        <v>1.16</v>
      </c>
      <c r="G31" s="401" t="n">
        <v>1.84</v>
      </c>
      <c r="H31" s="368" t="n">
        <v>0.68044890726521</v>
      </c>
      <c r="I31" s="368" t="n">
        <v>0.57</v>
      </c>
      <c r="J31" s="401" t="n">
        <v>0.69</v>
      </c>
      <c r="K31" s="411" t="n">
        <v>0.664254703328509</v>
      </c>
      <c r="L31" s="368" t="n">
        <v>0.8</v>
      </c>
      <c r="M31" s="401" t="n">
        <v>0.88</v>
      </c>
      <c r="O31" s="403" t="s">
        <v>54</v>
      </c>
      <c r="P31" s="402" t="s">
        <v>288</v>
      </c>
      <c r="Q31" s="368" t="n">
        <f aca="false">C31-B31</f>
        <v>-1.16025888019266</v>
      </c>
      <c r="R31" s="401" t="n">
        <f aca="false">D31-C31</f>
        <v>0.31</v>
      </c>
      <c r="S31" s="402" t="s">
        <v>288</v>
      </c>
      <c r="T31" s="368" t="n">
        <f aca="false">F31-E31</f>
        <v>-1.76143703118831</v>
      </c>
      <c r="U31" s="401" t="n">
        <f aca="false">G31-F31</f>
        <v>0.68</v>
      </c>
      <c r="V31" s="402" t="s">
        <v>288</v>
      </c>
      <c r="W31" s="368" t="n">
        <f aca="false">I31-H31</f>
        <v>-0.11044890726521</v>
      </c>
      <c r="X31" s="401" t="n">
        <f aca="false">J31-I31</f>
        <v>0.12</v>
      </c>
      <c r="Y31" s="402" t="s">
        <v>288</v>
      </c>
      <c r="Z31" s="368" t="n">
        <f aca="false">L31-K31</f>
        <v>0.135745296671491</v>
      </c>
      <c r="AA31" s="401" t="n">
        <f aca="false">M31-L31</f>
        <v>0.08</v>
      </c>
    </row>
    <row r="32" customFormat="false" ht="12" hidden="false" customHeight="false" outlineLevel="0" collapsed="false">
      <c r="A32" s="403" t="s">
        <v>57</v>
      </c>
      <c r="B32" s="411" t="n">
        <v>1.00769897026273</v>
      </c>
      <c r="C32" s="368" t="n">
        <v>0.7</v>
      </c>
      <c r="D32" s="401" t="n">
        <v>1.09</v>
      </c>
      <c r="E32" s="411" t="n">
        <v>0.965013843443242</v>
      </c>
      <c r="F32" s="368" t="n">
        <v>0.58</v>
      </c>
      <c r="G32" s="401" t="n">
        <v>0.85</v>
      </c>
      <c r="H32" s="368" t="n">
        <v>1.07600732600733</v>
      </c>
      <c r="I32" s="368" t="n">
        <v>0.75</v>
      </c>
      <c r="J32" s="401" t="n">
        <v>0.9</v>
      </c>
      <c r="K32" s="411" t="n">
        <v>0.761674008810573</v>
      </c>
      <c r="L32" s="368" t="n">
        <v>0.93</v>
      </c>
      <c r="M32" s="401" t="n">
        <v>1.08</v>
      </c>
      <c r="O32" s="403" t="s">
        <v>57</v>
      </c>
      <c r="P32" s="402" t="s">
        <v>288</v>
      </c>
      <c r="Q32" s="368" t="n">
        <f aca="false">C32-B32</f>
        <v>-0.307698970262727</v>
      </c>
      <c r="R32" s="401" t="n">
        <f aca="false">D32-C32</f>
        <v>0.39</v>
      </c>
      <c r="S32" s="402" t="s">
        <v>288</v>
      </c>
      <c r="T32" s="368" t="n">
        <f aca="false">F32-E32</f>
        <v>-0.385013843443242</v>
      </c>
      <c r="U32" s="401" t="n">
        <f aca="false">G32-F32</f>
        <v>0.27</v>
      </c>
      <c r="V32" s="402" t="s">
        <v>288</v>
      </c>
      <c r="W32" s="368" t="n">
        <f aca="false">I32-H32</f>
        <v>-0.326007326007326</v>
      </c>
      <c r="X32" s="401" t="n">
        <f aca="false">J32-I32</f>
        <v>0.15</v>
      </c>
      <c r="Y32" s="402" t="s">
        <v>288</v>
      </c>
      <c r="Z32" s="368" t="n">
        <f aca="false">L32-K32</f>
        <v>0.168325991189427</v>
      </c>
      <c r="AA32" s="401" t="n">
        <f aca="false">M32-L32</f>
        <v>0.15</v>
      </c>
    </row>
    <row r="33" customFormat="false" ht="12.75" hidden="false" customHeight="false" outlineLevel="0" collapsed="false">
      <c r="A33" s="404" t="s">
        <v>60</v>
      </c>
      <c r="B33" s="412" t="n">
        <v>0.981144238517325</v>
      </c>
      <c r="C33" s="406" t="n">
        <v>0.68</v>
      </c>
      <c r="D33" s="407" t="n">
        <v>1.07</v>
      </c>
      <c r="E33" s="412" t="n">
        <v>0.984779299847793</v>
      </c>
      <c r="F33" s="406" t="n">
        <v>0.59</v>
      </c>
      <c r="G33" s="407" t="n">
        <v>0.78</v>
      </c>
      <c r="H33" s="406" t="n">
        <v>0.919115388553292</v>
      </c>
      <c r="I33" s="406" t="n">
        <v>0.92</v>
      </c>
      <c r="J33" s="407" t="n">
        <v>1.07</v>
      </c>
      <c r="K33" s="412" t="n">
        <v>0.844238170704098</v>
      </c>
      <c r="L33" s="406" t="n">
        <v>1.17</v>
      </c>
      <c r="M33" s="407" t="n">
        <v>1.35</v>
      </c>
      <c r="O33" s="404" t="s">
        <v>60</v>
      </c>
      <c r="P33" s="408" t="s">
        <v>288</v>
      </c>
      <c r="Q33" s="406" t="n">
        <f aca="false">C33-B33</f>
        <v>-0.301144238517325</v>
      </c>
      <c r="R33" s="407" t="n">
        <f aca="false">D33-C33</f>
        <v>0.39</v>
      </c>
      <c r="S33" s="408" t="s">
        <v>288</v>
      </c>
      <c r="T33" s="406" t="n">
        <f aca="false">F33-E33</f>
        <v>-0.394779299847793</v>
      </c>
      <c r="U33" s="407" t="n">
        <f aca="false">G33-F33</f>
        <v>0.19</v>
      </c>
      <c r="V33" s="408" t="s">
        <v>288</v>
      </c>
      <c r="W33" s="406" t="n">
        <f aca="false">I33-H33</f>
        <v>0.000884611446708372</v>
      </c>
      <c r="X33" s="407" t="n">
        <f aca="false">J33-I33</f>
        <v>0.15</v>
      </c>
      <c r="Y33" s="408" t="s">
        <v>288</v>
      </c>
      <c r="Z33" s="406" t="n">
        <f aca="false">L33-K33</f>
        <v>0.325761829295902</v>
      </c>
      <c r="AA33" s="407" t="n">
        <f aca="false">M33-L33</f>
        <v>0.18</v>
      </c>
    </row>
    <row r="34" customFormat="false" ht="12" hidden="false" customHeight="false" outlineLevel="0" collapsed="false">
      <c r="O34" s="391"/>
      <c r="P34" s="391"/>
      <c r="Q34" s="391"/>
      <c r="R34" s="391"/>
      <c r="S34" s="391"/>
      <c r="T34" s="391"/>
      <c r="U34" s="391"/>
      <c r="V34" s="391"/>
      <c r="W34" s="391"/>
      <c r="X34" s="391"/>
      <c r="Y34" s="391"/>
      <c r="Z34" s="391"/>
      <c r="AA34" s="391"/>
    </row>
    <row r="35" customFormat="false" ht="12" hidden="false" customHeight="false" outlineLevel="0" collapsed="false"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391"/>
      <c r="Z35" s="391"/>
      <c r="AA35" s="391"/>
    </row>
    <row r="36" customFormat="false" ht="12" hidden="false" customHeight="false" outlineLevel="0" collapsed="false"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391"/>
      <c r="Z36" s="391"/>
      <c r="AA36" s="391"/>
    </row>
    <row r="37" customFormat="false" ht="12" hidden="false" customHeight="false" outlineLevel="0" collapsed="false"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391"/>
      <c r="Z37" s="391"/>
      <c r="AA37" s="391"/>
    </row>
  </sheetData>
  <mergeCells count="20">
    <mergeCell ref="A1:M1"/>
    <mergeCell ref="O1:AA1"/>
    <mergeCell ref="B2:D2"/>
    <mergeCell ref="E2:G2"/>
    <mergeCell ref="H2:J2"/>
    <mergeCell ref="K2:M2"/>
    <mergeCell ref="P2:R2"/>
    <mergeCell ref="S2:U2"/>
    <mergeCell ref="V2:X2"/>
    <mergeCell ref="Y2:AA2"/>
    <mergeCell ref="A19:M19"/>
    <mergeCell ref="O19:AA19"/>
    <mergeCell ref="B20:D20"/>
    <mergeCell ref="E20:G20"/>
    <mergeCell ref="H20:J20"/>
    <mergeCell ref="K20:M20"/>
    <mergeCell ref="P20:R20"/>
    <mergeCell ref="S20:U20"/>
    <mergeCell ref="V20:X20"/>
    <mergeCell ref="Y20:AA20"/>
  </mergeCells>
  <conditionalFormatting sqref="C22:D33 F22:J33 L22:M33 Q22:R33 T22:U33 W22:X33 Z22:AA33 Q4:R15 T4:U15 W4:X15 Z4:AA15">
    <cfRule type="cellIs" priority="2" operator="lessThan" aboveAverage="0" equalAverage="0" bottom="0" percent="0" rank="0" text="" dxfId="0">
      <formula>0</formula>
    </cfRule>
  </conditionalFormatting>
  <printOptions headings="false" gridLines="false" gridLinesSet="true" horizontalCentered="true" verticalCentered="false"/>
  <pageMargins left="0.25" right="0.25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E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B5" activeCellId="0" sqref="B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3" width="9.41"/>
    <col collapsed="false" customWidth="true" hidden="false" outlineLevel="0" max="2" min="2" style="413" width="10.85"/>
    <col collapsed="false" customWidth="false" hidden="false" outlineLevel="0" max="3" min="3" style="413" width="9.14"/>
    <col collapsed="false" customWidth="false" hidden="false" outlineLevel="0" max="4" min="4" style="414" width="9.14"/>
    <col collapsed="false" customWidth="false" hidden="false" outlineLevel="0" max="9" min="5" style="413" width="9.14"/>
    <col collapsed="false" customWidth="false" hidden="false" outlineLevel="0" max="10" min="10" style="414" width="9.14"/>
    <col collapsed="false" customWidth="true" hidden="false" outlineLevel="0" max="11" min="11" style="413" width="9.56"/>
    <col collapsed="false" customWidth="false" hidden="false" outlineLevel="0" max="15" min="12" style="413" width="9.14"/>
    <col collapsed="false" customWidth="false" hidden="false" outlineLevel="0" max="18" min="16" style="414" width="9.14"/>
    <col collapsed="false" customWidth="false" hidden="false" outlineLevel="0" max="26" min="19" style="413" width="9.14"/>
    <col collapsed="false" customWidth="true" hidden="false" outlineLevel="0" max="27" min="27" style="413" width="10.13"/>
    <col collapsed="false" customWidth="true" hidden="false" outlineLevel="0" max="28" min="28" style="413" width="10.56"/>
    <col collapsed="false" customWidth="true" hidden="false" outlineLevel="0" max="30" min="29" style="413" width="12.14"/>
    <col collapsed="false" customWidth="true" hidden="false" outlineLevel="0" max="31" min="31" style="413" width="10.56"/>
    <col collapsed="false" customWidth="false" hidden="false" outlineLevel="0" max="257" min="32" style="413" width="9.14"/>
  </cols>
  <sheetData>
    <row r="1" customFormat="false" ht="12.75" hidden="false" customHeight="false" outlineLevel="0" collapsed="false">
      <c r="B1" s="415" t="s">
        <v>19</v>
      </c>
      <c r="C1" s="416"/>
      <c r="D1" s="416"/>
      <c r="E1" s="416"/>
      <c r="F1" s="416"/>
      <c r="G1" s="417"/>
      <c r="H1" s="415" t="s">
        <v>70</v>
      </c>
      <c r="I1" s="416"/>
      <c r="J1" s="416"/>
      <c r="K1" s="416"/>
      <c r="L1" s="416"/>
      <c r="M1" s="417"/>
      <c r="N1" s="415" t="s">
        <v>75</v>
      </c>
      <c r="O1" s="416"/>
      <c r="P1" s="416"/>
      <c r="Q1" s="416"/>
      <c r="R1" s="416"/>
      <c r="S1" s="417"/>
      <c r="T1" s="415" t="s">
        <v>116</v>
      </c>
      <c r="U1" s="416"/>
      <c r="V1" s="416"/>
      <c r="W1" s="416"/>
      <c r="X1" s="416"/>
      <c r="Y1" s="417"/>
    </row>
    <row r="2" customFormat="false" ht="13.5" hidden="false" customHeight="false" outlineLevel="0" collapsed="false">
      <c r="B2" s="418" t="s">
        <v>291</v>
      </c>
      <c r="C2" s="419" t="s">
        <v>292</v>
      </c>
      <c r="D2" s="420" t="s">
        <v>270</v>
      </c>
      <c r="E2" s="419" t="s">
        <v>293</v>
      </c>
      <c r="F2" s="419" t="s">
        <v>294</v>
      </c>
      <c r="G2" s="421" t="s">
        <v>295</v>
      </c>
      <c r="H2" s="418" t="s">
        <v>291</v>
      </c>
      <c r="I2" s="419" t="s">
        <v>292</v>
      </c>
      <c r="J2" s="420" t="s">
        <v>270</v>
      </c>
      <c r="K2" s="419" t="s">
        <v>293</v>
      </c>
      <c r="L2" s="419" t="s">
        <v>294</v>
      </c>
      <c r="M2" s="421" t="s">
        <v>295</v>
      </c>
      <c r="N2" s="418" t="s">
        <v>291</v>
      </c>
      <c r="O2" s="419" t="s">
        <v>292</v>
      </c>
      <c r="P2" s="420" t="s">
        <v>270</v>
      </c>
      <c r="Q2" s="419" t="s">
        <v>293</v>
      </c>
      <c r="R2" s="419" t="s">
        <v>294</v>
      </c>
      <c r="S2" s="421" t="s">
        <v>295</v>
      </c>
      <c r="T2" s="418" t="s">
        <v>291</v>
      </c>
      <c r="U2" s="419" t="s">
        <v>292</v>
      </c>
      <c r="V2" s="420" t="s">
        <v>270</v>
      </c>
      <c r="W2" s="419" t="s">
        <v>293</v>
      </c>
      <c r="X2" s="419" t="s">
        <v>294</v>
      </c>
      <c r="Y2" s="421" t="s">
        <v>295</v>
      </c>
    </row>
    <row r="3" customFormat="false" ht="12.75" hidden="true" customHeight="false" outlineLevel="0" collapsed="false">
      <c r="A3" s="422" t="n">
        <v>36100</v>
      </c>
      <c r="B3" s="413" t="n">
        <v>20887</v>
      </c>
      <c r="C3" s="423" t="n">
        <v>1.01</v>
      </c>
      <c r="D3" s="414" t="n">
        <v>0.432</v>
      </c>
      <c r="I3" s="423"/>
      <c r="N3" s="413" t="n">
        <v>5895</v>
      </c>
      <c r="O3" s="423" t="n">
        <v>1.08</v>
      </c>
      <c r="P3" s="414" t="n">
        <v>0.337</v>
      </c>
      <c r="U3" s="423"/>
      <c r="V3" s="414"/>
    </row>
    <row r="4" customFormat="false" ht="12.75" hidden="true" customHeight="false" outlineLevel="0" collapsed="false">
      <c r="A4" s="422" t="n">
        <v>36130</v>
      </c>
      <c r="B4" s="413" t="n">
        <v>30440</v>
      </c>
      <c r="C4" s="423" t="n">
        <v>0.93</v>
      </c>
      <c r="D4" s="414" t="n">
        <v>0.463</v>
      </c>
      <c r="I4" s="423"/>
      <c r="N4" s="413" t="n">
        <v>8977</v>
      </c>
      <c r="O4" s="423" t="n">
        <v>0.92</v>
      </c>
      <c r="P4" s="414" t="n">
        <v>0.391</v>
      </c>
      <c r="U4" s="423"/>
      <c r="V4" s="414"/>
    </row>
    <row r="5" customFormat="false" ht="12.75" hidden="false" customHeight="false" outlineLevel="0" collapsed="false">
      <c r="A5" s="422" t="n">
        <v>36161</v>
      </c>
      <c r="B5" s="424" t="n">
        <v>49147</v>
      </c>
      <c r="C5" s="423" t="n">
        <v>1.17</v>
      </c>
      <c r="D5" s="414" t="n">
        <v>0.568</v>
      </c>
      <c r="E5" s="413" t="n">
        <v>56.21</v>
      </c>
      <c r="F5" s="413" t="n">
        <f aca="false">E5</f>
        <v>56.21</v>
      </c>
      <c r="G5" s="413" t="n">
        <f aca="false">E5</f>
        <v>56.21</v>
      </c>
      <c r="H5" s="424" t="n">
        <v>2937</v>
      </c>
      <c r="I5" s="423" t="n">
        <v>0.96</v>
      </c>
      <c r="J5" s="414" t="n">
        <v>0.792</v>
      </c>
      <c r="K5" s="413" t="n">
        <v>56.21</v>
      </c>
      <c r="L5" s="413" t="n">
        <f aca="false">K5</f>
        <v>56.21</v>
      </c>
      <c r="M5" s="413" t="n">
        <f aca="false">K5</f>
        <v>56.21</v>
      </c>
      <c r="N5" s="424" t="n">
        <v>9383</v>
      </c>
      <c r="O5" s="423" t="n">
        <v>0.69</v>
      </c>
      <c r="P5" s="414" t="n">
        <v>0.444</v>
      </c>
      <c r="Q5" s="413" t="n">
        <v>39.49</v>
      </c>
      <c r="R5" s="413" t="n">
        <f aca="false">Q5</f>
        <v>39.49</v>
      </c>
      <c r="S5" s="413" t="n">
        <f aca="false">Q5</f>
        <v>39.49</v>
      </c>
      <c r="T5" s="424" t="n">
        <v>6138</v>
      </c>
      <c r="U5" s="423" t="n">
        <v>0.79</v>
      </c>
      <c r="V5" s="414" t="n">
        <v>0.742</v>
      </c>
      <c r="W5" s="413" t="n">
        <v>39.49</v>
      </c>
      <c r="X5" s="413" t="n">
        <f aca="false">W5</f>
        <v>39.49</v>
      </c>
      <c r="Y5" s="413" t="n">
        <f aca="false">W5</f>
        <v>39.49</v>
      </c>
      <c r="AA5" s="425" t="n">
        <v>116.99159703873</v>
      </c>
      <c r="AB5" s="423" t="n">
        <f aca="false">AA5/100</f>
        <v>1.1699159703873</v>
      </c>
      <c r="AC5" s="426" t="n">
        <f aca="false">AB5-C5</f>
        <v>-8.40296127020412E-005</v>
      </c>
    </row>
    <row r="6" customFormat="false" ht="12.75" hidden="false" customHeight="false" outlineLevel="0" collapsed="false">
      <c r="A6" s="422" t="n">
        <v>36192</v>
      </c>
      <c r="B6" s="424" t="n">
        <v>41601</v>
      </c>
      <c r="C6" s="423" t="n">
        <v>0.94</v>
      </c>
      <c r="D6" s="414" t="n">
        <v>0.622</v>
      </c>
      <c r="E6" s="413" t="n">
        <v>50.05</v>
      </c>
      <c r="F6" s="413" t="n">
        <f aca="false">E6</f>
        <v>50.05</v>
      </c>
      <c r="G6" s="413" t="n">
        <f aca="false">E6</f>
        <v>50.05</v>
      </c>
      <c r="H6" s="424" t="n">
        <v>4771</v>
      </c>
      <c r="I6" s="423" t="n">
        <v>1.41</v>
      </c>
      <c r="J6" s="414" t="n">
        <v>0.844</v>
      </c>
      <c r="K6" s="413" t="n">
        <v>50.05</v>
      </c>
      <c r="L6" s="413" t="n">
        <f aca="false">K6</f>
        <v>50.05</v>
      </c>
      <c r="M6" s="413" t="n">
        <f aca="false">K6</f>
        <v>50.05</v>
      </c>
      <c r="N6" s="424" t="n">
        <v>4989</v>
      </c>
      <c r="O6" s="423" t="n">
        <v>0.34</v>
      </c>
      <c r="P6" s="414" t="n">
        <v>0.426</v>
      </c>
      <c r="Q6" s="413" t="n">
        <v>26.07</v>
      </c>
      <c r="R6" s="413" t="n">
        <f aca="false">Q6</f>
        <v>26.07</v>
      </c>
      <c r="S6" s="413" t="n">
        <f aca="false">Q6</f>
        <v>26.07</v>
      </c>
      <c r="T6" s="424" t="n">
        <v>5882</v>
      </c>
      <c r="U6" s="423" t="n">
        <v>0.56</v>
      </c>
      <c r="V6" s="414" t="n">
        <v>0.802</v>
      </c>
      <c r="W6" s="413" t="n">
        <v>26.07</v>
      </c>
      <c r="X6" s="413" t="n">
        <f aca="false">W6</f>
        <v>26.07</v>
      </c>
      <c r="Y6" s="413" t="n">
        <f aca="false">W6</f>
        <v>26.07</v>
      </c>
      <c r="AA6" s="425" t="n">
        <v>93.9625965577992</v>
      </c>
      <c r="AB6" s="423" t="n">
        <f aca="false">AA6/100</f>
        <v>0.939625965577992</v>
      </c>
      <c r="AC6" s="426" t="n">
        <f aca="false">AB6-C6</f>
        <v>-0.00037403442200834</v>
      </c>
    </row>
    <row r="7" customFormat="false" ht="12.75" hidden="false" customHeight="false" outlineLevel="0" collapsed="false">
      <c r="A7" s="422" t="n">
        <v>36220</v>
      </c>
      <c r="B7" s="424" t="n">
        <v>48275</v>
      </c>
      <c r="C7" s="423" t="n">
        <v>1.11</v>
      </c>
      <c r="D7" s="414" t="n">
        <v>0.71</v>
      </c>
      <c r="E7" s="413" t="n">
        <v>46.78</v>
      </c>
      <c r="F7" s="413" t="n">
        <f aca="false">E7</f>
        <v>46.78</v>
      </c>
      <c r="G7" s="413" t="n">
        <f aca="false">E7</f>
        <v>46.78</v>
      </c>
      <c r="H7" s="424" t="n">
        <v>3215</v>
      </c>
      <c r="I7" s="423" t="n">
        <v>1.03</v>
      </c>
      <c r="J7" s="414" t="n">
        <v>0.749</v>
      </c>
      <c r="K7" s="413" t="n">
        <v>46.78</v>
      </c>
      <c r="L7" s="413" t="n">
        <f aca="false">K7</f>
        <v>46.78</v>
      </c>
      <c r="M7" s="413" t="n">
        <f aca="false">K7</f>
        <v>46.78</v>
      </c>
      <c r="N7" s="424" t="n">
        <v>12833</v>
      </c>
      <c r="O7" s="423" t="n">
        <v>0.9</v>
      </c>
      <c r="P7" s="414" t="n">
        <v>0.586</v>
      </c>
      <c r="Q7" s="413" t="n">
        <v>28.48</v>
      </c>
      <c r="R7" s="413" t="n">
        <f aca="false">Q7</f>
        <v>28.48</v>
      </c>
      <c r="S7" s="413" t="n">
        <f aca="false">Q7</f>
        <v>28.48</v>
      </c>
      <c r="T7" s="424" t="n">
        <v>9633</v>
      </c>
      <c r="U7" s="423" t="n">
        <v>0.79</v>
      </c>
      <c r="V7" s="414" t="n">
        <v>0.81</v>
      </c>
      <c r="W7" s="413" t="n">
        <v>28.48</v>
      </c>
      <c r="X7" s="413" t="n">
        <f aca="false">W7</f>
        <v>28.48</v>
      </c>
      <c r="Y7" s="413" t="n">
        <f aca="false">W7</f>
        <v>28.48</v>
      </c>
      <c r="AA7" s="425" t="n">
        <v>111</v>
      </c>
      <c r="AB7" s="423" t="n">
        <f aca="false">AA7/100</f>
        <v>1.11</v>
      </c>
      <c r="AC7" s="426" t="n">
        <f aca="false">AB7-C7</f>
        <v>0</v>
      </c>
    </row>
    <row r="8" customFormat="false" ht="12.75" hidden="false" customHeight="false" outlineLevel="0" collapsed="false">
      <c r="A8" s="422" t="n">
        <v>36251</v>
      </c>
      <c r="B8" s="424" t="n">
        <v>25820</v>
      </c>
      <c r="C8" s="423" t="n">
        <v>0.8</v>
      </c>
      <c r="D8" s="414" t="n">
        <v>0.698</v>
      </c>
      <c r="E8" s="413" t="n">
        <v>43.89</v>
      </c>
      <c r="F8" s="413" t="n">
        <f aca="false">E8</f>
        <v>43.89</v>
      </c>
      <c r="G8" s="413" t="n">
        <f aca="false">E8</f>
        <v>43.89</v>
      </c>
      <c r="H8" s="424" t="n">
        <v>3615</v>
      </c>
      <c r="I8" s="423" t="n">
        <v>1.33</v>
      </c>
      <c r="J8" s="414" t="n">
        <v>0.727</v>
      </c>
      <c r="K8" s="413" t="n">
        <v>43.89</v>
      </c>
      <c r="L8" s="413" t="n">
        <f aca="false">K8</f>
        <v>43.89</v>
      </c>
      <c r="M8" s="413" t="n">
        <f aca="false">K8</f>
        <v>43.89</v>
      </c>
      <c r="N8" s="424" t="n">
        <v>6582</v>
      </c>
      <c r="O8" s="423" t="n">
        <v>0.58</v>
      </c>
      <c r="P8" s="414" t="n">
        <v>0.574</v>
      </c>
      <c r="Q8" s="413" t="n">
        <v>26.91</v>
      </c>
      <c r="R8" s="413" t="n">
        <f aca="false">Q8</f>
        <v>26.91</v>
      </c>
      <c r="S8" s="413" t="n">
        <f aca="false">Q8</f>
        <v>26.91</v>
      </c>
      <c r="T8" s="424" t="n">
        <v>7834</v>
      </c>
      <c r="U8" s="423" t="n">
        <v>0.65</v>
      </c>
      <c r="V8" s="414" t="n">
        <v>0.832</v>
      </c>
      <c r="W8" s="413" t="n">
        <v>26.91</v>
      </c>
      <c r="X8" s="413" t="n">
        <f aca="false">W8</f>
        <v>26.91</v>
      </c>
      <c r="Y8" s="413" t="n">
        <f aca="false">W8</f>
        <v>26.91</v>
      </c>
      <c r="AA8" s="425" t="n">
        <v>83</v>
      </c>
      <c r="AB8" s="423" t="n">
        <f aca="false">AA8/100</f>
        <v>0.83</v>
      </c>
      <c r="AC8" s="426" t="n">
        <f aca="false">AB8-C8</f>
        <v>0.0299999999999999</v>
      </c>
    </row>
    <row r="9" customFormat="false" ht="12.75" hidden="false" customHeight="false" outlineLevel="0" collapsed="false">
      <c r="A9" s="422" t="n">
        <v>36281</v>
      </c>
      <c r="B9" s="424" t="n">
        <v>20671</v>
      </c>
      <c r="C9" s="423" t="n">
        <v>0.86</v>
      </c>
      <c r="D9" s="414" t="n">
        <v>0.654</v>
      </c>
      <c r="E9" s="413" t="n">
        <v>48.63</v>
      </c>
      <c r="F9" s="413" t="n">
        <f aca="false">E9</f>
        <v>48.63</v>
      </c>
      <c r="G9" s="413" t="n">
        <f aca="false">E9</f>
        <v>48.63</v>
      </c>
      <c r="H9" s="424" t="n">
        <v>2055</v>
      </c>
      <c r="I9" s="423" t="n">
        <v>0.56</v>
      </c>
      <c r="J9" s="414" t="n">
        <v>0.608</v>
      </c>
      <c r="K9" s="413" t="n">
        <v>48.63</v>
      </c>
      <c r="L9" s="413" t="n">
        <f aca="false">K9</f>
        <v>48.63</v>
      </c>
      <c r="M9" s="413" t="n">
        <f aca="false">K9</f>
        <v>48.63</v>
      </c>
      <c r="N9" s="424" t="n">
        <v>3859</v>
      </c>
      <c r="O9" s="423" t="n">
        <v>0.55</v>
      </c>
      <c r="P9" s="414" t="n">
        <v>0.529</v>
      </c>
      <c r="Q9" s="413" t="n">
        <v>30.95</v>
      </c>
      <c r="R9" s="413" t="n">
        <f aca="false">Q9</f>
        <v>30.95</v>
      </c>
      <c r="S9" s="413" t="n">
        <f aca="false">Q9</f>
        <v>30.95</v>
      </c>
      <c r="T9" s="424" t="n">
        <v>6424</v>
      </c>
      <c r="U9" s="423" t="n">
        <v>0.82</v>
      </c>
      <c r="V9" s="414" t="n">
        <v>0.837</v>
      </c>
      <c r="W9" s="413" t="n">
        <v>30.95</v>
      </c>
      <c r="X9" s="413" t="n">
        <f aca="false">W9</f>
        <v>30.95</v>
      </c>
      <c r="Y9" s="413" t="n">
        <f aca="false">W9</f>
        <v>30.95</v>
      </c>
      <c r="AA9" s="425" t="n">
        <v>86</v>
      </c>
      <c r="AB9" s="423" t="n">
        <f aca="false">AA9/100</f>
        <v>0.86</v>
      </c>
      <c r="AC9" s="426" t="n">
        <f aca="false">AB9-C9</f>
        <v>0</v>
      </c>
    </row>
    <row r="10" customFormat="false" ht="12.75" hidden="false" customHeight="false" outlineLevel="0" collapsed="false">
      <c r="A10" s="422" t="n">
        <v>36312</v>
      </c>
      <c r="B10" s="424" t="n">
        <v>19775</v>
      </c>
      <c r="C10" s="423" t="n">
        <v>0.96</v>
      </c>
      <c r="D10" s="414" t="n">
        <v>0.601</v>
      </c>
      <c r="E10" s="413" t="n">
        <v>49.99</v>
      </c>
      <c r="F10" s="413" t="n">
        <f aca="false">E10</f>
        <v>49.99</v>
      </c>
      <c r="G10" s="413" t="n">
        <f aca="false">E10</f>
        <v>49.99</v>
      </c>
      <c r="H10" s="424" t="n">
        <v>5102</v>
      </c>
      <c r="I10" s="423" t="n">
        <v>1.17</v>
      </c>
      <c r="J10" s="414" t="n">
        <v>0.761</v>
      </c>
      <c r="K10" s="413" t="n">
        <v>49.99</v>
      </c>
      <c r="L10" s="413" t="n">
        <f aca="false">K10</f>
        <v>49.99</v>
      </c>
      <c r="M10" s="413" t="n">
        <f aca="false">K10</f>
        <v>49.99</v>
      </c>
      <c r="N10" s="424" t="n">
        <v>3037</v>
      </c>
      <c r="O10" s="423" t="n">
        <v>0.63</v>
      </c>
      <c r="P10" s="414" t="n">
        <v>0.464</v>
      </c>
      <c r="Q10" s="413" t="n">
        <v>45.24</v>
      </c>
      <c r="R10" s="413" t="n">
        <f aca="false">Q10</f>
        <v>45.24</v>
      </c>
      <c r="S10" s="413" t="n">
        <f aca="false">Q10</f>
        <v>45.24</v>
      </c>
      <c r="T10" s="424" t="n">
        <v>2409</v>
      </c>
      <c r="U10" s="423" t="n">
        <v>0.63</v>
      </c>
      <c r="V10" s="414" t="n">
        <v>0.81</v>
      </c>
      <c r="W10" s="413" t="n">
        <v>45.24</v>
      </c>
      <c r="X10" s="413" t="n">
        <f aca="false">W10</f>
        <v>45.24</v>
      </c>
      <c r="Y10" s="413" t="n">
        <f aca="false">W10</f>
        <v>45.24</v>
      </c>
      <c r="AA10" s="425" t="n">
        <v>93.2058746117808</v>
      </c>
      <c r="AB10" s="423" t="n">
        <f aca="false">AA10/100</f>
        <v>0.932058746117808</v>
      </c>
      <c r="AC10" s="426" t="n">
        <f aca="false">AB10-C10</f>
        <v>-0.0279412538821918</v>
      </c>
    </row>
    <row r="11" customFormat="false" ht="12.75" hidden="false" customHeight="false" outlineLevel="0" collapsed="false">
      <c r="A11" s="422" t="n">
        <v>36342</v>
      </c>
      <c r="B11" s="424" t="n">
        <v>18193</v>
      </c>
      <c r="C11" s="423" t="n">
        <v>1.08</v>
      </c>
      <c r="D11" s="414" t="n">
        <v>0.542</v>
      </c>
      <c r="E11" s="413" t="n">
        <v>61.72</v>
      </c>
      <c r="F11" s="413" t="n">
        <f aca="false">E11</f>
        <v>61.72</v>
      </c>
      <c r="G11" s="413" t="n">
        <f aca="false">E11</f>
        <v>61.72</v>
      </c>
      <c r="H11" s="424" t="n">
        <v>8920</v>
      </c>
      <c r="I11" s="423" t="n">
        <v>2.04</v>
      </c>
      <c r="J11" s="414" t="n">
        <v>0.879</v>
      </c>
      <c r="K11" s="413" t="n">
        <v>61.72</v>
      </c>
      <c r="L11" s="413" t="n">
        <f aca="false">K11</f>
        <v>61.72</v>
      </c>
      <c r="M11" s="413" t="n">
        <f aca="false">K11</f>
        <v>61.72</v>
      </c>
      <c r="N11" s="424" t="n">
        <v>2830</v>
      </c>
      <c r="O11" s="423" t="n">
        <v>0.71</v>
      </c>
      <c r="P11" s="414" t="n">
        <v>0.396</v>
      </c>
      <c r="Q11" s="413" t="n">
        <v>38.02</v>
      </c>
      <c r="R11" s="413" t="n">
        <f aca="false">Q11</f>
        <v>38.02</v>
      </c>
      <c r="S11" s="413" t="n">
        <f aca="false">Q11</f>
        <v>38.02</v>
      </c>
      <c r="T11" s="424" t="n">
        <v>1527</v>
      </c>
      <c r="U11" s="423" t="n">
        <v>0.68</v>
      </c>
      <c r="V11" s="414" t="n">
        <v>0.714</v>
      </c>
      <c r="W11" s="413" t="n">
        <v>38.02</v>
      </c>
      <c r="X11" s="413" t="n">
        <f aca="false">W11</f>
        <v>38.02</v>
      </c>
      <c r="Y11" s="413" t="n">
        <f aca="false">W11</f>
        <v>38.02</v>
      </c>
      <c r="AA11" s="425" t="n">
        <v>109</v>
      </c>
      <c r="AB11" s="423" t="n">
        <f aca="false">AA11/100</f>
        <v>1.09</v>
      </c>
      <c r="AC11" s="426" t="n">
        <f aca="false">AB11-C11</f>
        <v>0.01</v>
      </c>
    </row>
    <row r="12" customFormat="false" ht="12.75" hidden="false" customHeight="false" outlineLevel="0" collapsed="false">
      <c r="A12" s="422" t="n">
        <v>36373</v>
      </c>
      <c r="B12" s="424" t="n">
        <v>11889</v>
      </c>
      <c r="C12" s="423" t="n">
        <v>0.83</v>
      </c>
      <c r="D12" s="414" t="n">
        <v>0.45</v>
      </c>
      <c r="E12" s="413" t="n">
        <v>49.62</v>
      </c>
      <c r="F12" s="413" t="n">
        <f aca="false">E12</f>
        <v>49.62</v>
      </c>
      <c r="G12" s="413" t="n">
        <f aca="false">E12</f>
        <v>49.62</v>
      </c>
      <c r="H12" s="424" t="n">
        <v>1869</v>
      </c>
      <c r="I12" s="423" t="n">
        <v>0.42</v>
      </c>
      <c r="J12" s="414" t="n">
        <v>0.705</v>
      </c>
      <c r="K12" s="413" t="n">
        <v>49.62</v>
      </c>
      <c r="L12" s="413" t="n">
        <f aca="false">K12</f>
        <v>49.62</v>
      </c>
      <c r="M12" s="413" t="n">
        <f aca="false">K12</f>
        <v>49.62</v>
      </c>
      <c r="N12" s="424" t="n">
        <v>2128</v>
      </c>
      <c r="O12" s="423" t="n">
        <v>0.63</v>
      </c>
      <c r="P12" s="414" t="n">
        <v>0.319</v>
      </c>
      <c r="Q12" s="413" t="n">
        <v>52.05</v>
      </c>
      <c r="R12" s="413" t="n">
        <f aca="false">Q12</f>
        <v>52.05</v>
      </c>
      <c r="S12" s="413" t="n">
        <f aca="false">Q12</f>
        <v>52.05</v>
      </c>
      <c r="T12" s="424" t="n">
        <v>1265</v>
      </c>
      <c r="U12" s="423" t="n">
        <v>0.73</v>
      </c>
      <c r="V12" s="414" t="n">
        <v>0.585</v>
      </c>
      <c r="W12" s="413" t="n">
        <v>52.05</v>
      </c>
      <c r="X12" s="413" t="n">
        <f aca="false">W12</f>
        <v>52.05</v>
      </c>
      <c r="Y12" s="413" t="n">
        <f aca="false">W12</f>
        <v>52.05</v>
      </c>
      <c r="AA12" s="425" t="n">
        <v>83.1991386534325</v>
      </c>
      <c r="AB12" s="423" t="n">
        <f aca="false">AA12/100</f>
        <v>0.831991386534325</v>
      </c>
      <c r="AC12" s="426" t="n">
        <f aca="false">AB12-C12</f>
        <v>0.00199138653432462</v>
      </c>
    </row>
    <row r="13" customFormat="false" ht="12.75" hidden="false" customHeight="false" outlineLevel="0" collapsed="false">
      <c r="A13" s="422" t="n">
        <v>36404</v>
      </c>
      <c r="B13" s="424" t="n">
        <v>13771</v>
      </c>
      <c r="C13" s="423" t="n">
        <v>0.96</v>
      </c>
      <c r="D13" s="414" t="n">
        <v>0.367</v>
      </c>
      <c r="E13" s="413" t="n">
        <v>72.97</v>
      </c>
      <c r="F13" s="413" t="n">
        <f aca="false">E13</f>
        <v>72.97</v>
      </c>
      <c r="G13" s="413" t="n">
        <f aca="false">E13</f>
        <v>72.97</v>
      </c>
      <c r="H13" s="424" t="n">
        <v>2385</v>
      </c>
      <c r="I13" s="423" t="n">
        <v>0.47</v>
      </c>
      <c r="J13" s="414" t="n">
        <v>0.616</v>
      </c>
      <c r="K13" s="413" t="n">
        <v>72.97</v>
      </c>
      <c r="L13" s="413" t="n">
        <f aca="false">K13</f>
        <v>72.97</v>
      </c>
      <c r="M13" s="413" t="n">
        <f aca="false">K13</f>
        <v>72.97</v>
      </c>
      <c r="N13" s="424" t="n">
        <v>1794</v>
      </c>
      <c r="O13" s="423" t="n">
        <v>0.6</v>
      </c>
      <c r="P13" s="414" t="n">
        <v>0.252</v>
      </c>
      <c r="Q13" s="413" t="n">
        <v>71.47</v>
      </c>
      <c r="R13" s="413" t="n">
        <f aca="false">Q13</f>
        <v>71.47</v>
      </c>
      <c r="S13" s="413" t="n">
        <f aca="false">Q13</f>
        <v>71.47</v>
      </c>
      <c r="T13" s="424" t="n">
        <v>975</v>
      </c>
      <c r="U13" s="423" t="n">
        <v>0.72</v>
      </c>
      <c r="V13" s="414" t="n">
        <v>0.438</v>
      </c>
      <c r="W13" s="413" t="n">
        <v>71.47</v>
      </c>
      <c r="X13" s="413" t="n">
        <f aca="false">W13</f>
        <v>71.47</v>
      </c>
      <c r="Y13" s="413" t="n">
        <f aca="false">W13</f>
        <v>71.47</v>
      </c>
      <c r="AA13" s="425" t="n">
        <v>95.9988875254908</v>
      </c>
      <c r="AB13" s="423" t="n">
        <f aca="false">AA13/100</f>
        <v>0.959988875254908</v>
      </c>
      <c r="AC13" s="426" t="n">
        <f aca="false">AB13-C13</f>
        <v>-1.11247450922392E-005</v>
      </c>
    </row>
    <row r="14" customFormat="false" ht="12.75" hidden="false" customHeight="false" outlineLevel="0" collapsed="false">
      <c r="A14" s="422" t="n">
        <v>36434</v>
      </c>
      <c r="B14" s="424" t="n">
        <v>10561</v>
      </c>
      <c r="C14" s="423" t="n">
        <v>0.61</v>
      </c>
      <c r="D14" s="414" t="n">
        <v>0.264</v>
      </c>
      <c r="E14" s="413" t="n">
        <v>91.94</v>
      </c>
      <c r="F14" s="413" t="n">
        <f aca="false">E14</f>
        <v>91.94</v>
      </c>
      <c r="G14" s="413" t="n">
        <f aca="false">E14</f>
        <v>91.94</v>
      </c>
      <c r="H14" s="424" t="n">
        <v>6932</v>
      </c>
      <c r="I14" s="423" t="n">
        <v>1.16</v>
      </c>
      <c r="J14" s="414" t="n">
        <v>0.792</v>
      </c>
      <c r="K14" s="413" t="n">
        <v>91.94</v>
      </c>
      <c r="L14" s="413" t="n">
        <f aca="false">K14</f>
        <v>91.94</v>
      </c>
      <c r="M14" s="413" t="n">
        <f aca="false">K14</f>
        <v>91.94</v>
      </c>
      <c r="N14" s="424" t="n">
        <v>1915</v>
      </c>
      <c r="O14" s="423" t="n">
        <v>0.57</v>
      </c>
      <c r="P14" s="414" t="n">
        <v>0.17</v>
      </c>
      <c r="Q14" s="413" t="n">
        <v>90.75</v>
      </c>
      <c r="R14" s="413" t="n">
        <f aca="false">Q14</f>
        <v>90.75</v>
      </c>
      <c r="S14" s="413" t="n">
        <f aca="false">Q14</f>
        <v>90.75</v>
      </c>
      <c r="T14" s="424" t="n">
        <v>1211</v>
      </c>
      <c r="U14" s="423" t="n">
        <v>0.8</v>
      </c>
      <c r="V14" s="414" t="n">
        <v>0.287</v>
      </c>
      <c r="W14" s="413" t="n">
        <v>90.75</v>
      </c>
      <c r="X14" s="413" t="n">
        <f aca="false">W14</f>
        <v>90.75</v>
      </c>
      <c r="Y14" s="413" t="n">
        <f aca="false">W14</f>
        <v>90.75</v>
      </c>
      <c r="AA14" s="425" t="n">
        <v>60.6960141425793</v>
      </c>
      <c r="AB14" s="423" t="n">
        <f aca="false">AA14/100</f>
        <v>0.606960141425794</v>
      </c>
      <c r="AC14" s="426" t="n">
        <f aca="false">AB14-C14</f>
        <v>-0.00303985857420652</v>
      </c>
    </row>
    <row r="15" customFormat="false" ht="12.75" hidden="false" customHeight="false" outlineLevel="0" collapsed="false">
      <c r="A15" s="422" t="n">
        <v>36465</v>
      </c>
      <c r="B15" s="424" t="n">
        <v>15333</v>
      </c>
      <c r="C15" s="423" t="n">
        <v>0.7</v>
      </c>
      <c r="D15" s="414" t="n">
        <v>0.197</v>
      </c>
      <c r="E15" s="427" t="n">
        <v>155.51</v>
      </c>
      <c r="F15" s="427" t="n">
        <f aca="false">E15</f>
        <v>155.51</v>
      </c>
      <c r="G15" s="413" t="n">
        <f aca="false">E15</f>
        <v>155.51</v>
      </c>
      <c r="H15" s="424" t="n">
        <v>2686</v>
      </c>
      <c r="I15" s="423" t="n">
        <v>0.58</v>
      </c>
      <c r="J15" s="414" t="n">
        <v>0.662</v>
      </c>
      <c r="K15" s="427" t="n">
        <v>155.51</v>
      </c>
      <c r="L15" s="413" t="n">
        <f aca="false">K15</f>
        <v>155.51</v>
      </c>
      <c r="M15" s="413" t="n">
        <f aca="false">K15</f>
        <v>155.51</v>
      </c>
      <c r="N15" s="424" t="n">
        <v>4093</v>
      </c>
      <c r="O15" s="423" t="n">
        <v>0.75</v>
      </c>
      <c r="P15" s="414" t="n">
        <v>0.159</v>
      </c>
      <c r="Q15" s="427" t="n">
        <v>161.1</v>
      </c>
      <c r="R15" s="413" t="n">
        <f aca="false">Q15</f>
        <v>161.1</v>
      </c>
      <c r="S15" s="413" t="n">
        <f aca="false">Q15</f>
        <v>161.1</v>
      </c>
      <c r="T15" s="424" t="n">
        <v>2320</v>
      </c>
      <c r="U15" s="423" t="n">
        <v>0.93</v>
      </c>
      <c r="V15" s="414" t="n">
        <v>0.24</v>
      </c>
      <c r="W15" s="427" t="n">
        <v>161.1</v>
      </c>
      <c r="X15" s="413" t="n">
        <f aca="false">W15</f>
        <v>161.1</v>
      </c>
      <c r="Y15" s="413" t="n">
        <f aca="false">W15</f>
        <v>161.1</v>
      </c>
      <c r="AA15" s="425" t="n">
        <v>69.8882699287088</v>
      </c>
      <c r="AB15" s="423" t="n">
        <f aca="false">AA15/100</f>
        <v>0.698882699287088</v>
      </c>
      <c r="AC15" s="426" t="n">
        <f aca="false">AB15-C15</f>
        <v>-0.00111730071291183</v>
      </c>
    </row>
    <row r="16" customFormat="false" ht="12.75" hidden="false" customHeight="false" outlineLevel="0" collapsed="false">
      <c r="A16" s="422" t="n">
        <v>36495</v>
      </c>
      <c r="B16" s="424" t="n">
        <v>22081</v>
      </c>
      <c r="C16" s="423" t="n">
        <v>0.68</v>
      </c>
      <c r="D16" s="414" t="n">
        <v>0.181</v>
      </c>
      <c r="E16" s="413" t="n">
        <v>213.93</v>
      </c>
      <c r="F16" s="413" t="n">
        <f aca="false">E16</f>
        <v>213.93</v>
      </c>
      <c r="G16" s="413" t="n">
        <f aca="false">E16</f>
        <v>213.93</v>
      </c>
      <c r="H16" s="424" t="n">
        <v>2227</v>
      </c>
      <c r="I16" s="423" t="n">
        <v>0.59</v>
      </c>
      <c r="J16" s="414" t="n">
        <v>0.529</v>
      </c>
      <c r="K16" s="413" t="n">
        <v>213.93</v>
      </c>
      <c r="L16" s="413" t="n">
        <f aca="false">K16</f>
        <v>213.93</v>
      </c>
      <c r="M16" s="413" t="n">
        <f aca="false">K16</f>
        <v>213.93</v>
      </c>
      <c r="N16" s="424" t="n">
        <v>9370</v>
      </c>
      <c r="O16" s="423" t="n">
        <v>0.96</v>
      </c>
      <c r="P16" s="414" t="n">
        <v>0.218</v>
      </c>
      <c r="Q16" s="413" t="n">
        <v>211.22</v>
      </c>
      <c r="R16" s="413" t="n">
        <f aca="false">Q16</f>
        <v>211.22</v>
      </c>
      <c r="S16" s="413" t="n">
        <f aca="false">Q16</f>
        <v>211.22</v>
      </c>
      <c r="T16" s="424" t="n">
        <v>5641</v>
      </c>
      <c r="U16" s="423" t="n">
        <v>1.17</v>
      </c>
      <c r="V16" s="414" t="n">
        <v>0.457</v>
      </c>
      <c r="W16" s="413" t="n">
        <v>211.22</v>
      </c>
      <c r="X16" s="413" t="n">
        <f aca="false">W16</f>
        <v>211.22</v>
      </c>
      <c r="Y16" s="413" t="n">
        <f aca="false">W16</f>
        <v>211.22</v>
      </c>
    </row>
    <row r="17" customFormat="false" ht="12.75" hidden="false" customHeight="false" outlineLevel="0" collapsed="false">
      <c r="A17" s="422" t="n">
        <v>36526</v>
      </c>
      <c r="B17" s="424" t="n">
        <v>43025</v>
      </c>
      <c r="C17" s="423" t="n">
        <v>0.97</v>
      </c>
      <c r="D17" s="414" t="n">
        <v>0.293</v>
      </c>
      <c r="E17" s="413" t="n">
        <v>285.5</v>
      </c>
      <c r="F17" s="413" t="n">
        <f aca="false">E17</f>
        <v>285.5</v>
      </c>
      <c r="G17" s="413" t="n">
        <f aca="false">E17</f>
        <v>285.5</v>
      </c>
      <c r="H17" s="424" t="n">
        <v>3076</v>
      </c>
      <c r="I17" s="423" t="n">
        <v>0.82</v>
      </c>
      <c r="J17" s="414" t="n">
        <v>0.475</v>
      </c>
      <c r="K17" s="413" t="n">
        <v>285.5</v>
      </c>
      <c r="L17" s="413" t="n">
        <f aca="false">K17</f>
        <v>285.5</v>
      </c>
      <c r="M17" s="413" t="n">
        <f aca="false">K17</f>
        <v>285.5</v>
      </c>
      <c r="N17" s="424" t="n">
        <v>12148</v>
      </c>
      <c r="O17" s="423" t="n">
        <v>0.89</v>
      </c>
      <c r="P17" s="414" t="n">
        <v>0.357</v>
      </c>
      <c r="Q17" s="413" t="n">
        <v>187.58</v>
      </c>
      <c r="R17" s="413" t="n">
        <f aca="false">Q17</f>
        <v>187.58</v>
      </c>
      <c r="S17" s="413" t="n">
        <f aca="false">Q17</f>
        <v>187.58</v>
      </c>
      <c r="T17" s="424" t="n">
        <v>12057</v>
      </c>
      <c r="U17" s="423" t="n">
        <v>1.42</v>
      </c>
      <c r="V17" s="414" t="n">
        <v>0.755</v>
      </c>
      <c r="W17" s="413" t="n">
        <v>187.58</v>
      </c>
      <c r="X17" s="413" t="n">
        <f aca="false">W17</f>
        <v>187.58</v>
      </c>
      <c r="Y17" s="413" t="n">
        <f aca="false">W17</f>
        <v>187.58</v>
      </c>
    </row>
    <row r="18" customFormat="false" ht="12.75" hidden="false" customHeight="false" outlineLevel="0" collapsed="false">
      <c r="A18" s="422" t="n">
        <v>36557</v>
      </c>
      <c r="B18" s="424" t="n">
        <v>53942</v>
      </c>
      <c r="C18" s="423" t="n">
        <v>1.15</v>
      </c>
      <c r="D18" s="414" t="n">
        <v>0.45</v>
      </c>
      <c r="E18" s="413" t="n">
        <v>190.88</v>
      </c>
      <c r="F18" s="413" t="n">
        <f aca="false">E18</f>
        <v>190.88</v>
      </c>
      <c r="G18" s="413" t="n">
        <f aca="false">E18</f>
        <v>190.88</v>
      </c>
      <c r="H18" s="424" t="n">
        <v>4419</v>
      </c>
      <c r="I18" s="423" t="n">
        <v>1.08</v>
      </c>
      <c r="J18" s="414" t="n">
        <v>0.473</v>
      </c>
      <c r="K18" s="413" t="n">
        <v>190.88</v>
      </c>
      <c r="L18" s="413" t="n">
        <f aca="false">K18</f>
        <v>190.88</v>
      </c>
      <c r="M18" s="413" t="n">
        <f aca="false">K18</f>
        <v>190.88</v>
      </c>
      <c r="N18" s="424" t="n">
        <v>15942</v>
      </c>
      <c r="O18" s="423" t="n">
        <v>1.1</v>
      </c>
      <c r="P18" s="414" t="n">
        <v>0.541</v>
      </c>
      <c r="Q18" s="413" t="n">
        <v>158.55</v>
      </c>
      <c r="R18" s="413" t="n">
        <f aca="false">Q18</f>
        <v>158.55</v>
      </c>
      <c r="S18" s="413" t="n">
        <f aca="false">Q18</f>
        <v>158.55</v>
      </c>
      <c r="T18" s="424" t="n">
        <v>13406</v>
      </c>
      <c r="U18" s="423" t="n">
        <v>1.17</v>
      </c>
      <c r="V18" s="414" t="n">
        <v>0.807</v>
      </c>
      <c r="W18" s="413" t="n">
        <v>158.55</v>
      </c>
      <c r="X18" s="413" t="n">
        <f aca="false">W18</f>
        <v>158.55</v>
      </c>
      <c r="Y18" s="413" t="n">
        <f aca="false">W18</f>
        <v>158.55</v>
      </c>
    </row>
    <row r="19" customFormat="false" ht="12.75" hidden="false" customHeight="false" outlineLevel="0" collapsed="false">
      <c r="A19" s="422" t="n">
        <v>36586</v>
      </c>
      <c r="B19" s="424" t="n">
        <v>47730</v>
      </c>
      <c r="C19" s="423" t="n">
        <v>1.09</v>
      </c>
      <c r="D19" s="414" t="n">
        <v>0.585</v>
      </c>
      <c r="E19" s="413" t="n">
        <v>86.56</v>
      </c>
      <c r="F19" s="413" t="n">
        <f aca="false">E19</f>
        <v>86.56</v>
      </c>
      <c r="G19" s="413" t="n">
        <f aca="false">E19</f>
        <v>86.56</v>
      </c>
      <c r="H19" s="424" t="n">
        <v>4682</v>
      </c>
      <c r="I19" s="423" t="n">
        <v>1.25</v>
      </c>
      <c r="J19" s="414" t="n">
        <v>0.523</v>
      </c>
      <c r="K19" s="413" t="n">
        <v>86.56</v>
      </c>
      <c r="L19" s="413" t="n">
        <f aca="false">K19</f>
        <v>86.56</v>
      </c>
      <c r="M19" s="413" t="n">
        <f aca="false">K19</f>
        <v>86.56</v>
      </c>
      <c r="N19" s="424" t="n">
        <v>12727</v>
      </c>
      <c r="O19" s="423" t="n">
        <v>0.91</v>
      </c>
      <c r="P19" s="414" t="n">
        <v>0.66</v>
      </c>
      <c r="Q19" s="413" t="n">
        <v>63.93</v>
      </c>
      <c r="R19" s="413" t="n">
        <f aca="false">Q19</f>
        <v>63.93</v>
      </c>
      <c r="S19" s="413" t="n">
        <f aca="false">Q19</f>
        <v>63.93</v>
      </c>
      <c r="T19" s="424" t="n">
        <v>16985</v>
      </c>
      <c r="U19" s="423" t="n">
        <v>1.27</v>
      </c>
      <c r="V19" s="414" t="n">
        <v>0.833</v>
      </c>
      <c r="W19" s="413" t="n">
        <v>63.93</v>
      </c>
      <c r="X19" s="413" t="n">
        <f aca="false">W19</f>
        <v>63.93</v>
      </c>
      <c r="Y19" s="413" t="n">
        <f aca="false">W19</f>
        <v>63.93</v>
      </c>
    </row>
    <row r="20" customFormat="false" ht="12.75" hidden="false" customHeight="false" outlineLevel="0" collapsed="false">
      <c r="A20" s="422" t="n">
        <v>36617</v>
      </c>
      <c r="B20" s="424" t="n">
        <v>28030</v>
      </c>
      <c r="C20" s="423" t="n">
        <v>0.85</v>
      </c>
      <c r="D20" s="414" t="n">
        <v>0.594</v>
      </c>
      <c r="E20" s="413" t="n">
        <v>56.67</v>
      </c>
      <c r="F20" s="413" t="n">
        <f aca="false">E20</f>
        <v>56.67</v>
      </c>
      <c r="G20" s="413" t="n">
        <f aca="false">E20</f>
        <v>56.67</v>
      </c>
      <c r="H20" s="424" t="n">
        <v>2040</v>
      </c>
      <c r="I20" s="423" t="n">
        <v>0.63</v>
      </c>
      <c r="J20" s="414" t="n">
        <v>0.4</v>
      </c>
      <c r="K20" s="413" t="n">
        <v>56.67</v>
      </c>
      <c r="L20" s="413" t="n">
        <f aca="false">K20</f>
        <v>56.67</v>
      </c>
      <c r="M20" s="413" t="n">
        <f aca="false">K20</f>
        <v>56.67</v>
      </c>
      <c r="N20" s="424" t="n">
        <v>9993</v>
      </c>
      <c r="O20" s="423" t="n">
        <v>0.9</v>
      </c>
      <c r="P20" s="414" t="n">
        <v>0.712</v>
      </c>
      <c r="Q20" s="413" t="n">
        <v>33.3</v>
      </c>
      <c r="R20" s="413" t="n">
        <f aca="false">Q20</f>
        <v>33.3</v>
      </c>
      <c r="S20" s="413" t="n">
        <f aca="false">Q20</f>
        <v>33.3</v>
      </c>
      <c r="T20" s="424" t="n">
        <v>14787</v>
      </c>
      <c r="U20" s="423" t="n">
        <v>1.11</v>
      </c>
      <c r="V20" s="414" t="n">
        <v>0.837</v>
      </c>
      <c r="W20" s="413" t="n">
        <v>33.3</v>
      </c>
      <c r="X20" s="413" t="n">
        <f aca="false">W20</f>
        <v>33.3</v>
      </c>
      <c r="Y20" s="413" t="n">
        <f aca="false">W20</f>
        <v>33.3</v>
      </c>
      <c r="AB20" s="413" t="s">
        <v>269</v>
      </c>
      <c r="AC20" s="413" t="s">
        <v>40</v>
      </c>
      <c r="AD20" s="413" t="s">
        <v>270</v>
      </c>
      <c r="AE20" s="413" t="s">
        <v>296</v>
      </c>
    </row>
    <row r="21" customFormat="false" ht="12.75" hidden="false" customHeight="false" outlineLevel="0" collapsed="false">
      <c r="A21" s="422" t="n">
        <v>36647</v>
      </c>
      <c r="B21" s="424" t="n">
        <v>18146</v>
      </c>
      <c r="C21" s="423" t="n">
        <v>0.74</v>
      </c>
      <c r="D21" s="414" t="n">
        <v>0.541</v>
      </c>
      <c r="E21" s="413" t="n">
        <v>86.08</v>
      </c>
      <c r="F21" s="413" t="n">
        <f aca="false">E21</f>
        <v>86.08</v>
      </c>
      <c r="G21" s="413" t="n">
        <f aca="false">E21</f>
        <v>86.08</v>
      </c>
      <c r="H21" s="424" t="n">
        <v>2330</v>
      </c>
      <c r="I21" s="423" t="n">
        <v>0.55</v>
      </c>
      <c r="J21" s="414" t="n">
        <v>0.302</v>
      </c>
      <c r="K21" s="413" t="n">
        <v>86.08</v>
      </c>
      <c r="L21" s="413" t="n">
        <f aca="false">K21</f>
        <v>86.08</v>
      </c>
      <c r="M21" s="413" t="n">
        <f aca="false">K21</f>
        <v>86.08</v>
      </c>
      <c r="N21" s="424" t="n">
        <v>5088</v>
      </c>
      <c r="O21" s="426" t="n">
        <v>0.73</v>
      </c>
      <c r="P21" s="414" t="n">
        <v>0.673</v>
      </c>
      <c r="Q21" s="413" t="n">
        <v>47.84</v>
      </c>
      <c r="R21" s="413" t="n">
        <f aca="false">Q21</f>
        <v>47.84</v>
      </c>
      <c r="S21" s="413" t="n">
        <f aca="false">Q21</f>
        <v>47.84</v>
      </c>
      <c r="T21" s="424" t="n">
        <v>10046</v>
      </c>
      <c r="U21" s="426" t="n">
        <v>1.16</v>
      </c>
      <c r="V21" s="414" t="n">
        <v>0.821</v>
      </c>
      <c r="W21" s="413" t="n">
        <v>47.84</v>
      </c>
      <c r="X21" s="413" t="n">
        <f aca="false">W21</f>
        <v>47.84</v>
      </c>
      <c r="Y21" s="413" t="n">
        <f aca="false">W21</f>
        <v>47.84</v>
      </c>
      <c r="AA21" s="267" t="s">
        <v>116</v>
      </c>
      <c r="AB21" s="414" t="n">
        <v>0.073</v>
      </c>
      <c r="AC21" s="414" t="n">
        <v>0.063</v>
      </c>
      <c r="AD21" s="428" t="n">
        <f aca="false">AE21/$AE$25</f>
        <v>0.045406672555548</v>
      </c>
      <c r="AE21" s="429" t="n">
        <v>10692</v>
      </c>
    </row>
    <row r="22" customFormat="false" ht="12.75" hidden="false" customHeight="false" outlineLevel="0" collapsed="false">
      <c r="A22" s="422" t="n">
        <v>36678</v>
      </c>
      <c r="B22" s="424" t="n">
        <v>15987</v>
      </c>
      <c r="C22" s="423" t="n">
        <v>0.77</v>
      </c>
      <c r="D22" s="414" t="n">
        <v>0.473</v>
      </c>
      <c r="E22" s="413" t="n">
        <v>137.16</v>
      </c>
      <c r="F22" s="413" t="n">
        <f aca="false">E22</f>
        <v>137.16</v>
      </c>
      <c r="G22" s="413" t="n">
        <f aca="false">E22</f>
        <v>137.16</v>
      </c>
      <c r="H22" s="424" t="n">
        <v>2812</v>
      </c>
      <c r="I22" s="423" t="n">
        <v>0.55</v>
      </c>
      <c r="J22" s="414" t="n">
        <v>0.296</v>
      </c>
      <c r="K22" s="413" t="n">
        <v>137.16</v>
      </c>
      <c r="L22" s="413" t="n">
        <f aca="false">K22</f>
        <v>137.16</v>
      </c>
      <c r="M22" s="413" t="n">
        <f aca="false">K22</f>
        <v>137.16</v>
      </c>
      <c r="N22" s="424" t="n">
        <v>3607</v>
      </c>
      <c r="O22" s="426" t="n">
        <v>0.76</v>
      </c>
      <c r="P22" s="414" t="n">
        <v>0.618</v>
      </c>
      <c r="Q22" s="413" t="n">
        <v>69.51</v>
      </c>
      <c r="R22" s="413" t="n">
        <f aca="false">Q22</f>
        <v>69.51</v>
      </c>
      <c r="S22" s="413" t="n">
        <f aca="false">Q22</f>
        <v>69.51</v>
      </c>
      <c r="T22" s="424" t="n">
        <v>3539</v>
      </c>
      <c r="U22" s="426" t="n">
        <v>0.83</v>
      </c>
      <c r="V22" s="414" t="n">
        <v>0.811</v>
      </c>
      <c r="W22" s="413" t="n">
        <v>69.51</v>
      </c>
      <c r="X22" s="413" t="n">
        <f aca="false">W22</f>
        <v>69.51</v>
      </c>
      <c r="Y22" s="413" t="n">
        <f aca="false">W22</f>
        <v>69.51</v>
      </c>
      <c r="AA22" s="267" t="s">
        <v>75</v>
      </c>
      <c r="AB22" s="414" t="n">
        <v>0.131</v>
      </c>
      <c r="AC22" s="414" t="n">
        <v>0.145</v>
      </c>
      <c r="AD22" s="428" t="n">
        <f aca="false">AE22/$AE$25</f>
        <v>0.213154854929673</v>
      </c>
      <c r="AE22" s="429" t="n">
        <v>50192</v>
      </c>
    </row>
    <row r="23" customFormat="false" ht="12.75" hidden="false" customHeight="false" outlineLevel="0" collapsed="false">
      <c r="A23" s="422" t="n">
        <v>36708</v>
      </c>
      <c r="B23" s="424" t="n">
        <v>15295</v>
      </c>
      <c r="C23" s="426" t="n">
        <v>0.89</v>
      </c>
      <c r="D23" s="414" t="n">
        <v>0.402</v>
      </c>
      <c r="E23" s="413" t="n">
        <v>145.73</v>
      </c>
      <c r="F23" s="413" t="n">
        <f aca="false">E23</f>
        <v>145.73</v>
      </c>
      <c r="G23" s="413" t="n">
        <f aca="false">E23</f>
        <v>145.73</v>
      </c>
      <c r="H23" s="424" t="n">
        <v>4736</v>
      </c>
      <c r="I23" s="426" t="n">
        <v>0.92</v>
      </c>
      <c r="J23" s="414" t="n">
        <v>0.441</v>
      </c>
      <c r="K23" s="413" t="n">
        <v>145.73</v>
      </c>
      <c r="L23" s="413" t="n">
        <f aca="false">K23</f>
        <v>145.73</v>
      </c>
      <c r="M23" s="413" t="n">
        <f aca="false">K23</f>
        <v>145.73</v>
      </c>
      <c r="N23" s="424" t="n">
        <v>2925</v>
      </c>
      <c r="O23" s="426" t="n">
        <v>0.74</v>
      </c>
      <c r="P23" s="414" t="n">
        <v>0.549</v>
      </c>
      <c r="Q23" s="413" t="n">
        <v>99.53</v>
      </c>
      <c r="R23" s="413" t="n">
        <f aca="false">Q23</f>
        <v>99.53</v>
      </c>
      <c r="S23" s="413" t="n">
        <f aca="false">Q23</f>
        <v>99.53</v>
      </c>
      <c r="T23" s="424" t="n">
        <v>2190</v>
      </c>
      <c r="U23" s="426" t="n">
        <v>0.89</v>
      </c>
      <c r="V23" s="414" t="n">
        <v>0.755</v>
      </c>
      <c r="W23" s="413" t="n">
        <v>99.53</v>
      </c>
      <c r="X23" s="413" t="n">
        <f aca="false">W23</f>
        <v>99.53</v>
      </c>
      <c r="Y23" s="413" t="n">
        <f aca="false">W23</f>
        <v>99.53</v>
      </c>
      <c r="AA23" s="267" t="s">
        <v>70</v>
      </c>
      <c r="AB23" s="414" t="n">
        <v>0.129</v>
      </c>
      <c r="AC23" s="414" t="n">
        <v>0.162</v>
      </c>
      <c r="AD23" s="428" t="n">
        <f aca="false">AE23/$AE$25</f>
        <v>0.0608097778079772</v>
      </c>
      <c r="AE23" s="429" t="n">
        <v>14319</v>
      </c>
    </row>
    <row r="24" customFormat="false" ht="12.75" hidden="false" customHeight="false" outlineLevel="0" collapsed="false">
      <c r="A24" s="422" t="n">
        <v>36739</v>
      </c>
      <c r="B24" s="424" t="n">
        <v>14128</v>
      </c>
      <c r="C24" s="426" t="n">
        <v>0.99</v>
      </c>
      <c r="D24" s="414" t="n">
        <v>0.324</v>
      </c>
      <c r="E24" s="413" t="n">
        <v>129.8</v>
      </c>
      <c r="F24" s="413" t="n">
        <f aca="false">E24</f>
        <v>129.8</v>
      </c>
      <c r="G24" s="413" t="n">
        <f aca="false">E24</f>
        <v>129.8</v>
      </c>
      <c r="H24" s="424" t="n">
        <v>2908</v>
      </c>
      <c r="I24" s="426" t="n">
        <v>0.67</v>
      </c>
      <c r="J24" s="414" t="n">
        <v>0.47</v>
      </c>
      <c r="K24" s="413" t="n">
        <v>129.8</v>
      </c>
      <c r="L24" s="413" t="n">
        <f aca="false">K24</f>
        <v>129.8</v>
      </c>
      <c r="M24" s="413" t="n">
        <f aca="false">K24</f>
        <v>129.8</v>
      </c>
      <c r="N24" s="424" t="n">
        <v>2559</v>
      </c>
      <c r="O24" s="426" t="n">
        <v>0.76</v>
      </c>
      <c r="P24" s="414" t="n">
        <v>0.468</v>
      </c>
      <c r="Q24" s="413" t="n">
        <v>89.72</v>
      </c>
      <c r="R24" s="413" t="n">
        <f aca="false">Q24</f>
        <v>89.72</v>
      </c>
      <c r="S24" s="413" t="n">
        <f aca="false">Q24</f>
        <v>89.72</v>
      </c>
      <c r="T24" s="424" t="n">
        <v>1677</v>
      </c>
      <c r="U24" s="423" t="n">
        <v>0.97</v>
      </c>
      <c r="V24" s="414" t="n">
        <v>0.615</v>
      </c>
      <c r="W24" s="413" t="n">
        <v>89.72</v>
      </c>
      <c r="X24" s="413" t="n">
        <f aca="false">W24</f>
        <v>89.72</v>
      </c>
      <c r="Y24" s="413" t="n">
        <f aca="false">W24</f>
        <v>89.72</v>
      </c>
      <c r="AA24" s="267" t="s">
        <v>19</v>
      </c>
      <c r="AB24" s="414" t="n">
        <f aca="false">0.429+0.198+0.04</f>
        <v>0.667</v>
      </c>
      <c r="AC24" s="414" t="n">
        <v>0.63</v>
      </c>
      <c r="AD24" s="428" t="n">
        <f aca="false">AE24/$AE$25</f>
        <v>0.680628694706802</v>
      </c>
      <c r="AE24" s="429" t="n">
        <v>160269</v>
      </c>
    </row>
    <row r="25" customFormat="false" ht="12.75" hidden="false" customHeight="false" outlineLevel="0" collapsed="false">
      <c r="A25" s="422" t="n">
        <v>36770</v>
      </c>
      <c r="B25" s="424" t="n">
        <v>25786</v>
      </c>
      <c r="C25" s="426" t="n">
        <v>1.8</v>
      </c>
      <c r="D25" s="414" t="n">
        <v>0.308</v>
      </c>
      <c r="E25" s="413" t="n">
        <v>156.11</v>
      </c>
      <c r="F25" s="413" t="n">
        <v>156.11</v>
      </c>
      <c r="G25" s="413" t="n">
        <v>156.11</v>
      </c>
      <c r="H25" s="430" t="n">
        <v>12726</v>
      </c>
      <c r="I25" s="426" t="n">
        <v>2.51</v>
      </c>
      <c r="J25" s="414" t="n">
        <v>0.857</v>
      </c>
      <c r="K25" s="413" t="n">
        <v>175.99</v>
      </c>
      <c r="L25" s="413" t="n">
        <v>175.99</v>
      </c>
      <c r="M25" s="413" t="n">
        <v>156.11</v>
      </c>
      <c r="N25" s="424" t="n">
        <v>2742</v>
      </c>
      <c r="O25" s="426" t="n">
        <v>0.91</v>
      </c>
      <c r="P25" s="414" t="n">
        <v>0.394</v>
      </c>
      <c r="Q25" s="413" t="n">
        <v>101.49</v>
      </c>
      <c r="R25" s="413" t="n">
        <v>101.49</v>
      </c>
      <c r="S25" s="413" t="n">
        <v>101.49</v>
      </c>
      <c r="T25" s="424" t="n">
        <v>1239</v>
      </c>
      <c r="U25" s="423" t="n">
        <v>0.92</v>
      </c>
      <c r="V25" s="414" t="n">
        <v>0.454</v>
      </c>
      <c r="W25" s="413" t="n">
        <v>101.49</v>
      </c>
      <c r="X25" s="413" t="n">
        <v>101.49</v>
      </c>
      <c r="Y25" s="413" t="n">
        <v>66.06</v>
      </c>
      <c r="AA25" s="413" t="s">
        <v>102</v>
      </c>
      <c r="AB25" s="414" t="n">
        <f aca="false">SUM(AB21:AB24)</f>
        <v>1</v>
      </c>
      <c r="AC25" s="414" t="n">
        <f aca="false">SUM(AC21:AC24)</f>
        <v>1</v>
      </c>
      <c r="AD25" s="428" t="n">
        <f aca="false">SUM(AD21:AD24)</f>
        <v>1</v>
      </c>
      <c r="AE25" s="429" t="n">
        <f aca="false">SUM(AE21:AE24)</f>
        <v>235472</v>
      </c>
    </row>
    <row r="26" customFormat="false" ht="12.75" hidden="false" customHeight="false" outlineLevel="0" collapsed="false">
      <c r="A26" s="422" t="n">
        <v>36800</v>
      </c>
      <c r="B26" s="424" t="n">
        <v>15963</v>
      </c>
      <c r="C26" s="426" t="n">
        <v>0.92</v>
      </c>
      <c r="D26" s="414" t="n">
        <v>0.23</v>
      </c>
      <c r="E26" s="413" t="n">
        <v>93.02</v>
      </c>
      <c r="F26" s="413" t="n">
        <v>93.02</v>
      </c>
      <c r="G26" s="413" t="n">
        <v>93.02</v>
      </c>
      <c r="H26" s="424" t="n">
        <v>13578</v>
      </c>
      <c r="I26" s="426" t="n">
        <v>1.84</v>
      </c>
      <c r="J26" s="414" t="n">
        <v>0.962</v>
      </c>
      <c r="K26" s="413" t="n">
        <v>93.02</v>
      </c>
      <c r="L26" s="413" t="n">
        <v>93.02</v>
      </c>
      <c r="M26" s="413" t="n">
        <v>27.45</v>
      </c>
      <c r="N26" s="424" t="n">
        <v>2308</v>
      </c>
      <c r="O26" s="426" t="n">
        <v>0.69</v>
      </c>
      <c r="P26" s="414" t="n">
        <v>0.289</v>
      </c>
      <c r="Q26" s="413" t="n">
        <v>76.07</v>
      </c>
      <c r="R26" s="413" t="n">
        <v>76.07</v>
      </c>
      <c r="S26" s="413" t="n">
        <v>76.07</v>
      </c>
      <c r="T26" s="424" t="n">
        <v>1336</v>
      </c>
      <c r="U26" s="423" t="n">
        <v>0.88</v>
      </c>
      <c r="V26" s="414" t="n">
        <v>0.321</v>
      </c>
      <c r="W26" s="413" t="n">
        <v>76.07</v>
      </c>
      <c r="X26" s="413" t="n">
        <v>76.07</v>
      </c>
      <c r="Y26" s="413" t="n">
        <v>76.07</v>
      </c>
    </row>
    <row r="27" customFormat="false" ht="12.75" hidden="false" customHeight="false" outlineLevel="0" collapsed="false">
      <c r="A27" s="422" t="n">
        <v>36831</v>
      </c>
      <c r="B27" s="424" t="n">
        <v>23973</v>
      </c>
      <c r="C27" s="426" t="n">
        <v>1.09</v>
      </c>
      <c r="D27" s="414" t="n">
        <v>0.2209</v>
      </c>
      <c r="E27" s="413" t="n">
        <v>149.7</v>
      </c>
      <c r="F27" s="413" t="n">
        <v>149.7</v>
      </c>
      <c r="G27" s="413" t="n">
        <v>149.7</v>
      </c>
      <c r="H27" s="424" t="n">
        <v>4701</v>
      </c>
      <c r="I27" s="426" t="n">
        <v>0.85</v>
      </c>
      <c r="J27" s="414" t="n">
        <v>0.929</v>
      </c>
      <c r="K27" s="413" t="n">
        <v>149.7</v>
      </c>
      <c r="L27" s="413" t="n">
        <v>149.7</v>
      </c>
      <c r="M27" s="413" t="n">
        <v>147.15</v>
      </c>
      <c r="N27" s="424" t="n">
        <v>4889</v>
      </c>
      <c r="O27" s="426" t="n">
        <v>0.9</v>
      </c>
      <c r="P27" s="414" t="n">
        <v>0.2754</v>
      </c>
      <c r="Q27" s="413" t="n">
        <v>127.3</v>
      </c>
      <c r="R27" s="413" t="n">
        <v>127.3</v>
      </c>
      <c r="S27" s="413" t="n">
        <v>127.3</v>
      </c>
      <c r="T27" s="424" t="n">
        <v>2693</v>
      </c>
      <c r="U27" s="423" t="n">
        <v>1.08</v>
      </c>
      <c r="V27" s="414" t="n">
        <v>0.2902</v>
      </c>
      <c r="W27" s="413" t="n">
        <v>149.7</v>
      </c>
      <c r="X27" s="413" t="n">
        <v>127.3</v>
      </c>
      <c r="Y27" s="413" t="n">
        <v>127.3</v>
      </c>
    </row>
    <row r="28" customFormat="false" ht="12.75" hidden="false" customHeight="false" outlineLevel="0" collapsed="false">
      <c r="A28" s="422" t="n">
        <v>36861</v>
      </c>
      <c r="B28" s="424" t="n">
        <v>35177</v>
      </c>
      <c r="C28" s="426" t="n">
        <v>1.07</v>
      </c>
      <c r="D28" s="414" t="n">
        <v>0.285</v>
      </c>
      <c r="E28" s="413" t="n">
        <v>103.54</v>
      </c>
      <c r="F28" s="413" t="n">
        <v>103.54</v>
      </c>
      <c r="G28" s="413" t="n">
        <v>103.54</v>
      </c>
      <c r="H28" s="424" t="n">
        <v>3495</v>
      </c>
      <c r="I28" s="426" t="n">
        <v>0.78</v>
      </c>
      <c r="J28" s="414" t="n">
        <v>0.894</v>
      </c>
      <c r="K28" s="413" t="n">
        <v>103.54</v>
      </c>
      <c r="L28" s="413" t="n">
        <v>103.54</v>
      </c>
      <c r="M28" s="413" t="n">
        <v>101.77</v>
      </c>
      <c r="N28" s="424" t="n">
        <v>10389</v>
      </c>
      <c r="O28" s="426" t="n">
        <v>1.07</v>
      </c>
      <c r="P28" s="414" t="n">
        <v>0.368</v>
      </c>
      <c r="Q28" s="413" t="n">
        <v>72.16</v>
      </c>
      <c r="R28" s="413" t="n">
        <v>72.16</v>
      </c>
      <c r="S28" s="413" t="n">
        <v>72.16</v>
      </c>
      <c r="T28" s="424" t="n">
        <v>6510</v>
      </c>
      <c r="U28" s="423" t="n">
        <v>1.35</v>
      </c>
      <c r="V28" s="414" t="n">
        <v>0.593</v>
      </c>
      <c r="W28" s="413" t="n">
        <v>103.54</v>
      </c>
      <c r="X28" s="413" t="n">
        <v>103.54</v>
      </c>
      <c r="Y28" s="413" t="n">
        <v>103.54</v>
      </c>
    </row>
    <row r="29" customFormat="false" ht="12.75" hidden="false" customHeight="false" outlineLevel="0" collapsed="false">
      <c r="A29" s="422" t="n">
        <v>36892</v>
      </c>
      <c r="B29" s="424" t="n">
        <v>32294</v>
      </c>
      <c r="C29" s="426" t="n">
        <v>0.75</v>
      </c>
      <c r="D29" s="414" t="n">
        <v>0.314</v>
      </c>
      <c r="E29" s="413" t="n">
        <v>56.92</v>
      </c>
      <c r="F29" s="413" t="n">
        <v>56.92</v>
      </c>
      <c r="G29" s="413" t="n">
        <v>56.92</v>
      </c>
      <c r="H29" s="424" t="n">
        <v>7699</v>
      </c>
      <c r="I29" s="426" t="n">
        <v>2.05</v>
      </c>
      <c r="J29" s="414" t="n">
        <v>0.986</v>
      </c>
      <c r="K29" s="413" t="n">
        <v>56.92</v>
      </c>
      <c r="L29" s="413" t="n">
        <v>56.92</v>
      </c>
      <c r="M29" s="413" t="n">
        <v>56.92</v>
      </c>
      <c r="N29" s="424" t="n">
        <v>9717</v>
      </c>
      <c r="O29" s="426" t="n">
        <v>0.72</v>
      </c>
      <c r="P29" s="414" t="n">
        <v>0.414</v>
      </c>
      <c r="Q29" s="413" t="n">
        <v>33.87</v>
      </c>
      <c r="R29" s="413" t="n">
        <v>33.87</v>
      </c>
      <c r="S29" s="413" t="n">
        <v>33.87</v>
      </c>
      <c r="T29" s="424" t="n">
        <v>7783</v>
      </c>
      <c r="U29" s="423" t="n">
        <v>0.92</v>
      </c>
      <c r="V29" s="414" t="n">
        <v>0.719</v>
      </c>
      <c r="W29" s="413" t="n">
        <v>33.87</v>
      </c>
      <c r="X29" s="413" t="n">
        <v>33.87</v>
      </c>
      <c r="Y29" s="413" t="n">
        <v>33.87</v>
      </c>
    </row>
    <row r="30" customFormat="false" ht="12.75" hidden="false" customHeight="false" outlineLevel="0" collapsed="false">
      <c r="A30" s="422" t="n">
        <v>36923</v>
      </c>
      <c r="B30" s="424" t="n">
        <v>33656</v>
      </c>
      <c r="C30" s="426" t="n">
        <v>0.71</v>
      </c>
      <c r="D30" s="414" t="n">
        <v>0.3344</v>
      </c>
      <c r="E30" s="413" t="n">
        <v>160.29</v>
      </c>
      <c r="F30" s="413" t="n">
        <v>160.29</v>
      </c>
      <c r="G30" s="413" t="n">
        <v>160.29</v>
      </c>
      <c r="H30" s="424" t="n">
        <v>13436</v>
      </c>
      <c r="I30" s="426" t="n">
        <v>2.76</v>
      </c>
      <c r="J30" s="414" t="n">
        <v>0.9739</v>
      </c>
      <c r="K30" s="413" t="n">
        <v>160.29</v>
      </c>
      <c r="L30" s="413" t="n">
        <v>153.47</v>
      </c>
      <c r="M30" s="413" t="n">
        <v>153.47</v>
      </c>
      <c r="N30" s="424" t="n">
        <v>5095</v>
      </c>
      <c r="O30" s="426" t="n">
        <v>0.35</v>
      </c>
      <c r="P30" s="414" t="n">
        <v>0.3817</v>
      </c>
      <c r="Q30" s="413" t="n">
        <v>121.47</v>
      </c>
      <c r="R30" s="413" t="n">
        <v>121.47</v>
      </c>
      <c r="S30" s="413" t="n">
        <v>121.47</v>
      </c>
      <c r="T30" s="424" t="n">
        <v>8407</v>
      </c>
      <c r="U30" s="423" t="n">
        <v>0.73</v>
      </c>
      <c r="V30" s="414" t="n">
        <v>0.7248</v>
      </c>
      <c r="W30" s="413" t="n">
        <v>121.47</v>
      </c>
      <c r="X30" s="413" t="n">
        <v>121.47</v>
      </c>
      <c r="Y30" s="413" t="n">
        <v>121.47</v>
      </c>
    </row>
    <row r="31" customFormat="false" ht="12.75" hidden="false" customHeight="false" outlineLevel="0" collapsed="false">
      <c r="A31" s="422" t="n">
        <v>36951</v>
      </c>
      <c r="B31" s="431"/>
      <c r="C31" s="431"/>
      <c r="E31" s="413" t="n">
        <v>165.97</v>
      </c>
      <c r="F31" s="413" t="n">
        <v>165.97</v>
      </c>
      <c r="G31" s="413" t="n">
        <v>165.97</v>
      </c>
      <c r="K31" s="413" t="n">
        <v>165.97</v>
      </c>
      <c r="L31" s="413" t="n">
        <v>149.84</v>
      </c>
      <c r="M31" s="413" t="n">
        <v>149.84</v>
      </c>
      <c r="Q31" s="413" t="n">
        <v>154.21</v>
      </c>
      <c r="R31" s="413" t="n">
        <v>154.21</v>
      </c>
      <c r="S31" s="413" t="n">
        <v>154.21</v>
      </c>
      <c r="W31" s="413" t="n">
        <v>154.21</v>
      </c>
      <c r="X31" s="413" t="n">
        <v>154.21</v>
      </c>
      <c r="Y31" s="413" t="n">
        <v>154.21</v>
      </c>
    </row>
    <row r="32" customFormat="false" ht="12.75" hidden="false" customHeight="false" outlineLevel="0" collapsed="false">
      <c r="A32" s="422" t="n">
        <v>36982</v>
      </c>
      <c r="B32" s="431"/>
      <c r="C32" s="431"/>
      <c r="Q32" s="413"/>
      <c r="R32" s="413"/>
    </row>
    <row r="33" customFormat="false" ht="12.75" hidden="false" customHeight="false" outlineLevel="0" collapsed="false">
      <c r="A33" s="422" t="n">
        <v>37012</v>
      </c>
      <c r="B33" s="431"/>
      <c r="C33" s="431"/>
      <c r="Q33" s="413"/>
      <c r="R33" s="413"/>
    </row>
    <row r="34" customFormat="false" ht="12.75" hidden="false" customHeight="false" outlineLevel="0" collapsed="false">
      <c r="A34" s="422" t="n">
        <v>37043</v>
      </c>
      <c r="B34" s="431"/>
      <c r="C34" s="431"/>
      <c r="Q34" s="413"/>
      <c r="R34" s="413"/>
    </row>
    <row r="35" customFormat="false" ht="12.75" hidden="false" customHeight="false" outlineLevel="0" collapsed="false">
      <c r="A35" s="422" t="n">
        <v>37073</v>
      </c>
    </row>
    <row r="37" customFormat="false" ht="12.75" hidden="false" customHeight="false" outlineLevel="0" collapsed="false">
      <c r="B37" s="432" t="s">
        <v>278</v>
      </c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4"/>
      <c r="N37" s="414"/>
      <c r="P37" s="413"/>
      <c r="Q37" s="413"/>
      <c r="R37" s="413"/>
      <c r="T37" s="414"/>
      <c r="U37" s="414"/>
      <c r="V37" s="414"/>
    </row>
    <row r="38" customFormat="false" ht="12.75" hidden="false" customHeight="false" outlineLevel="0" collapsed="false">
      <c r="A38" s="431"/>
      <c r="B38" s="435" t="s">
        <v>19</v>
      </c>
      <c r="C38" s="436"/>
      <c r="D38" s="436"/>
      <c r="E38" s="435" t="s">
        <v>70</v>
      </c>
      <c r="F38" s="436"/>
      <c r="G38" s="436"/>
      <c r="H38" s="435" t="s">
        <v>75</v>
      </c>
      <c r="I38" s="436"/>
      <c r="J38" s="437"/>
      <c r="K38" s="435" t="s">
        <v>116</v>
      </c>
      <c r="L38" s="436"/>
      <c r="M38" s="437"/>
      <c r="N38" s="414"/>
      <c r="O38" s="438" t="s">
        <v>297</v>
      </c>
      <c r="P38" s="438"/>
      <c r="Q38" s="438"/>
      <c r="R38" s="438"/>
      <c r="S38" s="438"/>
      <c r="T38" s="439" t="s">
        <v>298</v>
      </c>
      <c r="U38" s="414"/>
      <c r="V38" s="414"/>
    </row>
    <row r="39" customFormat="false" ht="12.75" hidden="false" customHeight="false" outlineLevel="0" collapsed="false">
      <c r="A39" s="440"/>
      <c r="B39" s="441" t="s">
        <v>287</v>
      </c>
      <c r="C39" s="441" t="n">
        <v>2000</v>
      </c>
      <c r="D39" s="441" t="s">
        <v>21</v>
      </c>
      <c r="E39" s="441" t="s">
        <v>287</v>
      </c>
      <c r="F39" s="441" t="n">
        <v>2000</v>
      </c>
      <c r="G39" s="441" t="s">
        <v>21</v>
      </c>
      <c r="H39" s="441" t="s">
        <v>287</v>
      </c>
      <c r="I39" s="441" t="n">
        <v>2000</v>
      </c>
      <c r="J39" s="441" t="s">
        <v>21</v>
      </c>
      <c r="K39" s="441" t="s">
        <v>287</v>
      </c>
      <c r="L39" s="441" t="n">
        <v>2000</v>
      </c>
      <c r="M39" s="441" t="s">
        <v>21</v>
      </c>
      <c r="N39" s="414"/>
      <c r="O39" s="0"/>
      <c r="P39" s="413" t="s">
        <v>19</v>
      </c>
      <c r="Q39" s="413" t="s">
        <v>70</v>
      </c>
      <c r="R39" s="413" t="s">
        <v>75</v>
      </c>
      <c r="S39" s="413" t="s">
        <v>116</v>
      </c>
      <c r="T39" s="414"/>
      <c r="U39" s="414"/>
      <c r="V39" s="414"/>
    </row>
    <row r="40" customFormat="false" ht="12.75" hidden="false" customHeight="false" outlineLevel="0" collapsed="false">
      <c r="A40" s="158" t="s">
        <v>26</v>
      </c>
      <c r="B40" s="442" t="n">
        <f aca="false">D5</f>
        <v>0.568</v>
      </c>
      <c r="C40" s="442" t="n">
        <f aca="false">D17</f>
        <v>0.293</v>
      </c>
      <c r="D40" s="442" t="n">
        <f aca="false">D29</f>
        <v>0.314</v>
      </c>
      <c r="E40" s="442" t="n">
        <f aca="false">J5</f>
        <v>0.792</v>
      </c>
      <c r="F40" s="442" t="n">
        <f aca="false">J17</f>
        <v>0.475</v>
      </c>
      <c r="G40" s="442" t="n">
        <f aca="false">J29</f>
        <v>0.986</v>
      </c>
      <c r="H40" s="442" t="n">
        <f aca="false">P5</f>
        <v>0.444</v>
      </c>
      <c r="I40" s="442" t="n">
        <f aca="false">P17</f>
        <v>0.357</v>
      </c>
      <c r="J40" s="442" t="n">
        <f aca="false">P29</f>
        <v>0.414</v>
      </c>
      <c r="K40" s="442" t="n">
        <f aca="false">V5</f>
        <v>0.742</v>
      </c>
      <c r="L40" s="442" t="n">
        <f aca="false">V17</f>
        <v>0.755</v>
      </c>
      <c r="M40" s="442" t="n">
        <f aca="false">V29</f>
        <v>0.719</v>
      </c>
      <c r="N40" s="414"/>
      <c r="O40" s="413" t="s">
        <v>299</v>
      </c>
      <c r="P40" s="443" t="n">
        <v>44568.02267</v>
      </c>
      <c r="Q40" s="443" t="n">
        <v>4347.142736</v>
      </c>
      <c r="R40" s="443" t="n">
        <v>13576.0239</v>
      </c>
      <c r="S40" s="443" t="n">
        <v>8508.6984</v>
      </c>
      <c r="T40" s="414"/>
      <c r="U40" s="414"/>
      <c r="V40" s="414"/>
    </row>
    <row r="41" customFormat="false" ht="12.75" hidden="false" customHeight="false" outlineLevel="0" collapsed="false">
      <c r="A41" s="158" t="s">
        <v>29</v>
      </c>
      <c r="B41" s="442" t="n">
        <f aca="false">D6</f>
        <v>0.622</v>
      </c>
      <c r="C41" s="442" t="n">
        <f aca="false">D18</f>
        <v>0.45</v>
      </c>
      <c r="D41" s="442" t="n">
        <f aca="false">D30</f>
        <v>0.3344</v>
      </c>
      <c r="E41" s="442" t="n">
        <f aca="false">J6</f>
        <v>0.844</v>
      </c>
      <c r="F41" s="442" t="n">
        <f aca="false">J18</f>
        <v>0.473</v>
      </c>
      <c r="G41" s="442" t="n">
        <f aca="false">J30</f>
        <v>0.9739</v>
      </c>
      <c r="H41" s="442" t="n">
        <f aca="false">P6</f>
        <v>0.426</v>
      </c>
      <c r="I41" s="442" t="n">
        <f aca="false">P18</f>
        <v>0.541</v>
      </c>
      <c r="J41" s="442" t="n">
        <f aca="false">P30</f>
        <v>0.3817</v>
      </c>
      <c r="K41" s="442" t="n">
        <f aca="false">V6</f>
        <v>0.802</v>
      </c>
      <c r="L41" s="442" t="n">
        <f aca="false">V18</f>
        <v>0.807</v>
      </c>
      <c r="M41" s="442" t="n">
        <f aca="false">V30</f>
        <v>0.7248</v>
      </c>
      <c r="N41" s="414"/>
      <c r="O41" s="413" t="s">
        <v>300</v>
      </c>
      <c r="P41" s="443" t="n">
        <v>47230.70422</v>
      </c>
      <c r="Q41" s="443" t="n">
        <v>4839.283034</v>
      </c>
      <c r="R41" s="443" t="n">
        <v>14513.9866</v>
      </c>
      <c r="S41" s="443" t="n">
        <v>11492.2252</v>
      </c>
      <c r="T41" s="414"/>
      <c r="U41" s="414"/>
      <c r="V41" s="414"/>
    </row>
    <row r="42" customFormat="false" ht="12.75" hidden="false" customHeight="false" outlineLevel="0" collapsed="false">
      <c r="A42" s="158" t="s">
        <v>32</v>
      </c>
      <c r="B42" s="442" t="n">
        <f aca="false">D7</f>
        <v>0.71</v>
      </c>
      <c r="C42" s="442" t="n">
        <f aca="false">D19</f>
        <v>0.585</v>
      </c>
      <c r="D42" s="442"/>
      <c r="E42" s="442" t="n">
        <f aca="false">J7</f>
        <v>0.749</v>
      </c>
      <c r="F42" s="442" t="n">
        <f aca="false">J19</f>
        <v>0.523</v>
      </c>
      <c r="G42" s="442"/>
      <c r="H42" s="442" t="n">
        <f aca="false">P7</f>
        <v>0.586</v>
      </c>
      <c r="I42" s="442" t="n">
        <f aca="false">P19</f>
        <v>0.66</v>
      </c>
      <c r="J42" s="442"/>
      <c r="K42" s="442" t="n">
        <f aca="false">V7</f>
        <v>0.81</v>
      </c>
      <c r="L42" s="442" t="n">
        <f aca="false">V19</f>
        <v>0.833</v>
      </c>
      <c r="M42" s="442"/>
      <c r="N42" s="414"/>
      <c r="O42" s="413" t="s">
        <v>301</v>
      </c>
      <c r="P42" s="443" t="n">
        <v>44282.306284</v>
      </c>
      <c r="Q42" s="443" t="n">
        <v>4315.379194</v>
      </c>
      <c r="R42" s="443" t="n">
        <v>14044.766</v>
      </c>
      <c r="S42" s="443" t="n">
        <v>13351.4158</v>
      </c>
      <c r="T42" s="414"/>
      <c r="U42" s="414"/>
      <c r="V42" s="414"/>
    </row>
    <row r="43" customFormat="false" ht="12.75" hidden="false" customHeight="false" outlineLevel="0" collapsed="false">
      <c r="A43" s="158" t="s">
        <v>35</v>
      </c>
      <c r="B43" s="442" t="n">
        <f aca="false">D8</f>
        <v>0.698</v>
      </c>
      <c r="C43" s="442" t="n">
        <f aca="false">D20</f>
        <v>0.594</v>
      </c>
      <c r="D43" s="442"/>
      <c r="E43" s="442" t="n">
        <f aca="false">J8</f>
        <v>0.727</v>
      </c>
      <c r="F43" s="442" t="n">
        <f aca="false">J20</f>
        <v>0.4</v>
      </c>
      <c r="G43" s="442"/>
      <c r="H43" s="442" t="n">
        <f aca="false">P8</f>
        <v>0.574</v>
      </c>
      <c r="I43" s="442" t="n">
        <f aca="false">P20</f>
        <v>0.712</v>
      </c>
      <c r="J43" s="442"/>
      <c r="K43" s="442" t="n">
        <f aca="false">V8</f>
        <v>0.832</v>
      </c>
      <c r="L43" s="442" t="n">
        <f aca="false">V20</f>
        <v>0.837</v>
      </c>
      <c r="M43" s="442"/>
      <c r="N43" s="414"/>
      <c r="O43" s="413" t="s">
        <v>302</v>
      </c>
      <c r="P43" s="443" t="n">
        <v>32949.234524</v>
      </c>
      <c r="Q43" s="443" t="n">
        <v>3830.76814</v>
      </c>
      <c r="R43" s="443" t="n">
        <v>11150.9715</v>
      </c>
      <c r="S43" s="443" t="n">
        <v>13303.3368</v>
      </c>
      <c r="T43" s="414"/>
      <c r="U43" s="414"/>
      <c r="V43" s="414"/>
    </row>
    <row r="44" customFormat="false" ht="12.75" hidden="false" customHeight="false" outlineLevel="0" collapsed="false">
      <c r="A44" s="158" t="s">
        <v>39</v>
      </c>
      <c r="B44" s="442" t="n">
        <f aca="false">D9</f>
        <v>0.654</v>
      </c>
      <c r="C44" s="442" t="n">
        <f aca="false">D21</f>
        <v>0.541</v>
      </c>
      <c r="D44" s="442"/>
      <c r="E44" s="442" t="n">
        <f aca="false">J9</f>
        <v>0.608</v>
      </c>
      <c r="F44" s="442" t="n">
        <f aca="false">J21</f>
        <v>0.302</v>
      </c>
      <c r="G44" s="442"/>
      <c r="H44" s="442" t="n">
        <f aca="false">P9</f>
        <v>0.529</v>
      </c>
      <c r="I44" s="442" t="n">
        <f aca="false">P21</f>
        <v>0.673</v>
      </c>
      <c r="J44" s="442"/>
      <c r="K44" s="442" t="n">
        <f aca="false">V9</f>
        <v>0.837</v>
      </c>
      <c r="L44" s="442" t="n">
        <f aca="false">V21</f>
        <v>0.821</v>
      </c>
      <c r="M44" s="442"/>
      <c r="N44" s="414"/>
      <c r="O44" s="413" t="s">
        <v>303</v>
      </c>
      <c r="P44" s="443" t="n">
        <v>24508.549598</v>
      </c>
      <c r="Q44" s="443" t="n">
        <v>5091.377016</v>
      </c>
      <c r="R44" s="443" t="n">
        <v>6941.0725</v>
      </c>
      <c r="S44" s="443" t="n">
        <v>8654.7736</v>
      </c>
      <c r="T44" s="414"/>
      <c r="U44" s="414"/>
      <c r="V44" s="414"/>
    </row>
    <row r="45" customFormat="false" ht="12.75" hidden="false" customHeight="false" outlineLevel="0" collapsed="false">
      <c r="A45" s="158" t="s">
        <v>42</v>
      </c>
      <c r="B45" s="442" t="n">
        <f aca="false">D10</f>
        <v>0.601</v>
      </c>
      <c r="C45" s="442" t="n">
        <f aca="false">D22</f>
        <v>0.473</v>
      </c>
      <c r="D45" s="442"/>
      <c r="E45" s="442" t="n">
        <f aca="false">J10</f>
        <v>0.761</v>
      </c>
      <c r="F45" s="442" t="n">
        <f aca="false">J22</f>
        <v>0.296</v>
      </c>
      <c r="G45" s="442"/>
      <c r="H45" s="442" t="n">
        <f aca="false">P10</f>
        <v>0.464</v>
      </c>
      <c r="I45" s="442" t="n">
        <f aca="false">P22</f>
        <v>0.618</v>
      </c>
      <c r="J45" s="442"/>
      <c r="K45" s="442" t="n">
        <f aca="false">V10</f>
        <v>0.81</v>
      </c>
      <c r="L45" s="442" t="n">
        <f aca="false">V22</f>
        <v>0.811</v>
      </c>
      <c r="M45" s="442"/>
      <c r="N45" s="414"/>
      <c r="O45" s="413" t="s">
        <v>304</v>
      </c>
      <c r="P45" s="443" t="n">
        <v>20901.763076</v>
      </c>
      <c r="Q45" s="443" t="n">
        <v>6144.263304</v>
      </c>
      <c r="R45" s="443" t="n">
        <v>4773.3169</v>
      </c>
      <c r="S45" s="443" t="n">
        <v>4249.8452</v>
      </c>
      <c r="T45" s="414"/>
      <c r="U45" s="414"/>
      <c r="V45" s="414"/>
    </row>
    <row r="46" customFormat="false" ht="12.75" hidden="false" customHeight="false" outlineLevel="0" collapsed="false">
      <c r="A46" s="158" t="s">
        <v>45</v>
      </c>
      <c r="B46" s="442" t="n">
        <f aca="false">D11</f>
        <v>0.542</v>
      </c>
      <c r="C46" s="442" t="n">
        <f aca="false">D23</f>
        <v>0.402</v>
      </c>
      <c r="D46" s="442"/>
      <c r="E46" s="442" t="n">
        <f aca="false">J11</f>
        <v>0.879</v>
      </c>
      <c r="F46" s="442" t="n">
        <f aca="false">J23</f>
        <v>0.441</v>
      </c>
      <c r="G46" s="442"/>
      <c r="H46" s="442" t="n">
        <f aca="false">P11</f>
        <v>0.396</v>
      </c>
      <c r="I46" s="442" t="n">
        <f aca="false">P23</f>
        <v>0.549</v>
      </c>
      <c r="J46" s="442"/>
      <c r="K46" s="442" t="n">
        <f aca="false">V11</f>
        <v>0.714</v>
      </c>
      <c r="L46" s="442" t="n">
        <f aca="false">V23</f>
        <v>0.755</v>
      </c>
      <c r="M46" s="442"/>
      <c r="N46" s="414"/>
      <c r="O46" s="413" t="s">
        <v>305</v>
      </c>
      <c r="P46" s="443" t="n">
        <v>17255.203206</v>
      </c>
      <c r="Q46" s="443" t="n">
        <v>6397.9264</v>
      </c>
      <c r="R46" s="443" t="n">
        <v>3940.8305</v>
      </c>
      <c r="S46" s="443" t="n">
        <v>2466.9426</v>
      </c>
      <c r="T46" s="414"/>
      <c r="U46" s="414"/>
      <c r="V46" s="414"/>
    </row>
    <row r="47" customFormat="false" ht="12.75" hidden="false" customHeight="false" outlineLevel="0" collapsed="false">
      <c r="A47" s="158" t="s">
        <v>48</v>
      </c>
      <c r="B47" s="442" t="n">
        <f aca="false">D12</f>
        <v>0.45</v>
      </c>
      <c r="C47" s="442" t="n">
        <f aca="false">D24</f>
        <v>0.324</v>
      </c>
      <c r="D47" s="442"/>
      <c r="E47" s="442" t="n">
        <f aca="false">J12</f>
        <v>0.705</v>
      </c>
      <c r="F47" s="442" t="n">
        <f aca="false">J24</f>
        <v>0.47</v>
      </c>
      <c r="G47" s="442"/>
      <c r="H47" s="442" t="n">
        <f aca="false">P12</f>
        <v>0.319</v>
      </c>
      <c r="I47" s="442" t="n">
        <f aca="false">P24</f>
        <v>0.468</v>
      </c>
      <c r="J47" s="442"/>
      <c r="K47" s="442" t="n">
        <f aca="false">V12</f>
        <v>0.585</v>
      </c>
      <c r="L47" s="442" t="n">
        <f aca="false">V24</f>
        <v>0.615</v>
      </c>
      <c r="M47" s="442"/>
      <c r="N47" s="414"/>
      <c r="O47" s="413" t="s">
        <v>306</v>
      </c>
      <c r="P47" s="443" t="n">
        <v>14342.954288</v>
      </c>
      <c r="Q47" s="443" t="n">
        <v>5632.632406</v>
      </c>
      <c r="R47" s="443" t="n">
        <v>3380.2433</v>
      </c>
      <c r="S47" s="443" t="n">
        <v>1735.4494</v>
      </c>
      <c r="T47" s="414"/>
      <c r="U47" s="414"/>
      <c r="V47" s="414"/>
    </row>
    <row r="48" customFormat="false" ht="12.75" hidden="false" customHeight="false" outlineLevel="0" collapsed="false">
      <c r="A48" s="158" t="s">
        <v>52</v>
      </c>
      <c r="B48" s="442" t="n">
        <f aca="false">D13</f>
        <v>0.367</v>
      </c>
      <c r="C48" s="442" t="n">
        <f aca="false">D25</f>
        <v>0.308</v>
      </c>
      <c r="D48" s="442"/>
      <c r="E48" s="442" t="n">
        <f aca="false">J13</f>
        <v>0.616</v>
      </c>
      <c r="F48" s="442" t="n">
        <f aca="false">J25</f>
        <v>0.857</v>
      </c>
      <c r="G48" s="442"/>
      <c r="H48" s="442" t="n">
        <f aca="false">P13</f>
        <v>0.252</v>
      </c>
      <c r="I48" s="442" t="n">
        <f aca="false">P25</f>
        <v>0.394</v>
      </c>
      <c r="J48" s="442"/>
      <c r="K48" s="442" t="n">
        <f aca="false">V13</f>
        <v>0.438</v>
      </c>
      <c r="L48" s="442" t="n">
        <f aca="false">V25</f>
        <v>0.454</v>
      </c>
      <c r="M48" s="442"/>
      <c r="N48" s="414"/>
      <c r="O48" s="413" t="s">
        <v>307</v>
      </c>
      <c r="P48" s="443" t="n">
        <v>14397.872518</v>
      </c>
      <c r="Q48" s="443" t="n">
        <v>6511.407848</v>
      </c>
      <c r="R48" s="443" t="n">
        <v>2997.904</v>
      </c>
      <c r="S48" s="443" t="n">
        <v>1350.1156</v>
      </c>
      <c r="T48" s="414"/>
      <c r="U48" s="414"/>
      <c r="V48" s="414"/>
    </row>
    <row r="49" customFormat="false" ht="12.75" hidden="false" customHeight="false" outlineLevel="0" collapsed="false">
      <c r="A49" s="158" t="s">
        <v>54</v>
      </c>
      <c r="B49" s="442" t="n">
        <f aca="false">D14</f>
        <v>0.264</v>
      </c>
      <c r="C49" s="442" t="n">
        <f aca="false">D26</f>
        <v>0.23</v>
      </c>
      <c r="E49" s="442" t="n">
        <f aca="false">J14</f>
        <v>0.792</v>
      </c>
      <c r="F49" s="442" t="n">
        <f aca="false">J26</f>
        <v>0.962</v>
      </c>
      <c r="G49" s="414"/>
      <c r="H49" s="442" t="n">
        <f aca="false">P14</f>
        <v>0.17</v>
      </c>
      <c r="I49" s="442" t="n">
        <f aca="false">P26</f>
        <v>0.289</v>
      </c>
      <c r="K49" s="442" t="n">
        <f aca="false">V14</f>
        <v>0.287</v>
      </c>
      <c r="L49" s="442" t="n">
        <f aca="false">V26</f>
        <v>0.321</v>
      </c>
      <c r="M49" s="414"/>
      <c r="N49" s="414"/>
      <c r="O49" s="413" t="s">
        <v>308</v>
      </c>
      <c r="P49" s="443" t="n">
        <v>17466.893266</v>
      </c>
      <c r="Q49" s="443" t="n">
        <v>7377.34926</v>
      </c>
      <c r="R49" s="443" t="n">
        <v>3352.6161</v>
      </c>
      <c r="S49" s="443" t="n">
        <v>1512.861</v>
      </c>
      <c r="T49" s="414"/>
      <c r="U49" s="414"/>
      <c r="V49" s="414"/>
    </row>
    <row r="50" customFormat="false" ht="12.75" hidden="false" customHeight="false" outlineLevel="0" collapsed="false">
      <c r="A50" s="158" t="s">
        <v>57</v>
      </c>
      <c r="B50" s="442" t="n">
        <f aca="false">D15</f>
        <v>0.197</v>
      </c>
      <c r="C50" s="442" t="n">
        <f aca="false">D27</f>
        <v>0.2209</v>
      </c>
      <c r="E50" s="442" t="n">
        <f aca="false">J15</f>
        <v>0.662</v>
      </c>
      <c r="F50" s="442" t="n">
        <f aca="false">J27</f>
        <v>0.929</v>
      </c>
      <c r="G50" s="414"/>
      <c r="H50" s="442" t="n">
        <f aca="false">P15</f>
        <v>0.159</v>
      </c>
      <c r="I50" s="442" t="n">
        <f aca="false">P27</f>
        <v>0.2754</v>
      </c>
      <c r="K50" s="442" t="n">
        <f aca="false">V15</f>
        <v>0.24</v>
      </c>
      <c r="L50" s="442" t="n">
        <f aca="false">V27</f>
        <v>0.2902</v>
      </c>
      <c r="M50" s="414"/>
      <c r="N50" s="414"/>
      <c r="O50" s="413" t="s">
        <v>309</v>
      </c>
      <c r="P50" s="443" t="n">
        <v>22046.464744</v>
      </c>
      <c r="Q50" s="443" t="n">
        <v>5537.4985</v>
      </c>
      <c r="R50" s="443" t="n">
        <v>5435.0313</v>
      </c>
      <c r="S50" s="443" t="n">
        <v>2491.8278</v>
      </c>
      <c r="T50" s="414"/>
      <c r="U50" s="414"/>
      <c r="V50" s="414"/>
    </row>
    <row r="51" customFormat="false" ht="12.75" hidden="false" customHeight="false" outlineLevel="0" collapsed="false">
      <c r="A51" s="158" t="s">
        <v>60</v>
      </c>
      <c r="B51" s="442" t="n">
        <f aca="false">D16</f>
        <v>0.181</v>
      </c>
      <c r="C51" s="442" t="n">
        <f aca="false">D28</f>
        <v>0.285</v>
      </c>
      <c r="E51" s="442" t="n">
        <f aca="false">J16</f>
        <v>0.529</v>
      </c>
      <c r="F51" s="442" t="n">
        <f aca="false">J28</f>
        <v>0.894</v>
      </c>
      <c r="G51" s="414"/>
      <c r="H51" s="442" t="n">
        <f aca="false">P16</f>
        <v>0.218</v>
      </c>
      <c r="I51" s="442" t="n">
        <f aca="false">P28</f>
        <v>0.368</v>
      </c>
      <c r="K51" s="442" t="n">
        <f aca="false">V16</f>
        <v>0.457</v>
      </c>
      <c r="L51" s="442" t="n">
        <f aca="false">V28</f>
        <v>0.593</v>
      </c>
      <c r="M51" s="414"/>
      <c r="N51" s="414"/>
      <c r="O51" s="413" t="s">
        <v>310</v>
      </c>
      <c r="P51" s="443" t="n">
        <v>32981.237042</v>
      </c>
      <c r="Q51" s="443" t="n">
        <v>4482.5367</v>
      </c>
      <c r="R51" s="443" t="n">
        <v>9732.2747</v>
      </c>
      <c r="S51" s="443" t="n">
        <v>4837.9322</v>
      </c>
      <c r="T51" s="414"/>
      <c r="U51" s="414"/>
      <c r="V51" s="414"/>
    </row>
    <row r="52" customFormat="false" ht="12.75" hidden="false" customHeight="false" outlineLevel="0" collapsed="false">
      <c r="C52" s="444"/>
      <c r="E52" s="444"/>
      <c r="G52" s="444"/>
      <c r="I52" s="444"/>
    </row>
    <row r="53" customFormat="false" ht="12.75" hidden="false" customHeight="false" outlineLevel="0" collapsed="false">
      <c r="D53" s="414" t="s">
        <v>42</v>
      </c>
      <c r="E53" s="413" t="s">
        <v>45</v>
      </c>
      <c r="F53" s="413" t="s">
        <v>48</v>
      </c>
      <c r="G53" s="413" t="s">
        <v>52</v>
      </c>
      <c r="H53" s="413" t="s">
        <v>54</v>
      </c>
    </row>
    <row r="54" customFormat="false" ht="12.75" hidden="false" customHeight="false" outlineLevel="0" collapsed="false">
      <c r="C54" s="413" t="s">
        <v>311</v>
      </c>
      <c r="D54" s="425" t="n">
        <f aca="false">C45*100</f>
        <v>47.3</v>
      </c>
      <c r="E54" s="425" t="n">
        <f aca="false">C46*100</f>
        <v>40.2</v>
      </c>
      <c r="F54" s="425" t="n">
        <f aca="false">C47*100</f>
        <v>32.4</v>
      </c>
      <c r="G54" s="425" t="n">
        <f aca="false">C48*100</f>
        <v>30.8</v>
      </c>
      <c r="H54" s="425" t="n">
        <f aca="false">C49*100</f>
        <v>23</v>
      </c>
    </row>
    <row r="55" customFormat="false" ht="12.75" hidden="false" customHeight="false" outlineLevel="0" collapsed="false">
      <c r="C55" s="413" t="s">
        <v>104</v>
      </c>
      <c r="D55" s="425" t="n">
        <f aca="false">F45*100</f>
        <v>29.6</v>
      </c>
      <c r="E55" s="425" t="n">
        <f aca="false">F46*100</f>
        <v>44.1</v>
      </c>
      <c r="F55" s="425" t="n">
        <f aca="false">F47*100</f>
        <v>47</v>
      </c>
      <c r="G55" s="425" t="n">
        <f aca="false">F48*100</f>
        <v>85.7</v>
      </c>
      <c r="H55" s="425" t="n">
        <f aca="false">F49*100</f>
        <v>96.2</v>
      </c>
    </row>
    <row r="56" customFormat="false" ht="12.75" hidden="false" customHeight="false" outlineLevel="0" collapsed="false">
      <c r="C56" s="413" t="s">
        <v>111</v>
      </c>
      <c r="D56" s="425" t="n">
        <f aca="false">I45*100</f>
        <v>61.8</v>
      </c>
      <c r="E56" s="425" t="n">
        <f aca="false">I46*100</f>
        <v>54.9</v>
      </c>
      <c r="F56" s="425" t="n">
        <f aca="false">I47*100</f>
        <v>46.8</v>
      </c>
      <c r="G56" s="425" t="n">
        <f aca="false">I48*100</f>
        <v>39.4</v>
      </c>
      <c r="H56" s="425" t="n">
        <f aca="false">I49*100</f>
        <v>28.9</v>
      </c>
    </row>
    <row r="57" customFormat="false" ht="12.75" hidden="false" customHeight="false" outlineLevel="0" collapsed="false">
      <c r="C57" s="413" t="s">
        <v>109</v>
      </c>
      <c r="D57" s="425" t="n">
        <f aca="false">L45*100</f>
        <v>81.1</v>
      </c>
      <c r="E57" s="425" t="n">
        <f aca="false">L46*100</f>
        <v>75.5</v>
      </c>
      <c r="F57" s="425" t="n">
        <f aca="false">L47*100</f>
        <v>61.5</v>
      </c>
      <c r="G57" s="425" t="n">
        <f aca="false">L48*100</f>
        <v>45.4</v>
      </c>
      <c r="H57" s="425" t="n">
        <f aca="false">L49*100</f>
        <v>32.1</v>
      </c>
    </row>
  </sheetData>
  <mergeCells count="1">
    <mergeCell ref="O38:S38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2000-08-01T16:38:21Z</dcterms:created>
  <dc:creator>Guy Ishikawa</dc:creator>
  <dc:description/>
  <dc:language>en-US</dc:language>
  <cp:lastModifiedBy>BN</cp:lastModifiedBy>
  <cp:lastPrinted>2001-03-09T17:33:35Z</cp:lastPrinted>
  <cp:revision>0</cp:revision>
  <dc:subject/>
  <dc:title>ESA Intranet</dc:title>
</cp:coreProperties>
</file>