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ge1" sheetId="1" state="visible" r:id="rId3"/>
    <sheet name="Page2" sheetId="2" state="visible" r:id="rId4"/>
    <sheet name="Page3" sheetId="3" state="visible" r:id="rId5"/>
    <sheet name="Page4" sheetId="4" state="hidden" r:id="rId6"/>
    <sheet name="Data" sheetId="5" state="hidden" r:id="rId7"/>
  </sheets>
  <externalReferences>
    <externalReference r:id="rId8"/>
  </externalReferences>
  <definedNames>
    <definedName function="false" hidden="false" localSheetId="4" name="_xlnm.Print_Area" vbProcedure="false">Data!$A$1:$Y$25</definedName>
    <definedName function="false" hidden="false" localSheetId="0" name="_xlnm.Print_Area" vbProcedure="false">Page1!$A$1:$R$98</definedName>
    <definedName function="false" hidden="false" localSheetId="1" name="_xlnm.Print_Area" vbProcedure="false">Page2!$A$1:$V$110</definedName>
    <definedName function="false" hidden="false" localSheetId="2" name="_xlnm.Print_Area" vbProcedure="false">Page3!$A$1:$Y$76</definedName>
    <definedName function="false" hidden="false" localSheetId="3" name="_xlnm.Print_Area" vbProcedure="false">Page4!$A$1:$AA$41</definedName>
    <definedName function="false" hidden="false" localSheetId="1" name="Excel_BuiltIn__FilterDatabase" vbProcedure="false">Page2!$L$4:$V$23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5" authorId="0">
      <text>
        <r>
          <rPr>
            <b val="true"/>
            <sz val="8"/>
            <color rgb="FF000000"/>
            <rFont val="Tahoma"/>
            <family val="0"/>
          </rPr>
          <t xml:space="preserve">Guy Ishikawa:
</t>
        </r>
        <r>
          <rPr>
            <sz val="8"/>
            <color rgb="FF000000"/>
            <rFont val="Tahoma"/>
            <family val="0"/>
          </rPr>
          <t xml:space="preserve">According Supply Database Angra I e II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71</xdr:colOff>
                <xdr:row>3</xdr:row>
                <xdr:rowOff>8</xdr:rowOff>
              </xdr:from>
              <xdr:to>
                <xdr:col>15</xdr:col>
                <xdr:colOff>62</xdr:colOff>
                <xdr:row>6</xdr:row>
                <xdr:rowOff>6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Guy Ishikawa:
</t>
        </r>
        <r>
          <rPr>
            <sz val="8"/>
            <color rgb="FF000000"/>
            <rFont val="Tahoma"/>
            <family val="0"/>
          </rPr>
          <t xml:space="preserve">According to supply data base -  Uruguaiana (Phase 1)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21</xdr:colOff>
                <xdr:row>5</xdr:row>
                <xdr:rowOff>7</xdr:rowOff>
              </xdr:from>
              <xdr:to>
                <xdr:col>17</xdr:col>
                <xdr:colOff>43</xdr:colOff>
                <xdr:row>8</xdr:row>
                <xdr:rowOff>6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1" authorId="0">
      <text>
        <r>
          <rPr>
            <sz val="8"/>
            <color rgb="FF000000"/>
            <rFont val="Tahoma"/>
            <family val="0"/>
          </rPr>
          <t xml:space="preserve">Valor d'Água Sudeste
Igual a TMO fora de ponta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19</xdr:row>
                <xdr:rowOff>7</xdr:rowOff>
              </xdr:from>
              <xdr:to>
                <xdr:col>7</xdr:col>
                <xdr:colOff>36</xdr:colOff>
                <xdr:row>21</xdr:row>
                <xdr:rowOff>4</xdr:rowOff>
              </xdr:to>
            </anchor>
          </commentPr>
        </mc:Choice>
        <mc:Fallback/>
      </mc:AlternateContent>
    </comment>
    <comment ref="K21" authorId="0">
      <text>
        <r>
          <rPr>
            <sz val="8"/>
            <color rgb="FF000000"/>
            <rFont val="Tahoma"/>
            <family val="0"/>
          </rPr>
          <t xml:space="preserve">Valor d'Água Sudeste
Igual a TMO fora de ponta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13</xdr:colOff>
                <xdr:row>19</xdr:row>
                <xdr:rowOff>7</xdr:rowOff>
              </xdr:from>
              <xdr:to>
                <xdr:col>13</xdr:col>
                <xdr:colOff>33</xdr:colOff>
                <xdr:row>21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<sst xmlns="http://schemas.openxmlformats.org/spreadsheetml/2006/main" count="769" uniqueCount="289">
  <si>
    <t xml:space="preserve">BRAZIL POWER TRADING AND RISK MANAGEMENT DAILY REPORT</t>
  </si>
  <si>
    <t xml:space="preserve"> Date as of January 17, 2001</t>
  </si>
  <si>
    <t xml:space="preserve">1 - Balance of Energy - Average MW</t>
  </si>
  <si>
    <t xml:space="preserve">5 - Reservoir Levels</t>
  </si>
  <si>
    <t xml:space="preserve">7 - Storage Energy (%)</t>
  </si>
  <si>
    <t xml:space="preserve">RIVER</t>
  </si>
  <si>
    <t xml:space="preserve">LEVEL (m)</t>
  </si>
  <si>
    <t xml:space="preserve">VOLUME</t>
  </si>
  <si>
    <t xml:space="preserve">FLOW - M3/S</t>
  </si>
  <si>
    <t xml:space="preserve">SOUTHEAST</t>
  </si>
  <si>
    <t xml:space="preserve"> 12:00 PM</t>
  </si>
  <si>
    <t xml:space="preserve">(%)</t>
  </si>
  <si>
    <t xml:space="preserve">INFLOW</t>
  </si>
  <si>
    <t xml:space="preserve">OUTFLOW</t>
  </si>
  <si>
    <t xml:space="preserve">NET INFLOW</t>
  </si>
  <si>
    <t xml:space="preserve">SHED</t>
  </si>
  <si>
    <t xml:space="preserve">SOUTH + SOUTHEAST</t>
  </si>
  <si>
    <t xml:space="preserve">Itens</t>
  </si>
  <si>
    <t xml:space="preserve">Schedule</t>
  </si>
  <si>
    <t xml:space="preserve">Actual</t>
  </si>
  <si>
    <t xml:space="preserve">Dif %</t>
  </si>
  <si>
    <t xml:space="preserve">Southeast</t>
  </si>
  <si>
    <t xml:space="preserve">Month</t>
  </si>
  <si>
    <t xml:space="preserve">Dif(%)</t>
  </si>
  <si>
    <t xml:space="preserve">Hydro Gen</t>
  </si>
  <si>
    <t xml:space="preserve">GRANDE</t>
  </si>
  <si>
    <t xml:space="preserve">FURNAS</t>
  </si>
  <si>
    <t xml:space="preserve">JAN</t>
  </si>
  <si>
    <t xml:space="preserve">Thermo Gen</t>
  </si>
  <si>
    <t xml:space="preserve">M.MORAES</t>
  </si>
  <si>
    <t xml:space="preserve">FEB</t>
  </si>
  <si>
    <t xml:space="preserve">Angra Gen</t>
  </si>
  <si>
    <t xml:space="preserve">MARIMBONDO</t>
  </si>
  <si>
    <t xml:space="preserve">MAR</t>
  </si>
  <si>
    <t xml:space="preserve">Total Gen</t>
  </si>
  <si>
    <t xml:space="preserve">AGUA VERMELHA</t>
  </si>
  <si>
    <t xml:space="preserve">APR</t>
  </si>
  <si>
    <t xml:space="preserve">Itaipu</t>
  </si>
  <si>
    <t xml:space="preserve">PARANAÍBA</t>
  </si>
  <si>
    <t xml:space="preserve">EMBORCAÇÃO</t>
  </si>
  <si>
    <t xml:space="preserve">MAY</t>
  </si>
  <si>
    <t xml:space="preserve">Load</t>
  </si>
  <si>
    <t xml:space="preserve">NOVA PONTE</t>
  </si>
  <si>
    <t xml:space="preserve">JUN</t>
  </si>
  <si>
    <t xml:space="preserve">Interc. SE to S</t>
  </si>
  <si>
    <t xml:space="preserve">ITUMBIARA</t>
  </si>
  <si>
    <t xml:space="preserve">JUL</t>
  </si>
  <si>
    <t xml:space="preserve">Interc. SE to N</t>
  </si>
  <si>
    <t xml:space="preserve">SÃO SIMÃO</t>
  </si>
  <si>
    <t xml:space="preserve">AUG</t>
  </si>
  <si>
    <t xml:space="preserve">Interc. SE to NE</t>
  </si>
  <si>
    <t xml:space="preserve">PARANÁ</t>
  </si>
  <si>
    <t xml:space="preserve">ILHA SOLTEIRA</t>
  </si>
  <si>
    <t xml:space="preserve">SEP</t>
  </si>
  <si>
    <t xml:space="preserve">JUPIÁ</t>
  </si>
  <si>
    <t xml:space="preserve">OCT</t>
  </si>
  <si>
    <t xml:space="preserve">SOUTH</t>
  </si>
  <si>
    <t xml:space="preserve">ITAIPU</t>
  </si>
  <si>
    <t xml:space="preserve">NOV</t>
  </si>
  <si>
    <t xml:space="preserve">TIETE</t>
  </si>
  <si>
    <t xml:space="preserve">BARRA BONITA</t>
  </si>
  <si>
    <t xml:space="preserve">DEC</t>
  </si>
  <si>
    <t xml:space="preserve">PROMISSÃO</t>
  </si>
  <si>
    <t xml:space="preserve">TRÊS IRMÃOS</t>
  </si>
  <si>
    <t xml:space="preserve">NORTH + NORTHEAST</t>
  </si>
  <si>
    <t xml:space="preserve">PARANAPANEMA</t>
  </si>
  <si>
    <t xml:space="preserve">JURUMIRIM</t>
  </si>
  <si>
    <t xml:space="preserve">CHAVANTES</t>
  </si>
  <si>
    <t xml:space="preserve">Interc S to SE</t>
  </si>
  <si>
    <t xml:space="preserve">CAPIVARA</t>
  </si>
  <si>
    <t xml:space="preserve">Intern. Interc. to S</t>
  </si>
  <si>
    <t xml:space="preserve">South</t>
  </si>
  <si>
    <t xml:space="preserve">IGUAÇU</t>
  </si>
  <si>
    <t xml:space="preserve">G.B.MUNHOZ</t>
  </si>
  <si>
    <t xml:space="preserve">NORTH *</t>
  </si>
  <si>
    <t xml:space="preserve">SALTO SANTIAGO</t>
  </si>
  <si>
    <t xml:space="preserve">Northeast</t>
  </si>
  <si>
    <t xml:space="preserve">S.FRANCISCO</t>
  </si>
  <si>
    <t xml:space="preserve">TRES MARIAS</t>
  </si>
  <si>
    <t xml:space="preserve">SOBRADINHO</t>
  </si>
  <si>
    <t xml:space="preserve">LUIZ GONZAGA</t>
  </si>
  <si>
    <t xml:space="preserve">Midwest</t>
  </si>
  <si>
    <t xml:space="preserve">Interc. N to NE</t>
  </si>
  <si>
    <t xml:space="preserve">TOCANTINS</t>
  </si>
  <si>
    <t xml:space="preserve">SERRA DA MESA</t>
  </si>
  <si>
    <t xml:space="preserve">Interc. N to SE</t>
  </si>
  <si>
    <t xml:space="preserve">TUCURUI</t>
  </si>
  <si>
    <t xml:space="preserve">NORTHEAST</t>
  </si>
  <si>
    <t xml:space="preserve">6 - Historical Generation</t>
  </si>
  <si>
    <t xml:space="preserve">8 - Historical Load - GWh</t>
  </si>
  <si>
    <t xml:space="preserve">Hydro Generation - GWh</t>
  </si>
  <si>
    <t xml:space="preserve">Thermo Generation - GWh</t>
  </si>
  <si>
    <t xml:space="preserve">Interconnected System</t>
  </si>
  <si>
    <t xml:space="preserve">Interc. NE to N</t>
  </si>
  <si>
    <t xml:space="preserve">Interc. NE to SE</t>
  </si>
  <si>
    <t xml:space="preserve">Itaipu 50 Hz</t>
  </si>
  <si>
    <t xml:space="preserve">Itaipu 60 Hz</t>
  </si>
  <si>
    <t xml:space="preserve">* North submarket is unbalanced due to an inconsistency in ONS report</t>
  </si>
  <si>
    <t xml:space="preserve">2 - Available generation per system (MW)</t>
  </si>
  <si>
    <t xml:space="preserve">System</t>
  </si>
  <si>
    <t xml:space="preserve">Hydro</t>
  </si>
  <si>
    <t xml:space="preserve">Thermo</t>
  </si>
  <si>
    <t xml:space="preserve">Total</t>
  </si>
  <si>
    <t xml:space="preserve">S</t>
  </si>
  <si>
    <t xml:space="preserve">TOTAL</t>
  </si>
  <si>
    <t xml:space="preserve">SE + MW</t>
  </si>
  <si>
    <t xml:space="preserve">S + SE + MW</t>
  </si>
  <si>
    <t xml:space="preserve">N</t>
  </si>
  <si>
    <t xml:space="preserve">NE</t>
  </si>
  <si>
    <t xml:space="preserve">N + NE</t>
  </si>
  <si>
    <t xml:space="preserve">3 - International Interconnections (MW)</t>
  </si>
  <si>
    <t xml:space="preserve">Paraguai to Copel</t>
  </si>
  <si>
    <t xml:space="preserve">Argentina to Eletrosul</t>
  </si>
  <si>
    <t xml:space="preserve">4 - Transmission Capacity (MW)</t>
  </si>
  <si>
    <t xml:space="preserve">                      Average</t>
  </si>
  <si>
    <t xml:space="preserve">      Heavy Load</t>
  </si>
  <si>
    <t xml:space="preserve">                  Medium Load</t>
  </si>
  <si>
    <t xml:space="preserve">      Light Load</t>
  </si>
  <si>
    <t xml:space="preserve">9 - Generation</t>
  </si>
  <si>
    <t xml:space="preserve">9.1. Hydro generation and availability per plant</t>
  </si>
  <si>
    <t xml:space="preserve">9.2. Thermo generation</t>
  </si>
  <si>
    <t xml:space="preserve">Plant</t>
  </si>
  <si>
    <t xml:space="preserve">%</t>
  </si>
  <si>
    <t xml:space="preserve">Inst Cap</t>
  </si>
  <si>
    <t xml:space="preserve">Availab Cap</t>
  </si>
  <si>
    <t xml:space="preserve">Dif (MW)</t>
  </si>
  <si>
    <t xml:space="preserve">Exc Inst Cap </t>
  </si>
  <si>
    <t xml:space="preserve">Exc Av Cap</t>
  </si>
  <si>
    <t xml:space="preserve">Cost(R$/MWh)</t>
  </si>
  <si>
    <t xml:space="preserve">PCH CEB</t>
  </si>
  <si>
    <t xml:space="preserve">PUS CEB</t>
  </si>
  <si>
    <t xml:space="preserve">Angra</t>
  </si>
  <si>
    <t xml:space="preserve">CAMARGOS</t>
  </si>
  <si>
    <t xml:space="preserve">P.Médici</t>
  </si>
  <si>
    <t xml:space="preserve">Uruguaiana</t>
  </si>
  <si>
    <t xml:space="preserve">Uruguaiana***</t>
  </si>
  <si>
    <t xml:space="preserve">G.AMORIM</t>
  </si>
  <si>
    <t xml:space="preserve">J.Lacerda C</t>
  </si>
  <si>
    <t xml:space="preserve">IGARAPAVA</t>
  </si>
  <si>
    <t xml:space="preserve">J.Lacerda B</t>
  </si>
  <si>
    <t xml:space="preserve">ITUTINGA</t>
  </si>
  <si>
    <t xml:space="preserve">J.Lacerda A</t>
  </si>
  <si>
    <t xml:space="preserve">JAGUARA</t>
  </si>
  <si>
    <t xml:space="preserve">Charqueadas</t>
  </si>
  <si>
    <t xml:space="preserve">MIRANDA</t>
  </si>
  <si>
    <t xml:space="preserve">Campos</t>
  </si>
  <si>
    <t xml:space="preserve">Igarapé</t>
  </si>
  <si>
    <t xml:space="preserve">PCH CEMIG</t>
  </si>
  <si>
    <t xml:space="preserve">Figueira</t>
  </si>
  <si>
    <t xml:space="preserve">S.GRANDE</t>
  </si>
  <si>
    <t xml:space="preserve">S.Jerônimo</t>
  </si>
  <si>
    <t xml:space="preserve">SÃO JERÔNIMO</t>
  </si>
  <si>
    <t xml:space="preserve">S.SIMÃO</t>
  </si>
  <si>
    <t xml:space="preserve">Sta Cruz</t>
  </si>
  <si>
    <t xml:space="preserve">SOBRAGI</t>
  </si>
  <si>
    <t xml:space="preserve">Piratininga</t>
  </si>
  <si>
    <t xml:space="preserve">T.MARIAS</t>
  </si>
  <si>
    <t xml:space="preserve">Alegrete</t>
  </si>
  <si>
    <t xml:space="preserve">V.GRANDE</t>
  </si>
  <si>
    <t xml:space="preserve">Carioba</t>
  </si>
  <si>
    <t xml:space="preserve">Carioba*</t>
  </si>
  <si>
    <t xml:space="preserve">PCH CELG</t>
  </si>
  <si>
    <t xml:space="preserve">PUS CELG</t>
  </si>
  <si>
    <t xml:space="preserve">Cuiabá</t>
  </si>
  <si>
    <t xml:space="preserve">PCH CPFL</t>
  </si>
  <si>
    <t xml:space="preserve">Nutepa</t>
  </si>
  <si>
    <t xml:space="preserve">PCH CERJ</t>
  </si>
  <si>
    <t xml:space="preserve">Camaçari</t>
  </si>
  <si>
    <t xml:space="preserve">A.VERMELHA</t>
  </si>
  <si>
    <t xml:space="preserve">W.Arjona</t>
  </si>
  <si>
    <t xml:space="preserve">B.BONITA</t>
  </si>
  <si>
    <t xml:space="preserve">BARIRI</t>
  </si>
  <si>
    <t xml:space="preserve">CACONDE</t>
  </si>
  <si>
    <t xml:space="preserve">Note: Angra considers both Angra I and II thermoplants</t>
  </si>
  <si>
    <t xml:space="preserve">          Includes 200 MW of Uruguaiana thermoplant (unit 3) on commission</t>
  </si>
  <si>
    <t xml:space="preserve">CANOAS I</t>
  </si>
  <si>
    <t xml:space="preserve">CANOAS II</t>
  </si>
  <si>
    <t xml:space="preserve">Legend</t>
  </si>
  <si>
    <t xml:space="preserve">E.CUNHA</t>
  </si>
  <si>
    <t xml:space="preserve"> Southeast</t>
  </si>
  <si>
    <t xml:space="preserve"> Northeast</t>
  </si>
  <si>
    <t xml:space="preserve">IBITINGA</t>
  </si>
  <si>
    <t xml:space="preserve">I.SOLTEIRA</t>
  </si>
  <si>
    <t xml:space="preserve"> South</t>
  </si>
  <si>
    <t xml:space="preserve"> North</t>
  </si>
  <si>
    <t xml:space="preserve">JAGUARI</t>
  </si>
  <si>
    <t xml:space="preserve">JUPIA</t>
  </si>
  <si>
    <t xml:space="preserve">LIMOEIRO</t>
  </si>
  <si>
    <t xml:space="preserve">N. AVANHAN</t>
  </si>
  <si>
    <t xml:space="preserve">PARAIBUNA</t>
  </si>
  <si>
    <t xml:space="preserve">P.PRIMAVERA</t>
  </si>
  <si>
    <t xml:space="preserve">ROSANA</t>
  </si>
  <si>
    <t xml:space="preserve">S. GRANDE</t>
  </si>
  <si>
    <t xml:space="preserve">TAQUARUÇU</t>
  </si>
  <si>
    <t xml:space="preserve">T.IRMÃOS</t>
  </si>
  <si>
    <t xml:space="preserve">PCH CEMAT</t>
  </si>
  <si>
    <t xml:space="preserve">PUS CEMAT</t>
  </si>
  <si>
    <t xml:space="preserve">MASCARENHAS</t>
  </si>
  <si>
    <t xml:space="preserve">PCH ESCELSA</t>
  </si>
  <si>
    <t xml:space="preserve">PCH ESCELSA (*)</t>
  </si>
  <si>
    <t xml:space="preserve">H.BORDEN Ext</t>
  </si>
  <si>
    <t xml:space="preserve">H.BORDEN Sub.</t>
  </si>
  <si>
    <t xml:space="preserve">H.BORDEN Sub</t>
  </si>
  <si>
    <t xml:space="preserve">PCH EPAULO</t>
  </si>
  <si>
    <t xml:space="preserve">P.COLOMBIA</t>
  </si>
  <si>
    <t xml:space="preserve">CORUMBÁ </t>
  </si>
  <si>
    <t xml:space="preserve">CORUMBÁ</t>
  </si>
  <si>
    <t xml:space="preserve">FUNIL</t>
  </si>
  <si>
    <t xml:space="preserve">ESTREITO</t>
  </si>
  <si>
    <t xml:space="preserve">MANSO</t>
  </si>
  <si>
    <t xml:space="preserve">S. MESA</t>
  </si>
  <si>
    <t xml:space="preserve">SERRA MESA</t>
  </si>
  <si>
    <t xml:space="preserve">C.DOURADA</t>
  </si>
  <si>
    <t xml:space="preserve">FONTES</t>
  </si>
  <si>
    <t xml:space="preserve">I. POMBOS</t>
  </si>
  <si>
    <t xml:space="preserve">N.PEÇANHA</t>
  </si>
  <si>
    <t xml:space="preserve">P.PASSOS</t>
  </si>
  <si>
    <t xml:space="preserve">STA BRANCA</t>
  </si>
  <si>
    <t xml:space="preserve">S.BRANCA</t>
  </si>
  <si>
    <t xml:space="preserve">ITAIPU 50 Hz</t>
  </si>
  <si>
    <t xml:space="preserve">ITAIPU 60 Hz</t>
  </si>
  <si>
    <t xml:space="preserve">SUB-TOTAL</t>
  </si>
  <si>
    <t xml:space="preserve">PCH CEEE</t>
  </si>
  <si>
    <t xml:space="preserve">CANASTRA</t>
  </si>
  <si>
    <t xml:space="preserve">ITAUBA</t>
  </si>
  <si>
    <t xml:space="preserve">JACUI</t>
  </si>
  <si>
    <t xml:space="preserve">PASSO REAL</t>
  </si>
  <si>
    <t xml:space="preserve">GBM</t>
  </si>
  <si>
    <t xml:space="preserve">GPS</t>
  </si>
  <si>
    <t xml:space="preserve">PCH COPEL</t>
  </si>
  <si>
    <t xml:space="preserve">S.CAXIAS</t>
  </si>
  <si>
    <t xml:space="preserve">SEGREDO</t>
  </si>
  <si>
    <t xml:space="preserve">ITÁ</t>
  </si>
  <si>
    <t xml:space="preserve">P.FUNDO</t>
  </si>
  <si>
    <t xml:space="preserve">S.OSÓRIO</t>
  </si>
  <si>
    <t xml:space="preserve">S.OSORIO</t>
  </si>
  <si>
    <t xml:space="preserve">S.SANTIAGO</t>
  </si>
  <si>
    <t xml:space="preserve">PCH ENERSUL</t>
  </si>
  <si>
    <t xml:space="preserve">PUS ENERSUL</t>
  </si>
  <si>
    <t xml:space="preserve">PCH CELESC</t>
  </si>
  <si>
    <t xml:space="preserve">PCH CHESF</t>
  </si>
  <si>
    <t xml:space="preserve">A SALLES</t>
  </si>
  <si>
    <t xml:space="preserve">APOLÔNIO SALLES</t>
  </si>
  <si>
    <t xml:space="preserve">B. ESPERANÇA</t>
  </si>
  <si>
    <t xml:space="preserve">BOA ESPERANÇA</t>
  </si>
  <si>
    <t xml:space="preserve">L.GONZAGA</t>
  </si>
  <si>
    <t xml:space="preserve">LUIS GONZAGA</t>
  </si>
  <si>
    <t xml:space="preserve">P.AFONSO 1</t>
  </si>
  <si>
    <t xml:space="preserve">P.AFONSO 2</t>
  </si>
  <si>
    <t xml:space="preserve">P.AFONSO 3</t>
  </si>
  <si>
    <t xml:space="preserve">P.AFONSO 4</t>
  </si>
  <si>
    <t xml:space="preserve">XINGÓ</t>
  </si>
  <si>
    <t xml:space="preserve">TUCURUÍ</t>
  </si>
  <si>
    <t xml:space="preserve">AUX. TUCURUI</t>
  </si>
  <si>
    <t xml:space="preserve">CURUÁ-UNA</t>
  </si>
  <si>
    <t xml:space="preserve">CURUA-UNA</t>
  </si>
  <si>
    <t xml:space="preserve">Note:  PCH Escelsa includes 40 MW from auto producers</t>
  </si>
  <si>
    <t xml:space="preserve">           PCH Copel includes 47 MW from Acaray</t>
  </si>
  <si>
    <t xml:space="preserve">Southeast Submarket</t>
  </si>
  <si>
    <t xml:space="preserve">Generation</t>
  </si>
  <si>
    <t xml:space="preserve">EAR</t>
  </si>
  <si>
    <t xml:space="preserve">Max EAR (MW)</t>
  </si>
  <si>
    <t xml:space="preserve">Northeast Submarket</t>
  </si>
  <si>
    <t xml:space="preserve">(% National System)</t>
  </si>
  <si>
    <t xml:space="preserve">South Submarket</t>
  </si>
  <si>
    <t xml:space="preserve">North Submarket</t>
  </si>
  <si>
    <t xml:space="preserve">TMO (Tarifa Marginal da Operação - R$)</t>
  </si>
  <si>
    <t xml:space="preserve">ENA (Energia Natural Afluente as of % Média Longo Termo)</t>
  </si>
  <si>
    <t xml:space="preserve">EAR (Energia Armazenada)</t>
  </si>
  <si>
    <t xml:space="preserve">Heavy load price</t>
  </si>
  <si>
    <t xml:space="preserve">Medium load price</t>
  </si>
  <si>
    <t xml:space="preserve">     Light load price</t>
  </si>
  <si>
    <t xml:space="preserve">DO NOT PRINT THIS CHECK LIST</t>
  </si>
  <si>
    <t xml:space="preserve">Check</t>
  </si>
  <si>
    <t xml:space="preserve">EAR (Storage Energy)</t>
  </si>
  <si>
    <t xml:space="preserve">EAR (Storage Energy - YoY change)</t>
  </si>
  <si>
    <t xml:space="preserve">North</t>
  </si>
  <si>
    <t xml:space="preserve">1998</t>
  </si>
  <si>
    <t xml:space="preserve">1999</t>
  </si>
  <si>
    <t xml:space="preserve">-</t>
  </si>
  <si>
    <t xml:space="preserve">ENA (Water Inflow as a % of MLT)</t>
  </si>
  <si>
    <t xml:space="preserve">ENA (Water Inflow - YoY change)</t>
  </si>
  <si>
    <t xml:space="preserve">ENA</t>
  </si>
  <si>
    <t xml:space="preserve">%MLT</t>
  </si>
  <si>
    <t xml:space="preserve">Heavy</t>
  </si>
  <si>
    <t xml:space="preserve">Medium</t>
  </si>
  <si>
    <t xml:space="preserve">Light</t>
  </si>
  <si>
    <t xml:space="preserve">EAR (MW)</t>
  </si>
  <si>
    <t xml:space="preserve">SE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</si>
</sst>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&quot;R$&quot;* #,##0_);_(&quot;R$&quot;* \(#,##0\);_(&quot;R$&quot;* \-_);_(@_)"/>
    <numFmt numFmtId="166" formatCode="_(&quot;R$&quot;* #,##0.00_);_(&quot;R$&quot;* \(#,##0.00\);_(&quot;R$&quot;* \-??_);_(@_)"/>
    <numFmt numFmtId="167" formatCode="mmmm\ d&quot;, &quot;yyyy"/>
    <numFmt numFmtId="168" formatCode="@"/>
    <numFmt numFmtId="169" formatCode="#,##0"/>
    <numFmt numFmtId="170" formatCode="0.0"/>
    <numFmt numFmtId="171" formatCode="[$-409]#,##0_);[RED]\(#,##0\)"/>
    <numFmt numFmtId="172" formatCode="0.00"/>
    <numFmt numFmtId="173" formatCode="0%"/>
    <numFmt numFmtId="174" formatCode="0"/>
    <numFmt numFmtId="175" formatCode="_(* #,##0.00_);_(* \(#,##0.00\);_(* \-??_);_(@_)"/>
    <numFmt numFmtId="176" formatCode="_(* #,##0_);_(* \(#,##0\);_(* \-??_);_(@_)"/>
    <numFmt numFmtId="177" formatCode="0.00%"/>
    <numFmt numFmtId="178" formatCode="[$-409]#,##0_);\(#,##0\)"/>
    <numFmt numFmtId="179" formatCode="#,##0.00"/>
    <numFmt numFmtId="180" formatCode="[$-409]#,##0.00_);[RED]\(#,##0.00\)"/>
    <numFmt numFmtId="181" formatCode="0.0%"/>
    <numFmt numFmtId="182" formatCode="[$-409]mmm\-yy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003366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6"/>
      <name val="Arial"/>
      <family val="2"/>
    </font>
    <font>
      <sz val="6"/>
      <name val="Arial"/>
      <family val="2"/>
    </font>
    <font>
      <b val="true"/>
      <i val="true"/>
      <sz val="7"/>
      <name val="Arial"/>
      <family val="2"/>
    </font>
    <font>
      <sz val="7"/>
      <name val="Arial"/>
      <family val="2"/>
    </font>
    <font>
      <b val="true"/>
      <sz val="7"/>
      <name val="Arial"/>
      <family val="2"/>
    </font>
    <font>
      <b val="true"/>
      <sz val="8"/>
      <color rgb="FF003366"/>
      <name val="Arial"/>
      <family val="2"/>
    </font>
    <font>
      <b val="true"/>
      <sz val="8"/>
      <color rgb="FFFF0000"/>
      <name val="Arial"/>
      <family val="2"/>
    </font>
    <font>
      <b val="true"/>
      <i val="true"/>
      <sz val="8"/>
      <name val="Arial"/>
      <family val="2"/>
    </font>
    <font>
      <b val="true"/>
      <sz val="8"/>
      <color rgb="FF0000FF"/>
      <name val="Arial"/>
      <family val="2"/>
    </font>
    <font>
      <i val="true"/>
      <sz val="8"/>
      <name val="Arial"/>
      <family val="2"/>
    </font>
    <font>
      <b val="true"/>
      <sz val="10"/>
      <color rgb="FFFF0000"/>
      <name val="Arial"/>
      <family val="2"/>
    </font>
    <font>
      <b val="true"/>
      <sz val="8"/>
      <color rgb="FF000000"/>
      <name val="Arial"/>
      <family val="2"/>
    </font>
    <font>
      <sz val="4.75"/>
      <color rgb="FF000000"/>
      <name val="Arial"/>
      <family val="2"/>
    </font>
    <font>
      <sz val="8"/>
      <color rgb="FF000000"/>
      <name val="Arial"/>
      <family val="2"/>
    </font>
    <font>
      <sz val="5.75"/>
      <color rgb="FF000000"/>
      <name val="Arial"/>
      <family val="2"/>
    </font>
    <font>
      <sz val="8.25"/>
      <color rgb="FF000000"/>
      <name val="Arial"/>
      <family val="2"/>
    </font>
    <font>
      <sz val="5.25"/>
      <color rgb="FF000000"/>
      <name val="Arial"/>
      <family val="2"/>
    </font>
    <font>
      <sz val="10"/>
      <color rgb="FF000000"/>
      <name val="Arial"/>
      <family val="0"/>
    </font>
    <font>
      <sz val="8"/>
      <color rgb="FF000000"/>
      <name val="Arial"/>
      <family val="0"/>
    </font>
    <font>
      <sz val="10"/>
      <color rgb="FFFF0000"/>
      <name val="Arial"/>
      <family val="2"/>
    </font>
    <font>
      <b val="true"/>
      <sz val="10"/>
      <color rgb="FFFFFFFF"/>
      <name val="Arial"/>
      <family val="2"/>
    </font>
    <font>
      <sz val="10"/>
      <color rgb="FFFFFFFF"/>
      <name val="Arial"/>
      <family val="2"/>
    </font>
    <font>
      <i val="true"/>
      <sz val="8"/>
      <color rgb="FF0000FF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2"/>
    </font>
    <font>
      <b val="true"/>
      <sz val="9"/>
      <name val="Arial"/>
      <family val="2"/>
    </font>
    <font>
      <i val="true"/>
      <u val="single"/>
      <sz val="10"/>
      <name val="Arial"/>
      <family val="2"/>
    </font>
    <font>
      <b val="true"/>
      <sz val="12"/>
      <color rgb="FF000000"/>
      <name val="Arial"/>
      <family val="2"/>
    </font>
    <font>
      <sz val="8.5"/>
      <color rgb="FF000000"/>
      <name val="Arial"/>
      <family val="2"/>
    </font>
    <font>
      <sz val="6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99CC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6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8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4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4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8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8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4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3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3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3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3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8" fillId="0" borderId="3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2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8" fillId="0" borderId="4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3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3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8" fillId="3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8" fillId="0" borderId="4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3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3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3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5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5" borderId="4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5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5" borderId="4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5" borderId="5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5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5" borderId="2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5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5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5" borderId="3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5" borderId="3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6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6" borderId="3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6" borderId="3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6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5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5" borderId="3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5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4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7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7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7" borderId="3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7" borderId="3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7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6" borderId="5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6" borderId="5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6" borderId="5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7" fillId="6" borderId="5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7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3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7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6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8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5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5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5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5" borderId="5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5" borderId="5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5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5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5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8" fillId="5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6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6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6" borderId="4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6" borderId="5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6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6" borderId="3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9" borderId="4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6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6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1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5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9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6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6" borderId="5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9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6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6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6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8" fillId="6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7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7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7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7" borderId="4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7" borderId="5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7" borderId="3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7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7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7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7" borderId="5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7" borderId="5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7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7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7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7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8" fillId="7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8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8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8" borderId="4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8" borderId="5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8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8" borderId="3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8" borderId="3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8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8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8" borderId="3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8" borderId="3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8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1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8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8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8" fillId="8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3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6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6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6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4" fillId="0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6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 [0]_ena-ear" xfId="20"/>
    <cellStyle name="Currency_ena-ear" xfId="21"/>
  </cellStyles>
  <dxfs count="1"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Thermo Generation (GWh)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"1999"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Page1!$F$42:$F$53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Page1!$K$42:$K$53</c:f>
              <c:numCache>
                <c:formatCode>#,##0</c:formatCode>
                <c:ptCount val="12"/>
                <c:pt idx="0">
                  <c:v>1226.9</c:v>
                </c:pt>
                <c:pt idx="1">
                  <c:v>1207</c:v>
                </c:pt>
                <c:pt idx="2">
                  <c:v>1319</c:v>
                </c:pt>
                <c:pt idx="3">
                  <c:v>1239</c:v>
                </c:pt>
                <c:pt idx="4">
                  <c:v>1340</c:v>
                </c:pt>
                <c:pt idx="5">
                  <c:v>1272</c:v>
                </c:pt>
                <c:pt idx="6">
                  <c:v>988</c:v>
                </c:pt>
                <c:pt idx="7">
                  <c:v>1315</c:v>
                </c:pt>
                <c:pt idx="8">
                  <c:v>1378</c:v>
                </c:pt>
                <c:pt idx="9">
                  <c:v>1491</c:v>
                </c:pt>
                <c:pt idx="10">
                  <c:v>1647</c:v>
                </c:pt>
                <c:pt idx="11">
                  <c:v>1846.2556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Page1!$F$42:$F$53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Page1!$L$42:$L$53</c:f>
              <c:numCache>
                <c:formatCode>#,##0</c:formatCode>
                <c:ptCount val="12"/>
                <c:pt idx="0">
                  <c:v>1871</c:v>
                </c:pt>
                <c:pt idx="1">
                  <c:v>1775</c:v>
                </c:pt>
                <c:pt idx="2">
                  <c:v>1681</c:v>
                </c:pt>
                <c:pt idx="3">
                  <c:v>1415</c:v>
                </c:pt>
                <c:pt idx="4">
                  <c:v>1335</c:v>
                </c:pt>
                <c:pt idx="5">
                  <c:v>1413</c:v>
                </c:pt>
                <c:pt idx="6">
                  <c:v>1351</c:v>
                </c:pt>
                <c:pt idx="7">
                  <c:v>1982.83</c:v>
                </c:pt>
                <c:pt idx="8">
                  <c:v>1178</c:v>
                </c:pt>
                <c:pt idx="9">
                  <c:v>1500</c:v>
                </c:pt>
                <c:pt idx="10">
                  <c:v>2261</c:v>
                </c:pt>
                <c:pt idx="11">
                  <c:v>2635.07377916667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0717109"/>
        <c:axId val="42316335"/>
      </c:lineChart>
      <c:catAx>
        <c:axId val="107171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316335"/>
        <c:crossesAt val="0"/>
        <c:auto val="1"/>
        <c:lblAlgn val="ctr"/>
        <c:lblOffset val="100"/>
        <c:noMultiLvlLbl val="0"/>
      </c:catAx>
      <c:valAx>
        <c:axId val="42316335"/>
        <c:scaling>
          <c:orientation val="minMax"/>
          <c:min val="6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71710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 Submarket</a:t>
            </a:r>
          </a:p>
        </c:rich>
      </c:tx>
      <c:layout>
        <c:manualLayout>
          <c:xMode val="edge"/>
          <c:yMode val="edge"/>
          <c:x val="0.411968276856525"/>
          <c:y val="0.017368347922745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24969959144436"/>
          <c:y val="0.0183409754064193"/>
          <c:w val="0.987022350396539"/>
          <c:h val="0.981172710851744"/>
        </c:manualLayout>
      </c:layout>
      <c:lineChart>
        <c:grouping val="standard"/>
        <c:varyColors val="0"/>
        <c:ser>
          <c:idx val="0"/>
          <c:order val="0"/>
          <c:tx>
            <c:strRef>
              <c:f>Data!$U$2</c:f>
              <c:strCache>
                <c:ptCount val="1"/>
                <c:pt idx="0">
                  <c:v>%MLT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square"/>
            <c:size val="5"/>
            <c:spPr>
              <a:solidFill>
                <a:srgbClr val="000080"/>
              </a:solidFill>
            </c:spPr>
          </c:marker>
          <c:dPt>
            <c:idx val="2"/>
            <c:marker>
              <c:symbol val="square"/>
              <c:size val="5"/>
              <c:spPr>
                <a:solidFill>
                  <a:srgbClr val="000080"/>
                </a:solidFill>
              </c:spPr>
            </c:marke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</c:f>
              <c:strCache>
                <c:ptCount val="25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</c:strCache>
            </c:strRef>
          </c:cat>
          <c:val>
            <c:numRef>
              <c:f>Data!$U$3:$U$29</c:f>
              <c:numCache>
                <c:formatCode>0%</c:formatCode>
                <c:ptCount val="25"/>
                <c:pt idx="0">
                  <c:v>0.79</c:v>
                </c:pt>
                <c:pt idx="1">
                  <c:v>0.56</c:v>
                </c:pt>
                <c:pt idx="2">
                  <c:v>0.79</c:v>
                </c:pt>
                <c:pt idx="3">
                  <c:v>0.65</c:v>
                </c:pt>
                <c:pt idx="4">
                  <c:v>0.82</c:v>
                </c:pt>
                <c:pt idx="5">
                  <c:v>0.63</c:v>
                </c:pt>
                <c:pt idx="6">
                  <c:v>0.68</c:v>
                </c:pt>
                <c:pt idx="7">
                  <c:v>0.73</c:v>
                </c:pt>
                <c:pt idx="8">
                  <c:v>0.72</c:v>
                </c:pt>
                <c:pt idx="9">
                  <c:v>0.8</c:v>
                </c:pt>
                <c:pt idx="10">
                  <c:v>0.93</c:v>
                </c:pt>
                <c:pt idx="11">
                  <c:v>1.17</c:v>
                </c:pt>
                <c:pt idx="12">
                  <c:v>1.42</c:v>
                </c:pt>
                <c:pt idx="13">
                  <c:v>1.17</c:v>
                </c:pt>
                <c:pt idx="14">
                  <c:v>1.27</c:v>
                </c:pt>
                <c:pt idx="15">
                  <c:v>1.11</c:v>
                </c:pt>
                <c:pt idx="16">
                  <c:v>1.16</c:v>
                </c:pt>
                <c:pt idx="17">
                  <c:v>0.83</c:v>
                </c:pt>
                <c:pt idx="18">
                  <c:v>0.89</c:v>
                </c:pt>
                <c:pt idx="19">
                  <c:v>0.97</c:v>
                </c:pt>
                <c:pt idx="20">
                  <c:v>0.88</c:v>
                </c:pt>
                <c:pt idx="21">
                  <c:v>0.88</c:v>
                </c:pt>
                <c:pt idx="22">
                  <c:v>1.08</c:v>
                </c:pt>
                <c:pt idx="23">
                  <c:v>1.35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Data!$V$2</c:f>
              <c:strCache>
                <c:ptCount val="1"/>
                <c:pt idx="0">
                  <c:v>EAR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ff6600"/>
              </a:solidFill>
              <a:round/>
            </a:ln>
          </c:spPr>
          <c:marker>
            <c:symbol val="triangle"/>
            <c:size val="5"/>
            <c:spPr>
              <a:solidFill>
                <a:srgbClr val="ff6600"/>
              </a:solidFill>
            </c:spPr>
          </c:marker>
          <c:dPt>
            <c:idx val="1"/>
            <c:marker>
              <c:symbol val="triangle"/>
              <c:size val="5"/>
              <c:spPr>
                <a:solidFill>
                  <a:srgbClr val="ff6600"/>
                </a:solidFill>
              </c:spPr>
            </c:marker>
          </c:dPt>
          <c:dPt>
            <c:idx val="2"/>
            <c:marker>
              <c:symbol val="triangle"/>
              <c:size val="5"/>
              <c:spPr>
                <a:solidFill>
                  <a:srgbClr val="ff6600"/>
                </a:solidFill>
              </c:spPr>
            </c:marker>
          </c:dPt>
          <c:dPt>
            <c:idx val="3"/>
            <c:marker>
              <c:symbol val="triangle"/>
              <c:size val="5"/>
              <c:spPr>
                <a:solidFill>
                  <a:srgbClr val="ff6600"/>
                </a:solidFill>
              </c:spPr>
            </c:marker>
          </c:dPt>
          <c:dPt>
            <c:idx val="4"/>
            <c:marker>
              <c:symbol val="triangle"/>
              <c:size val="5"/>
              <c:spPr>
                <a:solidFill>
                  <a:srgbClr val="ff6600"/>
                </a:solidFill>
              </c:spPr>
            </c:marker>
          </c:dPt>
          <c:dPt>
            <c:idx val="5"/>
            <c:marker>
              <c:symbol val="triangle"/>
              <c:size val="5"/>
              <c:spPr>
                <a:solidFill>
                  <a:srgbClr val="ff6600"/>
                </a:solidFill>
              </c:spPr>
            </c:marker>
          </c:dPt>
          <c:dPt>
            <c:idx val="20"/>
            <c:marker>
              <c:symbol val="triangle"/>
              <c:size val="5"/>
              <c:spPr>
                <a:solidFill>
                  <a:srgbClr val="ff6600"/>
                </a:solidFill>
              </c:spPr>
            </c:marker>
          </c:dPt>
          <c:dLbls>
            <c:numFmt formatCode="0%" sourceLinked="1"/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0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</c:f>
              <c:strCache>
                <c:ptCount val="25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</c:strCache>
            </c:strRef>
          </c:cat>
          <c:val>
            <c:numRef>
              <c:f>Data!$V$3:$V$29</c:f>
              <c:numCache>
                <c:formatCode>0.0%</c:formatCode>
                <c:ptCount val="25"/>
                <c:pt idx="0">
                  <c:v>0.742</c:v>
                </c:pt>
                <c:pt idx="1">
                  <c:v>0.802</c:v>
                </c:pt>
                <c:pt idx="2">
                  <c:v>0.81</c:v>
                </c:pt>
                <c:pt idx="3">
                  <c:v>0.832</c:v>
                </c:pt>
                <c:pt idx="4">
                  <c:v>0.837</c:v>
                </c:pt>
                <c:pt idx="5">
                  <c:v>0.81</c:v>
                </c:pt>
                <c:pt idx="6">
                  <c:v>0.714</c:v>
                </c:pt>
                <c:pt idx="7">
                  <c:v>0.585</c:v>
                </c:pt>
                <c:pt idx="8">
                  <c:v>0.438</c:v>
                </c:pt>
                <c:pt idx="9">
                  <c:v>0.287</c:v>
                </c:pt>
                <c:pt idx="10">
                  <c:v>0.24</c:v>
                </c:pt>
                <c:pt idx="11">
                  <c:v>0.457</c:v>
                </c:pt>
                <c:pt idx="12">
                  <c:v>0.755</c:v>
                </c:pt>
                <c:pt idx="13">
                  <c:v>0.807</c:v>
                </c:pt>
                <c:pt idx="14">
                  <c:v>0.833</c:v>
                </c:pt>
                <c:pt idx="15">
                  <c:v>0.837</c:v>
                </c:pt>
                <c:pt idx="16">
                  <c:v>0.821</c:v>
                </c:pt>
                <c:pt idx="17">
                  <c:v>0.811</c:v>
                </c:pt>
                <c:pt idx="18">
                  <c:v>0.755</c:v>
                </c:pt>
                <c:pt idx="19">
                  <c:v>0.615</c:v>
                </c:pt>
                <c:pt idx="20">
                  <c:v>0.45</c:v>
                </c:pt>
                <c:pt idx="21">
                  <c:v>0.321</c:v>
                </c:pt>
                <c:pt idx="22">
                  <c:v>0.2902</c:v>
                </c:pt>
                <c:pt idx="23">
                  <c:v>0.593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430026"/>
        <c:axId val="78808567"/>
      </c:lineChart>
      <c:barChart>
        <c:barDir val="col"/>
        <c:grouping val="clustered"/>
        <c:varyColors val="0"/>
        <c:ser>
          <c:idx val="2"/>
          <c:order val="2"/>
          <c:tx>
            <c:strRef>
              <c:f>Data!$W$2</c:f>
              <c:strCache>
                <c:ptCount val="1"/>
                <c:pt idx="0">
                  <c:v>Heavy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2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20"/>
              <c:numFmt formatCode="0" sourceLinked="1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2"/>
              <c:numFmt formatCode="0" sourceLinked="1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</c:f>
              <c:strCache>
                <c:ptCount val="25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</c:strCache>
            </c:strRef>
          </c:cat>
          <c:val>
            <c:numRef>
              <c:f>Data!$W$3:$W$29</c:f>
              <c:numCache>
                <c:formatCode>General</c:formatCode>
                <c:ptCount val="25"/>
                <c:pt idx="0">
                  <c:v>39.49</c:v>
                </c:pt>
                <c:pt idx="1">
                  <c:v>26.07</c:v>
                </c:pt>
                <c:pt idx="2">
                  <c:v>28.48</c:v>
                </c:pt>
                <c:pt idx="3">
                  <c:v>26.91</c:v>
                </c:pt>
                <c:pt idx="4">
                  <c:v>30.95</c:v>
                </c:pt>
                <c:pt idx="5">
                  <c:v>45.24</c:v>
                </c:pt>
                <c:pt idx="6">
                  <c:v>38.02</c:v>
                </c:pt>
                <c:pt idx="7">
                  <c:v>52.05</c:v>
                </c:pt>
                <c:pt idx="8">
                  <c:v>71.47</c:v>
                </c:pt>
                <c:pt idx="9">
                  <c:v>90.75</c:v>
                </c:pt>
                <c:pt idx="10">
                  <c:v>161.1</c:v>
                </c:pt>
                <c:pt idx="11">
                  <c:v>211.22</c:v>
                </c:pt>
                <c:pt idx="12">
                  <c:v>187.58</c:v>
                </c:pt>
                <c:pt idx="13">
                  <c:v>158.55</c:v>
                </c:pt>
                <c:pt idx="14">
                  <c:v>63.93</c:v>
                </c:pt>
                <c:pt idx="15">
                  <c:v>33.3</c:v>
                </c:pt>
                <c:pt idx="16">
                  <c:v>47.84</c:v>
                </c:pt>
                <c:pt idx="17">
                  <c:v>69.51</c:v>
                </c:pt>
                <c:pt idx="18">
                  <c:v>99.53</c:v>
                </c:pt>
                <c:pt idx="19">
                  <c:v>89.72</c:v>
                </c:pt>
                <c:pt idx="20">
                  <c:v>101.49</c:v>
                </c:pt>
                <c:pt idx="21">
                  <c:v>76.07</c:v>
                </c:pt>
                <c:pt idx="22">
                  <c:v>149.7</c:v>
                </c:pt>
                <c:pt idx="23">
                  <c:v>103.54</c:v>
                </c:pt>
                <c:pt idx="24">
                  <c:v>33.87</c:v>
                </c:pt>
              </c:numCache>
            </c:numRef>
          </c:val>
        </c:ser>
        <c:ser>
          <c:idx val="3"/>
          <c:order val="3"/>
          <c:tx>
            <c:strRef>
              <c:f>Data!$X$2</c:f>
              <c:strCache>
                <c:ptCount val="1"/>
                <c:pt idx="0">
                  <c:v>Medium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20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21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22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23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24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Lbls>
            <c:numFmt formatCode="0" sourceLinked="1"/>
            <c:dLbl>
              <c:idx val="20"/>
              <c:numFmt formatCode="0" sourceLinked="1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1"/>
              <c:numFmt formatCode="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2"/>
              <c:numFmt formatCode="0" sourceLinked="1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3"/>
              <c:numFmt formatCode="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4"/>
              <c:numFmt formatCode="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</c:f>
              <c:strCache>
                <c:ptCount val="25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</c:strCache>
            </c:strRef>
          </c:cat>
          <c:val>
            <c:numRef>
              <c:f>Data!$X$3:$X$29</c:f>
              <c:numCache>
                <c:formatCode>General</c:formatCode>
                <c:ptCount val="25"/>
                <c:pt idx="0">
                  <c:v>39.49</c:v>
                </c:pt>
                <c:pt idx="1">
                  <c:v>26.07</c:v>
                </c:pt>
                <c:pt idx="2">
                  <c:v>28.48</c:v>
                </c:pt>
                <c:pt idx="3">
                  <c:v>26.91</c:v>
                </c:pt>
                <c:pt idx="4">
                  <c:v>30.95</c:v>
                </c:pt>
                <c:pt idx="5">
                  <c:v>45.24</c:v>
                </c:pt>
                <c:pt idx="6">
                  <c:v>38.02</c:v>
                </c:pt>
                <c:pt idx="7">
                  <c:v>52.05</c:v>
                </c:pt>
                <c:pt idx="8">
                  <c:v>71.47</c:v>
                </c:pt>
                <c:pt idx="9">
                  <c:v>90.75</c:v>
                </c:pt>
                <c:pt idx="10">
                  <c:v>161.1</c:v>
                </c:pt>
                <c:pt idx="11">
                  <c:v>211.22</c:v>
                </c:pt>
                <c:pt idx="12">
                  <c:v>187.58</c:v>
                </c:pt>
                <c:pt idx="13">
                  <c:v>158.55</c:v>
                </c:pt>
                <c:pt idx="14">
                  <c:v>63.93</c:v>
                </c:pt>
                <c:pt idx="15">
                  <c:v>33.3</c:v>
                </c:pt>
                <c:pt idx="16">
                  <c:v>47.84</c:v>
                </c:pt>
                <c:pt idx="17">
                  <c:v>69.51</c:v>
                </c:pt>
                <c:pt idx="18">
                  <c:v>99.53</c:v>
                </c:pt>
                <c:pt idx="19">
                  <c:v>89.72</c:v>
                </c:pt>
                <c:pt idx="20">
                  <c:v>101.49</c:v>
                </c:pt>
                <c:pt idx="21">
                  <c:v>76.07</c:v>
                </c:pt>
                <c:pt idx="22">
                  <c:v>127.3</c:v>
                </c:pt>
                <c:pt idx="23">
                  <c:v>103.54</c:v>
                </c:pt>
                <c:pt idx="24">
                  <c:v>33.87</c:v>
                </c:pt>
              </c:numCache>
            </c:numRef>
          </c:val>
        </c:ser>
        <c:ser>
          <c:idx val="4"/>
          <c:order val="4"/>
          <c:tx>
            <c:strRef>
              <c:f>Data!$Y$2</c:f>
              <c:strCache>
                <c:ptCount val="1"/>
                <c:pt idx="0">
                  <c:v>Light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20"/>
            <c:invertIfNegative val="0"/>
            <c:spPr>
              <a:solidFill>
                <a:srgbClr val="99cc00"/>
              </a:solidFill>
              <a:ln w="0">
                <a:noFill/>
              </a:ln>
            </c:spPr>
          </c:dPt>
          <c:dPt>
            <c:idx val="21"/>
            <c:invertIfNegative val="0"/>
            <c:spPr>
              <a:solidFill>
                <a:srgbClr val="99cc00"/>
              </a:solidFill>
              <a:ln w="0">
                <a:noFill/>
              </a:ln>
            </c:spPr>
          </c:dPt>
          <c:dPt>
            <c:idx val="22"/>
            <c:invertIfNegative val="0"/>
            <c:spPr>
              <a:solidFill>
                <a:srgbClr val="99cc00"/>
              </a:solidFill>
              <a:ln w="0">
                <a:noFill/>
              </a:ln>
            </c:spPr>
          </c:dPt>
          <c:dPt>
            <c:idx val="23"/>
            <c:invertIfNegative val="0"/>
            <c:spPr>
              <a:solidFill>
                <a:srgbClr val="99cc00"/>
              </a:solidFill>
              <a:ln w="0">
                <a:noFill/>
              </a:ln>
            </c:spPr>
          </c:dPt>
          <c:dPt>
            <c:idx val="24"/>
            <c:invertIfNegative val="0"/>
            <c:spPr>
              <a:solidFill>
                <a:srgbClr val="99cc00"/>
              </a:solidFill>
              <a:ln w="0">
                <a:noFill/>
              </a:ln>
            </c:spPr>
          </c:dPt>
          <c:dLbls>
            <c:dLbl>
              <c:idx val="20"/>
              <c:numFmt formatCode="0" sourceLinked="1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2"/>
              <c:numFmt formatCode="0" sourceLinked="1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</c:f>
              <c:strCache>
                <c:ptCount val="25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</c:strCache>
            </c:strRef>
          </c:cat>
          <c:val>
            <c:numRef>
              <c:f>Data!$Y$3:$Y$29</c:f>
              <c:numCache>
                <c:formatCode>General</c:formatCode>
                <c:ptCount val="25"/>
                <c:pt idx="0">
                  <c:v>39.49</c:v>
                </c:pt>
                <c:pt idx="1">
                  <c:v>26.07</c:v>
                </c:pt>
                <c:pt idx="2">
                  <c:v>28.48</c:v>
                </c:pt>
                <c:pt idx="3">
                  <c:v>26.91</c:v>
                </c:pt>
                <c:pt idx="4">
                  <c:v>30.95</c:v>
                </c:pt>
                <c:pt idx="5">
                  <c:v>45.24</c:v>
                </c:pt>
                <c:pt idx="6">
                  <c:v>38.02</c:v>
                </c:pt>
                <c:pt idx="7">
                  <c:v>52.05</c:v>
                </c:pt>
                <c:pt idx="8">
                  <c:v>71.47</c:v>
                </c:pt>
                <c:pt idx="9">
                  <c:v>90.75</c:v>
                </c:pt>
                <c:pt idx="10">
                  <c:v>161.1</c:v>
                </c:pt>
                <c:pt idx="11">
                  <c:v>211.22</c:v>
                </c:pt>
                <c:pt idx="12">
                  <c:v>187.58</c:v>
                </c:pt>
                <c:pt idx="13">
                  <c:v>158.55</c:v>
                </c:pt>
                <c:pt idx="14">
                  <c:v>63.93</c:v>
                </c:pt>
                <c:pt idx="15">
                  <c:v>33.3</c:v>
                </c:pt>
                <c:pt idx="16">
                  <c:v>47.84</c:v>
                </c:pt>
                <c:pt idx="17">
                  <c:v>69.51</c:v>
                </c:pt>
                <c:pt idx="18">
                  <c:v>99.53</c:v>
                </c:pt>
                <c:pt idx="19">
                  <c:v>89.72</c:v>
                </c:pt>
                <c:pt idx="20">
                  <c:v>66.06</c:v>
                </c:pt>
                <c:pt idx="21">
                  <c:v>76.07</c:v>
                </c:pt>
                <c:pt idx="22">
                  <c:v>127.3</c:v>
                </c:pt>
                <c:pt idx="23">
                  <c:v>103.54</c:v>
                </c:pt>
                <c:pt idx="24">
                  <c:v>33.87</c:v>
                </c:pt>
              </c:numCache>
            </c:numRef>
          </c:val>
        </c:ser>
        <c:gapWidth val="10"/>
        <c:overlap val="0"/>
        <c:axId val="97679051"/>
        <c:axId val="87415334"/>
      </c:barChart>
      <c:catAx>
        <c:axId val="69430026"/>
        <c:scaling>
          <c:orientation val="minMax"/>
        </c:scaling>
        <c:delete val="0"/>
        <c:axPos val="b"/>
        <c:majorGridlines>
          <c:spPr>
            <a:ln w="0">
              <a:solidFill>
                <a:srgbClr val="ccccff"/>
              </a:solidFill>
              <a:custDash>
                <a:ds d="385900" sp="385900"/>
              </a:custDash>
            </a:ln>
          </c:spPr>
        </c:majorGridlines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808567"/>
        <c:crossesAt val="0"/>
        <c:auto val="1"/>
        <c:lblAlgn val="ctr"/>
        <c:lblOffset val="100"/>
        <c:noMultiLvlLbl val="0"/>
      </c:catAx>
      <c:valAx>
        <c:axId val="78808567"/>
        <c:scaling>
          <c:orientation val="minMax"/>
          <c:max val="1.5"/>
          <c:min val="0"/>
        </c:scaling>
        <c:delete val="0"/>
        <c:axPos val="l"/>
        <c:majorGridlines>
          <c:spPr>
            <a:ln w="0">
              <a:solidFill>
                <a:srgbClr val="ccccff"/>
              </a:solidFill>
              <a:custDash>
                <a:ds d="385900" sp="385900"/>
              </a:custDash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430026"/>
        <c:crossesAt val="1"/>
        <c:crossBetween val="midCat"/>
        <c:majorUnit val="0.2"/>
        <c:minorUnit val="0.2"/>
      </c:valAx>
      <c:catAx>
        <c:axId val="97679051"/>
        <c:scaling>
          <c:orientation val="minMax"/>
        </c:scaling>
        <c:delete val="1"/>
        <c:axPos val="t"/>
        <c:numFmt formatCode="[$-409]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415334"/>
        <c:auto val="1"/>
        <c:lblAlgn val="ctr"/>
        <c:lblOffset val="100"/>
        <c:noMultiLvlLbl val="0"/>
      </c:catAx>
      <c:valAx>
        <c:axId val="87415334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679051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Hydro Generation (GWh)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"1999"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Page1!$F$42:$F$53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Page1!$G$42:$G$53</c:f>
              <c:numCache>
                <c:formatCode>#,##0</c:formatCode>
                <c:ptCount val="12"/>
                <c:pt idx="0">
                  <c:v>27057.6</c:v>
                </c:pt>
                <c:pt idx="1">
                  <c:v>25137</c:v>
                </c:pt>
                <c:pt idx="2">
                  <c:v>28507</c:v>
                </c:pt>
                <c:pt idx="3">
                  <c:v>26917</c:v>
                </c:pt>
                <c:pt idx="4">
                  <c:v>27147</c:v>
                </c:pt>
                <c:pt idx="5">
                  <c:v>26576</c:v>
                </c:pt>
                <c:pt idx="6">
                  <c:v>27818</c:v>
                </c:pt>
                <c:pt idx="7">
                  <c:v>27884</c:v>
                </c:pt>
                <c:pt idx="8">
                  <c:v>27287</c:v>
                </c:pt>
                <c:pt idx="9">
                  <c:v>27759</c:v>
                </c:pt>
                <c:pt idx="10">
                  <c:v>26734</c:v>
                </c:pt>
                <c:pt idx="11">
                  <c:v>27700.647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"2000"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Page1!$F$42:$F$53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Page1!$H$42:$H$53</c:f>
              <c:numCache>
                <c:formatCode>#,##0</c:formatCode>
                <c:ptCount val="12"/>
                <c:pt idx="0">
                  <c:v>27687</c:v>
                </c:pt>
                <c:pt idx="1">
                  <c:v>26907</c:v>
                </c:pt>
                <c:pt idx="2">
                  <c:v>28799</c:v>
                </c:pt>
                <c:pt idx="3">
                  <c:v>27799</c:v>
                </c:pt>
                <c:pt idx="4">
                  <c:v>28801</c:v>
                </c:pt>
                <c:pt idx="5">
                  <c:v>27362</c:v>
                </c:pt>
                <c:pt idx="6">
                  <c:v>27666</c:v>
                </c:pt>
                <c:pt idx="7">
                  <c:v>27797.48</c:v>
                </c:pt>
                <c:pt idx="8">
                  <c:v>27472</c:v>
                </c:pt>
                <c:pt idx="9">
                  <c:v>30031</c:v>
                </c:pt>
                <c:pt idx="10">
                  <c:v>27567</c:v>
                </c:pt>
                <c:pt idx="11">
                  <c:v>27569.8486786667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4456873"/>
        <c:axId val="74399660"/>
      </c:lineChart>
      <c:catAx>
        <c:axId val="444568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399660"/>
        <c:crossesAt val="0"/>
        <c:auto val="1"/>
        <c:lblAlgn val="ctr"/>
        <c:lblOffset val="100"/>
        <c:noMultiLvlLbl val="0"/>
      </c:catAx>
      <c:valAx>
        <c:axId val="74399660"/>
        <c:scaling>
          <c:orientation val="minMax"/>
          <c:min val="24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45687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Southeast (% storage energy)</a:t>
            </a:r>
          </a:p>
        </c:rich>
      </c:tx>
      <c:layout>
        <c:manualLayout>
          <c:xMode val="edge"/>
          <c:yMode val="edge"/>
          <c:x val="0.302016893639028"/>
          <c:y val="0.04143875352229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0651611791071"/>
          <c:y val="0.0414387535222941"/>
          <c:w val="0.977503878641614"/>
          <c:h val="0.958561246477706"/>
        </c:manualLayout>
      </c:layout>
      <c:lineChart>
        <c:grouping val="standard"/>
        <c:varyColors val="0"/>
        <c:ser>
          <c:idx val="0"/>
          <c:order val="0"/>
          <c:tx>
            <c:strRef>
              <c:f>Data!$B$35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Data!$A$36:$A$47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Data!$B$36:$B$47</c:f>
              <c:numCache>
                <c:formatCode>0.0%</c:formatCode>
                <c:ptCount val="12"/>
                <c:pt idx="0">
                  <c:v>0.568</c:v>
                </c:pt>
                <c:pt idx="1">
                  <c:v>0.622</c:v>
                </c:pt>
                <c:pt idx="2">
                  <c:v>0.71</c:v>
                </c:pt>
                <c:pt idx="3">
                  <c:v>0.698</c:v>
                </c:pt>
                <c:pt idx="4">
                  <c:v>0.654</c:v>
                </c:pt>
                <c:pt idx="5">
                  <c:v>0.601</c:v>
                </c:pt>
                <c:pt idx="6">
                  <c:v>0.542</c:v>
                </c:pt>
                <c:pt idx="7">
                  <c:v>0.45</c:v>
                </c:pt>
                <c:pt idx="8">
                  <c:v>0.367</c:v>
                </c:pt>
                <c:pt idx="9">
                  <c:v>0.264</c:v>
                </c:pt>
                <c:pt idx="10">
                  <c:v>0.197</c:v>
                </c:pt>
                <c:pt idx="11">
                  <c:v>0.181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Data!$C$35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Data!$A$36:$A$47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Data!$C$36:$C$47</c:f>
              <c:numCache>
                <c:formatCode>0.0%</c:formatCode>
                <c:ptCount val="12"/>
                <c:pt idx="0">
                  <c:v>0.293</c:v>
                </c:pt>
                <c:pt idx="1">
                  <c:v>0.45</c:v>
                </c:pt>
                <c:pt idx="2">
                  <c:v>0.585</c:v>
                </c:pt>
                <c:pt idx="3">
                  <c:v>0.594</c:v>
                </c:pt>
                <c:pt idx="4">
                  <c:v>0.541</c:v>
                </c:pt>
                <c:pt idx="5">
                  <c:v>0.473</c:v>
                </c:pt>
                <c:pt idx="6">
                  <c:v>0.406</c:v>
                </c:pt>
                <c:pt idx="7">
                  <c:v>0.318</c:v>
                </c:pt>
                <c:pt idx="8">
                  <c:v>0.307</c:v>
                </c:pt>
                <c:pt idx="9">
                  <c:v>0.23</c:v>
                </c:pt>
                <c:pt idx="10">
                  <c:v>0.2209</c:v>
                </c:pt>
                <c:pt idx="11">
                  <c:v>0.2852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1658115"/>
        <c:axId val="96787454"/>
      </c:lineChart>
      <c:catAx>
        <c:axId val="316581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787454"/>
        <c:crossesAt val="0"/>
        <c:auto val="1"/>
        <c:lblAlgn val="ctr"/>
        <c:lblOffset val="100"/>
        <c:noMultiLvlLbl val="0"/>
      </c:catAx>
      <c:valAx>
        <c:axId val="967874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65811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South (% storage energy)</a:t>
            </a:r>
          </a:p>
        </c:rich>
      </c:tx>
      <c:layout>
        <c:manualLayout>
          <c:xMode val="edge"/>
          <c:yMode val="edge"/>
          <c:x val="0.324753511909956"/>
          <c:y val="0.041095890410958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2493674199459"/>
          <c:y val="0.0412609341475491"/>
          <c:w val="0.977227118052526"/>
          <c:h val="0.958739065852451"/>
        </c:manualLayout>
      </c:layout>
      <c:lineChart>
        <c:grouping val="standard"/>
        <c:varyColors val="0"/>
        <c:ser>
          <c:idx val="0"/>
          <c:order val="0"/>
          <c:tx>
            <c:strRef>
              <c:f>Data!$D$35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Data!$A$36:$A$47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Data!$D$36:$D$47</c:f>
              <c:numCache>
                <c:formatCode>0.0%</c:formatCode>
                <c:ptCount val="12"/>
                <c:pt idx="0">
                  <c:v>0.792</c:v>
                </c:pt>
                <c:pt idx="1">
                  <c:v>0.844</c:v>
                </c:pt>
                <c:pt idx="2">
                  <c:v>0.749</c:v>
                </c:pt>
                <c:pt idx="3">
                  <c:v>0.727</c:v>
                </c:pt>
                <c:pt idx="4">
                  <c:v>0.608</c:v>
                </c:pt>
                <c:pt idx="5">
                  <c:v>0.761</c:v>
                </c:pt>
                <c:pt idx="6">
                  <c:v>0.879</c:v>
                </c:pt>
                <c:pt idx="7">
                  <c:v>0.705</c:v>
                </c:pt>
                <c:pt idx="8">
                  <c:v>0.616</c:v>
                </c:pt>
                <c:pt idx="9">
                  <c:v>0.792</c:v>
                </c:pt>
                <c:pt idx="10">
                  <c:v>0.662</c:v>
                </c:pt>
                <c:pt idx="11">
                  <c:v>0.529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Data!$E$35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Data!$A$36:$A$47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Data!$E$36:$E$47</c:f>
              <c:numCache>
                <c:formatCode>0.0%</c:formatCode>
                <c:ptCount val="12"/>
                <c:pt idx="0">
                  <c:v>0.475</c:v>
                </c:pt>
                <c:pt idx="1">
                  <c:v>0.473</c:v>
                </c:pt>
                <c:pt idx="2">
                  <c:v>0.523</c:v>
                </c:pt>
                <c:pt idx="3">
                  <c:v>0.4</c:v>
                </c:pt>
                <c:pt idx="4">
                  <c:v>0.302</c:v>
                </c:pt>
                <c:pt idx="5">
                  <c:v>0.41</c:v>
                </c:pt>
                <c:pt idx="6">
                  <c:v>0.441</c:v>
                </c:pt>
                <c:pt idx="7">
                  <c:v>0.462</c:v>
                </c:pt>
                <c:pt idx="8">
                  <c:v>0.867</c:v>
                </c:pt>
                <c:pt idx="9">
                  <c:v>0.962</c:v>
                </c:pt>
                <c:pt idx="10">
                  <c:v>0.929</c:v>
                </c:pt>
                <c:pt idx="11">
                  <c:v>0.8937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5048758"/>
        <c:axId val="93235304"/>
      </c:lineChart>
      <c:catAx>
        <c:axId val="950487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235304"/>
        <c:crossesAt val="0"/>
        <c:auto val="1"/>
        <c:lblAlgn val="ctr"/>
        <c:lblOffset val="100"/>
        <c:noMultiLvlLbl val="0"/>
      </c:catAx>
      <c:valAx>
        <c:axId val="932353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04875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Northeast (% storage energy)</a:t>
            </a:r>
          </a:p>
        </c:rich>
      </c:tx>
      <c:layout>
        <c:manualLayout>
          <c:xMode val="edge"/>
          <c:yMode val="edge"/>
          <c:x val="0.305932932072227"/>
          <c:y val="0.043729228616407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01203783319"/>
          <c:y val="0.0453034808465979"/>
          <c:w val="0.977558039552881"/>
          <c:h val="0.954696519153402"/>
        </c:manualLayout>
      </c:layout>
      <c:lineChart>
        <c:grouping val="standard"/>
        <c:varyColors val="0"/>
        <c:ser>
          <c:idx val="0"/>
          <c:order val="0"/>
          <c:tx>
            <c:strRef>
              <c:f>Data!$F$35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Data!$A$36:$A$47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Data!$F$36:$F$47</c:f>
              <c:numCache>
                <c:formatCode>0.0%</c:formatCode>
                <c:ptCount val="12"/>
                <c:pt idx="0">
                  <c:v>0.444</c:v>
                </c:pt>
                <c:pt idx="1">
                  <c:v>0.426</c:v>
                </c:pt>
                <c:pt idx="2">
                  <c:v>0.586</c:v>
                </c:pt>
                <c:pt idx="3">
                  <c:v>0.574</c:v>
                </c:pt>
                <c:pt idx="4">
                  <c:v>0.529</c:v>
                </c:pt>
                <c:pt idx="5">
                  <c:v>0.464</c:v>
                </c:pt>
                <c:pt idx="6">
                  <c:v>0.396</c:v>
                </c:pt>
                <c:pt idx="7">
                  <c:v>0.319</c:v>
                </c:pt>
                <c:pt idx="8">
                  <c:v>0.252</c:v>
                </c:pt>
                <c:pt idx="9">
                  <c:v>0.17</c:v>
                </c:pt>
                <c:pt idx="10">
                  <c:v>0.159</c:v>
                </c:pt>
                <c:pt idx="11">
                  <c:v>0.218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Data!$G$35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Data!$A$36:$A$47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Data!$G$36:$G$47</c:f>
              <c:numCache>
                <c:formatCode>0.0%</c:formatCode>
                <c:ptCount val="12"/>
                <c:pt idx="0">
                  <c:v>0.357</c:v>
                </c:pt>
                <c:pt idx="1">
                  <c:v>0.541</c:v>
                </c:pt>
                <c:pt idx="2">
                  <c:v>0.66</c:v>
                </c:pt>
                <c:pt idx="3">
                  <c:v>0.712</c:v>
                </c:pt>
                <c:pt idx="4">
                  <c:v>0.673</c:v>
                </c:pt>
                <c:pt idx="5">
                  <c:v>0.618</c:v>
                </c:pt>
                <c:pt idx="6">
                  <c:v>0.557</c:v>
                </c:pt>
                <c:pt idx="7">
                  <c:v>0.47</c:v>
                </c:pt>
                <c:pt idx="8">
                  <c:v>0.393</c:v>
                </c:pt>
                <c:pt idx="9">
                  <c:v>0.289</c:v>
                </c:pt>
                <c:pt idx="10">
                  <c:v>0.2754</c:v>
                </c:pt>
                <c:pt idx="11">
                  <c:v>0.3681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7783104"/>
        <c:axId val="46807309"/>
      </c:lineChart>
      <c:catAx>
        <c:axId val="277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807309"/>
        <c:crossesAt val="0"/>
        <c:auto val="1"/>
        <c:lblAlgn val="ctr"/>
        <c:lblOffset val="100"/>
        <c:noMultiLvlLbl val="0"/>
      </c:catAx>
      <c:valAx>
        <c:axId val="468073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78310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North (% storage energy)</a:t>
            </a:r>
          </a:p>
        </c:rich>
      </c:tx>
      <c:layout>
        <c:manualLayout>
          <c:xMode val="edge"/>
          <c:yMode val="edge"/>
          <c:x val="0.341418724369601"/>
          <c:y val="0.043736878936319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2493674199459"/>
          <c:y val="0.0442617214835549"/>
          <c:w val="0.977227118052526"/>
          <c:h val="0.955738278516445"/>
        </c:manualLayout>
      </c:layout>
      <c:lineChart>
        <c:grouping val="standard"/>
        <c:varyColors val="0"/>
        <c:ser>
          <c:idx val="0"/>
          <c:order val="0"/>
          <c:tx>
            <c:strRef>
              <c:f>Data!$H$35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Data!$A$36:$A$47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Data!$H$36:$H$47</c:f>
              <c:numCache>
                <c:formatCode>0.0%</c:formatCode>
                <c:ptCount val="12"/>
                <c:pt idx="0">
                  <c:v>0.742</c:v>
                </c:pt>
                <c:pt idx="1">
                  <c:v>0.802</c:v>
                </c:pt>
                <c:pt idx="2">
                  <c:v>0.81</c:v>
                </c:pt>
                <c:pt idx="3">
                  <c:v>0.832</c:v>
                </c:pt>
                <c:pt idx="4">
                  <c:v>0.837</c:v>
                </c:pt>
                <c:pt idx="5">
                  <c:v>0.81</c:v>
                </c:pt>
                <c:pt idx="6">
                  <c:v>0.714</c:v>
                </c:pt>
                <c:pt idx="7">
                  <c:v>0.585</c:v>
                </c:pt>
                <c:pt idx="8">
                  <c:v>0.438</c:v>
                </c:pt>
                <c:pt idx="9">
                  <c:v>0.287</c:v>
                </c:pt>
                <c:pt idx="10">
                  <c:v>0.24</c:v>
                </c:pt>
                <c:pt idx="11">
                  <c:v>0.457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Data!$I$35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Data!$A$36:$A$47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Data!$I$36:$I$47</c:f>
              <c:numCache>
                <c:formatCode>0.0%</c:formatCode>
                <c:ptCount val="12"/>
                <c:pt idx="0">
                  <c:v>0.755</c:v>
                </c:pt>
                <c:pt idx="1">
                  <c:v>0.807</c:v>
                </c:pt>
                <c:pt idx="2">
                  <c:v>0.833</c:v>
                </c:pt>
                <c:pt idx="3">
                  <c:v>0.837</c:v>
                </c:pt>
                <c:pt idx="4">
                  <c:v>0.821</c:v>
                </c:pt>
                <c:pt idx="5">
                  <c:v>0.811</c:v>
                </c:pt>
                <c:pt idx="6">
                  <c:v>0.755</c:v>
                </c:pt>
                <c:pt idx="7">
                  <c:v>0.615</c:v>
                </c:pt>
                <c:pt idx="8">
                  <c:v>0.45</c:v>
                </c:pt>
                <c:pt idx="9">
                  <c:v>0.321</c:v>
                </c:pt>
                <c:pt idx="10">
                  <c:v>0.2902</c:v>
                </c:pt>
                <c:pt idx="11">
                  <c:v>0.5933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1465018"/>
        <c:axId val="3053406"/>
      </c:lineChart>
      <c:catAx>
        <c:axId val="414650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53406"/>
        <c:crossesAt val="0"/>
        <c:auto val="1"/>
        <c:lblAlgn val="ctr"/>
        <c:lblOffset val="100"/>
        <c:noMultiLvlLbl val="0"/>
      </c:catAx>
      <c:valAx>
        <c:axId val="30534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46501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 Submarket</a:t>
            </a:r>
          </a:p>
        </c:rich>
      </c:tx>
      <c:layout>
        <c:manualLayout>
          <c:xMode val="edge"/>
          <c:yMode val="edge"/>
          <c:x val="0.390436746987952"/>
          <c:y val="0.02066848567530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27541415662651"/>
          <c:y val="0.0518417462482947"/>
          <c:w val="0.986304593373494"/>
          <c:h val="0.94699863574352"/>
        </c:manualLayout>
      </c:layout>
      <c:lineChart>
        <c:grouping val="standard"/>
        <c:varyColors val="0"/>
        <c:ser>
          <c:idx val="0"/>
          <c:order val="0"/>
          <c:tx>
            <c:strRef>
              <c:f>Data!$C$2</c:f>
              <c:strCache>
                <c:ptCount val="1"/>
                <c:pt idx="0">
                  <c:v>%MLT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square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</c:f>
              <c:strCache>
                <c:ptCount val="25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</c:strCache>
            </c:strRef>
          </c:cat>
          <c:val>
            <c:numRef>
              <c:f>Data!$C$3:$C$29</c:f>
              <c:numCache>
                <c:formatCode>0%</c:formatCode>
                <c:ptCount val="25"/>
                <c:pt idx="0">
                  <c:v>1.11</c:v>
                </c:pt>
                <c:pt idx="1">
                  <c:v>0.88</c:v>
                </c:pt>
                <c:pt idx="2">
                  <c:v>1.09</c:v>
                </c:pt>
                <c:pt idx="3">
                  <c:v>0.81</c:v>
                </c:pt>
                <c:pt idx="4">
                  <c:v>0.85</c:v>
                </c:pt>
                <c:pt idx="5">
                  <c:v>0.92</c:v>
                </c:pt>
                <c:pt idx="6">
                  <c:v>1.07</c:v>
                </c:pt>
                <c:pt idx="7">
                  <c:v>0.83</c:v>
                </c:pt>
                <c:pt idx="8">
                  <c:v>0.96</c:v>
                </c:pt>
                <c:pt idx="9">
                  <c:v>0.61</c:v>
                </c:pt>
                <c:pt idx="10">
                  <c:v>0.7</c:v>
                </c:pt>
                <c:pt idx="11">
                  <c:v>0.68</c:v>
                </c:pt>
                <c:pt idx="12">
                  <c:v>0.97</c:v>
                </c:pt>
                <c:pt idx="13">
                  <c:v>1.15</c:v>
                </c:pt>
                <c:pt idx="14">
                  <c:v>1.09</c:v>
                </c:pt>
                <c:pt idx="15">
                  <c:v>0.85</c:v>
                </c:pt>
                <c:pt idx="16">
                  <c:v>0.74</c:v>
                </c:pt>
                <c:pt idx="17">
                  <c:v>0.77</c:v>
                </c:pt>
                <c:pt idx="18">
                  <c:v>0.86</c:v>
                </c:pt>
                <c:pt idx="19">
                  <c:v>0.97</c:v>
                </c:pt>
                <c:pt idx="20">
                  <c:v>0.95</c:v>
                </c:pt>
                <c:pt idx="21">
                  <c:v>0.92</c:v>
                </c:pt>
                <c:pt idx="22">
                  <c:v>1.09</c:v>
                </c:pt>
                <c:pt idx="23">
                  <c:v>1.07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Data!$D$2</c:f>
              <c:strCache>
                <c:ptCount val="1"/>
                <c:pt idx="0">
                  <c:v>EAR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ff6600"/>
              </a:solidFill>
              <a:round/>
            </a:ln>
          </c:spPr>
          <c:marker>
            <c:symbol val="triangle"/>
            <c:size val="5"/>
            <c:spPr>
              <a:solidFill>
                <a:srgbClr val="ff6600"/>
              </a:solidFill>
            </c:spPr>
          </c:marker>
          <c:dPt>
            <c:idx val="23"/>
            <c:marker>
              <c:symbol val="triangle"/>
              <c:size val="5"/>
              <c:spPr>
                <a:solidFill>
                  <a:srgbClr val="ff6600"/>
                </a:solidFill>
              </c:spPr>
            </c:marker>
          </c:dPt>
          <c:dLbls>
            <c:numFmt formatCode="0%" sourceLinked="1"/>
            <c:dLbl>
              <c:idx val="23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</c:f>
              <c:strCache>
                <c:ptCount val="25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</c:strCache>
            </c:strRef>
          </c:cat>
          <c:val>
            <c:numRef>
              <c:f>Data!$D$3:$D$29</c:f>
              <c:numCache>
                <c:formatCode>0.0%</c:formatCode>
                <c:ptCount val="25"/>
                <c:pt idx="0">
                  <c:v>0.568</c:v>
                </c:pt>
                <c:pt idx="1">
                  <c:v>0.622</c:v>
                </c:pt>
                <c:pt idx="2">
                  <c:v>0.71</c:v>
                </c:pt>
                <c:pt idx="3">
                  <c:v>0.698</c:v>
                </c:pt>
                <c:pt idx="4">
                  <c:v>0.654</c:v>
                </c:pt>
                <c:pt idx="5">
                  <c:v>0.601</c:v>
                </c:pt>
                <c:pt idx="6">
                  <c:v>0.542</c:v>
                </c:pt>
                <c:pt idx="7">
                  <c:v>0.45</c:v>
                </c:pt>
                <c:pt idx="8">
                  <c:v>0.367</c:v>
                </c:pt>
                <c:pt idx="9">
                  <c:v>0.264</c:v>
                </c:pt>
                <c:pt idx="10">
                  <c:v>0.197</c:v>
                </c:pt>
                <c:pt idx="11">
                  <c:v>0.181</c:v>
                </c:pt>
                <c:pt idx="12">
                  <c:v>0.293</c:v>
                </c:pt>
                <c:pt idx="13">
                  <c:v>0.45</c:v>
                </c:pt>
                <c:pt idx="14">
                  <c:v>0.585</c:v>
                </c:pt>
                <c:pt idx="15">
                  <c:v>0.594</c:v>
                </c:pt>
                <c:pt idx="16">
                  <c:v>0.541</c:v>
                </c:pt>
                <c:pt idx="17">
                  <c:v>0.473</c:v>
                </c:pt>
                <c:pt idx="18">
                  <c:v>0.406</c:v>
                </c:pt>
                <c:pt idx="19">
                  <c:v>0.318</c:v>
                </c:pt>
                <c:pt idx="20">
                  <c:v>0.307</c:v>
                </c:pt>
                <c:pt idx="21">
                  <c:v>0.23</c:v>
                </c:pt>
                <c:pt idx="22">
                  <c:v>0.2209</c:v>
                </c:pt>
                <c:pt idx="23">
                  <c:v>0.285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4882453"/>
        <c:axId val="45523893"/>
      </c:lineChart>
      <c:barChart>
        <c:barDir val="col"/>
        <c:grouping val="clustered"/>
        <c:varyColors val="0"/>
        <c:ser>
          <c:idx val="2"/>
          <c:order val="2"/>
          <c:tx>
            <c:strRef>
              <c:f>Data!$E$2</c:f>
              <c:strCache>
                <c:ptCount val="1"/>
                <c:pt idx="0">
                  <c:v>Heavy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2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20"/>
              <c:numFmt formatCode="0" sourceLinked="1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</c:f>
              <c:strCache>
                <c:ptCount val="25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</c:strCache>
            </c:strRef>
          </c:cat>
          <c:val>
            <c:numRef>
              <c:f>Data!$E$3:$E$29</c:f>
              <c:numCache>
                <c:formatCode>General</c:formatCode>
                <c:ptCount val="25"/>
                <c:pt idx="0">
                  <c:v>56.21</c:v>
                </c:pt>
                <c:pt idx="1">
                  <c:v>50.05</c:v>
                </c:pt>
                <c:pt idx="2">
                  <c:v>46.78</c:v>
                </c:pt>
                <c:pt idx="3">
                  <c:v>43.89</c:v>
                </c:pt>
                <c:pt idx="4">
                  <c:v>48.63</c:v>
                </c:pt>
                <c:pt idx="5">
                  <c:v>49.99</c:v>
                </c:pt>
                <c:pt idx="6">
                  <c:v>61.72</c:v>
                </c:pt>
                <c:pt idx="7">
                  <c:v>49.62</c:v>
                </c:pt>
                <c:pt idx="8">
                  <c:v>72.97</c:v>
                </c:pt>
                <c:pt idx="9">
                  <c:v>91.94</c:v>
                </c:pt>
                <c:pt idx="10">
                  <c:v>155.51</c:v>
                </c:pt>
                <c:pt idx="11">
                  <c:v>213.93</c:v>
                </c:pt>
                <c:pt idx="12">
                  <c:v>285.5</c:v>
                </c:pt>
                <c:pt idx="13">
                  <c:v>190.88</c:v>
                </c:pt>
                <c:pt idx="14">
                  <c:v>86.56</c:v>
                </c:pt>
                <c:pt idx="15">
                  <c:v>56.67</c:v>
                </c:pt>
                <c:pt idx="16">
                  <c:v>86.08</c:v>
                </c:pt>
                <c:pt idx="17">
                  <c:v>137.16</c:v>
                </c:pt>
                <c:pt idx="18">
                  <c:v>145.73</c:v>
                </c:pt>
                <c:pt idx="19">
                  <c:v>129.8</c:v>
                </c:pt>
                <c:pt idx="20">
                  <c:v>156.11</c:v>
                </c:pt>
                <c:pt idx="21">
                  <c:v>93.02</c:v>
                </c:pt>
                <c:pt idx="22">
                  <c:v>149.7</c:v>
                </c:pt>
                <c:pt idx="23">
                  <c:v>103.54</c:v>
                </c:pt>
                <c:pt idx="24">
                  <c:v>56.92</c:v>
                </c:pt>
              </c:numCache>
            </c:numRef>
          </c:val>
        </c:ser>
        <c:ser>
          <c:idx val="3"/>
          <c:order val="3"/>
          <c:tx>
            <c:strRef>
              <c:f>Data!$F$2</c:f>
              <c:strCache>
                <c:ptCount val="1"/>
                <c:pt idx="0">
                  <c:v>Medium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20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21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22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23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24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Lbls>
            <c:numFmt formatCode="0" sourceLinked="1"/>
            <c:dLbl>
              <c:idx val="20"/>
              <c:numFmt formatCode="0" sourceLinked="1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1"/>
              <c:numFmt formatCode="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2"/>
              <c:numFmt formatCode="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3"/>
              <c:numFmt formatCode="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4"/>
              <c:numFmt formatCode="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</c:f>
              <c:strCache>
                <c:ptCount val="25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</c:strCache>
            </c:strRef>
          </c:cat>
          <c:val>
            <c:numRef>
              <c:f>Data!$F$3:$F$29</c:f>
              <c:numCache>
                <c:formatCode>General</c:formatCode>
                <c:ptCount val="25"/>
                <c:pt idx="0">
                  <c:v>56.21</c:v>
                </c:pt>
                <c:pt idx="1">
                  <c:v>50.05</c:v>
                </c:pt>
                <c:pt idx="2">
                  <c:v>46.78</c:v>
                </c:pt>
                <c:pt idx="3">
                  <c:v>43.89</c:v>
                </c:pt>
                <c:pt idx="4">
                  <c:v>48.63</c:v>
                </c:pt>
                <c:pt idx="5">
                  <c:v>49.99</c:v>
                </c:pt>
                <c:pt idx="6">
                  <c:v>61.72</c:v>
                </c:pt>
                <c:pt idx="7">
                  <c:v>49.62</c:v>
                </c:pt>
                <c:pt idx="8">
                  <c:v>72.97</c:v>
                </c:pt>
                <c:pt idx="9">
                  <c:v>91.94</c:v>
                </c:pt>
                <c:pt idx="10">
                  <c:v>155.51</c:v>
                </c:pt>
                <c:pt idx="11">
                  <c:v>213.93</c:v>
                </c:pt>
                <c:pt idx="12">
                  <c:v>285.5</c:v>
                </c:pt>
                <c:pt idx="13">
                  <c:v>190.88</c:v>
                </c:pt>
                <c:pt idx="14">
                  <c:v>86.56</c:v>
                </c:pt>
                <c:pt idx="15">
                  <c:v>56.67</c:v>
                </c:pt>
                <c:pt idx="16">
                  <c:v>86.08</c:v>
                </c:pt>
                <c:pt idx="17">
                  <c:v>137.16</c:v>
                </c:pt>
                <c:pt idx="18">
                  <c:v>145.73</c:v>
                </c:pt>
                <c:pt idx="19">
                  <c:v>129.8</c:v>
                </c:pt>
                <c:pt idx="20">
                  <c:v>156.11</c:v>
                </c:pt>
                <c:pt idx="21">
                  <c:v>93.02</c:v>
                </c:pt>
                <c:pt idx="22">
                  <c:v>149.7</c:v>
                </c:pt>
                <c:pt idx="23">
                  <c:v>103.54</c:v>
                </c:pt>
                <c:pt idx="24">
                  <c:v>56.92</c:v>
                </c:pt>
              </c:numCache>
            </c:numRef>
          </c:val>
        </c:ser>
        <c:ser>
          <c:idx val="4"/>
          <c:order val="4"/>
          <c:tx>
            <c:strRef>
              <c:f>Data!$G$2</c:f>
              <c:strCache>
                <c:ptCount val="1"/>
                <c:pt idx="0">
                  <c:v>Light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20"/>
            <c:invertIfNegative val="0"/>
            <c:spPr>
              <a:solidFill>
                <a:srgbClr val="99cc00"/>
              </a:solidFill>
              <a:ln w="0">
                <a:noFill/>
              </a:ln>
            </c:spPr>
          </c:dPt>
          <c:dPt>
            <c:idx val="21"/>
            <c:invertIfNegative val="0"/>
            <c:spPr>
              <a:solidFill>
                <a:srgbClr val="99cc00"/>
              </a:solidFill>
              <a:ln w="0">
                <a:noFill/>
              </a:ln>
            </c:spPr>
          </c:dPt>
          <c:dPt>
            <c:idx val="22"/>
            <c:invertIfNegative val="0"/>
            <c:spPr>
              <a:solidFill>
                <a:srgbClr val="99cc00"/>
              </a:solidFill>
              <a:ln w="0">
                <a:noFill/>
              </a:ln>
            </c:spPr>
          </c:dPt>
          <c:dPt>
            <c:idx val="23"/>
            <c:invertIfNegative val="0"/>
            <c:spPr>
              <a:solidFill>
                <a:srgbClr val="99cc00"/>
              </a:solidFill>
              <a:ln w="0">
                <a:noFill/>
              </a:ln>
            </c:spPr>
          </c:dPt>
          <c:dPt>
            <c:idx val="24"/>
            <c:invertIfNegative val="0"/>
            <c:spPr>
              <a:solidFill>
                <a:srgbClr val="99cc00"/>
              </a:solidFill>
              <a:ln w="0">
                <a:noFill/>
              </a:ln>
            </c:spPr>
          </c:dPt>
          <c:dLbls>
            <c:dLbl>
              <c:idx val="20"/>
              <c:numFmt formatCode="0" sourceLinked="1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</c:f>
              <c:strCache>
                <c:ptCount val="25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</c:strCache>
            </c:strRef>
          </c:cat>
          <c:val>
            <c:numRef>
              <c:f>Data!$G$3:$G$29</c:f>
              <c:numCache>
                <c:formatCode>General</c:formatCode>
                <c:ptCount val="25"/>
                <c:pt idx="0">
                  <c:v>56.21</c:v>
                </c:pt>
                <c:pt idx="1">
                  <c:v>50.05</c:v>
                </c:pt>
                <c:pt idx="2">
                  <c:v>46.78</c:v>
                </c:pt>
                <c:pt idx="3">
                  <c:v>43.89</c:v>
                </c:pt>
                <c:pt idx="4">
                  <c:v>48.63</c:v>
                </c:pt>
                <c:pt idx="5">
                  <c:v>49.99</c:v>
                </c:pt>
                <c:pt idx="6">
                  <c:v>61.72</c:v>
                </c:pt>
                <c:pt idx="7">
                  <c:v>49.62</c:v>
                </c:pt>
                <c:pt idx="8">
                  <c:v>72.97</c:v>
                </c:pt>
                <c:pt idx="9">
                  <c:v>91.94</c:v>
                </c:pt>
                <c:pt idx="10">
                  <c:v>155.51</c:v>
                </c:pt>
                <c:pt idx="11">
                  <c:v>213.93</c:v>
                </c:pt>
                <c:pt idx="12">
                  <c:v>285.5</c:v>
                </c:pt>
                <c:pt idx="13">
                  <c:v>190.88</c:v>
                </c:pt>
                <c:pt idx="14">
                  <c:v>86.56</c:v>
                </c:pt>
                <c:pt idx="15">
                  <c:v>56.67</c:v>
                </c:pt>
                <c:pt idx="16">
                  <c:v>86.08</c:v>
                </c:pt>
                <c:pt idx="17">
                  <c:v>137.16</c:v>
                </c:pt>
                <c:pt idx="18">
                  <c:v>145.73</c:v>
                </c:pt>
                <c:pt idx="19">
                  <c:v>129.8</c:v>
                </c:pt>
                <c:pt idx="20">
                  <c:v>156.11</c:v>
                </c:pt>
                <c:pt idx="21">
                  <c:v>93.02</c:v>
                </c:pt>
                <c:pt idx="22">
                  <c:v>149.7</c:v>
                </c:pt>
                <c:pt idx="23">
                  <c:v>103.54</c:v>
                </c:pt>
                <c:pt idx="24">
                  <c:v>56.92</c:v>
                </c:pt>
              </c:numCache>
            </c:numRef>
          </c:val>
        </c:ser>
        <c:gapWidth val="10"/>
        <c:overlap val="0"/>
        <c:axId val="72158983"/>
        <c:axId val="82461098"/>
      </c:barChart>
      <c:catAx>
        <c:axId val="34882453"/>
        <c:scaling>
          <c:orientation val="minMax"/>
        </c:scaling>
        <c:delete val="0"/>
        <c:axPos val="b"/>
        <c:majorGridlines>
          <c:spPr>
            <a:ln w="0">
              <a:solidFill>
                <a:srgbClr val="ccccff"/>
              </a:solidFill>
              <a:custDash>
                <a:ds d="385900" sp="385900"/>
              </a:custDash>
            </a:ln>
          </c:spPr>
        </c:majorGridlines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523893"/>
        <c:crossesAt val="0"/>
        <c:auto val="1"/>
        <c:lblAlgn val="ctr"/>
        <c:lblOffset val="100"/>
        <c:noMultiLvlLbl val="0"/>
      </c:catAx>
      <c:valAx>
        <c:axId val="45523893"/>
        <c:scaling>
          <c:orientation val="minMax"/>
          <c:max val="1.4"/>
        </c:scaling>
        <c:delete val="0"/>
        <c:axPos val="l"/>
        <c:majorGridlines>
          <c:spPr>
            <a:ln w="0">
              <a:solidFill>
                <a:srgbClr val="ccccff"/>
              </a:solidFill>
              <a:custDash>
                <a:ds d="385900" sp="385900"/>
              </a:custDash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882453"/>
        <c:crossesAt val="1"/>
        <c:crossBetween val="midCat"/>
        <c:majorUnit val="0.2"/>
        <c:minorUnit val="0.2"/>
      </c:valAx>
      <c:catAx>
        <c:axId val="72158983"/>
        <c:scaling>
          <c:orientation val="minMax"/>
        </c:scaling>
        <c:delete val="1"/>
        <c:axPos val="t"/>
        <c:numFmt formatCode="[$-409]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461098"/>
        <c:auto val="1"/>
        <c:lblAlgn val="ctr"/>
        <c:lblOffset val="100"/>
        <c:noMultiLvlLbl val="0"/>
      </c:catAx>
      <c:valAx>
        <c:axId val="82461098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158983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 Submarket</a:t>
            </a:r>
          </a:p>
        </c:rich>
      </c:tx>
      <c:layout>
        <c:manualLayout>
          <c:xMode val="edge"/>
          <c:yMode val="edge"/>
          <c:x val="0.406721504112808"/>
          <c:y val="0.01739977728285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22209165687427"/>
          <c:y val="0.0183741648106904"/>
          <c:w val="0.987262044653349"/>
          <c:h val="0.98113864142539"/>
        </c:manualLayout>
      </c:layout>
      <c:lineChart>
        <c:grouping val="standard"/>
        <c:varyColors val="0"/>
        <c:ser>
          <c:idx val="0"/>
          <c:order val="0"/>
          <c:tx>
            <c:strRef>
              <c:f>Data!$I$2</c:f>
              <c:strCache>
                <c:ptCount val="1"/>
                <c:pt idx="0">
                  <c:v>%MLT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square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</c:f>
              <c:strCache>
                <c:ptCount val="25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</c:strCache>
            </c:strRef>
          </c:cat>
          <c:val>
            <c:numRef>
              <c:f>Data!$I$3:$I$29</c:f>
              <c:numCache>
                <c:formatCode>0%</c:formatCode>
                <c:ptCount val="25"/>
                <c:pt idx="0">
                  <c:v>0.96</c:v>
                </c:pt>
                <c:pt idx="1">
                  <c:v>1.41</c:v>
                </c:pt>
                <c:pt idx="2">
                  <c:v>1.03</c:v>
                </c:pt>
                <c:pt idx="3">
                  <c:v>1.33</c:v>
                </c:pt>
                <c:pt idx="4">
                  <c:v>0.56</c:v>
                </c:pt>
                <c:pt idx="5">
                  <c:v>1.17</c:v>
                </c:pt>
                <c:pt idx="6">
                  <c:v>2.04</c:v>
                </c:pt>
                <c:pt idx="7">
                  <c:v>0.42</c:v>
                </c:pt>
                <c:pt idx="8">
                  <c:v>0.47</c:v>
                </c:pt>
                <c:pt idx="9">
                  <c:v>1.16</c:v>
                </c:pt>
                <c:pt idx="10">
                  <c:v>0.58</c:v>
                </c:pt>
                <c:pt idx="11">
                  <c:v>0.59</c:v>
                </c:pt>
                <c:pt idx="12">
                  <c:v>0.82</c:v>
                </c:pt>
                <c:pt idx="13">
                  <c:v>1.08</c:v>
                </c:pt>
                <c:pt idx="14">
                  <c:v>1.25</c:v>
                </c:pt>
                <c:pt idx="15">
                  <c:v>0.63</c:v>
                </c:pt>
                <c:pt idx="16">
                  <c:v>0.55</c:v>
                </c:pt>
                <c:pt idx="17">
                  <c:v>0.55</c:v>
                </c:pt>
                <c:pt idx="18">
                  <c:v>0.92</c:v>
                </c:pt>
                <c:pt idx="19">
                  <c:v>0.67</c:v>
                </c:pt>
                <c:pt idx="20">
                  <c:v>2.1</c:v>
                </c:pt>
                <c:pt idx="21">
                  <c:v>1.84</c:v>
                </c:pt>
                <c:pt idx="22">
                  <c:v>0.85</c:v>
                </c:pt>
                <c:pt idx="23">
                  <c:v>0.78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Data!$J$2</c:f>
              <c:strCache>
                <c:ptCount val="1"/>
                <c:pt idx="0">
                  <c:v>EAR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ff6600"/>
              </a:solidFill>
              <a:round/>
            </a:ln>
          </c:spPr>
          <c:marker>
            <c:symbol val="triangle"/>
            <c:size val="5"/>
            <c:spPr>
              <a:solidFill>
                <a:srgbClr val="ff6600"/>
              </a:solidFill>
            </c:spPr>
          </c:marker>
          <c:dLbls>
            <c:numFmt formatCode="0%" sourceLinked="1"/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</c:f>
              <c:strCache>
                <c:ptCount val="25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</c:strCache>
            </c:strRef>
          </c:cat>
          <c:val>
            <c:numRef>
              <c:f>Data!$J$3:$J$29</c:f>
              <c:numCache>
                <c:formatCode>0.0%</c:formatCode>
                <c:ptCount val="25"/>
                <c:pt idx="0">
                  <c:v>0.792</c:v>
                </c:pt>
                <c:pt idx="1">
                  <c:v>0.844</c:v>
                </c:pt>
                <c:pt idx="2">
                  <c:v>0.749</c:v>
                </c:pt>
                <c:pt idx="3">
                  <c:v>0.727</c:v>
                </c:pt>
                <c:pt idx="4">
                  <c:v>0.608</c:v>
                </c:pt>
                <c:pt idx="5">
                  <c:v>0.761</c:v>
                </c:pt>
                <c:pt idx="6">
                  <c:v>0.879</c:v>
                </c:pt>
                <c:pt idx="7">
                  <c:v>0.705</c:v>
                </c:pt>
                <c:pt idx="8">
                  <c:v>0.616</c:v>
                </c:pt>
                <c:pt idx="9">
                  <c:v>0.792</c:v>
                </c:pt>
                <c:pt idx="10">
                  <c:v>0.662</c:v>
                </c:pt>
                <c:pt idx="11">
                  <c:v>0.529</c:v>
                </c:pt>
                <c:pt idx="12">
                  <c:v>0.475</c:v>
                </c:pt>
                <c:pt idx="13">
                  <c:v>0.473</c:v>
                </c:pt>
                <c:pt idx="14">
                  <c:v>0.523</c:v>
                </c:pt>
                <c:pt idx="15">
                  <c:v>0.4</c:v>
                </c:pt>
                <c:pt idx="16">
                  <c:v>0.302</c:v>
                </c:pt>
                <c:pt idx="17">
                  <c:v>0.41</c:v>
                </c:pt>
                <c:pt idx="18">
                  <c:v>0.441</c:v>
                </c:pt>
                <c:pt idx="19">
                  <c:v>0.462</c:v>
                </c:pt>
                <c:pt idx="20">
                  <c:v>0.867</c:v>
                </c:pt>
                <c:pt idx="21">
                  <c:v>0.962</c:v>
                </c:pt>
                <c:pt idx="22">
                  <c:v>0.929</c:v>
                </c:pt>
                <c:pt idx="23">
                  <c:v>0.894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621729"/>
        <c:axId val="92660378"/>
      </c:lineChart>
      <c:barChart>
        <c:barDir val="col"/>
        <c:grouping val="clustered"/>
        <c:varyColors val="0"/>
        <c:ser>
          <c:idx val="2"/>
          <c:order val="2"/>
          <c:tx>
            <c:strRef>
              <c:f>Data!$K$2</c:f>
              <c:strCache>
                <c:ptCount val="1"/>
                <c:pt idx="0">
                  <c:v>Heavy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2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20"/>
              <c:numFmt formatCode="0" sourceLinked="1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1"/>
              <c:numFmt formatCode="0" sourceLinked="1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2"/>
              <c:numFmt formatCode="0" sourceLinked="1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3"/>
              <c:numFmt formatCode="0" sourceLinked="1"/>
              <c:txPr>
                <a:bodyPr rot="-5400000"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</c:f>
              <c:strCache>
                <c:ptCount val="25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</c:strCache>
            </c:strRef>
          </c:cat>
          <c:val>
            <c:numRef>
              <c:f>Data!$K$3:$K$29</c:f>
              <c:numCache>
                <c:formatCode>General</c:formatCode>
                <c:ptCount val="25"/>
                <c:pt idx="0">
                  <c:v>56.21</c:v>
                </c:pt>
                <c:pt idx="1">
                  <c:v>50.05</c:v>
                </c:pt>
                <c:pt idx="2">
                  <c:v>46.78</c:v>
                </c:pt>
                <c:pt idx="3">
                  <c:v>43.89</c:v>
                </c:pt>
                <c:pt idx="4">
                  <c:v>48.63</c:v>
                </c:pt>
                <c:pt idx="5">
                  <c:v>49.99</c:v>
                </c:pt>
                <c:pt idx="6">
                  <c:v>61.72</c:v>
                </c:pt>
                <c:pt idx="7">
                  <c:v>49.62</c:v>
                </c:pt>
                <c:pt idx="8">
                  <c:v>72.97</c:v>
                </c:pt>
                <c:pt idx="9">
                  <c:v>91.94</c:v>
                </c:pt>
                <c:pt idx="10">
                  <c:v>155.51</c:v>
                </c:pt>
                <c:pt idx="11">
                  <c:v>213.93</c:v>
                </c:pt>
                <c:pt idx="12">
                  <c:v>285.5</c:v>
                </c:pt>
                <c:pt idx="13">
                  <c:v>190.88</c:v>
                </c:pt>
                <c:pt idx="14">
                  <c:v>86.56</c:v>
                </c:pt>
                <c:pt idx="15">
                  <c:v>56.67</c:v>
                </c:pt>
                <c:pt idx="16">
                  <c:v>86.08</c:v>
                </c:pt>
                <c:pt idx="17">
                  <c:v>137.16</c:v>
                </c:pt>
                <c:pt idx="18">
                  <c:v>145.73</c:v>
                </c:pt>
                <c:pt idx="19">
                  <c:v>129.8</c:v>
                </c:pt>
                <c:pt idx="20">
                  <c:v>175.99</c:v>
                </c:pt>
                <c:pt idx="21">
                  <c:v>93.02</c:v>
                </c:pt>
                <c:pt idx="22">
                  <c:v>149.7</c:v>
                </c:pt>
                <c:pt idx="23">
                  <c:v>103.54</c:v>
                </c:pt>
                <c:pt idx="24">
                  <c:v>56.92</c:v>
                </c:pt>
              </c:numCache>
            </c:numRef>
          </c:val>
        </c:ser>
        <c:ser>
          <c:idx val="3"/>
          <c:order val="3"/>
          <c:tx>
            <c:strRef>
              <c:f>Data!$L$2</c:f>
              <c:strCache>
                <c:ptCount val="1"/>
                <c:pt idx="0">
                  <c:v>Medium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20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21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22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23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24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Lbls>
            <c:numFmt formatCode="0" sourceLinked="1"/>
            <c:dLbl>
              <c:idx val="20"/>
              <c:numFmt formatCode="0" sourceLinked="1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1"/>
              <c:numFmt formatCode="0" sourceLinked="1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2"/>
              <c:numFmt formatCode="0" sourceLinked="1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3"/>
              <c:numFmt formatCode="0" sourceLinked="1"/>
              <c:txPr>
                <a:bodyPr rot="-5400000"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4"/>
              <c:numFmt formatCode="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</c:f>
              <c:strCache>
                <c:ptCount val="25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</c:strCache>
            </c:strRef>
          </c:cat>
          <c:val>
            <c:numRef>
              <c:f>Data!$L$3:$L$29</c:f>
              <c:numCache>
                <c:formatCode>General</c:formatCode>
                <c:ptCount val="25"/>
                <c:pt idx="0">
                  <c:v>56.21</c:v>
                </c:pt>
                <c:pt idx="1">
                  <c:v>50.05</c:v>
                </c:pt>
                <c:pt idx="2">
                  <c:v>46.78</c:v>
                </c:pt>
                <c:pt idx="3">
                  <c:v>43.89</c:v>
                </c:pt>
                <c:pt idx="4">
                  <c:v>48.63</c:v>
                </c:pt>
                <c:pt idx="5">
                  <c:v>49.99</c:v>
                </c:pt>
                <c:pt idx="6">
                  <c:v>61.72</c:v>
                </c:pt>
                <c:pt idx="7">
                  <c:v>49.62</c:v>
                </c:pt>
                <c:pt idx="8">
                  <c:v>72.97</c:v>
                </c:pt>
                <c:pt idx="9">
                  <c:v>91.94</c:v>
                </c:pt>
                <c:pt idx="10">
                  <c:v>155.51</c:v>
                </c:pt>
                <c:pt idx="11">
                  <c:v>213.93</c:v>
                </c:pt>
                <c:pt idx="12">
                  <c:v>285.5</c:v>
                </c:pt>
                <c:pt idx="13">
                  <c:v>190.88</c:v>
                </c:pt>
                <c:pt idx="14">
                  <c:v>86.56</c:v>
                </c:pt>
                <c:pt idx="15">
                  <c:v>56.67</c:v>
                </c:pt>
                <c:pt idx="16">
                  <c:v>86.08</c:v>
                </c:pt>
                <c:pt idx="17">
                  <c:v>137.16</c:v>
                </c:pt>
                <c:pt idx="18">
                  <c:v>145.73</c:v>
                </c:pt>
                <c:pt idx="19">
                  <c:v>129.8</c:v>
                </c:pt>
                <c:pt idx="20">
                  <c:v>175.99</c:v>
                </c:pt>
                <c:pt idx="21">
                  <c:v>93.02</c:v>
                </c:pt>
                <c:pt idx="22">
                  <c:v>149.7</c:v>
                </c:pt>
                <c:pt idx="23">
                  <c:v>103.54</c:v>
                </c:pt>
                <c:pt idx="24">
                  <c:v>56.92</c:v>
                </c:pt>
              </c:numCache>
            </c:numRef>
          </c:val>
        </c:ser>
        <c:ser>
          <c:idx val="4"/>
          <c:order val="4"/>
          <c:tx>
            <c:strRef>
              <c:f>Data!$M$2</c:f>
              <c:strCache>
                <c:ptCount val="1"/>
                <c:pt idx="0">
                  <c:v>Light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20"/>
            <c:invertIfNegative val="0"/>
            <c:spPr>
              <a:solidFill>
                <a:srgbClr val="99cc00"/>
              </a:solidFill>
              <a:ln w="0">
                <a:noFill/>
              </a:ln>
            </c:spPr>
          </c:dPt>
          <c:dPt>
            <c:idx val="21"/>
            <c:invertIfNegative val="0"/>
            <c:spPr>
              <a:solidFill>
                <a:srgbClr val="99cc00"/>
              </a:solidFill>
              <a:ln w="0">
                <a:noFill/>
              </a:ln>
            </c:spPr>
          </c:dPt>
          <c:dPt>
            <c:idx val="22"/>
            <c:invertIfNegative val="0"/>
            <c:spPr>
              <a:solidFill>
                <a:srgbClr val="99cc00"/>
              </a:solidFill>
              <a:ln w="0">
                <a:noFill/>
              </a:ln>
            </c:spPr>
          </c:dPt>
          <c:dPt>
            <c:idx val="23"/>
            <c:invertIfNegative val="0"/>
            <c:spPr>
              <a:solidFill>
                <a:srgbClr val="99cc00"/>
              </a:solidFill>
              <a:ln w="0">
                <a:noFill/>
              </a:ln>
            </c:spPr>
          </c:dPt>
          <c:dPt>
            <c:idx val="24"/>
            <c:invertIfNegative val="0"/>
            <c:spPr>
              <a:solidFill>
                <a:srgbClr val="99cc00"/>
              </a:solidFill>
              <a:ln w="0">
                <a:noFill/>
              </a:ln>
            </c:spPr>
          </c:dPt>
          <c:dLbls>
            <c:dLbl>
              <c:idx val="20"/>
              <c:numFmt formatCode="0" sourceLinked="1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1"/>
              <c:numFmt formatCode="0" sourceLinked="1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2"/>
              <c:numFmt formatCode="0" sourceLinked="1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3"/>
              <c:numFmt formatCode="0" sourceLinked="1"/>
              <c:txPr>
                <a:bodyPr rot="-5400000" wrap="none"/>
                <a:lstStyle/>
                <a:p>
                  <a:pPr>
                    <a:defRPr b="0" sz="6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</c:f>
              <c:strCache>
                <c:ptCount val="25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</c:strCache>
            </c:strRef>
          </c:cat>
          <c:val>
            <c:numRef>
              <c:f>Data!$M$3:$M$29</c:f>
              <c:numCache>
                <c:formatCode>General</c:formatCode>
                <c:ptCount val="25"/>
                <c:pt idx="0">
                  <c:v>56.21</c:v>
                </c:pt>
                <c:pt idx="1">
                  <c:v>50.05</c:v>
                </c:pt>
                <c:pt idx="2">
                  <c:v>46.78</c:v>
                </c:pt>
                <c:pt idx="3">
                  <c:v>43.89</c:v>
                </c:pt>
                <c:pt idx="4">
                  <c:v>48.63</c:v>
                </c:pt>
                <c:pt idx="5">
                  <c:v>49.99</c:v>
                </c:pt>
                <c:pt idx="6">
                  <c:v>61.72</c:v>
                </c:pt>
                <c:pt idx="7">
                  <c:v>49.62</c:v>
                </c:pt>
                <c:pt idx="8">
                  <c:v>72.97</c:v>
                </c:pt>
                <c:pt idx="9">
                  <c:v>91.94</c:v>
                </c:pt>
                <c:pt idx="10">
                  <c:v>155.51</c:v>
                </c:pt>
                <c:pt idx="11">
                  <c:v>213.93</c:v>
                </c:pt>
                <c:pt idx="12">
                  <c:v>285.5</c:v>
                </c:pt>
                <c:pt idx="13">
                  <c:v>190.88</c:v>
                </c:pt>
                <c:pt idx="14">
                  <c:v>86.56</c:v>
                </c:pt>
                <c:pt idx="15">
                  <c:v>56.67</c:v>
                </c:pt>
                <c:pt idx="16">
                  <c:v>86.08</c:v>
                </c:pt>
                <c:pt idx="17">
                  <c:v>137.16</c:v>
                </c:pt>
                <c:pt idx="18">
                  <c:v>145.73</c:v>
                </c:pt>
                <c:pt idx="19">
                  <c:v>129.8</c:v>
                </c:pt>
                <c:pt idx="20">
                  <c:v>156.11</c:v>
                </c:pt>
                <c:pt idx="21">
                  <c:v>27.45</c:v>
                </c:pt>
                <c:pt idx="22">
                  <c:v>147.15</c:v>
                </c:pt>
                <c:pt idx="23">
                  <c:v>101.77</c:v>
                </c:pt>
                <c:pt idx="24">
                  <c:v>56.92</c:v>
                </c:pt>
              </c:numCache>
            </c:numRef>
          </c:val>
        </c:ser>
        <c:gapWidth val="10"/>
        <c:overlap val="0"/>
        <c:axId val="16200828"/>
        <c:axId val="81743508"/>
      </c:barChart>
      <c:catAx>
        <c:axId val="93621729"/>
        <c:scaling>
          <c:orientation val="minMax"/>
        </c:scaling>
        <c:delete val="0"/>
        <c:axPos val="b"/>
        <c:majorGridlines>
          <c:spPr>
            <a:ln w="0">
              <a:solidFill>
                <a:srgbClr val="ccccff"/>
              </a:solidFill>
              <a:custDash>
                <a:ds d="385900" sp="385900"/>
              </a:custDash>
            </a:ln>
          </c:spPr>
        </c:majorGridlines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660378"/>
        <c:crossesAt val="0"/>
        <c:auto val="1"/>
        <c:lblAlgn val="ctr"/>
        <c:lblOffset val="100"/>
        <c:noMultiLvlLbl val="0"/>
      </c:catAx>
      <c:valAx>
        <c:axId val="92660378"/>
        <c:scaling>
          <c:orientation val="minMax"/>
          <c:max val="2.1"/>
          <c:min val="0"/>
        </c:scaling>
        <c:delete val="0"/>
        <c:axPos val="l"/>
        <c:majorGridlines>
          <c:spPr>
            <a:ln w="0">
              <a:solidFill>
                <a:srgbClr val="ccccff"/>
              </a:solidFill>
              <a:custDash>
                <a:ds d="385900" sp="385900"/>
              </a:custDash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621729"/>
        <c:crossesAt val="1"/>
        <c:crossBetween val="midCat"/>
        <c:majorUnit val="0.2"/>
        <c:minorUnit val="0.2"/>
      </c:valAx>
      <c:catAx>
        <c:axId val="16200828"/>
        <c:scaling>
          <c:orientation val="minMax"/>
        </c:scaling>
        <c:delete val="1"/>
        <c:axPos val="t"/>
        <c:numFmt formatCode="[$-409]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743508"/>
        <c:auto val="1"/>
        <c:lblAlgn val="ctr"/>
        <c:lblOffset val="100"/>
        <c:noMultiLvlLbl val="0"/>
      </c:catAx>
      <c:valAx>
        <c:axId val="81743508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200828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 Submarket</a:t>
            </a:r>
          </a:p>
        </c:rich>
      </c:tx>
      <c:layout>
        <c:manualLayout>
          <c:xMode val="edge"/>
          <c:yMode val="edge"/>
          <c:x val="0.391351351351351"/>
          <c:y val="0.018860160482820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7508813160987"/>
          <c:y val="0.0487620876483094"/>
          <c:w val="0.988249118683901"/>
          <c:h val="0.948563198683218"/>
        </c:manualLayout>
      </c:layout>
      <c:lineChart>
        <c:grouping val="standard"/>
        <c:varyColors val="0"/>
        <c:ser>
          <c:idx val="0"/>
          <c:order val="0"/>
          <c:tx>
            <c:strRef>
              <c:f>Data!$O$2</c:f>
              <c:strCache>
                <c:ptCount val="1"/>
                <c:pt idx="0">
                  <c:v>%MLT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square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</c:f>
              <c:strCache>
                <c:ptCount val="25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</c:strCache>
            </c:strRef>
          </c:cat>
          <c:val>
            <c:numRef>
              <c:f>Data!$O$3:$O$29</c:f>
              <c:numCache>
                <c:formatCode>0%</c:formatCode>
                <c:ptCount val="25"/>
                <c:pt idx="0">
                  <c:v>0.69</c:v>
                </c:pt>
                <c:pt idx="1">
                  <c:v>0.34</c:v>
                </c:pt>
                <c:pt idx="2">
                  <c:v>0.89</c:v>
                </c:pt>
                <c:pt idx="3">
                  <c:v>0.59</c:v>
                </c:pt>
                <c:pt idx="4">
                  <c:v>0.56</c:v>
                </c:pt>
                <c:pt idx="5">
                  <c:v>0.64</c:v>
                </c:pt>
                <c:pt idx="6">
                  <c:v>0.72</c:v>
                </c:pt>
                <c:pt idx="7">
                  <c:v>0.63</c:v>
                </c:pt>
                <c:pt idx="8">
                  <c:v>0.6</c:v>
                </c:pt>
                <c:pt idx="9">
                  <c:v>0.57</c:v>
                </c:pt>
                <c:pt idx="10">
                  <c:v>0.75</c:v>
                </c:pt>
                <c:pt idx="11">
                  <c:v>0.92</c:v>
                </c:pt>
                <c:pt idx="12">
                  <c:v>0.89</c:v>
                </c:pt>
                <c:pt idx="13">
                  <c:v>1.1</c:v>
                </c:pt>
                <c:pt idx="14">
                  <c:v>0.91</c:v>
                </c:pt>
                <c:pt idx="15">
                  <c:v>0.9</c:v>
                </c:pt>
                <c:pt idx="16">
                  <c:v>0.73</c:v>
                </c:pt>
                <c:pt idx="17">
                  <c:v>0.76</c:v>
                </c:pt>
                <c:pt idx="18">
                  <c:v>0.78</c:v>
                </c:pt>
                <c:pt idx="19">
                  <c:v>0.73</c:v>
                </c:pt>
                <c:pt idx="20">
                  <c:v>0.83</c:v>
                </c:pt>
                <c:pt idx="21">
                  <c:v>0.69</c:v>
                </c:pt>
                <c:pt idx="22">
                  <c:v>0.9</c:v>
                </c:pt>
                <c:pt idx="23">
                  <c:v>1.07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Data!$P$2</c:f>
              <c:strCache>
                <c:ptCount val="1"/>
                <c:pt idx="0">
                  <c:v>EAR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ff6600"/>
              </a:solidFill>
              <a:round/>
            </a:ln>
          </c:spPr>
          <c:marker>
            <c:symbol val="triangle"/>
            <c:size val="5"/>
            <c:spPr>
              <a:solidFill>
                <a:srgbClr val="ff6600"/>
              </a:solidFill>
            </c:spPr>
          </c:marker>
          <c:dPt>
            <c:idx val="20"/>
            <c:marker>
              <c:symbol val="triangle"/>
              <c:size val="5"/>
              <c:spPr>
                <a:solidFill>
                  <a:srgbClr val="ff6600"/>
                </a:solidFill>
              </c:spPr>
            </c:marker>
          </c:dPt>
          <c:dLbls>
            <c:numFmt formatCode="0%" sourceLinked="1"/>
            <c:dLbl>
              <c:idx val="20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</c:f>
              <c:strCache>
                <c:ptCount val="25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</c:strCache>
            </c:strRef>
          </c:cat>
          <c:val>
            <c:numRef>
              <c:f>Data!$P$3:$P$29</c:f>
              <c:numCache>
                <c:formatCode>0.0%</c:formatCode>
                <c:ptCount val="25"/>
                <c:pt idx="0">
                  <c:v>0.444</c:v>
                </c:pt>
                <c:pt idx="1">
                  <c:v>0.426</c:v>
                </c:pt>
                <c:pt idx="2">
                  <c:v>0.586</c:v>
                </c:pt>
                <c:pt idx="3">
                  <c:v>0.574</c:v>
                </c:pt>
                <c:pt idx="4">
                  <c:v>0.529</c:v>
                </c:pt>
                <c:pt idx="5">
                  <c:v>0.464</c:v>
                </c:pt>
                <c:pt idx="6">
                  <c:v>0.396</c:v>
                </c:pt>
                <c:pt idx="7">
                  <c:v>0.319</c:v>
                </c:pt>
                <c:pt idx="8">
                  <c:v>0.252</c:v>
                </c:pt>
                <c:pt idx="9">
                  <c:v>0.17</c:v>
                </c:pt>
                <c:pt idx="10">
                  <c:v>0.159</c:v>
                </c:pt>
                <c:pt idx="11">
                  <c:v>0.218</c:v>
                </c:pt>
                <c:pt idx="12">
                  <c:v>0.357</c:v>
                </c:pt>
                <c:pt idx="13">
                  <c:v>0.541</c:v>
                </c:pt>
                <c:pt idx="14">
                  <c:v>0.66</c:v>
                </c:pt>
                <c:pt idx="15">
                  <c:v>0.712</c:v>
                </c:pt>
                <c:pt idx="16">
                  <c:v>0.673</c:v>
                </c:pt>
                <c:pt idx="17">
                  <c:v>0.618</c:v>
                </c:pt>
                <c:pt idx="18">
                  <c:v>0.557</c:v>
                </c:pt>
                <c:pt idx="19">
                  <c:v>0.47</c:v>
                </c:pt>
                <c:pt idx="20">
                  <c:v>0.393</c:v>
                </c:pt>
                <c:pt idx="21">
                  <c:v>0.289</c:v>
                </c:pt>
                <c:pt idx="22">
                  <c:v>0.2754</c:v>
                </c:pt>
                <c:pt idx="23">
                  <c:v>0.368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660538"/>
        <c:axId val="83618462"/>
      </c:lineChart>
      <c:barChart>
        <c:barDir val="col"/>
        <c:grouping val="clustered"/>
        <c:varyColors val="0"/>
        <c:ser>
          <c:idx val="2"/>
          <c:order val="2"/>
          <c:tx>
            <c:strRef>
              <c:f>Data!$Q$2</c:f>
              <c:strCache>
                <c:ptCount val="1"/>
                <c:pt idx="0">
                  <c:v>Heavy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20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1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2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3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Pt>
            <c:idx val="24"/>
            <c:invertIfNegative val="0"/>
            <c:spPr>
              <a:solidFill>
                <a:srgbClr val="ff0000"/>
              </a:solidFill>
              <a:ln w="0">
                <a:noFill/>
              </a:ln>
            </c:spPr>
          </c:dPt>
          <c:dLbls>
            <c:dLbl>
              <c:idx val="20"/>
              <c:numFmt formatCode="0" sourceLinked="1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</c:f>
              <c:strCache>
                <c:ptCount val="25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</c:strCache>
            </c:strRef>
          </c:cat>
          <c:val>
            <c:numRef>
              <c:f>Data!$Q$3:$Q$29</c:f>
              <c:numCache>
                <c:formatCode>General</c:formatCode>
                <c:ptCount val="25"/>
                <c:pt idx="0">
                  <c:v>39.49</c:v>
                </c:pt>
                <c:pt idx="1">
                  <c:v>26.07</c:v>
                </c:pt>
                <c:pt idx="2">
                  <c:v>28.48</c:v>
                </c:pt>
                <c:pt idx="3">
                  <c:v>26.91</c:v>
                </c:pt>
                <c:pt idx="4">
                  <c:v>30.95</c:v>
                </c:pt>
                <c:pt idx="5">
                  <c:v>45.24</c:v>
                </c:pt>
                <c:pt idx="6">
                  <c:v>38.02</c:v>
                </c:pt>
                <c:pt idx="7">
                  <c:v>52.05</c:v>
                </c:pt>
                <c:pt idx="8">
                  <c:v>71.47</c:v>
                </c:pt>
                <c:pt idx="9">
                  <c:v>90.75</c:v>
                </c:pt>
                <c:pt idx="10">
                  <c:v>161.1</c:v>
                </c:pt>
                <c:pt idx="11">
                  <c:v>211.22</c:v>
                </c:pt>
                <c:pt idx="12">
                  <c:v>187.58</c:v>
                </c:pt>
                <c:pt idx="13">
                  <c:v>158.55</c:v>
                </c:pt>
                <c:pt idx="14">
                  <c:v>63.93</c:v>
                </c:pt>
                <c:pt idx="15">
                  <c:v>33.3</c:v>
                </c:pt>
                <c:pt idx="16">
                  <c:v>47.84</c:v>
                </c:pt>
                <c:pt idx="17">
                  <c:v>69.51</c:v>
                </c:pt>
                <c:pt idx="18">
                  <c:v>99.53</c:v>
                </c:pt>
                <c:pt idx="19">
                  <c:v>89.72</c:v>
                </c:pt>
                <c:pt idx="20">
                  <c:v>101.49</c:v>
                </c:pt>
                <c:pt idx="21">
                  <c:v>76.07</c:v>
                </c:pt>
                <c:pt idx="22">
                  <c:v>127.3</c:v>
                </c:pt>
                <c:pt idx="23">
                  <c:v>72.16</c:v>
                </c:pt>
                <c:pt idx="24">
                  <c:v>33.87</c:v>
                </c:pt>
              </c:numCache>
            </c:numRef>
          </c:val>
        </c:ser>
        <c:ser>
          <c:idx val="3"/>
          <c:order val="3"/>
          <c:tx>
            <c:strRef>
              <c:f>Data!$R$2</c:f>
              <c:strCache>
                <c:ptCount val="1"/>
                <c:pt idx="0">
                  <c:v>Medium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20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21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22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23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Pt>
            <c:idx val="24"/>
            <c:invertIfNegative val="0"/>
            <c:spPr>
              <a:solidFill>
                <a:srgbClr val="ffff00"/>
              </a:solidFill>
              <a:ln w="0">
                <a:noFill/>
              </a:ln>
            </c:spPr>
          </c:dPt>
          <c:dLbls>
            <c:numFmt formatCode="0" sourceLinked="1"/>
            <c:dLbl>
              <c:idx val="20"/>
              <c:numFmt formatCode="0" sourceLinked="1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1"/>
              <c:numFmt formatCode="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2"/>
              <c:numFmt formatCode="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3"/>
              <c:numFmt formatCode="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4"/>
              <c:numFmt formatCode="0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</c:f>
              <c:strCache>
                <c:ptCount val="25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</c:strCache>
            </c:strRef>
          </c:cat>
          <c:val>
            <c:numRef>
              <c:f>Data!$R$3:$R$29</c:f>
              <c:numCache>
                <c:formatCode>General</c:formatCode>
                <c:ptCount val="25"/>
                <c:pt idx="0">
                  <c:v>39.49</c:v>
                </c:pt>
                <c:pt idx="1">
                  <c:v>26.07</c:v>
                </c:pt>
                <c:pt idx="2">
                  <c:v>28.48</c:v>
                </c:pt>
                <c:pt idx="3">
                  <c:v>26.91</c:v>
                </c:pt>
                <c:pt idx="4">
                  <c:v>30.95</c:v>
                </c:pt>
                <c:pt idx="5">
                  <c:v>45.24</c:v>
                </c:pt>
                <c:pt idx="6">
                  <c:v>38.02</c:v>
                </c:pt>
                <c:pt idx="7">
                  <c:v>52.05</c:v>
                </c:pt>
                <c:pt idx="8">
                  <c:v>71.47</c:v>
                </c:pt>
                <c:pt idx="9">
                  <c:v>90.75</c:v>
                </c:pt>
                <c:pt idx="10">
                  <c:v>161.1</c:v>
                </c:pt>
                <c:pt idx="11">
                  <c:v>211.22</c:v>
                </c:pt>
                <c:pt idx="12">
                  <c:v>187.58</c:v>
                </c:pt>
                <c:pt idx="13">
                  <c:v>158.55</c:v>
                </c:pt>
                <c:pt idx="14">
                  <c:v>63.93</c:v>
                </c:pt>
                <c:pt idx="15">
                  <c:v>33.3</c:v>
                </c:pt>
                <c:pt idx="16">
                  <c:v>47.84</c:v>
                </c:pt>
                <c:pt idx="17">
                  <c:v>69.51</c:v>
                </c:pt>
                <c:pt idx="18">
                  <c:v>99.53</c:v>
                </c:pt>
                <c:pt idx="19">
                  <c:v>89.72</c:v>
                </c:pt>
                <c:pt idx="20">
                  <c:v>101.49</c:v>
                </c:pt>
                <c:pt idx="21">
                  <c:v>76.07</c:v>
                </c:pt>
                <c:pt idx="22">
                  <c:v>127.3</c:v>
                </c:pt>
                <c:pt idx="23">
                  <c:v>72.16</c:v>
                </c:pt>
                <c:pt idx="24">
                  <c:v>33.87</c:v>
                </c:pt>
              </c:numCache>
            </c:numRef>
          </c:val>
        </c:ser>
        <c:ser>
          <c:idx val="4"/>
          <c:order val="4"/>
          <c:tx>
            <c:strRef>
              <c:f>Data!$S$2</c:f>
              <c:strCache>
                <c:ptCount val="1"/>
                <c:pt idx="0">
                  <c:v>Light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Pt>
            <c:idx val="20"/>
            <c:invertIfNegative val="0"/>
            <c:spPr>
              <a:solidFill>
                <a:srgbClr val="99cc00"/>
              </a:solidFill>
              <a:ln w="0">
                <a:noFill/>
              </a:ln>
            </c:spPr>
          </c:dPt>
          <c:dPt>
            <c:idx val="21"/>
            <c:invertIfNegative val="0"/>
            <c:spPr>
              <a:solidFill>
                <a:srgbClr val="99cc00"/>
              </a:solidFill>
              <a:ln w="0">
                <a:noFill/>
              </a:ln>
            </c:spPr>
          </c:dPt>
          <c:dPt>
            <c:idx val="22"/>
            <c:invertIfNegative val="0"/>
            <c:spPr>
              <a:solidFill>
                <a:srgbClr val="99cc00"/>
              </a:solidFill>
              <a:ln w="0">
                <a:noFill/>
              </a:ln>
            </c:spPr>
          </c:dPt>
          <c:dPt>
            <c:idx val="23"/>
            <c:invertIfNegative val="0"/>
            <c:spPr>
              <a:solidFill>
                <a:srgbClr val="99cc00"/>
              </a:solidFill>
              <a:ln w="0">
                <a:noFill/>
              </a:ln>
            </c:spPr>
          </c:dPt>
          <c:dPt>
            <c:idx val="24"/>
            <c:invertIfNegative val="0"/>
            <c:spPr>
              <a:solidFill>
                <a:srgbClr val="99cc00"/>
              </a:solidFill>
              <a:ln w="0">
                <a:noFill/>
              </a:ln>
            </c:spPr>
          </c:dPt>
          <c:dLbls>
            <c:dLbl>
              <c:idx val="20"/>
              <c:numFmt formatCode="0" sourceLinked="1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</c:f>
              <c:strCache>
                <c:ptCount val="25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  <c:pt idx="12">
                  <c:v>Jan-00</c:v>
                </c:pt>
                <c:pt idx="13">
                  <c:v>Feb-00</c:v>
                </c:pt>
                <c:pt idx="14">
                  <c:v>Mar-00</c:v>
                </c:pt>
                <c:pt idx="15">
                  <c:v>Apr-00</c:v>
                </c:pt>
                <c:pt idx="16">
                  <c:v>May-00</c:v>
                </c:pt>
                <c:pt idx="17">
                  <c:v>Jun-00</c:v>
                </c:pt>
                <c:pt idx="18">
                  <c:v>Jul-00</c:v>
                </c:pt>
                <c:pt idx="19">
                  <c:v>Aug-00</c:v>
                </c:pt>
                <c:pt idx="20">
                  <c:v>Sep-00</c:v>
                </c:pt>
                <c:pt idx="21">
                  <c:v>Oct-00</c:v>
                </c:pt>
                <c:pt idx="22">
                  <c:v>Nov-00</c:v>
                </c:pt>
                <c:pt idx="23">
                  <c:v>Dec-00</c:v>
                </c:pt>
                <c:pt idx="24">
                  <c:v>Jan-01</c:v>
                </c:pt>
              </c:strCache>
            </c:strRef>
          </c:cat>
          <c:val>
            <c:numRef>
              <c:f>Data!$S$3:$S$29</c:f>
              <c:numCache>
                <c:formatCode>General</c:formatCode>
                <c:ptCount val="25"/>
                <c:pt idx="0">
                  <c:v>39.49</c:v>
                </c:pt>
                <c:pt idx="1">
                  <c:v>26.07</c:v>
                </c:pt>
                <c:pt idx="2">
                  <c:v>28.48</c:v>
                </c:pt>
                <c:pt idx="3">
                  <c:v>26.91</c:v>
                </c:pt>
                <c:pt idx="4">
                  <c:v>30.95</c:v>
                </c:pt>
                <c:pt idx="5">
                  <c:v>45.24</c:v>
                </c:pt>
                <c:pt idx="6">
                  <c:v>38.02</c:v>
                </c:pt>
                <c:pt idx="7">
                  <c:v>52.05</c:v>
                </c:pt>
                <c:pt idx="8">
                  <c:v>71.47</c:v>
                </c:pt>
                <c:pt idx="9">
                  <c:v>90.75</c:v>
                </c:pt>
                <c:pt idx="10">
                  <c:v>161.1</c:v>
                </c:pt>
                <c:pt idx="11">
                  <c:v>211.22</c:v>
                </c:pt>
                <c:pt idx="12">
                  <c:v>187.58</c:v>
                </c:pt>
                <c:pt idx="13">
                  <c:v>158.55</c:v>
                </c:pt>
                <c:pt idx="14">
                  <c:v>63.93</c:v>
                </c:pt>
                <c:pt idx="15">
                  <c:v>33.3</c:v>
                </c:pt>
                <c:pt idx="16">
                  <c:v>47.84</c:v>
                </c:pt>
                <c:pt idx="17">
                  <c:v>69.51</c:v>
                </c:pt>
                <c:pt idx="18">
                  <c:v>99.53</c:v>
                </c:pt>
                <c:pt idx="19">
                  <c:v>89.72</c:v>
                </c:pt>
                <c:pt idx="20">
                  <c:v>101.49</c:v>
                </c:pt>
                <c:pt idx="21">
                  <c:v>76.07</c:v>
                </c:pt>
                <c:pt idx="22">
                  <c:v>127.3</c:v>
                </c:pt>
                <c:pt idx="23">
                  <c:v>72.16</c:v>
                </c:pt>
                <c:pt idx="24">
                  <c:v>33.87</c:v>
                </c:pt>
              </c:numCache>
            </c:numRef>
          </c:val>
        </c:ser>
        <c:gapWidth val="10"/>
        <c:overlap val="0"/>
        <c:axId val="82612306"/>
        <c:axId val="61711006"/>
      </c:barChart>
      <c:catAx>
        <c:axId val="15660538"/>
        <c:scaling>
          <c:orientation val="minMax"/>
        </c:scaling>
        <c:delete val="0"/>
        <c:axPos val="b"/>
        <c:majorGridlines>
          <c:spPr>
            <a:ln w="0">
              <a:solidFill>
                <a:srgbClr val="ccccff"/>
              </a:solidFill>
              <a:custDash>
                <a:ds d="385900" sp="385900"/>
              </a:custDash>
            </a:ln>
          </c:spPr>
        </c:majorGridlines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618462"/>
        <c:crossesAt val="0"/>
        <c:auto val="1"/>
        <c:lblAlgn val="ctr"/>
        <c:lblOffset val="100"/>
        <c:noMultiLvlLbl val="0"/>
      </c:catAx>
      <c:valAx>
        <c:axId val="83618462"/>
        <c:scaling>
          <c:orientation val="minMax"/>
          <c:max val="1.2"/>
        </c:scaling>
        <c:delete val="0"/>
        <c:axPos val="l"/>
        <c:majorGridlines>
          <c:spPr>
            <a:ln w="0">
              <a:solidFill>
                <a:srgbClr val="ccccff"/>
              </a:solidFill>
              <a:custDash>
                <a:ds d="385900" sp="385900"/>
              </a:custDash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660538"/>
        <c:crossesAt val="1"/>
        <c:crossBetween val="midCat"/>
        <c:majorUnit val="0.2"/>
        <c:minorUnit val="0.2"/>
      </c:valAx>
      <c:catAx>
        <c:axId val="82612306"/>
        <c:scaling>
          <c:orientation val="minMax"/>
        </c:scaling>
        <c:delete val="1"/>
        <c:axPos val="t"/>
        <c:numFmt formatCode="[$-409]mmm\-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711006"/>
        <c:auto val="1"/>
        <c:lblAlgn val="ctr"/>
        <c:lblOffset val="100"/>
        <c:noMultiLvlLbl val="0"/>
      </c:catAx>
      <c:valAx>
        <c:axId val="61711006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612306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Relationship Id="rId4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110520</xdr:colOff>
      <xdr:row>85</xdr:row>
      <xdr:rowOff>0</xdr:rowOff>
    </xdr:from>
    <xdr:to>
      <xdr:col>17</xdr:col>
      <xdr:colOff>644760</xdr:colOff>
      <xdr:row>97</xdr:row>
      <xdr:rowOff>104400</xdr:rowOff>
    </xdr:to>
    <xdr:graphicFrame>
      <xdr:nvGraphicFramePr>
        <xdr:cNvPr id="0" name="Chart 7"/>
        <xdr:cNvGraphicFramePr/>
      </xdr:nvGraphicFramePr>
      <xdr:xfrm>
        <a:off x="8138880" y="13106520"/>
        <a:ext cx="4125600" cy="2047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85</xdr:row>
      <xdr:rowOff>9360</xdr:rowOff>
    </xdr:from>
    <xdr:to>
      <xdr:col>10</xdr:col>
      <xdr:colOff>504000</xdr:colOff>
      <xdr:row>97</xdr:row>
      <xdr:rowOff>114480</xdr:rowOff>
    </xdr:to>
    <xdr:graphicFrame>
      <xdr:nvGraphicFramePr>
        <xdr:cNvPr id="1" name="Chart 6"/>
        <xdr:cNvGraphicFramePr/>
      </xdr:nvGraphicFramePr>
      <xdr:xfrm>
        <a:off x="3691800" y="13115880"/>
        <a:ext cx="4186440" cy="204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0</xdr:colOff>
      <xdr:row>55</xdr:row>
      <xdr:rowOff>0</xdr:rowOff>
    </xdr:from>
    <xdr:to>
      <xdr:col>10</xdr:col>
      <xdr:colOff>493920</xdr:colOff>
      <xdr:row>68</xdr:row>
      <xdr:rowOff>104760</xdr:rowOff>
    </xdr:to>
    <xdr:graphicFrame>
      <xdr:nvGraphicFramePr>
        <xdr:cNvPr id="2" name="Chart 2"/>
        <xdr:cNvGraphicFramePr/>
      </xdr:nvGraphicFramePr>
      <xdr:xfrm>
        <a:off x="3691800" y="8458200"/>
        <a:ext cx="4176360" cy="2171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120600</xdr:colOff>
      <xdr:row>54</xdr:row>
      <xdr:rowOff>142920</xdr:rowOff>
    </xdr:from>
    <xdr:to>
      <xdr:col>18</xdr:col>
      <xdr:colOff>720</xdr:colOff>
      <xdr:row>68</xdr:row>
      <xdr:rowOff>104760</xdr:rowOff>
    </xdr:to>
    <xdr:graphicFrame>
      <xdr:nvGraphicFramePr>
        <xdr:cNvPr id="3" name="Chart 432"/>
        <xdr:cNvGraphicFramePr/>
      </xdr:nvGraphicFramePr>
      <xdr:xfrm>
        <a:off x="8148960" y="8448840"/>
        <a:ext cx="4125600" cy="2180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0</xdr:colOff>
      <xdr:row>70</xdr:row>
      <xdr:rowOff>37800</xdr:rowOff>
    </xdr:from>
    <xdr:to>
      <xdr:col>10</xdr:col>
      <xdr:colOff>504000</xdr:colOff>
      <xdr:row>83</xdr:row>
      <xdr:rowOff>152640</xdr:rowOff>
    </xdr:to>
    <xdr:graphicFrame>
      <xdr:nvGraphicFramePr>
        <xdr:cNvPr id="4" name="Chart 433"/>
        <xdr:cNvGraphicFramePr/>
      </xdr:nvGraphicFramePr>
      <xdr:xfrm>
        <a:off x="3691800" y="10877400"/>
        <a:ext cx="4186440" cy="2057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11</xdr:col>
      <xdr:colOff>120600</xdr:colOff>
      <xdr:row>70</xdr:row>
      <xdr:rowOff>28440</xdr:rowOff>
    </xdr:from>
    <xdr:to>
      <xdr:col>18</xdr:col>
      <xdr:colOff>720</xdr:colOff>
      <xdr:row>83</xdr:row>
      <xdr:rowOff>142920</xdr:rowOff>
    </xdr:to>
    <xdr:graphicFrame>
      <xdr:nvGraphicFramePr>
        <xdr:cNvPr id="5" name="Chart 434"/>
        <xdr:cNvGraphicFramePr/>
      </xdr:nvGraphicFramePr>
      <xdr:xfrm>
        <a:off x="8148960" y="10868040"/>
        <a:ext cx="4125600" cy="2057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8</xdr:col>
      <xdr:colOff>70560</xdr:colOff>
      <xdr:row>63</xdr:row>
      <xdr:rowOff>38160</xdr:rowOff>
    </xdr:from>
    <xdr:to>
      <xdr:col>8</xdr:col>
      <xdr:colOff>393120</xdr:colOff>
      <xdr:row>64</xdr:row>
      <xdr:rowOff>28440</xdr:rowOff>
    </xdr:to>
    <xdr:sp>
      <xdr:nvSpPr>
        <xdr:cNvPr id="6" name="Text 435"/>
        <xdr:cNvSpPr/>
      </xdr:nvSpPr>
      <xdr:spPr>
        <a:xfrm>
          <a:off x="6136560" y="9772560"/>
          <a:ext cx="322560" cy="133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800" strike="noStrike" u="none">
              <a:effectLst/>
              <a:uFillTx/>
              <a:latin typeface="Arial"/>
            </a:rPr>
            <a:t>2000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493200</xdr:colOff>
      <xdr:row>60</xdr:row>
      <xdr:rowOff>133200</xdr:rowOff>
    </xdr:from>
    <xdr:to>
      <xdr:col>9</xdr:col>
      <xdr:colOff>161640</xdr:colOff>
      <xdr:row>61</xdr:row>
      <xdr:rowOff>123840</xdr:rowOff>
    </xdr:to>
    <xdr:sp>
      <xdr:nvSpPr>
        <xdr:cNvPr id="7" name="Text 436"/>
        <xdr:cNvSpPr/>
      </xdr:nvSpPr>
      <xdr:spPr>
        <a:xfrm>
          <a:off x="6559200" y="9401040"/>
          <a:ext cx="32256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800" strike="noStrike" u="none">
              <a:effectLst/>
              <a:uFillTx/>
              <a:latin typeface="Arial"/>
            </a:rPr>
            <a:t>1999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643680</xdr:colOff>
      <xdr:row>75</xdr:row>
      <xdr:rowOff>19080</xdr:rowOff>
    </xdr:from>
    <xdr:to>
      <xdr:col>16</xdr:col>
      <xdr:colOff>312120</xdr:colOff>
      <xdr:row>75</xdr:row>
      <xdr:rowOff>142920</xdr:rowOff>
    </xdr:to>
    <xdr:sp>
      <xdr:nvSpPr>
        <xdr:cNvPr id="8" name="Text 437"/>
        <xdr:cNvSpPr/>
      </xdr:nvSpPr>
      <xdr:spPr>
        <a:xfrm>
          <a:off x="10955520" y="11601360"/>
          <a:ext cx="322560" cy="123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800" strike="noStrike" u="none">
              <a:effectLst/>
              <a:uFillTx/>
              <a:latin typeface="Arial"/>
            </a:rPr>
            <a:t>2000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583920</xdr:colOff>
      <xdr:row>76</xdr:row>
      <xdr:rowOff>28440</xdr:rowOff>
    </xdr:from>
    <xdr:to>
      <xdr:col>9</xdr:col>
      <xdr:colOff>252360</xdr:colOff>
      <xdr:row>77</xdr:row>
      <xdr:rowOff>9360</xdr:rowOff>
    </xdr:to>
    <xdr:sp>
      <xdr:nvSpPr>
        <xdr:cNvPr id="9" name="Text 438"/>
        <xdr:cNvSpPr/>
      </xdr:nvSpPr>
      <xdr:spPr>
        <a:xfrm>
          <a:off x="6649920" y="11753640"/>
          <a:ext cx="322560" cy="123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800" strike="noStrike" u="none">
              <a:effectLst/>
              <a:uFillTx/>
              <a:latin typeface="Arial"/>
            </a:rPr>
            <a:t>2000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311760</xdr:colOff>
      <xdr:row>62</xdr:row>
      <xdr:rowOff>142560</xdr:rowOff>
    </xdr:from>
    <xdr:to>
      <xdr:col>15</xdr:col>
      <xdr:colOff>634320</xdr:colOff>
      <xdr:row>63</xdr:row>
      <xdr:rowOff>124200</xdr:rowOff>
    </xdr:to>
    <xdr:sp>
      <xdr:nvSpPr>
        <xdr:cNvPr id="10" name="Text 439"/>
        <xdr:cNvSpPr/>
      </xdr:nvSpPr>
      <xdr:spPr>
        <a:xfrm>
          <a:off x="10623600" y="9705600"/>
          <a:ext cx="322560" cy="153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800" strike="noStrike" u="none">
              <a:effectLst/>
              <a:uFillTx/>
              <a:latin typeface="Arial"/>
            </a:rPr>
            <a:t>2000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342360</xdr:colOff>
      <xdr:row>89</xdr:row>
      <xdr:rowOff>104760</xdr:rowOff>
    </xdr:from>
    <xdr:to>
      <xdr:col>8</xdr:col>
      <xdr:colOff>11160</xdr:colOff>
      <xdr:row>90</xdr:row>
      <xdr:rowOff>66240</xdr:rowOff>
    </xdr:to>
    <xdr:sp>
      <xdr:nvSpPr>
        <xdr:cNvPr id="11" name="Text 440"/>
        <xdr:cNvSpPr/>
      </xdr:nvSpPr>
      <xdr:spPr>
        <a:xfrm>
          <a:off x="5754600" y="13858920"/>
          <a:ext cx="322560" cy="1234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800" strike="noStrike" u="none">
              <a:effectLst/>
              <a:uFillTx/>
              <a:latin typeface="Arial"/>
            </a:rPr>
            <a:t>2000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110520</xdr:colOff>
      <xdr:row>89</xdr:row>
      <xdr:rowOff>19080</xdr:rowOff>
    </xdr:from>
    <xdr:to>
      <xdr:col>15</xdr:col>
      <xdr:colOff>433080</xdr:colOff>
      <xdr:row>89</xdr:row>
      <xdr:rowOff>152280</xdr:rowOff>
    </xdr:to>
    <xdr:sp>
      <xdr:nvSpPr>
        <xdr:cNvPr id="12" name="Text 444"/>
        <xdr:cNvSpPr/>
      </xdr:nvSpPr>
      <xdr:spPr>
        <a:xfrm>
          <a:off x="10422360" y="13773240"/>
          <a:ext cx="322560" cy="133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800" strike="noStrike" u="none">
              <a:effectLst/>
              <a:uFillTx/>
              <a:latin typeface="Arial"/>
            </a:rPr>
            <a:t>2000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552960</xdr:colOff>
      <xdr:row>91</xdr:row>
      <xdr:rowOff>75960</xdr:rowOff>
    </xdr:from>
    <xdr:to>
      <xdr:col>17</xdr:col>
      <xdr:colOff>222480</xdr:colOff>
      <xdr:row>92</xdr:row>
      <xdr:rowOff>47520</xdr:rowOff>
    </xdr:to>
    <xdr:sp>
      <xdr:nvSpPr>
        <xdr:cNvPr id="13" name="Text 445"/>
        <xdr:cNvSpPr/>
      </xdr:nvSpPr>
      <xdr:spPr>
        <a:xfrm>
          <a:off x="11518920" y="14153760"/>
          <a:ext cx="32328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800" strike="noStrike" u="none">
              <a:effectLst/>
              <a:uFillTx/>
              <a:latin typeface="Arial"/>
            </a:rPr>
            <a:t>1999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422640</xdr:colOff>
      <xdr:row>92</xdr:row>
      <xdr:rowOff>124200</xdr:rowOff>
    </xdr:from>
    <xdr:to>
      <xdr:col>8</xdr:col>
      <xdr:colOff>91440</xdr:colOff>
      <xdr:row>93</xdr:row>
      <xdr:rowOff>95400</xdr:rowOff>
    </xdr:to>
    <xdr:sp>
      <xdr:nvSpPr>
        <xdr:cNvPr id="14" name="Text 446"/>
        <xdr:cNvSpPr/>
      </xdr:nvSpPr>
      <xdr:spPr>
        <a:xfrm>
          <a:off x="5834880" y="14364000"/>
          <a:ext cx="322560" cy="133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800" strike="noStrike" u="none">
              <a:effectLst/>
              <a:uFillTx/>
              <a:latin typeface="Arial"/>
            </a:rPr>
            <a:t>1999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533520</xdr:colOff>
      <xdr:row>80</xdr:row>
      <xdr:rowOff>75960</xdr:rowOff>
    </xdr:from>
    <xdr:to>
      <xdr:col>9</xdr:col>
      <xdr:colOff>201960</xdr:colOff>
      <xdr:row>81</xdr:row>
      <xdr:rowOff>47160</xdr:rowOff>
    </xdr:to>
    <xdr:sp>
      <xdr:nvSpPr>
        <xdr:cNvPr id="15" name="Text 447"/>
        <xdr:cNvSpPr/>
      </xdr:nvSpPr>
      <xdr:spPr>
        <a:xfrm>
          <a:off x="6599520" y="12372840"/>
          <a:ext cx="322560" cy="133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800" strike="noStrike" u="none">
              <a:effectLst/>
              <a:uFillTx/>
              <a:latin typeface="Arial"/>
            </a:rPr>
            <a:t>1999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452880</xdr:colOff>
      <xdr:row>80</xdr:row>
      <xdr:rowOff>37800</xdr:rowOff>
    </xdr:from>
    <xdr:to>
      <xdr:col>17</xdr:col>
      <xdr:colOff>121680</xdr:colOff>
      <xdr:row>81</xdr:row>
      <xdr:rowOff>9360</xdr:rowOff>
    </xdr:to>
    <xdr:sp>
      <xdr:nvSpPr>
        <xdr:cNvPr id="16" name="Text 448"/>
        <xdr:cNvSpPr/>
      </xdr:nvSpPr>
      <xdr:spPr>
        <a:xfrm>
          <a:off x="11418840" y="12334680"/>
          <a:ext cx="32256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800" strike="noStrike" u="none">
              <a:effectLst/>
              <a:uFillTx/>
              <a:latin typeface="Arial"/>
            </a:rPr>
            <a:t>1999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613800</xdr:colOff>
      <xdr:row>61</xdr:row>
      <xdr:rowOff>85680</xdr:rowOff>
    </xdr:from>
    <xdr:to>
      <xdr:col>17</xdr:col>
      <xdr:colOff>282600</xdr:colOff>
      <xdr:row>62</xdr:row>
      <xdr:rowOff>66960</xdr:rowOff>
    </xdr:to>
    <xdr:sp>
      <xdr:nvSpPr>
        <xdr:cNvPr id="17" name="Text 449"/>
        <xdr:cNvSpPr/>
      </xdr:nvSpPr>
      <xdr:spPr>
        <a:xfrm>
          <a:off x="11579760" y="9496440"/>
          <a:ext cx="322560" cy="133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800" strike="noStrike" u="none">
              <a:effectLst/>
              <a:uFillTx/>
              <a:latin typeface="Arial"/>
            </a:rPr>
            <a:t>1999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211320</xdr:colOff>
      <xdr:row>71</xdr:row>
      <xdr:rowOff>28800</xdr:rowOff>
    </xdr:from>
    <xdr:to>
      <xdr:col>1</xdr:col>
      <xdr:colOff>382320</xdr:colOff>
      <xdr:row>84</xdr:row>
      <xdr:rowOff>17640</xdr:rowOff>
    </xdr:to>
    <xdr:grpSp>
      <xdr:nvGrpSpPr>
        <xdr:cNvPr id="18" name="Group 604"/>
        <xdr:cNvGrpSpPr/>
      </xdr:nvGrpSpPr>
      <xdr:grpSpPr>
        <a:xfrm>
          <a:off x="211320" y="11010960"/>
          <a:ext cx="1428840" cy="1951200"/>
          <a:chOff x="211320" y="11010960"/>
          <a:chExt cx="1428840" cy="1951200"/>
        </a:xfrm>
      </xdr:grpSpPr>
      <xdr:sp>
        <xdr:nvSpPr>
          <xdr:cNvPr id="19" name="AutoShape 605"/>
          <xdr:cNvSpPr/>
        </xdr:nvSpPr>
        <xdr:spPr>
          <a:xfrm>
            <a:off x="252720" y="11010960"/>
            <a:ext cx="1288440" cy="1838160"/>
          </a:xfrm>
          <a:prstGeom prst="rect">
            <a:avLst/>
          </a:prstGeom>
          <a:noFill/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0" name="AutoShape 608"/>
          <xdr:cNvSpPr/>
        </xdr:nvSpPr>
        <xdr:spPr>
          <a:xfrm>
            <a:off x="211320" y="11239200"/>
            <a:ext cx="291600" cy="3783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90000" rIns="90000" tIns="46800" bIns="46800" anchor="t">
            <a:spAutoFit/>
          </a:bodyPr>
          <a:p>
            <a:r>
              <a:rPr b="0" lang="en-US" sz="10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N</a:t>
            </a:r>
            <a:endParaRPr b="0" lang="en-US" sz="1000" strike="noStrike" u="none">
              <a:effectLst/>
              <a:uFillTx/>
              <a:latin typeface="Times New Roman"/>
            </a:endParaRPr>
          </a:p>
          <a:p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1" name="AutoShape 609"/>
          <xdr:cNvSpPr/>
        </xdr:nvSpPr>
        <xdr:spPr>
          <a:xfrm>
            <a:off x="1257120" y="11229840"/>
            <a:ext cx="383040" cy="3783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90000" rIns="90000" tIns="46800" bIns="46800" anchor="t">
            <a:spAutoFit/>
          </a:bodyPr>
          <a:p>
            <a:r>
              <a:rPr b="0" lang="en-US" sz="10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NE</a:t>
            </a:r>
            <a:endParaRPr b="0" lang="en-US" sz="1000" strike="noStrike" u="none">
              <a:effectLst/>
              <a:uFillTx/>
              <a:latin typeface="Times New Roman"/>
            </a:endParaRPr>
          </a:p>
          <a:p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2" name="AutoShape 610"/>
          <xdr:cNvSpPr/>
        </xdr:nvSpPr>
        <xdr:spPr>
          <a:xfrm>
            <a:off x="986040" y="12677400"/>
            <a:ext cx="90360" cy="284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0" rIns="0" tIns="0" bIns="0" anchor="t">
            <a:spAutoFit/>
          </a:bodyPr>
          <a:p>
            <a:r>
              <a:rPr b="0" lang="en-US" sz="10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S</a:t>
            </a:r>
            <a:endParaRPr b="0" lang="en-US" sz="1000" strike="noStrike" u="none">
              <a:effectLst/>
              <a:uFillTx/>
              <a:latin typeface="Times New Roman"/>
            </a:endParaRPr>
          </a:p>
          <a:p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3" name="AutoShape 611"/>
          <xdr:cNvSpPr/>
        </xdr:nvSpPr>
        <xdr:spPr>
          <a:xfrm>
            <a:off x="864720" y="11317320"/>
            <a:ext cx="58680" cy="55080"/>
          </a:xfrm>
          <a:prstGeom prst="octagon">
            <a:avLst>
              <a:gd name="adj" fmla="val 29287"/>
            </a:avLst>
          </a:prstGeom>
          <a:solidFill>
            <a:srgbClr val="000000"/>
          </a:solidFill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24" name="AutoShape 618"/>
          <xdr:cNvSpPr/>
        </xdr:nvSpPr>
        <xdr:spPr>
          <a:xfrm>
            <a:off x="543240" y="11878560"/>
            <a:ext cx="28152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938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5" name="AutoShape 619"/>
          <xdr:cNvSpPr/>
        </xdr:nvSpPr>
        <xdr:spPr>
          <a:xfrm>
            <a:off x="1076400" y="11878560"/>
            <a:ext cx="28152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700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6" name="AutoShape 620"/>
          <xdr:cNvSpPr/>
        </xdr:nvSpPr>
        <xdr:spPr>
          <a:xfrm>
            <a:off x="483120" y="11488320"/>
            <a:ext cx="34164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1600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7" name="AutoShape 621"/>
          <xdr:cNvSpPr/>
        </xdr:nvSpPr>
        <xdr:spPr>
          <a:xfrm>
            <a:off x="1076400" y="11488320"/>
            <a:ext cx="28152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676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8" name="AutoShape 622"/>
          <xdr:cNvSpPr/>
        </xdr:nvSpPr>
        <xdr:spPr>
          <a:xfrm>
            <a:off x="523800" y="11107440"/>
            <a:ext cx="34092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1600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9" name="AutoShape 623"/>
          <xdr:cNvSpPr/>
        </xdr:nvSpPr>
        <xdr:spPr>
          <a:xfrm>
            <a:off x="1016280" y="11107440"/>
            <a:ext cx="28224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491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0" name="AutoShape 625"/>
          <xdr:cNvSpPr/>
        </xdr:nvSpPr>
        <xdr:spPr>
          <a:xfrm>
            <a:off x="955440" y="12010680"/>
            <a:ext cx="281520" cy="284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0" rIns="90000" tIns="0" bIns="0" anchor="t">
            <a:spAutoFit/>
          </a:bodyPr>
          <a:p>
            <a:r>
              <a:rPr b="0" lang="en-US" sz="10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SE</a:t>
            </a:r>
            <a:endParaRPr b="0" lang="en-US" sz="1000" strike="noStrike" u="none">
              <a:effectLst/>
              <a:uFillTx/>
              <a:latin typeface="Times New Roman"/>
            </a:endParaRPr>
          </a:p>
          <a:p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1" name="AutoShape 627"/>
          <xdr:cNvSpPr/>
        </xdr:nvSpPr>
        <xdr:spPr>
          <a:xfrm>
            <a:off x="1016280" y="12335760"/>
            <a:ext cx="34164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3323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2" name="AutoShape 628"/>
          <xdr:cNvSpPr/>
        </xdr:nvSpPr>
        <xdr:spPr>
          <a:xfrm>
            <a:off x="483120" y="12326040"/>
            <a:ext cx="28224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416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3" name="AutoShape 629"/>
          <xdr:cNvSpPr/>
        </xdr:nvSpPr>
        <xdr:spPr>
          <a:xfrm>
            <a:off x="864720" y="12666600"/>
            <a:ext cx="58680" cy="55800"/>
          </a:xfrm>
          <a:prstGeom prst="rect">
            <a:avLst/>
          </a:prstGeom>
          <a:solidFill>
            <a:srgbClr val="ff6600"/>
          </a:solidFill>
          <a:ln w="9360">
            <a:solidFill>
              <a:srgbClr val="ff66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4" name="AutoShape 630"/>
          <xdr:cNvSpPr/>
        </xdr:nvSpPr>
        <xdr:spPr>
          <a:xfrm>
            <a:off x="864720" y="12051720"/>
            <a:ext cx="58680" cy="55800"/>
          </a:xfrm>
          <a:prstGeom prst="rect">
            <a:avLst/>
          </a:prstGeom>
          <a:solidFill>
            <a:srgbClr val="ff6600"/>
          </a:solidFill>
          <a:ln w="9360">
            <a:solidFill>
              <a:srgbClr val="ff66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5" name="AutoShape 631"/>
          <xdr:cNvSpPr/>
        </xdr:nvSpPr>
        <xdr:spPr>
          <a:xfrm>
            <a:off x="422280" y="11317320"/>
            <a:ext cx="58680" cy="55080"/>
          </a:xfrm>
          <a:prstGeom prst="rect">
            <a:avLst/>
          </a:prstGeom>
          <a:solidFill>
            <a:srgbClr val="ff6600"/>
          </a:solidFill>
          <a:ln w="9360">
            <a:solidFill>
              <a:srgbClr val="ff66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6" name="AutoShape 632"/>
          <xdr:cNvSpPr/>
        </xdr:nvSpPr>
        <xdr:spPr>
          <a:xfrm>
            <a:off x="1248120" y="11317320"/>
            <a:ext cx="58680" cy="55080"/>
          </a:xfrm>
          <a:prstGeom prst="rect">
            <a:avLst/>
          </a:prstGeom>
          <a:solidFill>
            <a:srgbClr val="ff6600"/>
          </a:solidFill>
          <a:ln w="9360">
            <a:solidFill>
              <a:srgbClr val="ff66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oneCell">
    <xdr:from>
      <xdr:col>1</xdr:col>
      <xdr:colOff>492840</xdr:colOff>
      <xdr:row>71</xdr:row>
      <xdr:rowOff>28800</xdr:rowOff>
    </xdr:from>
    <xdr:to>
      <xdr:col>3</xdr:col>
      <xdr:colOff>563040</xdr:colOff>
      <xdr:row>84</xdr:row>
      <xdr:rowOff>26640</xdr:rowOff>
    </xdr:to>
    <xdr:grpSp>
      <xdr:nvGrpSpPr>
        <xdr:cNvPr id="37" name="Group 721"/>
        <xdr:cNvGrpSpPr/>
      </xdr:nvGrpSpPr>
      <xdr:grpSpPr>
        <a:xfrm>
          <a:off x="1750680" y="11010960"/>
          <a:ext cx="1438200" cy="1960200"/>
          <a:chOff x="1750680" y="11010960"/>
          <a:chExt cx="1438200" cy="1960200"/>
        </a:xfrm>
      </xdr:grpSpPr>
      <xdr:sp>
        <xdr:nvSpPr>
          <xdr:cNvPr id="38" name="AutoShape 722"/>
          <xdr:cNvSpPr/>
        </xdr:nvSpPr>
        <xdr:spPr>
          <a:xfrm>
            <a:off x="1792440" y="11010960"/>
            <a:ext cx="1297080" cy="1846800"/>
          </a:xfrm>
          <a:prstGeom prst="rect">
            <a:avLst/>
          </a:prstGeom>
          <a:noFill/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9" name="AutoShape 725"/>
          <xdr:cNvSpPr/>
        </xdr:nvSpPr>
        <xdr:spPr>
          <a:xfrm>
            <a:off x="1750680" y="11239560"/>
            <a:ext cx="290880" cy="3783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90000" rIns="90000" tIns="46800" bIns="46800" anchor="t">
            <a:spAutoFit/>
          </a:bodyPr>
          <a:p>
            <a:r>
              <a:rPr b="0" lang="en-US" sz="10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N</a:t>
            </a:r>
            <a:endParaRPr b="0" lang="en-US" sz="1000" strike="noStrike" u="none">
              <a:effectLst/>
              <a:uFillTx/>
              <a:latin typeface="Times New Roman"/>
            </a:endParaRPr>
          </a:p>
          <a:p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40" name="AutoShape 726"/>
          <xdr:cNvSpPr/>
        </xdr:nvSpPr>
        <xdr:spPr>
          <a:xfrm>
            <a:off x="2806920" y="11239560"/>
            <a:ext cx="381960" cy="3783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90000" rIns="90000" tIns="46800" bIns="46800" anchor="t">
            <a:spAutoFit/>
          </a:bodyPr>
          <a:p>
            <a:r>
              <a:rPr b="0" lang="en-US" sz="10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NE</a:t>
            </a:r>
            <a:endParaRPr b="0" lang="en-US" sz="1000" strike="noStrike" u="none">
              <a:effectLst/>
              <a:uFillTx/>
              <a:latin typeface="Times New Roman"/>
            </a:endParaRPr>
          </a:p>
          <a:p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41" name="AutoShape 727"/>
          <xdr:cNvSpPr/>
        </xdr:nvSpPr>
        <xdr:spPr>
          <a:xfrm>
            <a:off x="2525400" y="12686400"/>
            <a:ext cx="89640" cy="284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0" rIns="0" tIns="0" bIns="0" anchor="t">
            <a:spAutoFit/>
          </a:bodyPr>
          <a:p>
            <a:r>
              <a:rPr b="0" lang="en-US" sz="10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S</a:t>
            </a:r>
            <a:endParaRPr b="0" lang="en-US" sz="1000" strike="noStrike" u="none">
              <a:effectLst/>
              <a:uFillTx/>
              <a:latin typeface="Times New Roman"/>
            </a:endParaRPr>
          </a:p>
          <a:p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42" name="AutoShape 728"/>
          <xdr:cNvSpPr/>
        </xdr:nvSpPr>
        <xdr:spPr>
          <a:xfrm>
            <a:off x="2409120" y="11318760"/>
            <a:ext cx="58320" cy="55440"/>
          </a:xfrm>
          <a:prstGeom prst="octagon">
            <a:avLst>
              <a:gd name="adj" fmla="val 29287"/>
            </a:avLst>
          </a:prstGeom>
          <a:solidFill>
            <a:srgbClr val="000000"/>
          </a:solidFill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3" name="AutoShape 735"/>
          <xdr:cNvSpPr/>
        </xdr:nvSpPr>
        <xdr:spPr>
          <a:xfrm>
            <a:off x="2082600" y="11878560"/>
            <a:ext cx="28188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901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44" name="AutoShape 736"/>
          <xdr:cNvSpPr/>
        </xdr:nvSpPr>
        <xdr:spPr>
          <a:xfrm>
            <a:off x="2615400" y="11878560"/>
            <a:ext cx="28260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600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45" name="AutoShape 737"/>
          <xdr:cNvSpPr/>
        </xdr:nvSpPr>
        <xdr:spPr>
          <a:xfrm>
            <a:off x="2031840" y="11488680"/>
            <a:ext cx="34236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1620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46" name="AutoShape 738"/>
          <xdr:cNvSpPr/>
        </xdr:nvSpPr>
        <xdr:spPr>
          <a:xfrm>
            <a:off x="2615400" y="11488680"/>
            <a:ext cx="28260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601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47" name="AutoShape 739"/>
          <xdr:cNvSpPr/>
        </xdr:nvSpPr>
        <xdr:spPr>
          <a:xfrm>
            <a:off x="2031840" y="11107440"/>
            <a:ext cx="34236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1000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48" name="AutoShape 740"/>
          <xdr:cNvSpPr/>
        </xdr:nvSpPr>
        <xdr:spPr>
          <a:xfrm>
            <a:off x="2555280" y="11107440"/>
            <a:ext cx="28116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350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49" name="AutoShape 742"/>
          <xdr:cNvSpPr/>
        </xdr:nvSpPr>
        <xdr:spPr>
          <a:xfrm>
            <a:off x="2494800" y="12020760"/>
            <a:ext cx="281160" cy="284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0" rIns="90000" tIns="0" bIns="0" anchor="t">
            <a:spAutoFit/>
          </a:bodyPr>
          <a:p>
            <a:r>
              <a:rPr b="0" lang="en-US" sz="10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SE</a:t>
            </a:r>
            <a:endParaRPr b="0" lang="en-US" sz="1000" strike="noStrike" u="none">
              <a:effectLst/>
              <a:uFillTx/>
              <a:latin typeface="Times New Roman"/>
            </a:endParaRPr>
          </a:p>
          <a:p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50" name="AutoShape 744"/>
          <xdr:cNvSpPr/>
        </xdr:nvSpPr>
        <xdr:spPr>
          <a:xfrm>
            <a:off x="2555280" y="12335760"/>
            <a:ext cx="34236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3498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51" name="AutoShape 745"/>
          <xdr:cNvSpPr/>
        </xdr:nvSpPr>
        <xdr:spPr>
          <a:xfrm>
            <a:off x="2031840" y="12326760"/>
            <a:ext cx="16056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0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52" name="AutoShape 746"/>
          <xdr:cNvSpPr/>
        </xdr:nvSpPr>
        <xdr:spPr>
          <a:xfrm>
            <a:off x="2409120" y="12674520"/>
            <a:ext cx="58320" cy="56160"/>
          </a:xfrm>
          <a:prstGeom prst="rect">
            <a:avLst/>
          </a:prstGeom>
          <a:solidFill>
            <a:srgbClr val="ff6600"/>
          </a:solidFill>
          <a:ln w="9360">
            <a:solidFill>
              <a:srgbClr val="ff66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53" name="AutoShape 747"/>
          <xdr:cNvSpPr/>
        </xdr:nvSpPr>
        <xdr:spPr>
          <a:xfrm>
            <a:off x="2409120" y="12056400"/>
            <a:ext cx="58320" cy="56160"/>
          </a:xfrm>
          <a:prstGeom prst="rect">
            <a:avLst/>
          </a:prstGeom>
          <a:solidFill>
            <a:srgbClr val="ff6600"/>
          </a:solidFill>
          <a:ln w="9360">
            <a:solidFill>
              <a:srgbClr val="ff66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54" name="AutoShape 748"/>
          <xdr:cNvSpPr/>
        </xdr:nvSpPr>
        <xdr:spPr>
          <a:xfrm>
            <a:off x="1962720" y="11318760"/>
            <a:ext cx="59040" cy="55440"/>
          </a:xfrm>
          <a:prstGeom prst="rect">
            <a:avLst/>
          </a:prstGeom>
          <a:solidFill>
            <a:srgbClr val="ff6600"/>
          </a:solidFill>
          <a:ln w="9360">
            <a:solidFill>
              <a:srgbClr val="ff66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55" name="AutoShape 749"/>
          <xdr:cNvSpPr/>
        </xdr:nvSpPr>
        <xdr:spPr>
          <a:xfrm>
            <a:off x="2795040" y="11318760"/>
            <a:ext cx="58320" cy="55440"/>
          </a:xfrm>
          <a:prstGeom prst="rect">
            <a:avLst/>
          </a:prstGeom>
          <a:solidFill>
            <a:srgbClr val="ff6600"/>
          </a:solidFill>
          <a:ln w="9360">
            <a:solidFill>
              <a:srgbClr val="ff66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oneCell">
    <xdr:from>
      <xdr:col>0</xdr:col>
      <xdr:colOff>211320</xdr:colOff>
      <xdr:row>85</xdr:row>
      <xdr:rowOff>47160</xdr:rowOff>
    </xdr:from>
    <xdr:to>
      <xdr:col>1</xdr:col>
      <xdr:colOff>392040</xdr:colOff>
      <xdr:row>97</xdr:row>
      <xdr:rowOff>55440</xdr:rowOff>
    </xdr:to>
    <xdr:grpSp>
      <xdr:nvGrpSpPr>
        <xdr:cNvPr id="56" name="Group 750"/>
        <xdr:cNvGrpSpPr/>
      </xdr:nvGrpSpPr>
      <xdr:grpSpPr>
        <a:xfrm>
          <a:off x="211320" y="13153680"/>
          <a:ext cx="1438560" cy="1951200"/>
          <a:chOff x="211320" y="13153680"/>
          <a:chExt cx="1438560" cy="1951200"/>
        </a:xfrm>
      </xdr:grpSpPr>
      <xdr:sp>
        <xdr:nvSpPr>
          <xdr:cNvPr id="57" name="AutoShape 751"/>
          <xdr:cNvSpPr/>
        </xdr:nvSpPr>
        <xdr:spPr>
          <a:xfrm>
            <a:off x="253080" y="13153680"/>
            <a:ext cx="1297440" cy="1838160"/>
          </a:xfrm>
          <a:prstGeom prst="rect">
            <a:avLst/>
          </a:prstGeom>
          <a:noFill/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58" name="AutoShape 754"/>
          <xdr:cNvSpPr/>
        </xdr:nvSpPr>
        <xdr:spPr>
          <a:xfrm>
            <a:off x="211320" y="13381920"/>
            <a:ext cx="290880" cy="3783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90000" rIns="90000" tIns="46800" bIns="46800" anchor="t">
            <a:spAutoFit/>
          </a:bodyPr>
          <a:p>
            <a:r>
              <a:rPr b="0" lang="en-US" sz="10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N</a:t>
            </a:r>
            <a:endParaRPr b="0" lang="en-US" sz="1000" strike="noStrike" u="none">
              <a:effectLst/>
              <a:uFillTx/>
              <a:latin typeface="Times New Roman"/>
            </a:endParaRPr>
          </a:p>
          <a:p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59" name="AutoShape 755"/>
          <xdr:cNvSpPr/>
        </xdr:nvSpPr>
        <xdr:spPr>
          <a:xfrm>
            <a:off x="1267560" y="13372560"/>
            <a:ext cx="382320" cy="3783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90000" rIns="90000" tIns="46800" bIns="46800" anchor="t">
            <a:spAutoFit/>
          </a:bodyPr>
          <a:p>
            <a:r>
              <a:rPr b="0" lang="en-US" sz="10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NE</a:t>
            </a:r>
            <a:endParaRPr b="0" lang="en-US" sz="1000" strike="noStrike" u="none">
              <a:effectLst/>
              <a:uFillTx/>
              <a:latin typeface="Times New Roman"/>
            </a:endParaRPr>
          </a:p>
          <a:p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60" name="AutoShape 756"/>
          <xdr:cNvSpPr/>
        </xdr:nvSpPr>
        <xdr:spPr>
          <a:xfrm>
            <a:off x="986400" y="14820120"/>
            <a:ext cx="89640" cy="284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0" rIns="0" tIns="0" bIns="0" anchor="t">
            <a:spAutoFit/>
          </a:bodyPr>
          <a:p>
            <a:r>
              <a:rPr b="0" lang="en-US" sz="10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S</a:t>
            </a:r>
            <a:endParaRPr b="0" lang="en-US" sz="1000" strike="noStrike" u="none">
              <a:effectLst/>
              <a:uFillTx/>
              <a:latin typeface="Times New Roman"/>
            </a:endParaRPr>
          </a:p>
          <a:p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61" name="AutoShape 757"/>
          <xdr:cNvSpPr/>
        </xdr:nvSpPr>
        <xdr:spPr>
          <a:xfrm>
            <a:off x="870120" y="13460040"/>
            <a:ext cx="58320" cy="55080"/>
          </a:xfrm>
          <a:prstGeom prst="octagon">
            <a:avLst>
              <a:gd name="adj" fmla="val 29287"/>
            </a:avLst>
          </a:prstGeom>
          <a:solidFill>
            <a:srgbClr val="000000"/>
          </a:solidFill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62" name="AutoShape 764"/>
          <xdr:cNvSpPr/>
        </xdr:nvSpPr>
        <xdr:spPr>
          <a:xfrm>
            <a:off x="543240" y="14021280"/>
            <a:ext cx="28188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901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63" name="AutoShape 765"/>
          <xdr:cNvSpPr/>
        </xdr:nvSpPr>
        <xdr:spPr>
          <a:xfrm>
            <a:off x="1076040" y="14021280"/>
            <a:ext cx="28260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600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64" name="AutoShape 766"/>
          <xdr:cNvSpPr/>
        </xdr:nvSpPr>
        <xdr:spPr>
          <a:xfrm>
            <a:off x="492480" y="13631040"/>
            <a:ext cx="34236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1408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65" name="AutoShape 767"/>
          <xdr:cNvSpPr/>
        </xdr:nvSpPr>
        <xdr:spPr>
          <a:xfrm>
            <a:off x="1076040" y="13631040"/>
            <a:ext cx="28260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601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66" name="AutoShape 768"/>
          <xdr:cNvSpPr/>
        </xdr:nvSpPr>
        <xdr:spPr>
          <a:xfrm>
            <a:off x="492480" y="13250160"/>
            <a:ext cx="34236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1200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67" name="AutoShape 769"/>
          <xdr:cNvSpPr/>
        </xdr:nvSpPr>
        <xdr:spPr>
          <a:xfrm>
            <a:off x="1016280" y="13250160"/>
            <a:ext cx="28116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540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68" name="AutoShape 771"/>
          <xdr:cNvSpPr/>
        </xdr:nvSpPr>
        <xdr:spPr>
          <a:xfrm>
            <a:off x="955800" y="14153760"/>
            <a:ext cx="281160" cy="284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0" rIns="90000" tIns="0" bIns="0" anchor="t">
            <a:spAutoFit/>
          </a:bodyPr>
          <a:p>
            <a:r>
              <a:rPr b="0" lang="en-US" sz="10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SE</a:t>
            </a:r>
            <a:endParaRPr b="0" lang="en-US" sz="1000" strike="noStrike" u="none">
              <a:effectLst/>
              <a:uFillTx/>
              <a:latin typeface="Times New Roman"/>
            </a:endParaRPr>
          </a:p>
          <a:p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69" name="AutoShape 773"/>
          <xdr:cNvSpPr/>
        </xdr:nvSpPr>
        <xdr:spPr>
          <a:xfrm>
            <a:off x="1016280" y="14478480"/>
            <a:ext cx="34236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3448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70" name="AutoShape 774"/>
          <xdr:cNvSpPr/>
        </xdr:nvSpPr>
        <xdr:spPr>
          <a:xfrm>
            <a:off x="492480" y="14469120"/>
            <a:ext cx="16056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0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71" name="AutoShape 775"/>
          <xdr:cNvSpPr/>
        </xdr:nvSpPr>
        <xdr:spPr>
          <a:xfrm>
            <a:off x="870120" y="14809680"/>
            <a:ext cx="58320" cy="55800"/>
          </a:xfrm>
          <a:prstGeom prst="rect">
            <a:avLst/>
          </a:prstGeom>
          <a:solidFill>
            <a:srgbClr val="ff6600"/>
          </a:solidFill>
          <a:ln w="9360">
            <a:solidFill>
              <a:srgbClr val="ff66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2" name="AutoShape 776"/>
          <xdr:cNvSpPr/>
        </xdr:nvSpPr>
        <xdr:spPr>
          <a:xfrm>
            <a:off x="870120" y="14194440"/>
            <a:ext cx="58320" cy="55800"/>
          </a:xfrm>
          <a:prstGeom prst="rect">
            <a:avLst/>
          </a:prstGeom>
          <a:solidFill>
            <a:srgbClr val="ff6600"/>
          </a:solidFill>
          <a:ln w="9360">
            <a:solidFill>
              <a:srgbClr val="ff66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3" name="AutoShape 777"/>
          <xdr:cNvSpPr/>
        </xdr:nvSpPr>
        <xdr:spPr>
          <a:xfrm>
            <a:off x="423720" y="13460040"/>
            <a:ext cx="59040" cy="55080"/>
          </a:xfrm>
          <a:prstGeom prst="rect">
            <a:avLst/>
          </a:prstGeom>
          <a:solidFill>
            <a:srgbClr val="ff6600"/>
          </a:solidFill>
          <a:ln w="9360">
            <a:solidFill>
              <a:srgbClr val="ff66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4" name="AutoShape 778"/>
          <xdr:cNvSpPr/>
        </xdr:nvSpPr>
        <xdr:spPr>
          <a:xfrm>
            <a:off x="1256040" y="13460040"/>
            <a:ext cx="58320" cy="55080"/>
          </a:xfrm>
          <a:prstGeom prst="rect">
            <a:avLst/>
          </a:prstGeom>
          <a:solidFill>
            <a:srgbClr val="ff6600"/>
          </a:solidFill>
          <a:ln w="9360">
            <a:solidFill>
              <a:srgbClr val="ff66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oneCell">
    <xdr:from>
      <xdr:col>1</xdr:col>
      <xdr:colOff>492840</xdr:colOff>
      <xdr:row>85</xdr:row>
      <xdr:rowOff>47160</xdr:rowOff>
    </xdr:from>
    <xdr:to>
      <xdr:col>3</xdr:col>
      <xdr:colOff>563040</xdr:colOff>
      <xdr:row>97</xdr:row>
      <xdr:rowOff>55440</xdr:rowOff>
    </xdr:to>
    <xdr:grpSp>
      <xdr:nvGrpSpPr>
        <xdr:cNvPr id="75" name="Group 779"/>
        <xdr:cNvGrpSpPr/>
      </xdr:nvGrpSpPr>
      <xdr:grpSpPr>
        <a:xfrm>
          <a:off x="1750680" y="13153680"/>
          <a:ext cx="1438200" cy="1951200"/>
          <a:chOff x="1750680" y="13153680"/>
          <a:chExt cx="1438200" cy="1951200"/>
        </a:xfrm>
      </xdr:grpSpPr>
      <xdr:sp>
        <xdr:nvSpPr>
          <xdr:cNvPr id="76" name="AutoShape 780"/>
          <xdr:cNvSpPr/>
        </xdr:nvSpPr>
        <xdr:spPr>
          <a:xfrm>
            <a:off x="1792440" y="13153680"/>
            <a:ext cx="1297080" cy="1838160"/>
          </a:xfrm>
          <a:prstGeom prst="rect">
            <a:avLst/>
          </a:prstGeom>
          <a:noFill/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7" name="AutoShape 783"/>
          <xdr:cNvSpPr/>
        </xdr:nvSpPr>
        <xdr:spPr>
          <a:xfrm>
            <a:off x="1750680" y="13381920"/>
            <a:ext cx="290880" cy="3783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90000" rIns="90000" tIns="46800" bIns="46800" anchor="t">
            <a:spAutoFit/>
          </a:bodyPr>
          <a:p>
            <a:r>
              <a:rPr b="0" lang="en-US" sz="10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N</a:t>
            </a:r>
            <a:endParaRPr b="0" lang="en-US" sz="1000" strike="noStrike" u="none">
              <a:effectLst/>
              <a:uFillTx/>
              <a:latin typeface="Times New Roman"/>
            </a:endParaRPr>
          </a:p>
          <a:p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78" name="AutoShape 784"/>
          <xdr:cNvSpPr/>
        </xdr:nvSpPr>
        <xdr:spPr>
          <a:xfrm>
            <a:off x="2807280" y="13372560"/>
            <a:ext cx="381600" cy="3783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90000" rIns="90000" tIns="46800" bIns="46800" anchor="t">
            <a:spAutoFit/>
          </a:bodyPr>
          <a:p>
            <a:r>
              <a:rPr b="0" lang="en-US" sz="10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NE</a:t>
            </a:r>
            <a:endParaRPr b="0" lang="en-US" sz="1000" strike="noStrike" u="none">
              <a:effectLst/>
              <a:uFillTx/>
              <a:latin typeface="Times New Roman"/>
            </a:endParaRPr>
          </a:p>
          <a:p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79" name="AutoShape 785"/>
          <xdr:cNvSpPr/>
        </xdr:nvSpPr>
        <xdr:spPr>
          <a:xfrm>
            <a:off x="2525760" y="14820120"/>
            <a:ext cx="88920" cy="284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0" rIns="0" tIns="0" bIns="0" anchor="t">
            <a:spAutoFit/>
          </a:bodyPr>
          <a:p>
            <a:r>
              <a:rPr b="0" lang="en-US" sz="10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S</a:t>
            </a:r>
            <a:endParaRPr b="0" lang="en-US" sz="1000" strike="noStrike" u="none">
              <a:effectLst/>
              <a:uFillTx/>
              <a:latin typeface="Times New Roman"/>
            </a:endParaRPr>
          </a:p>
          <a:p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80" name="AutoShape 786"/>
          <xdr:cNvSpPr/>
        </xdr:nvSpPr>
        <xdr:spPr>
          <a:xfrm>
            <a:off x="2408760" y="13460040"/>
            <a:ext cx="59040" cy="55080"/>
          </a:xfrm>
          <a:prstGeom prst="octagon">
            <a:avLst>
              <a:gd name="adj" fmla="val 29287"/>
            </a:avLst>
          </a:prstGeom>
          <a:solidFill>
            <a:srgbClr val="000000"/>
          </a:solidFill>
          <a:ln w="936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81" name="AutoShape 793"/>
          <xdr:cNvSpPr/>
        </xdr:nvSpPr>
        <xdr:spPr>
          <a:xfrm>
            <a:off x="2041560" y="14021280"/>
            <a:ext cx="34272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1001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82" name="AutoShape 794"/>
          <xdr:cNvSpPr/>
        </xdr:nvSpPr>
        <xdr:spPr>
          <a:xfrm>
            <a:off x="2615040" y="14021280"/>
            <a:ext cx="28260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600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83" name="AutoShape 795"/>
          <xdr:cNvSpPr/>
        </xdr:nvSpPr>
        <xdr:spPr>
          <a:xfrm>
            <a:off x="2031840" y="13631040"/>
            <a:ext cx="34272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1074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84" name="AutoShape 796"/>
          <xdr:cNvSpPr/>
        </xdr:nvSpPr>
        <xdr:spPr>
          <a:xfrm>
            <a:off x="2615040" y="13631040"/>
            <a:ext cx="28260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802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85" name="AutoShape 797"/>
          <xdr:cNvSpPr/>
        </xdr:nvSpPr>
        <xdr:spPr>
          <a:xfrm>
            <a:off x="2031840" y="13250160"/>
            <a:ext cx="34272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1200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86" name="AutoShape 798"/>
          <xdr:cNvSpPr/>
        </xdr:nvSpPr>
        <xdr:spPr>
          <a:xfrm>
            <a:off x="2555280" y="13250160"/>
            <a:ext cx="28116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560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87" name="AutoShape 800"/>
          <xdr:cNvSpPr/>
        </xdr:nvSpPr>
        <xdr:spPr>
          <a:xfrm>
            <a:off x="2495160" y="14153760"/>
            <a:ext cx="281160" cy="284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0" rIns="90000" tIns="0" bIns="0" anchor="t">
            <a:spAutoFit/>
          </a:bodyPr>
          <a:p>
            <a:r>
              <a:rPr b="0" lang="en-US" sz="10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SE</a:t>
            </a:r>
            <a:endParaRPr b="0" lang="en-US" sz="1000" strike="noStrike" u="none">
              <a:effectLst/>
              <a:uFillTx/>
              <a:latin typeface="Times New Roman"/>
            </a:endParaRPr>
          </a:p>
          <a:p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88" name="AutoShape 802"/>
          <xdr:cNvSpPr/>
        </xdr:nvSpPr>
        <xdr:spPr>
          <a:xfrm>
            <a:off x="2555280" y="14478480"/>
            <a:ext cx="34272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3093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89" name="AutoShape 803"/>
          <xdr:cNvSpPr/>
        </xdr:nvSpPr>
        <xdr:spPr>
          <a:xfrm>
            <a:off x="2031840" y="14469120"/>
            <a:ext cx="281880" cy="32076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45720" rIns="45720" tIns="46800" bIns="46800" anchor="t">
            <a:spAutoFit/>
          </a:bodyPr>
          <a:p>
            <a:r>
              <a:rPr b="0" lang="en-US" sz="800" strike="noStrike" u="none">
                <a:solidFill>
                  <a:srgbClr val="000000"/>
                </a:solidFill>
                <a:effectLst/>
                <a:uFillTx/>
                <a:latin typeface="Arial"/>
              </a:rPr>
              <a:t>102</a:t>
            </a:r>
            <a:endParaRPr b="0" lang="en-US" sz="800" strike="noStrike" u="none">
              <a:effectLst/>
              <a:uFillTx/>
              <a:latin typeface="Times New Roman"/>
            </a:endParaRPr>
          </a:p>
          <a:p>
            <a:endParaRPr b="0" lang="en-US" sz="8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90" name="AutoShape 804"/>
          <xdr:cNvSpPr/>
        </xdr:nvSpPr>
        <xdr:spPr>
          <a:xfrm>
            <a:off x="2408760" y="14809680"/>
            <a:ext cx="59040" cy="55800"/>
          </a:xfrm>
          <a:prstGeom prst="rect">
            <a:avLst/>
          </a:prstGeom>
          <a:solidFill>
            <a:srgbClr val="ff6600"/>
          </a:solidFill>
          <a:ln w="9360">
            <a:solidFill>
              <a:srgbClr val="ff66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91" name="AutoShape 805"/>
          <xdr:cNvSpPr/>
        </xdr:nvSpPr>
        <xdr:spPr>
          <a:xfrm>
            <a:off x="2408760" y="14194440"/>
            <a:ext cx="59040" cy="55800"/>
          </a:xfrm>
          <a:prstGeom prst="rect">
            <a:avLst/>
          </a:prstGeom>
          <a:solidFill>
            <a:srgbClr val="ff6600"/>
          </a:solidFill>
          <a:ln w="9360">
            <a:solidFill>
              <a:srgbClr val="ff66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92" name="AutoShape 806"/>
          <xdr:cNvSpPr/>
        </xdr:nvSpPr>
        <xdr:spPr>
          <a:xfrm>
            <a:off x="1963080" y="13460040"/>
            <a:ext cx="58320" cy="55080"/>
          </a:xfrm>
          <a:prstGeom prst="rect">
            <a:avLst/>
          </a:prstGeom>
          <a:solidFill>
            <a:srgbClr val="ff6600"/>
          </a:solidFill>
          <a:ln w="9360">
            <a:solidFill>
              <a:srgbClr val="ff66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93" name="AutoShape 807"/>
          <xdr:cNvSpPr/>
        </xdr:nvSpPr>
        <xdr:spPr>
          <a:xfrm>
            <a:off x="2794680" y="13460040"/>
            <a:ext cx="59040" cy="55080"/>
          </a:xfrm>
          <a:prstGeom prst="rect">
            <a:avLst/>
          </a:prstGeom>
          <a:solidFill>
            <a:srgbClr val="ff6600"/>
          </a:solidFill>
          <a:ln w="9360">
            <a:solidFill>
              <a:srgbClr val="ff66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11</xdr:col>
      <xdr:colOff>628920</xdr:colOff>
      <xdr:row>32</xdr:row>
      <xdr:rowOff>95760</xdr:rowOff>
    </xdr:to>
    <xdr:graphicFrame>
      <xdr:nvGraphicFramePr>
        <xdr:cNvPr id="94" name="Chart 11"/>
        <xdr:cNvGraphicFramePr/>
      </xdr:nvGraphicFramePr>
      <xdr:xfrm>
        <a:off x="0" y="0"/>
        <a:ext cx="7648920" cy="5277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37</xdr:row>
      <xdr:rowOff>9720</xdr:rowOff>
    </xdr:from>
    <xdr:to>
      <xdr:col>12</xdr:col>
      <xdr:colOff>360</xdr:colOff>
      <xdr:row>68</xdr:row>
      <xdr:rowOff>162000</xdr:rowOff>
    </xdr:to>
    <xdr:graphicFrame>
      <xdr:nvGraphicFramePr>
        <xdr:cNvPr id="95" name="Chart 12"/>
        <xdr:cNvGraphicFramePr/>
      </xdr:nvGraphicFramePr>
      <xdr:xfrm>
        <a:off x="0" y="6000840"/>
        <a:ext cx="7658640" cy="5172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0</xdr:colOff>
      <xdr:row>0</xdr:row>
      <xdr:rowOff>66240</xdr:rowOff>
    </xdr:from>
    <xdr:to>
      <xdr:col>25</xdr:col>
      <xdr:colOff>360</xdr:colOff>
      <xdr:row>32</xdr:row>
      <xdr:rowOff>133560</xdr:rowOff>
    </xdr:to>
    <xdr:graphicFrame>
      <xdr:nvGraphicFramePr>
        <xdr:cNvPr id="96" name="Chart 13"/>
        <xdr:cNvGraphicFramePr/>
      </xdr:nvGraphicFramePr>
      <xdr:xfrm>
        <a:off x="8296200" y="66240"/>
        <a:ext cx="7658640" cy="524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13</xdr:col>
      <xdr:colOff>0</xdr:colOff>
      <xdr:row>37</xdr:row>
      <xdr:rowOff>9720</xdr:rowOff>
    </xdr:from>
    <xdr:to>
      <xdr:col>24</xdr:col>
      <xdr:colOff>469440</xdr:colOff>
      <xdr:row>69</xdr:row>
      <xdr:rowOff>9360</xdr:rowOff>
    </xdr:to>
    <xdr:graphicFrame>
      <xdr:nvGraphicFramePr>
        <xdr:cNvPr id="97" name="Chart 14"/>
        <xdr:cNvGraphicFramePr/>
      </xdr:nvGraphicFramePr>
      <xdr:xfrm>
        <a:off x="8296200" y="6000840"/>
        <a:ext cx="7489440" cy="51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468720</xdr:colOff>
      <xdr:row>74</xdr:row>
      <xdr:rowOff>18720</xdr:rowOff>
    </xdr:from>
    <xdr:to>
      <xdr:col>1</xdr:col>
      <xdr:colOff>588960</xdr:colOff>
      <xdr:row>74</xdr:row>
      <xdr:rowOff>133200</xdr:rowOff>
    </xdr:to>
    <xdr:sp>
      <xdr:nvSpPr>
        <xdr:cNvPr id="98" name="Rectangle 17"/>
        <xdr:cNvSpPr/>
      </xdr:nvSpPr>
      <xdr:spPr>
        <a:xfrm>
          <a:off x="1107000" y="12001320"/>
          <a:ext cx="120240" cy="114480"/>
        </a:xfrm>
        <a:prstGeom prst="rect">
          <a:avLst/>
        </a:prstGeom>
        <a:solidFill>
          <a:srgbClr val="0000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139680</xdr:colOff>
      <xdr:row>74</xdr:row>
      <xdr:rowOff>56880</xdr:rowOff>
    </xdr:from>
    <xdr:to>
      <xdr:col>6</xdr:col>
      <xdr:colOff>583560</xdr:colOff>
      <xdr:row>74</xdr:row>
      <xdr:rowOff>108720</xdr:rowOff>
    </xdr:to>
    <xdr:grpSp>
      <xdr:nvGrpSpPr>
        <xdr:cNvPr id="99" name="Group 24"/>
        <xdr:cNvGrpSpPr/>
      </xdr:nvGrpSpPr>
      <xdr:grpSpPr>
        <a:xfrm>
          <a:off x="3968640" y="12039480"/>
          <a:ext cx="443880" cy="51840"/>
          <a:chOff x="3968640" y="12039480"/>
          <a:chExt cx="443880" cy="51840"/>
        </a:xfrm>
      </xdr:grpSpPr>
      <xdr:sp>
        <xdr:nvSpPr>
          <xdr:cNvPr id="100" name="Line 18"/>
          <xdr:cNvSpPr/>
        </xdr:nvSpPr>
        <xdr:spPr>
          <a:xfrm>
            <a:off x="3968640" y="12065400"/>
            <a:ext cx="443880" cy="0"/>
          </a:xfrm>
          <a:prstGeom prst="line">
            <a:avLst/>
          </a:prstGeom>
          <a:ln w="9360">
            <a:solidFill>
              <a:srgbClr val="00008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01" name="Rectangle 19"/>
          <xdr:cNvSpPr/>
        </xdr:nvSpPr>
        <xdr:spPr>
          <a:xfrm>
            <a:off x="4159440" y="12039480"/>
            <a:ext cx="56160" cy="51840"/>
          </a:xfrm>
          <a:prstGeom prst="rect">
            <a:avLst/>
          </a:prstGeom>
          <a:solidFill>
            <a:srgbClr val="000080"/>
          </a:solidFill>
          <a:ln w="9360">
            <a:solidFill>
              <a:srgbClr val="00008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oneCell">
    <xdr:from>
      <xdr:col>13</xdr:col>
      <xdr:colOff>139680</xdr:colOff>
      <xdr:row>74</xdr:row>
      <xdr:rowOff>37800</xdr:rowOff>
    </xdr:from>
    <xdr:to>
      <xdr:col>13</xdr:col>
      <xdr:colOff>583560</xdr:colOff>
      <xdr:row>74</xdr:row>
      <xdr:rowOff>108720</xdr:rowOff>
    </xdr:to>
    <xdr:grpSp>
      <xdr:nvGrpSpPr>
        <xdr:cNvPr id="102" name="Group 23"/>
        <xdr:cNvGrpSpPr/>
      </xdr:nvGrpSpPr>
      <xdr:grpSpPr>
        <a:xfrm>
          <a:off x="8435880" y="12020400"/>
          <a:ext cx="443880" cy="70920"/>
          <a:chOff x="8435880" y="12020400"/>
          <a:chExt cx="443880" cy="70920"/>
        </a:xfrm>
      </xdr:grpSpPr>
      <xdr:sp>
        <xdr:nvSpPr>
          <xdr:cNvPr id="103" name="Line 20"/>
          <xdr:cNvSpPr/>
        </xdr:nvSpPr>
        <xdr:spPr>
          <a:xfrm>
            <a:off x="8435880" y="12066120"/>
            <a:ext cx="443880" cy="0"/>
          </a:xfrm>
          <a:prstGeom prst="line">
            <a:avLst/>
          </a:prstGeom>
          <a:ln w="9360">
            <a:solidFill>
              <a:srgbClr val="ff66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104" name="AutoShape 22"/>
          <xdr:cNvSpPr/>
        </xdr:nvSpPr>
        <xdr:spPr>
          <a:xfrm>
            <a:off x="8624520" y="12020400"/>
            <a:ext cx="77400" cy="70920"/>
          </a:xfrm>
          <a:prstGeom prst="triangle">
            <a:avLst>
              <a:gd name="adj" fmla="val 50000"/>
            </a:avLst>
          </a:prstGeom>
          <a:solidFill>
            <a:srgbClr val="ff6600"/>
          </a:solidFill>
          <a:ln w="9360">
            <a:solidFill>
              <a:srgbClr val="ff66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oneCell">
    <xdr:from>
      <xdr:col>22</xdr:col>
      <xdr:colOff>0</xdr:colOff>
      <xdr:row>74</xdr:row>
      <xdr:rowOff>28440</xdr:rowOff>
    </xdr:from>
    <xdr:to>
      <xdr:col>22</xdr:col>
      <xdr:colOff>120240</xdr:colOff>
      <xdr:row>74</xdr:row>
      <xdr:rowOff>142920</xdr:rowOff>
    </xdr:to>
    <xdr:sp>
      <xdr:nvSpPr>
        <xdr:cNvPr id="105" name="Rectangle 25"/>
        <xdr:cNvSpPr/>
      </xdr:nvSpPr>
      <xdr:spPr>
        <a:xfrm>
          <a:off x="14040000" y="12011040"/>
          <a:ext cx="120240" cy="114480"/>
        </a:xfrm>
        <a:prstGeom prst="rect">
          <a:avLst/>
        </a:prstGeom>
        <a:solidFill>
          <a:srgbClr val="99cc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478800</xdr:colOff>
      <xdr:row>74</xdr:row>
      <xdr:rowOff>28440</xdr:rowOff>
    </xdr:from>
    <xdr:to>
      <xdr:col>17</xdr:col>
      <xdr:colOff>599040</xdr:colOff>
      <xdr:row>74</xdr:row>
      <xdr:rowOff>142920</xdr:rowOff>
    </xdr:to>
    <xdr:sp>
      <xdr:nvSpPr>
        <xdr:cNvPr id="106" name="Rectangle 26"/>
        <xdr:cNvSpPr/>
      </xdr:nvSpPr>
      <xdr:spPr>
        <a:xfrm>
          <a:off x="11327760" y="12011040"/>
          <a:ext cx="120240" cy="114480"/>
        </a:xfrm>
        <a:prstGeom prst="rect">
          <a:avLst/>
        </a:prstGeom>
        <a:solidFill>
          <a:srgbClr val="ff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508680</xdr:colOff>
      <xdr:row>74</xdr:row>
      <xdr:rowOff>28440</xdr:rowOff>
    </xdr:from>
    <xdr:to>
      <xdr:col>19</xdr:col>
      <xdr:colOff>628920</xdr:colOff>
      <xdr:row>74</xdr:row>
      <xdr:rowOff>142920</xdr:rowOff>
    </xdr:to>
    <xdr:sp>
      <xdr:nvSpPr>
        <xdr:cNvPr id="107" name="Rectangle 27"/>
        <xdr:cNvSpPr/>
      </xdr:nvSpPr>
      <xdr:spPr>
        <a:xfrm>
          <a:off x="12633840" y="12011040"/>
          <a:ext cx="120240" cy="114480"/>
        </a:xfrm>
        <a:prstGeom prst="rect">
          <a:avLst/>
        </a:prstGeom>
        <a:solidFill>
          <a:srgbClr val="ffff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Bz%20Trading/ONS/Daily%20Reports/ADO/Rdia17_Ja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Índice"/>
      <sheetName val="1-Balanço Energético "/>
      <sheetName val="2-Carga Própria"/>
      <sheetName val="2.5-Dem. Hor.  Área Cont. e Reg"/>
      <sheetName val="3-Produção"/>
      <sheetName val="4-Disponibilidade"/>
      <sheetName val="5.1-Deslig. 23h59"/>
      <sheetName val="5.2-Deslig. no dia"/>
      <sheetName val="5.3-Deslig. 23h59 sem CO"/>
      <sheetName val="6-Reserva de Potência"/>
      <sheetName val="7-Operação RJ-ES e SP"/>
      <sheetName val="7.2-Diagrama - RJ-ES"/>
      <sheetName val="7.3-Diagrama - SP"/>
      <sheetName val="7.4-Cargas_Emp_Rio-ES"/>
      <sheetName val="8-Acomp. Hidrologia"/>
      <sheetName val="9-Energético"/>
      <sheetName val="FUR_MAR"/>
      <sheetName val="EMB_ITB"/>
      <sheetName val="AGV_SSI"/>
      <sheetName val="ILS_CPV"/>
      <sheetName val="SME_TUC"/>
      <sheetName val="TMA_SOB"/>
      <sheetName val="GBM_SSA"/>
      <sheetName val="10-Principais Ocorrências"/>
      <sheetName val="DadosHidro"/>
      <sheetName val="DadosFluxo"/>
    </sheetNames>
    <sheetDataSet>
      <sheetData sheetId="0"/>
      <sheetData sheetId="1">
        <row r="8">
          <cell r="B8">
            <v>15494</v>
          </cell>
          <cell r="C8">
            <v>16627.2458333333</v>
          </cell>
        </row>
        <row r="8">
          <cell r="G8">
            <v>7364</v>
          </cell>
          <cell r="H8">
            <v>7154.375</v>
          </cell>
        </row>
        <row r="9">
          <cell r="B9">
            <v>836</v>
          </cell>
          <cell r="C9">
            <v>780</v>
          </cell>
        </row>
        <row r="9">
          <cell r="G9">
            <v>1300</v>
          </cell>
          <cell r="H9">
            <v>1422</v>
          </cell>
        </row>
        <row r="10">
          <cell r="B10">
            <v>600</v>
          </cell>
          <cell r="C10">
            <v>574</v>
          </cell>
        </row>
        <row r="11">
          <cell r="G11">
            <v>1841</v>
          </cell>
          <cell r="H11">
            <v>1781.76476041667</v>
          </cell>
        </row>
        <row r="12">
          <cell r="B12">
            <v>7722</v>
          </cell>
          <cell r="C12">
            <v>7474.15607291667</v>
          </cell>
        </row>
        <row r="12">
          <cell r="G12">
            <v>7874</v>
          </cell>
          <cell r="H12">
            <v>7916.45833333333</v>
          </cell>
        </row>
        <row r="13">
          <cell r="B13">
            <v>27841</v>
          </cell>
          <cell r="C13">
            <v>28388.5375</v>
          </cell>
        </row>
        <row r="13">
          <cell r="G13">
            <v>2678</v>
          </cell>
          <cell r="H13">
            <v>2486.96059375</v>
          </cell>
        </row>
        <row r="14">
          <cell r="B14">
            <v>-2658</v>
          </cell>
          <cell r="C14">
            <v>-2486.96059375</v>
          </cell>
        </row>
        <row r="14">
          <cell r="G14">
            <v>-47</v>
          </cell>
          <cell r="H14">
            <v>-45.2791666666667</v>
          </cell>
        </row>
        <row r="15">
          <cell r="B15">
            <v>-531</v>
          </cell>
          <cell r="C15">
            <v>-446.175</v>
          </cell>
        </row>
        <row r="16">
          <cell r="B16">
            <v>0</v>
          </cell>
          <cell r="C16">
            <v>1.30739863379858E-012</v>
          </cell>
        </row>
        <row r="18">
          <cell r="G18">
            <v>5420.8625</v>
          </cell>
        </row>
        <row r="19">
          <cell r="G19">
            <v>3835.05833333333</v>
          </cell>
        </row>
        <row r="20">
          <cell r="G20">
            <v>-705.195833333334</v>
          </cell>
        </row>
        <row r="24">
          <cell r="B24">
            <v>3530</v>
          </cell>
          <cell r="C24">
            <v>3469.425</v>
          </cell>
        </row>
        <row r="24">
          <cell r="G24">
            <v>5932</v>
          </cell>
          <cell r="H24">
            <v>5810.1375</v>
          </cell>
        </row>
        <row r="25">
          <cell r="B25">
            <v>0</v>
          </cell>
          <cell r="C25">
            <v>0</v>
          </cell>
        </row>
        <row r="25">
          <cell r="G25">
            <v>0</v>
          </cell>
          <cell r="H25">
            <v>0</v>
          </cell>
        </row>
        <row r="27">
          <cell r="B27">
            <v>2550</v>
          </cell>
          <cell r="C27">
            <v>2570.33333333333</v>
          </cell>
        </row>
        <row r="27">
          <cell r="G27">
            <v>6351</v>
          </cell>
          <cell r="H27">
            <v>6263.05416666667</v>
          </cell>
        </row>
        <row r="28">
          <cell r="B28">
            <v>419</v>
          </cell>
          <cell r="C28">
            <v>452.916666666667</v>
          </cell>
        </row>
        <row r="28">
          <cell r="G28">
            <v>-419</v>
          </cell>
          <cell r="H28">
            <v>-452.916666666667</v>
          </cell>
        </row>
        <row r="29">
          <cell r="B29">
            <v>531</v>
          </cell>
          <cell r="C29">
            <v>446.175</v>
          </cell>
        </row>
        <row r="29">
          <cell r="G29">
            <v>0</v>
          </cell>
          <cell r="H29">
            <v>-1.30739863379858E-012</v>
          </cell>
        </row>
      </sheetData>
      <sheetData sheetId="2"/>
      <sheetData sheetId="3"/>
      <sheetData sheetId="4">
        <row r="9">
          <cell r="A9" t="str">
            <v>PCH CEB</v>
          </cell>
          <cell r="B9">
            <v>18</v>
          </cell>
          <cell r="C9">
            <v>18</v>
          </cell>
        </row>
        <row r="10">
          <cell r="A10" t="str">
            <v>CAMARGOS</v>
          </cell>
          <cell r="B10">
            <v>10.6666666666667</v>
          </cell>
          <cell r="C10">
            <v>13.3708333333333</v>
          </cell>
        </row>
        <row r="11">
          <cell r="A11" t="str">
            <v>EMBORCAÇÃO</v>
          </cell>
          <cell r="B11">
            <v>130</v>
          </cell>
          <cell r="C11">
            <v>179.266666666667</v>
          </cell>
        </row>
        <row r="12">
          <cell r="A12" t="str">
            <v>G.AMORIM</v>
          </cell>
          <cell r="B12">
            <v>53.8125</v>
          </cell>
          <cell r="C12">
            <v>110.291666666667</v>
          </cell>
        </row>
        <row r="13">
          <cell r="A13" t="str">
            <v>IGARAPAVA</v>
          </cell>
          <cell r="B13">
            <v>107.8125</v>
          </cell>
          <cell r="C13">
            <v>121.020833333333</v>
          </cell>
        </row>
        <row r="14">
          <cell r="A14" t="str">
            <v>ITUTINGA</v>
          </cell>
          <cell r="B14">
            <v>18</v>
          </cell>
          <cell r="C14">
            <v>23.1</v>
          </cell>
        </row>
        <row r="15">
          <cell r="A15" t="str">
            <v>JAGUARA</v>
          </cell>
          <cell r="B15">
            <v>252.708333333333</v>
          </cell>
          <cell r="C15">
            <v>282.6875</v>
          </cell>
        </row>
        <row r="16">
          <cell r="A16" t="str">
            <v>MIRANDA</v>
          </cell>
          <cell r="B16">
            <v>118.333333333333</v>
          </cell>
          <cell r="C16">
            <v>142.641666666667</v>
          </cell>
        </row>
        <row r="17">
          <cell r="A17" t="str">
            <v>NOVA PONTE</v>
          </cell>
          <cell r="B17">
            <v>125</v>
          </cell>
          <cell r="C17">
            <v>169.454166666667</v>
          </cell>
        </row>
        <row r="18">
          <cell r="A18" t="str">
            <v>PCH CEMIG</v>
          </cell>
          <cell r="B18">
            <v>52.9166666666667</v>
          </cell>
          <cell r="C18">
            <v>53.5958333333333</v>
          </cell>
        </row>
        <row r="19">
          <cell r="A19" t="str">
            <v>S.GRANDE</v>
          </cell>
          <cell r="B19">
            <v>69.6875</v>
          </cell>
          <cell r="C19">
            <v>70</v>
          </cell>
        </row>
        <row r="20">
          <cell r="A20" t="str">
            <v>S.SIMÃO</v>
          </cell>
          <cell r="B20">
            <v>1528.75</v>
          </cell>
          <cell r="C20">
            <v>1541.94166666667</v>
          </cell>
        </row>
        <row r="21">
          <cell r="A21" t="str">
            <v>SOBRAGI</v>
          </cell>
          <cell r="B21">
            <v>26</v>
          </cell>
          <cell r="C21">
            <v>25.0458333333333</v>
          </cell>
        </row>
        <row r="22">
          <cell r="A22" t="str">
            <v>T.MARIAS</v>
          </cell>
          <cell r="B22">
            <v>168.958333333333</v>
          </cell>
          <cell r="C22">
            <v>218.783333333333</v>
          </cell>
        </row>
        <row r="23">
          <cell r="A23" t="str">
            <v>V.GRANDE</v>
          </cell>
          <cell r="B23">
            <v>170</v>
          </cell>
          <cell r="C23">
            <v>210.175</v>
          </cell>
        </row>
        <row r="24">
          <cell r="A24" t="str">
            <v>PCH CELG</v>
          </cell>
          <cell r="B24">
            <v>8.975</v>
          </cell>
          <cell r="C24">
            <v>8.975</v>
          </cell>
        </row>
        <row r="25">
          <cell r="A25" t="str">
            <v>PCH CPFL</v>
          </cell>
          <cell r="B25">
            <v>54.7916666666667</v>
          </cell>
          <cell r="C25">
            <v>54.7916666666667</v>
          </cell>
        </row>
        <row r="26">
          <cell r="A26" t="str">
            <v>PCH CERJ</v>
          </cell>
          <cell r="B26">
            <v>33.5291666666667</v>
          </cell>
          <cell r="C26">
            <v>33.5291666666667</v>
          </cell>
        </row>
        <row r="27">
          <cell r="A27" t="str">
            <v>A.VERMELHA</v>
          </cell>
          <cell r="B27">
            <v>879.166666666667</v>
          </cell>
          <cell r="C27">
            <v>925.9375</v>
          </cell>
        </row>
        <row r="28">
          <cell r="A28" t="str">
            <v>B.BONITA</v>
          </cell>
          <cell r="B28">
            <v>116</v>
          </cell>
          <cell r="C28">
            <v>105.395833333333</v>
          </cell>
        </row>
        <row r="29">
          <cell r="A29" t="str">
            <v>BARIRI</v>
          </cell>
          <cell r="B29">
            <v>130</v>
          </cell>
          <cell r="C29">
            <v>125.0875</v>
          </cell>
        </row>
        <row r="30">
          <cell r="A30" t="str">
            <v>CACONDE</v>
          </cell>
          <cell r="B30">
            <v>60</v>
          </cell>
          <cell r="C30">
            <v>58.4583333333333</v>
          </cell>
        </row>
        <row r="31">
          <cell r="A31" t="str">
            <v>CHAVANTES</v>
          </cell>
          <cell r="B31">
            <v>81.1666666666667</v>
          </cell>
          <cell r="C31">
            <v>92.0833333333333</v>
          </cell>
        </row>
        <row r="32">
          <cell r="A32" t="str">
            <v>CAPIVARA</v>
          </cell>
          <cell r="B32">
            <v>535</v>
          </cell>
          <cell r="C32">
            <v>522.733333333333</v>
          </cell>
        </row>
        <row r="33">
          <cell r="A33" t="str">
            <v>CANOAS I</v>
          </cell>
          <cell r="B33">
            <v>54</v>
          </cell>
          <cell r="C33">
            <v>54</v>
          </cell>
        </row>
        <row r="34">
          <cell r="A34" t="str">
            <v>CANOAS II</v>
          </cell>
          <cell r="B34">
            <v>45</v>
          </cell>
          <cell r="C34">
            <v>44.6875</v>
          </cell>
        </row>
        <row r="35">
          <cell r="A35" t="str">
            <v>Total CANOAS</v>
          </cell>
          <cell r="B35">
            <v>99</v>
          </cell>
          <cell r="C35">
            <v>98.6875</v>
          </cell>
        </row>
        <row r="36">
          <cell r="A36" t="str">
            <v>E.CUNHA</v>
          </cell>
          <cell r="B36">
            <v>68.3333333333333</v>
          </cell>
          <cell r="C36">
            <v>67.6291666666667</v>
          </cell>
        </row>
        <row r="37">
          <cell r="A37" t="str">
            <v>IBITINGA</v>
          </cell>
          <cell r="B37">
            <v>126</v>
          </cell>
          <cell r="C37">
            <v>123.295833333333</v>
          </cell>
        </row>
        <row r="38">
          <cell r="A38" t="str">
            <v>I.SOLTEIRA</v>
          </cell>
          <cell r="B38">
            <v>2039.58333333333</v>
          </cell>
          <cell r="C38">
            <v>2065.09166666667</v>
          </cell>
        </row>
        <row r="39">
          <cell r="A39" t="str">
            <v>JAGUARI</v>
          </cell>
          <cell r="B39">
            <v>4</v>
          </cell>
          <cell r="C39">
            <v>3.95416666666667</v>
          </cell>
        </row>
        <row r="40">
          <cell r="A40" t="str">
            <v>JUPIA</v>
          </cell>
          <cell r="B40">
            <v>1189.58333333333</v>
          </cell>
          <cell r="C40">
            <v>1244.16666666667</v>
          </cell>
        </row>
        <row r="41">
          <cell r="A41" t="str">
            <v>JURUMIRIM</v>
          </cell>
          <cell r="B41">
            <v>24.3333333333333</v>
          </cell>
          <cell r="C41">
            <v>25.0833333333333</v>
          </cell>
        </row>
        <row r="42">
          <cell r="A42" t="str">
            <v>LIMOEIRO</v>
          </cell>
          <cell r="B42">
            <v>20.8333333333333</v>
          </cell>
          <cell r="C42">
            <v>20.4333333333333</v>
          </cell>
        </row>
        <row r="43">
          <cell r="A43" t="str">
            <v>N. AVANHAN</v>
          </cell>
          <cell r="B43">
            <v>243.333333333333</v>
          </cell>
          <cell r="C43">
            <v>250.708333333333</v>
          </cell>
        </row>
        <row r="44">
          <cell r="A44" t="str">
            <v>PARAIBUNA</v>
          </cell>
          <cell r="B44">
            <v>10</v>
          </cell>
          <cell r="C44">
            <v>12.5541666666667</v>
          </cell>
        </row>
        <row r="45">
          <cell r="A45" t="str">
            <v>PCH CESP</v>
          </cell>
          <cell r="B45">
            <v>0</v>
          </cell>
          <cell r="C45">
            <v>0</v>
          </cell>
        </row>
        <row r="46">
          <cell r="A46" t="str">
            <v>P.PRIMAVERA</v>
          </cell>
          <cell r="B46">
            <v>525</v>
          </cell>
          <cell r="C46">
            <v>520.970833333333</v>
          </cell>
        </row>
        <row r="47">
          <cell r="A47" t="str">
            <v>PROMISSÃO</v>
          </cell>
          <cell r="B47">
            <v>162.916666666667</v>
          </cell>
          <cell r="C47">
            <v>165.695833333333</v>
          </cell>
        </row>
        <row r="48">
          <cell r="A48" t="str">
            <v>ROSANA</v>
          </cell>
          <cell r="B48">
            <v>277.5</v>
          </cell>
          <cell r="C48">
            <v>288.779166666667</v>
          </cell>
        </row>
        <row r="49">
          <cell r="A49" t="str">
            <v>S. GRANDE</v>
          </cell>
          <cell r="B49">
            <v>45.125</v>
          </cell>
          <cell r="C49">
            <v>44.6875</v>
          </cell>
        </row>
        <row r="50">
          <cell r="A50" t="str">
            <v>TAQUARUÇU</v>
          </cell>
          <cell r="B50">
            <v>314.791666666667</v>
          </cell>
          <cell r="C50">
            <v>337.5375</v>
          </cell>
        </row>
        <row r="51">
          <cell r="A51" t="str">
            <v>T.IRMÃOS</v>
          </cell>
          <cell r="B51">
            <v>148.958333333333</v>
          </cell>
          <cell r="C51">
            <v>254.779166666667</v>
          </cell>
        </row>
        <row r="52">
          <cell r="A52" t="str">
            <v>PCH CEMAT</v>
          </cell>
          <cell r="B52">
            <v>94.5541666666667</v>
          </cell>
          <cell r="C52">
            <v>94.5541666666667</v>
          </cell>
        </row>
        <row r="53">
          <cell r="A53" t="str">
            <v>MASCARENHAS</v>
          </cell>
          <cell r="B53">
            <v>130</v>
          </cell>
          <cell r="C53">
            <v>130</v>
          </cell>
        </row>
        <row r="54">
          <cell r="A54" t="str">
            <v>PCH ESCELSA</v>
          </cell>
          <cell r="B54">
            <v>55</v>
          </cell>
          <cell r="C54">
            <v>55</v>
          </cell>
        </row>
        <row r="55">
          <cell r="A55" t="str">
            <v>H.BORDEN Ext</v>
          </cell>
          <cell r="B55">
            <v>62.4583333333333</v>
          </cell>
          <cell r="C55">
            <v>119.420833333333</v>
          </cell>
        </row>
        <row r="56">
          <cell r="A56" t="str">
            <v>H.BORDEN Sub.</v>
          </cell>
          <cell r="B56">
            <v>0</v>
          </cell>
          <cell r="C56">
            <v>69.9833333333333</v>
          </cell>
        </row>
        <row r="57">
          <cell r="A57" t="str">
            <v>Total H.BORDEN</v>
          </cell>
          <cell r="B57">
            <v>62.4583333333333</v>
          </cell>
          <cell r="C57">
            <v>189.404166666667</v>
          </cell>
        </row>
        <row r="58">
          <cell r="A58" t="str">
            <v>PCH EPAULO</v>
          </cell>
          <cell r="B58">
            <v>20</v>
          </cell>
          <cell r="C58">
            <v>20</v>
          </cell>
        </row>
        <row r="59">
          <cell r="A59" t="str">
            <v>P.COLOMBIA</v>
          </cell>
          <cell r="B59">
            <v>158.333333333333</v>
          </cell>
          <cell r="C59">
            <v>186.008333333333</v>
          </cell>
        </row>
        <row r="60">
          <cell r="A60" t="str">
            <v>CORUMBÁ </v>
          </cell>
          <cell r="B60">
            <v>375</v>
          </cell>
          <cell r="C60">
            <v>373.641666666667</v>
          </cell>
        </row>
        <row r="61">
          <cell r="A61" t="str">
            <v>FUNIL</v>
          </cell>
          <cell r="B61">
            <v>118.333333333333</v>
          </cell>
          <cell r="C61">
            <v>131.7875</v>
          </cell>
        </row>
        <row r="62">
          <cell r="A62" t="str">
            <v>FURNAS</v>
          </cell>
          <cell r="B62">
            <v>404.166666666667</v>
          </cell>
          <cell r="C62">
            <v>490.108333333333</v>
          </cell>
        </row>
        <row r="63">
          <cell r="A63" t="str">
            <v>ITUMBIARA</v>
          </cell>
          <cell r="B63">
            <v>816.666666666667</v>
          </cell>
          <cell r="C63">
            <v>900.8375</v>
          </cell>
        </row>
        <row r="64">
          <cell r="A64" t="str">
            <v>ESTREITO</v>
          </cell>
          <cell r="B64">
            <v>302.083333333333</v>
          </cell>
          <cell r="C64">
            <v>358.720833333333</v>
          </cell>
        </row>
        <row r="65">
          <cell r="A65" t="str">
            <v>MANSO</v>
          </cell>
          <cell r="B65">
            <v>24</v>
          </cell>
          <cell r="C65">
            <v>24</v>
          </cell>
        </row>
        <row r="66">
          <cell r="A66" t="str">
            <v>M.MORAES</v>
          </cell>
          <cell r="B66">
            <v>260.416666666667</v>
          </cell>
          <cell r="C66">
            <v>289.783333333333</v>
          </cell>
        </row>
        <row r="67">
          <cell r="A67" t="str">
            <v>MARIMBONDO</v>
          </cell>
          <cell r="B67">
            <v>690.833333333333</v>
          </cell>
          <cell r="C67">
            <v>740.608333333334</v>
          </cell>
        </row>
        <row r="68">
          <cell r="A68" t="str">
            <v>S. MESA</v>
          </cell>
          <cell r="B68">
            <v>1027.08333333333</v>
          </cell>
          <cell r="C68">
            <v>1029.9875</v>
          </cell>
        </row>
        <row r="69">
          <cell r="A69" t="str">
            <v>C.DOURADA</v>
          </cell>
          <cell r="B69">
            <v>348.125</v>
          </cell>
          <cell r="C69">
            <v>406.9125</v>
          </cell>
        </row>
        <row r="70">
          <cell r="A70" t="str">
            <v>FONTES</v>
          </cell>
          <cell r="B70">
            <v>106.791666666667</v>
          </cell>
          <cell r="C70">
            <v>105.3625</v>
          </cell>
        </row>
        <row r="71">
          <cell r="A71" t="str">
            <v>I. POMBOS</v>
          </cell>
          <cell r="B71">
            <v>68.875</v>
          </cell>
          <cell r="C71">
            <v>67.1583333333333</v>
          </cell>
        </row>
        <row r="72">
          <cell r="A72" t="str">
            <v>N.PEÇANHA</v>
          </cell>
          <cell r="B72">
            <v>325.833333333333</v>
          </cell>
          <cell r="C72">
            <v>341.3875</v>
          </cell>
        </row>
        <row r="73">
          <cell r="A73" t="str">
            <v>P.PASSOS</v>
          </cell>
          <cell r="B73">
            <v>44.7916666666667</v>
          </cell>
          <cell r="C73">
            <v>49.5583333333333</v>
          </cell>
        </row>
        <row r="74">
          <cell r="A74" t="str">
            <v>STA BRANCA</v>
          </cell>
          <cell r="B74">
            <v>12</v>
          </cell>
          <cell r="C74">
            <v>12.025</v>
          </cell>
        </row>
        <row r="75">
          <cell r="A75" t="str">
            <v>PCH CEEE</v>
          </cell>
          <cell r="B75">
            <v>25.6666666666667</v>
          </cell>
          <cell r="C75">
            <v>33.85</v>
          </cell>
        </row>
        <row r="76">
          <cell r="A76" t="str">
            <v>CANASTRA</v>
          </cell>
          <cell r="B76">
            <v>30.1041666666667</v>
          </cell>
          <cell r="C76">
            <v>15.6583333333333</v>
          </cell>
        </row>
        <row r="77">
          <cell r="A77" t="str">
            <v>ITAUBA</v>
          </cell>
          <cell r="B77">
            <v>387.979166666667</v>
          </cell>
          <cell r="C77">
            <v>402.0875</v>
          </cell>
        </row>
        <row r="78">
          <cell r="A78" t="str">
            <v>JACUI</v>
          </cell>
          <cell r="B78">
            <v>180</v>
          </cell>
          <cell r="C78">
            <v>175.541666666667</v>
          </cell>
        </row>
        <row r="79">
          <cell r="A79" t="str">
            <v>PASSO REAL</v>
          </cell>
          <cell r="B79">
            <v>150</v>
          </cell>
          <cell r="C79">
            <v>151.391666666667</v>
          </cell>
        </row>
        <row r="80">
          <cell r="A80" t="str">
            <v>GBM</v>
          </cell>
          <cell r="B80">
            <v>1201.89583333333</v>
          </cell>
          <cell r="C80">
            <v>1202.00833333333</v>
          </cell>
        </row>
        <row r="81">
          <cell r="A81" t="str">
            <v>GPS</v>
          </cell>
          <cell r="B81">
            <v>131.770833333333</v>
          </cell>
          <cell r="C81">
            <v>165.220833333333</v>
          </cell>
        </row>
        <row r="82">
          <cell r="A82" t="str">
            <v>PCH COPEL</v>
          </cell>
          <cell r="B82">
            <v>55</v>
          </cell>
          <cell r="C82">
            <v>55.7416666666667</v>
          </cell>
        </row>
        <row r="83">
          <cell r="A83" t="str">
            <v>S.CAXIAS</v>
          </cell>
          <cell r="B83">
            <v>1093.41666666667</v>
          </cell>
          <cell r="C83">
            <v>1058.03333333333</v>
          </cell>
        </row>
        <row r="84">
          <cell r="A84" t="str">
            <v>SEGREDO</v>
          </cell>
          <cell r="B84">
            <v>979.291666666667</v>
          </cell>
          <cell r="C84">
            <v>928.225</v>
          </cell>
        </row>
        <row r="85">
          <cell r="A85" t="str">
            <v>ITÁ</v>
          </cell>
          <cell r="B85">
            <v>1160</v>
          </cell>
          <cell r="C85">
            <v>1155.2</v>
          </cell>
        </row>
        <row r="86">
          <cell r="A86" t="str">
            <v>P.FUNDO</v>
          </cell>
          <cell r="B86">
            <v>125.833333333333</v>
          </cell>
          <cell r="C86">
            <v>101.591666666667</v>
          </cell>
        </row>
        <row r="87">
          <cell r="A87" t="str">
            <v>S.OSÓRIO</v>
          </cell>
          <cell r="B87">
            <v>700.625</v>
          </cell>
          <cell r="C87">
            <v>665.158333333333</v>
          </cell>
        </row>
        <row r="88">
          <cell r="A88" t="str">
            <v>S.SANTIAGO</v>
          </cell>
          <cell r="B88">
            <v>1067.58333333333</v>
          </cell>
          <cell r="C88">
            <v>967.541666666667</v>
          </cell>
        </row>
        <row r="89">
          <cell r="A89" t="str">
            <v>PCH ENERSUL</v>
          </cell>
          <cell r="B89">
            <v>29</v>
          </cell>
          <cell r="C89">
            <v>31.4</v>
          </cell>
        </row>
        <row r="90">
          <cell r="A90" t="str">
            <v>PCH CELESC</v>
          </cell>
          <cell r="B90">
            <v>45.6541666666667</v>
          </cell>
          <cell r="C90">
            <v>45.6541666666667</v>
          </cell>
        </row>
        <row r="91">
          <cell r="A91" t="str">
            <v>ITAIPU 50 Hz</v>
          </cell>
          <cell r="B91">
            <v>5483.33333333333</v>
          </cell>
          <cell r="C91">
            <v>5420.8625</v>
          </cell>
        </row>
        <row r="92">
          <cell r="A92" t="str">
            <v>ITAIPU 60 Hz</v>
          </cell>
          <cell r="B92">
            <v>4079.16666666667</v>
          </cell>
          <cell r="C92">
            <v>3835.05833333333</v>
          </cell>
        </row>
        <row r="93">
          <cell r="A93" t="str">
            <v>PCH CHESF</v>
          </cell>
          <cell r="B93">
            <v>41</v>
          </cell>
          <cell r="C93">
            <v>33.2208333333333</v>
          </cell>
        </row>
        <row r="94">
          <cell r="A94" t="str">
            <v>A SALLES</v>
          </cell>
          <cell r="B94">
            <v>161.333333333333</v>
          </cell>
          <cell r="C94">
            <v>165.629166666667</v>
          </cell>
        </row>
        <row r="95">
          <cell r="A95" t="str">
            <v>B. ESPERANÇA</v>
          </cell>
          <cell r="B95">
            <v>161</v>
          </cell>
          <cell r="C95">
            <v>161</v>
          </cell>
        </row>
        <row r="96">
          <cell r="A96" t="str">
            <v>L.GONZAGA</v>
          </cell>
          <cell r="B96">
            <v>945.833333333333</v>
          </cell>
          <cell r="C96">
            <v>943.479166666667</v>
          </cell>
        </row>
        <row r="97">
          <cell r="A97" t="str">
            <v>SOBRADINHO</v>
          </cell>
          <cell r="B97">
            <v>451.666666666667</v>
          </cell>
          <cell r="C97">
            <v>453.616666666667</v>
          </cell>
        </row>
        <row r="98">
          <cell r="A98" t="str">
            <v>P.AFONSO 1</v>
          </cell>
          <cell r="B98">
            <v>120</v>
          </cell>
          <cell r="C98">
            <v>117.354166666667</v>
          </cell>
        </row>
        <row r="99">
          <cell r="A99" t="str">
            <v>P.AFONSO 2</v>
          </cell>
          <cell r="B99">
            <v>210</v>
          </cell>
          <cell r="C99">
            <v>199.2125</v>
          </cell>
        </row>
        <row r="100">
          <cell r="A100" t="str">
            <v>P.AFONSO 3</v>
          </cell>
          <cell r="B100">
            <v>351.25</v>
          </cell>
          <cell r="C100">
            <v>367.475</v>
          </cell>
        </row>
        <row r="101">
          <cell r="A101" t="str">
            <v>P.AFONSO 4</v>
          </cell>
          <cell r="B101">
            <v>1220.75</v>
          </cell>
          <cell r="C101">
            <v>1125.30833333333</v>
          </cell>
        </row>
        <row r="102">
          <cell r="A102" t="str">
            <v>XINGÓ</v>
          </cell>
          <cell r="B102">
            <v>2268.75</v>
          </cell>
          <cell r="C102">
            <v>2243.8875</v>
          </cell>
        </row>
        <row r="103">
          <cell r="A103" t="str">
            <v>TUCURUÍ</v>
          </cell>
          <cell r="B103">
            <v>3500</v>
          </cell>
          <cell r="C103">
            <v>3442.21666666667</v>
          </cell>
        </row>
        <row r="104">
          <cell r="A104" t="str">
            <v>CURUÁ-UNA</v>
          </cell>
          <cell r="B104">
            <v>30</v>
          </cell>
          <cell r="C104">
            <v>27.1666666666667</v>
          </cell>
        </row>
        <row r="124">
          <cell r="A124" t="str">
            <v>Usinas</v>
          </cell>
          <cell r="B124" t="str">
            <v>PDP</v>
          </cell>
          <cell r="C124" t="str">
            <v>Verificado</v>
          </cell>
        </row>
        <row r="125">
          <cell r="A125" t="str">
            <v>Igarapé</v>
          </cell>
          <cell r="B125">
            <v>131</v>
          </cell>
          <cell r="C125">
            <v>130.820833333333</v>
          </cell>
        </row>
        <row r="126">
          <cell r="A126" t="str">
            <v>Carioba*</v>
          </cell>
          <cell r="B126">
            <v>0</v>
          </cell>
          <cell r="C126">
            <v>0</v>
          </cell>
        </row>
        <row r="127">
          <cell r="A127" t="str">
            <v>Piratininga</v>
          </cell>
          <cell r="B127">
            <v>245</v>
          </cell>
          <cell r="C127">
            <v>231.970833333333</v>
          </cell>
        </row>
        <row r="128">
          <cell r="A128" t="str">
            <v>Angra</v>
          </cell>
          <cell r="B128">
            <v>600</v>
          </cell>
          <cell r="C128">
            <v>574.3375</v>
          </cell>
        </row>
        <row r="129">
          <cell r="A129" t="str">
            <v>Campos</v>
          </cell>
          <cell r="B129">
            <v>30</v>
          </cell>
          <cell r="C129">
            <v>28</v>
          </cell>
        </row>
        <row r="130">
          <cell r="A130" t="str">
            <v>Sta Cruz</v>
          </cell>
          <cell r="B130">
            <v>430</v>
          </cell>
          <cell r="C130">
            <v>388.995833333333</v>
          </cell>
        </row>
        <row r="131">
          <cell r="A131" t="str">
            <v>S. Gonçalo</v>
          </cell>
          <cell r="B131">
            <v>0</v>
          </cell>
          <cell r="C131">
            <v>0</v>
          </cell>
        </row>
        <row r="132">
          <cell r="A132" t="str">
            <v>Cuiabá</v>
          </cell>
          <cell r="B132">
            <v>0</v>
          </cell>
          <cell r="C132">
            <v>0</v>
          </cell>
        </row>
        <row r="133">
          <cell r="A133" t="str">
            <v>PCT CE</v>
          </cell>
        </row>
        <row r="133">
          <cell r="C133">
            <v>5</v>
          </cell>
        </row>
        <row r="134">
          <cell r="A134" t="str">
            <v>P.Médici</v>
          </cell>
          <cell r="B134">
            <v>280</v>
          </cell>
          <cell r="C134">
            <v>252.458333333333</v>
          </cell>
        </row>
        <row r="135">
          <cell r="A135" t="str">
            <v>Figueira</v>
          </cell>
          <cell r="B135">
            <v>6</v>
          </cell>
          <cell r="C135">
            <v>4.49166666666667</v>
          </cell>
        </row>
        <row r="136">
          <cell r="A136" t="str">
            <v>Alegrete</v>
          </cell>
          <cell r="B136">
            <v>0</v>
          </cell>
          <cell r="C136">
            <v>0</v>
          </cell>
        </row>
        <row r="137">
          <cell r="A137" t="str">
            <v>Charqueadas</v>
          </cell>
          <cell r="B137">
            <v>25</v>
          </cell>
          <cell r="C137">
            <v>27.5875</v>
          </cell>
        </row>
        <row r="138">
          <cell r="A138" t="str">
            <v>J.Lacerda A</v>
          </cell>
          <cell r="B138">
            <v>91</v>
          </cell>
          <cell r="C138">
            <v>111.875</v>
          </cell>
        </row>
        <row r="139">
          <cell r="A139" t="str">
            <v>J.Lacerda B</v>
          </cell>
          <cell r="B139">
            <v>160</v>
          </cell>
          <cell r="C139">
            <v>207.679166666667</v>
          </cell>
        </row>
        <row r="140">
          <cell r="A140" t="str">
            <v>J.Lacerda C</v>
          </cell>
          <cell r="B140">
            <v>180</v>
          </cell>
          <cell r="C140">
            <v>263.129166666667</v>
          </cell>
        </row>
        <row r="141">
          <cell r="A141" t="str">
            <v>W.Arjona</v>
          </cell>
          <cell r="B141">
            <v>2.91666666666667</v>
          </cell>
          <cell r="C141">
            <v>0</v>
          </cell>
        </row>
        <row r="142">
          <cell r="A142" t="str">
            <v>Nutepa</v>
          </cell>
          <cell r="B142">
            <v>0</v>
          </cell>
          <cell r="C142">
            <v>0</v>
          </cell>
        </row>
        <row r="143">
          <cell r="A143" t="str">
            <v>S.Jerônimo</v>
          </cell>
          <cell r="B143">
            <v>5</v>
          </cell>
        </row>
        <row r="144">
          <cell r="A144" t="str">
            <v>Uruguaiana</v>
          </cell>
          <cell r="B144">
            <v>550</v>
          </cell>
          <cell r="C144">
            <v>550</v>
          </cell>
        </row>
        <row r="145">
          <cell r="A145" t="str">
            <v>Camaçari</v>
          </cell>
          <cell r="B145">
            <v>0</v>
          </cell>
          <cell r="C145">
            <v>0</v>
          </cell>
        </row>
      </sheetData>
      <sheetData sheetId="5">
        <row r="8">
          <cell r="A8" t="str">
            <v>PUS CEB</v>
          </cell>
          <cell r="B8">
            <v>50.7042236328125</v>
          </cell>
          <cell r="C8">
            <v>18</v>
          </cell>
        </row>
        <row r="8">
          <cell r="E8" t="str">
            <v>IGARAPÉ</v>
          </cell>
          <cell r="F8">
            <v>99.7715148925781</v>
          </cell>
          <cell r="G8">
            <v>131</v>
          </cell>
        </row>
        <row r="9">
          <cell r="A9" t="str">
            <v>CAMARGOS</v>
          </cell>
          <cell r="B9">
            <v>58.3333320617676</v>
          </cell>
          <cell r="C9">
            <v>28</v>
          </cell>
        </row>
        <row r="9">
          <cell r="E9" t="str">
            <v>CARIOBA</v>
          </cell>
          <cell r="F9">
            <v>13.8888893127441</v>
          </cell>
          <cell r="G9">
            <v>5</v>
          </cell>
        </row>
        <row r="10">
          <cell r="A10" t="str">
            <v>EMBORCAÇÃO</v>
          </cell>
          <cell r="B10">
            <v>49.8322143554688</v>
          </cell>
          <cell r="C10">
            <v>594</v>
          </cell>
        </row>
        <row r="10">
          <cell r="E10" t="str">
            <v>PIRATININGA</v>
          </cell>
          <cell r="F10">
            <v>68.0851058959961</v>
          </cell>
          <cell r="G10">
            <v>320</v>
          </cell>
        </row>
        <row r="11">
          <cell r="A11" t="str">
            <v>G.AMORIM</v>
          </cell>
          <cell r="B11">
            <v>102.857139587402</v>
          </cell>
          <cell r="C11">
            <v>144</v>
          </cell>
        </row>
        <row r="11">
          <cell r="E11" t="str">
            <v>ANGRA</v>
          </cell>
          <cell r="F11">
            <v>87.5190277099609</v>
          </cell>
          <cell r="G11">
            <v>575</v>
          </cell>
        </row>
        <row r="12">
          <cell r="A12" t="str">
            <v>IGARAPAVA</v>
          </cell>
          <cell r="B12">
            <v>100</v>
          </cell>
          <cell r="C12">
            <v>210</v>
          </cell>
        </row>
        <row r="12">
          <cell r="E12" t="str">
            <v>CAMPOS</v>
          </cell>
          <cell r="F12">
            <v>87.5</v>
          </cell>
          <cell r="G12">
            <v>28</v>
          </cell>
        </row>
        <row r="13">
          <cell r="A13" t="str">
            <v>ITUTINGA</v>
          </cell>
          <cell r="B13">
            <v>98.0769195556641</v>
          </cell>
          <cell r="C13">
            <v>51</v>
          </cell>
        </row>
        <row r="13">
          <cell r="E13" t="str">
            <v>STA CRUZ</v>
          </cell>
          <cell r="F13">
            <v>64.9671020507813</v>
          </cell>
          <cell r="G13">
            <v>395</v>
          </cell>
        </row>
        <row r="14">
          <cell r="A14" t="str">
            <v>JAGUARA</v>
          </cell>
          <cell r="B14">
            <v>85.1415100097656</v>
          </cell>
          <cell r="C14">
            <v>361</v>
          </cell>
        </row>
        <row r="14">
          <cell r="E14" t="str">
            <v>NUTEPA</v>
          </cell>
          <cell r="F14">
            <v>0</v>
          </cell>
          <cell r="G14">
            <v>0</v>
          </cell>
        </row>
        <row r="15">
          <cell r="A15" t="str">
            <v>MIRANDA</v>
          </cell>
          <cell r="B15">
            <v>66.6666641235352</v>
          </cell>
          <cell r="C15">
            <v>272</v>
          </cell>
        </row>
        <row r="15">
          <cell r="E15" t="str">
            <v>SÃO JERÔNIMO</v>
          </cell>
          <cell r="F15">
            <v>29.4117641448975</v>
          </cell>
          <cell r="G15">
            <v>5</v>
          </cell>
        </row>
        <row r="16">
          <cell r="A16" t="str">
            <v>NOVA PONTE</v>
          </cell>
          <cell r="B16">
            <v>82.3529434204102</v>
          </cell>
          <cell r="C16">
            <v>420</v>
          </cell>
        </row>
        <row r="16">
          <cell r="E16" t="str">
            <v>P.MÉDICI</v>
          </cell>
          <cell r="F16">
            <v>62.1076240539551</v>
          </cell>
          <cell r="G16">
            <v>277</v>
          </cell>
        </row>
        <row r="17">
          <cell r="A17" t="str">
            <v>PCH CEMIG</v>
          </cell>
          <cell r="B17">
            <v>50.886661529541</v>
          </cell>
          <cell r="C17">
            <v>66</v>
          </cell>
        </row>
        <row r="17">
          <cell r="E17" t="str">
            <v>URUGUAIANA **</v>
          </cell>
          <cell r="F17" t="str">
            <v>-</v>
          </cell>
          <cell r="G17">
            <v>550</v>
          </cell>
        </row>
        <row r="18">
          <cell r="A18" t="str">
            <v>S.GRANDE</v>
          </cell>
          <cell r="B18">
            <v>100</v>
          </cell>
          <cell r="C18">
            <v>102</v>
          </cell>
        </row>
        <row r="18">
          <cell r="E18" t="str">
            <v>FIGUEIRA</v>
          </cell>
          <cell r="F18">
            <v>30</v>
          </cell>
          <cell r="G18">
            <v>6</v>
          </cell>
        </row>
        <row r="19">
          <cell r="A19" t="str">
            <v>S.SIMÃO</v>
          </cell>
          <cell r="B19">
            <v>93.9766082763672</v>
          </cell>
          <cell r="C19">
            <v>1607</v>
          </cell>
        </row>
        <row r="19">
          <cell r="E19" t="str">
            <v>ALEGRETE</v>
          </cell>
          <cell r="F19">
            <v>0</v>
          </cell>
          <cell r="G19">
            <v>0</v>
          </cell>
        </row>
        <row r="20">
          <cell r="A20" t="str">
            <v>SOBRAGI</v>
          </cell>
          <cell r="B20">
            <v>65.3594818115234</v>
          </cell>
          <cell r="C20">
            <v>40</v>
          </cell>
        </row>
        <row r="20">
          <cell r="E20" t="str">
            <v>CHARQUEADAS</v>
          </cell>
          <cell r="F20">
            <v>40.2777786254883</v>
          </cell>
          <cell r="G20">
            <v>29</v>
          </cell>
        </row>
        <row r="21">
          <cell r="A21" t="str">
            <v>T.MARIAS</v>
          </cell>
          <cell r="B21">
            <v>86.363639831543</v>
          </cell>
          <cell r="C21">
            <v>342</v>
          </cell>
        </row>
        <row r="21">
          <cell r="E21" t="str">
            <v>J.LACERDA A</v>
          </cell>
          <cell r="F21">
            <v>57.3275871276856</v>
          </cell>
          <cell r="G21">
            <v>133</v>
          </cell>
        </row>
        <row r="22">
          <cell r="A22" t="str">
            <v>V.GRANDE</v>
          </cell>
          <cell r="B22">
            <v>100</v>
          </cell>
          <cell r="C22">
            <v>380</v>
          </cell>
        </row>
        <row r="22">
          <cell r="E22" t="str">
            <v>J.LACERDA B</v>
          </cell>
          <cell r="F22">
            <v>95.4198455810547</v>
          </cell>
          <cell r="G22">
            <v>250</v>
          </cell>
        </row>
        <row r="23">
          <cell r="A23" t="str">
            <v>PUS CELG</v>
          </cell>
          <cell r="B23">
            <v>85.6653366088867</v>
          </cell>
          <cell r="C23">
            <v>15</v>
          </cell>
        </row>
        <row r="23">
          <cell r="E23" t="str">
            <v>J.LACERDA C</v>
          </cell>
          <cell r="F23">
            <v>97.796142578125</v>
          </cell>
          <cell r="G23">
            <v>355</v>
          </cell>
        </row>
        <row r="24">
          <cell r="A24" t="str">
            <v>PCH CPFL</v>
          </cell>
          <cell r="B24">
            <v>49.1510276794434</v>
          </cell>
          <cell r="C24">
            <v>55</v>
          </cell>
        </row>
        <row r="24">
          <cell r="E24" t="str">
            <v>W.ARJONA</v>
          </cell>
          <cell r="F24">
            <v>0</v>
          </cell>
          <cell r="G24">
            <v>0</v>
          </cell>
        </row>
        <row r="25">
          <cell r="A25" t="str">
            <v>PCH CERJ</v>
          </cell>
          <cell r="B25">
            <v>87.3434371948242</v>
          </cell>
          <cell r="C25">
            <v>53</v>
          </cell>
        </row>
        <row r="25">
          <cell r="E25" t="str">
            <v>CAMAÇARI</v>
          </cell>
          <cell r="F25">
            <v>0</v>
          </cell>
          <cell r="G25">
            <v>0</v>
          </cell>
        </row>
        <row r="26">
          <cell r="A26" t="str">
            <v>A.VERMELHA</v>
          </cell>
          <cell r="B26">
            <v>89.413444519043</v>
          </cell>
          <cell r="C26">
            <v>1250</v>
          </cell>
        </row>
        <row r="26">
          <cell r="E26" t="str">
            <v>CUIABÁ</v>
          </cell>
          <cell r="F26">
            <v>0</v>
          </cell>
          <cell r="G26">
            <v>0</v>
          </cell>
        </row>
        <row r="27">
          <cell r="A27" t="str">
            <v>B.BONITA</v>
          </cell>
          <cell r="B27">
            <v>82.8571395874023</v>
          </cell>
          <cell r="C27">
            <v>116</v>
          </cell>
        </row>
        <row r="28">
          <cell r="A28" t="str">
            <v>BARIRI</v>
          </cell>
          <cell r="B28">
            <v>91.6666641235352</v>
          </cell>
          <cell r="C28">
            <v>132</v>
          </cell>
        </row>
        <row r="29">
          <cell r="A29" t="str">
            <v>CACONDE</v>
          </cell>
          <cell r="B29">
            <v>75</v>
          </cell>
          <cell r="C29">
            <v>60</v>
          </cell>
        </row>
        <row r="30">
          <cell r="A30" t="str">
            <v>CHAVANTES</v>
          </cell>
          <cell r="B30">
            <v>89.4230804443359</v>
          </cell>
          <cell r="C30">
            <v>372</v>
          </cell>
        </row>
        <row r="31">
          <cell r="A31" t="str">
            <v>CAPIVARA</v>
          </cell>
          <cell r="B31">
            <v>88.28125</v>
          </cell>
          <cell r="C31">
            <v>565</v>
          </cell>
        </row>
        <row r="32">
          <cell r="A32" t="str">
            <v>CANOAS I</v>
          </cell>
          <cell r="B32">
            <v>65.4545440673828</v>
          </cell>
          <cell r="C32">
            <v>54</v>
          </cell>
        </row>
        <row r="33">
          <cell r="A33" t="str">
            <v>CANOAS II</v>
          </cell>
          <cell r="B33">
            <v>102.040817260742</v>
          </cell>
          <cell r="C33">
            <v>75</v>
          </cell>
        </row>
        <row r="34">
          <cell r="A34" t="str">
            <v>E.CUNHA</v>
          </cell>
          <cell r="B34">
            <v>88.8888854980469</v>
          </cell>
          <cell r="C34">
            <v>96</v>
          </cell>
        </row>
        <row r="35">
          <cell r="A35" t="str">
            <v>IBITINGA</v>
          </cell>
          <cell r="B35">
            <v>97.7272720336914</v>
          </cell>
          <cell r="C35">
            <v>129</v>
          </cell>
        </row>
        <row r="36">
          <cell r="A36" t="str">
            <v>I.SOLTEIRA</v>
          </cell>
          <cell r="B36">
            <v>90.1858291625977</v>
          </cell>
          <cell r="C36">
            <v>3106</v>
          </cell>
        </row>
        <row r="37">
          <cell r="A37" t="str">
            <v>JAGUARI</v>
          </cell>
          <cell r="B37">
            <v>71.4285736083984</v>
          </cell>
          <cell r="C37">
            <v>20</v>
          </cell>
        </row>
        <row r="38">
          <cell r="A38" t="str">
            <v>JUPIA</v>
          </cell>
          <cell r="B38">
            <v>87.6740493774414</v>
          </cell>
          <cell r="C38">
            <v>1360</v>
          </cell>
        </row>
        <row r="39">
          <cell r="A39" t="str">
            <v>JURUMIRIM</v>
          </cell>
          <cell r="B39">
            <v>91.8367309570313</v>
          </cell>
          <cell r="C39">
            <v>90</v>
          </cell>
        </row>
        <row r="40">
          <cell r="A40" t="str">
            <v>LIMOEIRO</v>
          </cell>
          <cell r="B40">
            <v>100</v>
          </cell>
          <cell r="C40">
            <v>32</v>
          </cell>
        </row>
        <row r="41">
          <cell r="A41" t="str">
            <v>N. AVANHAN</v>
          </cell>
          <cell r="B41">
            <v>99.3091430664063</v>
          </cell>
          <cell r="C41">
            <v>345</v>
          </cell>
        </row>
        <row r="42">
          <cell r="A42" t="str">
            <v>PARAIBUNA</v>
          </cell>
          <cell r="B42">
            <v>81.3953475952148</v>
          </cell>
          <cell r="C42">
            <v>70</v>
          </cell>
        </row>
        <row r="43">
          <cell r="A43" t="str">
            <v>PCH CESP</v>
          </cell>
          <cell r="B43">
            <v>0</v>
          </cell>
          <cell r="C43">
            <v>0</v>
          </cell>
        </row>
        <row r="43">
          <cell r="F43">
            <v>9010</v>
          </cell>
          <cell r="G43">
            <v>1605</v>
          </cell>
        </row>
        <row r="44">
          <cell r="A44" t="str">
            <v>P.PRIMAVERA</v>
          </cell>
          <cell r="B44">
            <v>65.1041717529297</v>
          </cell>
          <cell r="C44">
            <v>525</v>
          </cell>
        </row>
        <row r="44">
          <cell r="F44">
            <v>35336</v>
          </cell>
          <cell r="G44">
            <v>1454</v>
          </cell>
        </row>
        <row r="45">
          <cell r="A45" t="str">
            <v>PROMISSÃO</v>
          </cell>
          <cell r="B45">
            <v>96.5909118652344</v>
          </cell>
          <cell r="C45">
            <v>255</v>
          </cell>
        </row>
        <row r="46">
          <cell r="A46" t="str">
            <v>ROSANA</v>
          </cell>
          <cell r="B46">
            <v>98.6559143066406</v>
          </cell>
          <cell r="C46">
            <v>367</v>
          </cell>
        </row>
        <row r="46">
          <cell r="F46">
            <v>3764</v>
          </cell>
          <cell r="G46" t="str">
            <v>-</v>
          </cell>
        </row>
        <row r="47">
          <cell r="A47" t="str">
            <v>S. GRANDE</v>
          </cell>
          <cell r="B47">
            <v>73.6111145019531</v>
          </cell>
          <cell r="C47">
            <v>53</v>
          </cell>
        </row>
        <row r="47">
          <cell r="F47">
            <v>8230</v>
          </cell>
          <cell r="G47">
            <v>0</v>
          </cell>
        </row>
        <row r="48">
          <cell r="A48" t="str">
            <v>TAQUARUÇU</v>
          </cell>
          <cell r="B48">
            <v>80.5054168701172</v>
          </cell>
          <cell r="C48">
            <v>446</v>
          </cell>
        </row>
        <row r="49">
          <cell r="A49" t="str">
            <v>T.IRMÃOS</v>
          </cell>
          <cell r="B49">
            <v>80</v>
          </cell>
          <cell r="C49">
            <v>648</v>
          </cell>
        </row>
        <row r="50">
          <cell r="A50" t="str">
            <v>PUS CEMAT</v>
          </cell>
          <cell r="B50">
            <v>27.7790966033936</v>
          </cell>
          <cell r="C50">
            <v>117</v>
          </cell>
        </row>
        <row r="51">
          <cell r="A51" t="str">
            <v>MASCARENHAS</v>
          </cell>
          <cell r="B51">
            <v>102.362205505371</v>
          </cell>
          <cell r="C51">
            <v>130</v>
          </cell>
        </row>
        <row r="52">
          <cell r="A52" t="str">
            <v>PCH ESCELSA (*)</v>
          </cell>
          <cell r="B52">
            <v>39.4011039733887</v>
          </cell>
          <cell r="C52">
            <v>55</v>
          </cell>
        </row>
        <row r="53">
          <cell r="A53" t="str">
            <v>H.BORDEN Ext</v>
          </cell>
          <cell r="B53">
            <v>85.5010681152344</v>
          </cell>
          <cell r="C53">
            <v>401</v>
          </cell>
        </row>
        <row r="54">
          <cell r="A54" t="str">
            <v>H.BORDEN Sub</v>
          </cell>
          <cell r="B54">
            <v>66.6666641235352</v>
          </cell>
          <cell r="C54">
            <v>280</v>
          </cell>
        </row>
        <row r="55">
          <cell r="A55" t="str">
            <v>PCH EPAULO</v>
          </cell>
          <cell r="B55">
            <v>41.0677604675293</v>
          </cell>
          <cell r="C55">
            <v>20</v>
          </cell>
        </row>
        <row r="56">
          <cell r="A56" t="str">
            <v>P.COLOMBIA</v>
          </cell>
          <cell r="B56">
            <v>97.5609741210938</v>
          </cell>
          <cell r="C56">
            <v>320</v>
          </cell>
        </row>
        <row r="57">
          <cell r="A57" t="str">
            <v>CORUMBÁ</v>
          </cell>
          <cell r="B57">
            <v>100</v>
          </cell>
          <cell r="C57">
            <v>375</v>
          </cell>
        </row>
        <row r="58">
          <cell r="A58" t="str">
            <v>FUNIL</v>
          </cell>
          <cell r="B58">
            <v>83.7837829589844</v>
          </cell>
          <cell r="C58">
            <v>186</v>
          </cell>
        </row>
        <row r="59">
          <cell r="A59" t="str">
            <v>FURNAS</v>
          </cell>
          <cell r="B59">
            <v>72.5609741210938</v>
          </cell>
          <cell r="C59">
            <v>952</v>
          </cell>
        </row>
        <row r="60">
          <cell r="A60" t="str">
            <v>ITUMBIARA</v>
          </cell>
          <cell r="B60">
            <v>65.7894744873047</v>
          </cell>
          <cell r="C60">
            <v>1500</v>
          </cell>
        </row>
        <row r="61">
          <cell r="A61" t="str">
            <v>ESTREITO</v>
          </cell>
          <cell r="B61">
            <v>95.1086959838867</v>
          </cell>
          <cell r="C61">
            <v>1050</v>
          </cell>
        </row>
        <row r="62">
          <cell r="A62" t="str">
            <v>M.MORAES</v>
          </cell>
          <cell r="B62">
            <v>89.121337890625</v>
          </cell>
          <cell r="C62">
            <v>426</v>
          </cell>
        </row>
        <row r="63">
          <cell r="A63" t="str">
            <v>MANSO</v>
          </cell>
          <cell r="B63">
            <v>45.7142868041992</v>
          </cell>
          <cell r="C63">
            <v>24</v>
          </cell>
        </row>
        <row r="64">
          <cell r="A64" t="str">
            <v>MARIMBONDO</v>
          </cell>
          <cell r="B64">
            <v>65.8602142333984</v>
          </cell>
          <cell r="C64">
            <v>980</v>
          </cell>
        </row>
        <row r="65">
          <cell r="A65" t="str">
            <v>SERRA MESA</v>
          </cell>
          <cell r="B65">
            <v>81.3953475952148</v>
          </cell>
          <cell r="C65">
            <v>1050</v>
          </cell>
        </row>
        <row r="66">
          <cell r="A66" t="str">
            <v>C.DOURADA</v>
          </cell>
          <cell r="B66">
            <v>81.3069915771484</v>
          </cell>
          <cell r="C66">
            <v>535</v>
          </cell>
        </row>
        <row r="67">
          <cell r="A67" t="str">
            <v>FONTES</v>
          </cell>
          <cell r="B67">
            <v>100</v>
          </cell>
          <cell r="C67">
            <v>132</v>
          </cell>
        </row>
        <row r="68">
          <cell r="A68" t="str">
            <v>I. POMBOS</v>
          </cell>
          <cell r="B68">
            <v>86.2068939208984</v>
          </cell>
          <cell r="C68">
            <v>150</v>
          </cell>
        </row>
        <row r="69">
          <cell r="A69" t="str">
            <v>N.PEÇANHA</v>
          </cell>
          <cell r="B69">
            <v>100</v>
          </cell>
          <cell r="C69">
            <v>380</v>
          </cell>
        </row>
        <row r="70">
          <cell r="A70" t="str">
            <v>P.PASSOS</v>
          </cell>
          <cell r="B70">
            <v>100</v>
          </cell>
          <cell r="C70">
            <v>100</v>
          </cell>
        </row>
        <row r="71">
          <cell r="A71" t="str">
            <v>S.BRANCA</v>
          </cell>
          <cell r="B71">
            <v>21.0526313781738</v>
          </cell>
          <cell r="C71">
            <v>12</v>
          </cell>
        </row>
        <row r="72">
          <cell r="A72" t="str">
            <v>PCH CEEE</v>
          </cell>
          <cell r="B72">
            <v>106.583076477051</v>
          </cell>
          <cell r="C72">
            <v>34</v>
          </cell>
        </row>
        <row r="73">
          <cell r="A73" t="str">
            <v>CANASTRA</v>
          </cell>
          <cell r="B73">
            <v>79.5454559326172</v>
          </cell>
          <cell r="C73">
            <v>35</v>
          </cell>
        </row>
        <row r="74">
          <cell r="A74" t="str">
            <v>ITAUBA</v>
          </cell>
          <cell r="B74">
            <v>100</v>
          </cell>
          <cell r="C74">
            <v>500</v>
          </cell>
        </row>
        <row r="75">
          <cell r="A75" t="str">
            <v>JACUI</v>
          </cell>
          <cell r="B75">
            <v>100</v>
          </cell>
          <cell r="C75">
            <v>180</v>
          </cell>
        </row>
        <row r="76">
          <cell r="A76" t="str">
            <v>PASSO REAL</v>
          </cell>
          <cell r="B76">
            <v>100</v>
          </cell>
          <cell r="C76">
            <v>155</v>
          </cell>
        </row>
        <row r="77">
          <cell r="A77" t="str">
            <v>GBM</v>
          </cell>
          <cell r="B77">
            <v>99.8209991455078</v>
          </cell>
          <cell r="C77">
            <v>1673</v>
          </cell>
        </row>
        <row r="78">
          <cell r="A78" t="str">
            <v>GPS</v>
          </cell>
          <cell r="B78">
            <v>100</v>
          </cell>
          <cell r="C78">
            <v>260</v>
          </cell>
        </row>
        <row r="79">
          <cell r="A79" t="str">
            <v>PCH COPEL</v>
          </cell>
          <cell r="B79">
            <v>0</v>
          </cell>
          <cell r="C79">
            <v>101</v>
          </cell>
        </row>
        <row r="80">
          <cell r="A80" t="str">
            <v>S.CAXIAS</v>
          </cell>
          <cell r="B80">
            <v>100</v>
          </cell>
          <cell r="C80">
            <v>1240</v>
          </cell>
        </row>
        <row r="81">
          <cell r="A81" t="str">
            <v>SEGREDO</v>
          </cell>
          <cell r="B81">
            <v>87.6984100341797</v>
          </cell>
          <cell r="C81">
            <v>1105</v>
          </cell>
        </row>
        <row r="82">
          <cell r="A82" t="str">
            <v>ITÁ</v>
          </cell>
          <cell r="B82">
            <v>101.37931060791</v>
          </cell>
          <cell r="C82">
            <v>1176</v>
          </cell>
        </row>
        <row r="83">
          <cell r="A83" t="str">
            <v>P.FUNDO</v>
          </cell>
          <cell r="B83">
            <v>100</v>
          </cell>
          <cell r="C83">
            <v>226</v>
          </cell>
        </row>
        <row r="84">
          <cell r="A84" t="str">
            <v>S.OSORIO</v>
          </cell>
          <cell r="B84">
            <v>76.0589294433594</v>
          </cell>
          <cell r="C84">
            <v>826</v>
          </cell>
        </row>
        <row r="85">
          <cell r="A85" t="str">
            <v>S.SANTIAGO</v>
          </cell>
          <cell r="B85">
            <v>100</v>
          </cell>
          <cell r="C85">
            <v>1420</v>
          </cell>
        </row>
        <row r="86">
          <cell r="A86" t="str">
            <v>PUS ENERSUL</v>
          </cell>
          <cell r="B86">
            <v>90.0621109008789</v>
          </cell>
          <cell r="C86">
            <v>29</v>
          </cell>
        </row>
        <row r="87">
          <cell r="A87" t="str">
            <v>PCH CELESC</v>
          </cell>
          <cell r="B87">
            <v>67.6864700317383</v>
          </cell>
          <cell r="C87">
            <v>50</v>
          </cell>
        </row>
        <row r="88">
          <cell r="A88" t="str">
            <v>ITAIPU 50 Hz</v>
          </cell>
          <cell r="B88">
            <v>88.2063522338867</v>
          </cell>
          <cell r="C88">
            <v>5557</v>
          </cell>
        </row>
        <row r="89">
          <cell r="A89" t="str">
            <v>ITAIPU 60 Hz</v>
          </cell>
          <cell r="B89">
            <v>90.1587295532227</v>
          </cell>
          <cell r="C89">
            <v>5680</v>
          </cell>
        </row>
        <row r="90">
          <cell r="A90" t="str">
            <v>PCH CHESF</v>
          </cell>
          <cell r="B90">
            <v>69.5652160644531</v>
          </cell>
          <cell r="C90">
            <v>40</v>
          </cell>
        </row>
        <row r="91">
          <cell r="A91" t="str">
            <v>APOLÔNIO SALLES</v>
          </cell>
          <cell r="B91">
            <v>75</v>
          </cell>
          <cell r="C91">
            <v>300</v>
          </cell>
        </row>
        <row r="92">
          <cell r="A92" t="str">
            <v>BOA ESPERANÇA</v>
          </cell>
          <cell r="B92">
            <v>100</v>
          </cell>
          <cell r="C92">
            <v>225</v>
          </cell>
        </row>
        <row r="93">
          <cell r="A93" t="str">
            <v>LUIS GONZAGA</v>
          </cell>
          <cell r="B93">
            <v>79</v>
          </cell>
          <cell r="C93">
            <v>1185</v>
          </cell>
        </row>
        <row r="94">
          <cell r="A94" t="str">
            <v>SOBRADINHO</v>
          </cell>
          <cell r="B94">
            <v>81.2380981445313</v>
          </cell>
          <cell r="C94">
            <v>853</v>
          </cell>
        </row>
        <row r="95">
          <cell r="A95" t="str">
            <v>P.AFONSO 1</v>
          </cell>
          <cell r="B95">
            <v>66.6666641235352</v>
          </cell>
          <cell r="C95">
            <v>120</v>
          </cell>
        </row>
        <row r="96">
          <cell r="A96" t="str">
            <v>P.AFONSO 2</v>
          </cell>
          <cell r="B96">
            <v>49.8876419067383</v>
          </cell>
          <cell r="C96">
            <v>222</v>
          </cell>
        </row>
        <row r="97">
          <cell r="A97" t="str">
            <v>P.AFONSO 3</v>
          </cell>
          <cell r="B97">
            <v>75</v>
          </cell>
          <cell r="C97">
            <v>600</v>
          </cell>
        </row>
        <row r="98">
          <cell r="A98" t="str">
            <v>P.AFONSO 4</v>
          </cell>
          <cell r="B98">
            <v>83.3333358764648</v>
          </cell>
          <cell r="C98">
            <v>2050</v>
          </cell>
        </row>
        <row r="99">
          <cell r="A99" t="str">
            <v>XINGÓ</v>
          </cell>
          <cell r="B99">
            <v>83.3333358764648</v>
          </cell>
          <cell r="C99">
            <v>2635</v>
          </cell>
        </row>
        <row r="100">
          <cell r="A100" t="str">
            <v>TUCURUI</v>
          </cell>
          <cell r="B100">
            <v>88</v>
          </cell>
          <cell r="C100">
            <v>3696</v>
          </cell>
        </row>
        <row r="101">
          <cell r="A101" t="str">
            <v>AUX. TUCURUI</v>
          </cell>
          <cell r="B101">
            <v>95</v>
          </cell>
          <cell r="C101">
            <v>38</v>
          </cell>
        </row>
        <row r="102">
          <cell r="A102" t="str">
            <v>CURUA-UNA</v>
          </cell>
          <cell r="B102">
            <v>100</v>
          </cell>
          <cell r="C102">
            <v>30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D9">
            <v>756.15</v>
          </cell>
          <cell r="E9">
            <v>23.6</v>
          </cell>
          <cell r="F9">
            <v>722</v>
          </cell>
          <cell r="G9">
            <v>722</v>
          </cell>
          <cell r="H9">
            <v>0</v>
          </cell>
        </row>
        <row r="10">
          <cell r="D10">
            <v>663.78</v>
          </cell>
          <cell r="E10">
            <v>77.87</v>
          </cell>
          <cell r="F10">
            <v>745</v>
          </cell>
          <cell r="G10">
            <v>798</v>
          </cell>
          <cell r="H10">
            <v>0</v>
          </cell>
        </row>
        <row r="11">
          <cell r="D11">
            <v>432.92</v>
          </cell>
          <cell r="E11">
            <v>20.24</v>
          </cell>
          <cell r="F11">
            <v>1412</v>
          </cell>
          <cell r="G11">
            <v>1734</v>
          </cell>
          <cell r="H11">
            <v>0</v>
          </cell>
        </row>
        <row r="12">
          <cell r="D12">
            <v>376.35</v>
          </cell>
          <cell r="E12">
            <v>25.03</v>
          </cell>
          <cell r="F12">
            <v>1933</v>
          </cell>
          <cell r="G12">
            <v>2146</v>
          </cell>
          <cell r="H12">
            <v>0</v>
          </cell>
        </row>
        <row r="13">
          <cell r="D13">
            <v>631</v>
          </cell>
          <cell r="E13">
            <v>23.97</v>
          </cell>
          <cell r="F13">
            <v>310</v>
          </cell>
          <cell r="G13">
            <v>197</v>
          </cell>
          <cell r="H13">
            <v>0</v>
          </cell>
        </row>
        <row r="14">
          <cell r="D14">
            <v>787.41</v>
          </cell>
          <cell r="E14">
            <v>18.62</v>
          </cell>
          <cell r="F14">
            <v>222</v>
          </cell>
          <cell r="G14">
            <v>199</v>
          </cell>
          <cell r="H14">
            <v>0</v>
          </cell>
        </row>
        <row r="15">
          <cell r="D15">
            <v>504.1</v>
          </cell>
          <cell r="E15">
            <v>25.18</v>
          </cell>
          <cell r="F15">
            <v>940</v>
          </cell>
          <cell r="G15">
            <v>1487</v>
          </cell>
          <cell r="H15">
            <v>0</v>
          </cell>
        </row>
        <row r="16">
          <cell r="D16">
            <v>396.26</v>
          </cell>
          <cell r="E16">
            <v>50.95</v>
          </cell>
          <cell r="F16">
            <v>2527</v>
          </cell>
          <cell r="G16">
            <v>2592</v>
          </cell>
          <cell r="H16">
            <v>0</v>
          </cell>
        </row>
        <row r="17">
          <cell r="D17">
            <v>324.64</v>
          </cell>
          <cell r="E17">
            <v>30.82</v>
          </cell>
          <cell r="F17">
            <v>5563</v>
          </cell>
          <cell r="G17">
            <v>5686</v>
          </cell>
          <cell r="H17">
            <v>0</v>
          </cell>
        </row>
        <row r="18">
          <cell r="D18">
            <v>279.72</v>
          </cell>
          <cell r="E18">
            <v>89.86</v>
          </cell>
          <cell r="F18">
            <v>7209</v>
          </cell>
          <cell r="G18">
            <v>7134</v>
          </cell>
          <cell r="H18">
            <v>0</v>
          </cell>
        </row>
        <row r="19">
          <cell r="D19">
            <v>220.24</v>
          </cell>
          <cell r="E19">
            <v>0</v>
          </cell>
          <cell r="F19">
            <v>13952</v>
          </cell>
          <cell r="G19">
            <v>15054</v>
          </cell>
          <cell r="H19">
            <v>4924</v>
          </cell>
        </row>
        <row r="20">
          <cell r="D20">
            <v>447.86</v>
          </cell>
          <cell r="E20">
            <v>60.45</v>
          </cell>
          <cell r="F20">
            <v>546</v>
          </cell>
          <cell r="G20">
            <v>661</v>
          </cell>
          <cell r="H20">
            <v>32</v>
          </cell>
        </row>
        <row r="21">
          <cell r="D21">
            <v>382.59</v>
          </cell>
          <cell r="E21">
            <v>65.64</v>
          </cell>
          <cell r="F21">
            <v>971</v>
          </cell>
          <cell r="G21">
            <v>795</v>
          </cell>
          <cell r="H21">
            <v>0</v>
          </cell>
        </row>
        <row r="22">
          <cell r="D22">
            <v>324.76</v>
          </cell>
          <cell r="E22">
            <v>32.94</v>
          </cell>
          <cell r="F22">
            <v>615</v>
          </cell>
          <cell r="G22">
            <v>692</v>
          </cell>
          <cell r="H22">
            <v>0</v>
          </cell>
        </row>
        <row r="23">
          <cell r="D23">
            <v>564.7</v>
          </cell>
          <cell r="E23">
            <v>56.27</v>
          </cell>
          <cell r="F23">
            <v>183</v>
          </cell>
          <cell r="G23">
            <v>93</v>
          </cell>
          <cell r="H23">
            <v>0</v>
          </cell>
        </row>
        <row r="24">
          <cell r="D24">
            <v>469.02</v>
          </cell>
          <cell r="E24">
            <v>39.51</v>
          </cell>
          <cell r="F24">
            <v>223</v>
          </cell>
          <cell r="G24">
            <v>184</v>
          </cell>
          <cell r="H24">
            <v>0</v>
          </cell>
        </row>
        <row r="25">
          <cell r="D25">
            <v>330.43</v>
          </cell>
          <cell r="E25">
            <v>66.7</v>
          </cell>
          <cell r="F25">
            <v>1219</v>
          </cell>
          <cell r="G25">
            <v>1332</v>
          </cell>
          <cell r="H25">
            <v>0</v>
          </cell>
        </row>
        <row r="26">
          <cell r="D26">
            <v>741.12</v>
          </cell>
          <cell r="E26">
            <v>96.85</v>
          </cell>
          <cell r="F26">
            <v>1143</v>
          </cell>
          <cell r="G26">
            <v>1033</v>
          </cell>
          <cell r="H26">
            <v>0</v>
          </cell>
        </row>
        <row r="27">
          <cell r="D27">
            <v>505.72</v>
          </cell>
          <cell r="E27">
            <v>98.58</v>
          </cell>
          <cell r="F27">
            <v>1222</v>
          </cell>
          <cell r="G27">
            <v>1006</v>
          </cell>
          <cell r="H27">
            <v>0</v>
          </cell>
        </row>
        <row r="28">
          <cell r="D28">
            <v>561.01</v>
          </cell>
          <cell r="E28">
            <v>38</v>
          </cell>
          <cell r="F28">
            <v>357</v>
          </cell>
          <cell r="G28">
            <v>586</v>
          </cell>
        </row>
        <row r="29">
          <cell r="D29">
            <v>387.54</v>
          </cell>
          <cell r="E29">
            <v>43.03</v>
          </cell>
          <cell r="F29">
            <v>2850</v>
          </cell>
          <cell r="G29">
            <v>2076</v>
          </cell>
          <cell r="H29">
            <v>0</v>
          </cell>
        </row>
        <row r="30">
          <cell r="D30">
            <v>301.8</v>
          </cell>
          <cell r="E30">
            <v>52.42</v>
          </cell>
          <cell r="F30">
            <v>1684</v>
          </cell>
          <cell r="G30">
            <v>2019</v>
          </cell>
          <cell r="H30">
            <v>0</v>
          </cell>
        </row>
        <row r="31">
          <cell r="D31">
            <v>440.3</v>
          </cell>
          <cell r="E31">
            <v>37.63</v>
          </cell>
          <cell r="F31">
            <v>453</v>
          </cell>
          <cell r="G31">
            <v>1078</v>
          </cell>
          <cell r="H31">
            <v>0</v>
          </cell>
        </row>
        <row r="32">
          <cell r="D32">
            <v>71.14</v>
          </cell>
          <cell r="E32">
            <v>94.57</v>
          </cell>
          <cell r="F32">
            <v>14535</v>
          </cell>
          <cell r="G32">
            <v>13783</v>
          </cell>
        </row>
      </sheetData>
      <sheetData sheetId="15">
        <row r="58">
          <cell r="H58">
            <v>-1.0867</v>
          </cell>
        </row>
        <row r="59">
          <cell r="H5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85"/>
    <col collapsed="false" customWidth="true" hidden="false" outlineLevel="0" max="2" min="2" style="0" width="9.56"/>
    <col collapsed="false" customWidth="true" hidden="false" outlineLevel="0" max="4" min="3" style="0" width="9.85"/>
    <col collapsed="false" customWidth="true" hidden="false" outlineLevel="0" max="5" min="5" style="0" width="5.28"/>
    <col collapsed="false" customWidth="true" hidden="false" outlineLevel="0" max="6" min="6" style="0" width="11.99"/>
    <col collapsed="false" customWidth="true" hidden="false" outlineLevel="0" max="7" min="7" style="0" width="12.42"/>
    <col collapsed="false" customWidth="true" hidden="false" outlineLevel="0" max="13" min="8" style="0" width="9.28"/>
    <col collapsed="false" customWidth="true" hidden="false" outlineLevel="0" max="14" min="14" style="0" width="4.56"/>
    <col collapsed="false" customWidth="true" hidden="false" outlineLevel="0" max="18" min="15" style="0" width="9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6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2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2" hidden="false" customHeight="true" outlineLevel="0" collapsed="false"/>
    <row r="5" customFormat="false" ht="12" hidden="false" customHeight="true" outlineLevel="0" collapsed="false">
      <c r="A5" s="4" t="s">
        <v>2</v>
      </c>
      <c r="B5" s="5"/>
      <c r="C5" s="5"/>
      <c r="D5" s="6"/>
      <c r="F5" s="7" t="s">
        <v>3</v>
      </c>
      <c r="G5" s="8"/>
      <c r="H5" s="8"/>
      <c r="I5" s="8"/>
      <c r="J5" s="8"/>
      <c r="K5" s="8"/>
      <c r="L5" s="8"/>
      <c r="M5" s="9"/>
      <c r="O5" s="10" t="s">
        <v>4</v>
      </c>
      <c r="P5" s="11"/>
      <c r="Q5" s="11"/>
      <c r="R5" s="12"/>
    </row>
    <row r="6" customFormat="false" ht="12" hidden="false" customHeight="true" outlineLevel="0" collapsed="false">
      <c r="A6" s="13"/>
      <c r="B6" s="14"/>
      <c r="C6" s="14"/>
      <c r="D6" s="15"/>
      <c r="E6" s="16"/>
      <c r="F6" s="17" t="s">
        <v>5</v>
      </c>
      <c r="G6" s="18"/>
      <c r="H6" s="19" t="s">
        <v>6</v>
      </c>
      <c r="I6" s="20" t="s">
        <v>7</v>
      </c>
      <c r="J6" s="21" t="s">
        <v>8</v>
      </c>
      <c r="K6" s="21"/>
      <c r="L6" s="21"/>
      <c r="M6" s="21"/>
      <c r="N6" s="16"/>
      <c r="O6" s="22"/>
      <c r="P6" s="23"/>
      <c r="Q6" s="23"/>
      <c r="R6" s="24"/>
    </row>
    <row r="7" customFormat="false" ht="12" hidden="false" customHeight="true" outlineLevel="0" collapsed="false">
      <c r="A7" s="25" t="s">
        <v>9</v>
      </c>
      <c r="B7" s="25"/>
      <c r="C7" s="25"/>
      <c r="D7" s="25"/>
      <c r="E7" s="16"/>
      <c r="F7" s="26"/>
      <c r="G7" s="27"/>
      <c r="H7" s="28" t="s">
        <v>10</v>
      </c>
      <c r="I7" s="29" t="s">
        <v>11</v>
      </c>
      <c r="J7" s="30" t="s">
        <v>12</v>
      </c>
      <c r="K7" s="30" t="s">
        <v>13</v>
      </c>
      <c r="L7" s="30" t="s">
        <v>14</v>
      </c>
      <c r="M7" s="31" t="s">
        <v>15</v>
      </c>
      <c r="N7" s="16"/>
      <c r="O7" s="32" t="s">
        <v>16</v>
      </c>
      <c r="P7" s="32"/>
      <c r="Q7" s="32"/>
      <c r="R7" s="32"/>
    </row>
    <row r="8" customFormat="false" ht="12" hidden="false" customHeight="true" outlineLevel="0" collapsed="false">
      <c r="A8" s="32" t="s">
        <v>17</v>
      </c>
      <c r="B8" s="33" t="s">
        <v>18</v>
      </c>
      <c r="C8" s="34" t="s">
        <v>19</v>
      </c>
      <c r="D8" s="35" t="s">
        <v>20</v>
      </c>
      <c r="E8" s="16"/>
      <c r="F8" s="36" t="s">
        <v>21</v>
      </c>
      <c r="G8" s="37"/>
      <c r="H8" s="38"/>
      <c r="I8" s="38"/>
      <c r="J8" s="39"/>
      <c r="K8" s="39"/>
      <c r="L8" s="39"/>
      <c r="M8" s="40"/>
      <c r="N8" s="16"/>
      <c r="O8" s="41" t="s">
        <v>22</v>
      </c>
      <c r="P8" s="42" t="n">
        <v>1999</v>
      </c>
      <c r="Q8" s="42" t="n">
        <v>2000</v>
      </c>
      <c r="R8" s="43" t="s">
        <v>23</v>
      </c>
    </row>
    <row r="9" customFormat="false" ht="12" hidden="false" customHeight="true" outlineLevel="0" collapsed="false">
      <c r="A9" s="44" t="s">
        <v>24</v>
      </c>
      <c r="B9" s="45" t="n">
        <f aca="false">'[1]1-Balanço Energético '!$B$8</f>
        <v>15494</v>
      </c>
      <c r="C9" s="46" t="n">
        <f aca="false">'[1]1-Balanço Energético '!$C$8</f>
        <v>16627.2458333333</v>
      </c>
      <c r="D9" s="47" t="n">
        <f aca="false">IF((OR(B9=0,AND(B9&lt;0,C9&gt;0),AND(B9&gt;0,C9&lt;0))),"n/m",((C9-B9)/B9)*100)</f>
        <v>7.31409470332605</v>
      </c>
      <c r="E9" s="16"/>
      <c r="F9" s="48" t="s">
        <v>25</v>
      </c>
      <c r="G9" s="49" t="s">
        <v>26</v>
      </c>
      <c r="H9" s="50" t="n">
        <f aca="false">'[1]8-Acomp. Hidrologia'!D9</f>
        <v>756.15</v>
      </c>
      <c r="I9" s="50" t="n">
        <f aca="false">'[1]8-Acomp. Hidrologia'!E9</f>
        <v>23.6</v>
      </c>
      <c r="J9" s="50" t="n">
        <f aca="false">'[1]8-Acomp. Hidrologia'!F9</f>
        <v>722</v>
      </c>
      <c r="K9" s="50" t="n">
        <f aca="false">'[1]8-Acomp. Hidrologia'!G9</f>
        <v>722</v>
      </c>
      <c r="L9" s="51" t="n">
        <f aca="false">J9-K9</f>
        <v>0</v>
      </c>
      <c r="M9" s="50" t="n">
        <f aca="false">'[1]8-Acomp. Hidrologia'!H9</f>
        <v>0</v>
      </c>
      <c r="N9" s="16"/>
      <c r="O9" s="52" t="s">
        <v>27</v>
      </c>
      <c r="P9" s="53" t="n">
        <v>57.6</v>
      </c>
      <c r="Q9" s="53" t="n">
        <v>30.62</v>
      </c>
      <c r="R9" s="54" t="n">
        <f aca="false">(Q9-P9)/P9</f>
        <v>-0.468402777777778</v>
      </c>
    </row>
    <row r="10" customFormat="false" ht="12" hidden="false" customHeight="true" outlineLevel="0" collapsed="false">
      <c r="A10" s="55" t="s">
        <v>28</v>
      </c>
      <c r="B10" s="56" t="n">
        <f aca="false">'[1]1-Balanço Energético '!$B$9</f>
        <v>836</v>
      </c>
      <c r="C10" s="57" t="n">
        <f aca="false">'[1]1-Balanço Energético '!$C$9</f>
        <v>780</v>
      </c>
      <c r="D10" s="58" t="n">
        <f aca="false">IF((OR(B10=0,AND(B10&lt;0,C10&gt;0),AND(B10&gt;0,C10&lt;0))),"n/m",((C10-B10)/B10)*100)</f>
        <v>-6.69856459330144</v>
      </c>
      <c r="E10" s="16"/>
      <c r="F10" s="59"/>
      <c r="G10" s="60" t="s">
        <v>29</v>
      </c>
      <c r="H10" s="61" t="n">
        <f aca="false">'[1]8-Acomp. Hidrologia'!D10</f>
        <v>663.78</v>
      </c>
      <c r="I10" s="61" t="n">
        <f aca="false">'[1]8-Acomp. Hidrologia'!E10</f>
        <v>77.87</v>
      </c>
      <c r="J10" s="61" t="n">
        <f aca="false">'[1]8-Acomp. Hidrologia'!F10</f>
        <v>745</v>
      </c>
      <c r="K10" s="61" t="n">
        <f aca="false">'[1]8-Acomp. Hidrologia'!G10</f>
        <v>798</v>
      </c>
      <c r="L10" s="62" t="n">
        <f aca="false">J10-K10</f>
        <v>-53</v>
      </c>
      <c r="M10" s="61" t="n">
        <f aca="false">'[1]8-Acomp. Hidrologia'!H10</f>
        <v>0</v>
      </c>
      <c r="N10" s="16"/>
      <c r="O10" s="52" t="s">
        <v>30</v>
      </c>
      <c r="P10" s="53" t="n">
        <v>61</v>
      </c>
      <c r="Q10" s="53" t="n">
        <v>45.1672357685509</v>
      </c>
      <c r="R10" s="54" t="n">
        <f aca="false">(Q10-P10)/P10</f>
        <v>-0.259553511990968</v>
      </c>
    </row>
    <row r="11" customFormat="false" ht="12" hidden="false" customHeight="true" outlineLevel="0" collapsed="false">
      <c r="A11" s="55" t="s">
        <v>31</v>
      </c>
      <c r="B11" s="56" t="n">
        <f aca="false">'[1]1-Balanço Energético '!$B$10</f>
        <v>600</v>
      </c>
      <c r="C11" s="57" t="n">
        <f aca="false">'[1]1-Balanço Energético '!$C$10</f>
        <v>574</v>
      </c>
      <c r="D11" s="58" t="n">
        <f aca="false">IF((OR(B11=0,AND(B11&lt;0,C11&gt;0),AND(B11&gt;0,C11&lt;0))),"n/m",((C11-B11)/B11)*100)</f>
        <v>-4.33333333333333</v>
      </c>
      <c r="E11" s="16"/>
      <c r="F11" s="59"/>
      <c r="G11" s="60" t="s">
        <v>32</v>
      </c>
      <c r="H11" s="61" t="n">
        <f aca="false">'[1]8-Acomp. Hidrologia'!D11</f>
        <v>432.92</v>
      </c>
      <c r="I11" s="61" t="n">
        <f aca="false">'[1]8-Acomp. Hidrologia'!E11</f>
        <v>20.24</v>
      </c>
      <c r="J11" s="61" t="n">
        <f aca="false">'[1]8-Acomp. Hidrologia'!F11</f>
        <v>1412</v>
      </c>
      <c r="K11" s="61" t="n">
        <f aca="false">'[1]8-Acomp. Hidrologia'!G11</f>
        <v>1734</v>
      </c>
      <c r="L11" s="62" t="n">
        <f aca="false">J11-K11</f>
        <v>-322</v>
      </c>
      <c r="M11" s="61" t="n">
        <f aca="false">'[1]8-Acomp. Hidrologia'!H11</f>
        <v>0</v>
      </c>
      <c r="N11" s="16"/>
      <c r="O11" s="52" t="s">
        <v>33</v>
      </c>
      <c r="P11" s="53" t="n">
        <v>71.2</v>
      </c>
      <c r="Q11" s="53" t="n">
        <v>58.0491905369497</v>
      </c>
      <c r="R11" s="54" t="n">
        <f aca="false">(Q11-P11)/P11</f>
        <v>-0.184702380099021</v>
      </c>
    </row>
    <row r="12" customFormat="false" ht="12" hidden="false" customHeight="true" outlineLevel="0" collapsed="false">
      <c r="A12" s="55" t="s">
        <v>34</v>
      </c>
      <c r="B12" s="56" t="n">
        <f aca="false">SUM(B9:B11)</f>
        <v>16930</v>
      </c>
      <c r="C12" s="57" t="n">
        <f aca="false">SUM(C9:C11)</f>
        <v>17981.2458333333</v>
      </c>
      <c r="D12" s="58" t="n">
        <f aca="false">IF((OR(B12=0,AND(B12&lt;0,C12&gt;0),AND(B12&gt;0,C12&lt;0))),"n/m",((C12-B12)/B12)*100)</f>
        <v>6.20936700137825</v>
      </c>
      <c r="E12" s="16"/>
      <c r="F12" s="59"/>
      <c r="G12" s="60" t="s">
        <v>35</v>
      </c>
      <c r="H12" s="61" t="n">
        <f aca="false">'[1]8-Acomp. Hidrologia'!D12</f>
        <v>376.35</v>
      </c>
      <c r="I12" s="61" t="n">
        <f aca="false">'[1]8-Acomp. Hidrologia'!E12</f>
        <v>25.03</v>
      </c>
      <c r="J12" s="61" t="n">
        <f aca="false">'[1]8-Acomp. Hidrologia'!F12</f>
        <v>1933</v>
      </c>
      <c r="K12" s="61" t="n">
        <f aca="false">'[1]8-Acomp. Hidrologia'!G12</f>
        <v>2146</v>
      </c>
      <c r="L12" s="62" t="n">
        <f aca="false">J12-K12</f>
        <v>-213</v>
      </c>
      <c r="M12" s="61" t="n">
        <f aca="false">'[1]8-Acomp. Hidrologia'!H12</f>
        <v>0</v>
      </c>
      <c r="N12" s="16"/>
      <c r="O12" s="52" t="s">
        <v>36</v>
      </c>
      <c r="P12" s="53" t="n">
        <v>70.4</v>
      </c>
      <c r="Q12" s="53" t="n">
        <v>57.9894026478748</v>
      </c>
      <c r="R12" s="54" t="n">
        <f aca="false">(Q12-P12)/P12</f>
        <v>-0.176286894206324</v>
      </c>
    </row>
    <row r="13" customFormat="false" ht="12" hidden="false" customHeight="true" outlineLevel="0" collapsed="false">
      <c r="A13" s="55" t="s">
        <v>37</v>
      </c>
      <c r="B13" s="56" t="n">
        <f aca="false">'[1]1-Balanço Energético '!$B$12+'[1]1-Balanço Energético '!$G$11</f>
        <v>9563</v>
      </c>
      <c r="C13" s="57" t="n">
        <f aca="false">'[1]1-Balanço Energético '!$C$12+'[1]1-Balanço Energético '!$H$11</f>
        <v>9255.92083333333</v>
      </c>
      <c r="D13" s="58" t="n">
        <f aca="false">IF((OR(B13=0,AND(B13&lt;0,C13&gt;0),AND(B13&gt;0,C13&lt;0))),"n/m",((C13-B13)/B13)*100)</f>
        <v>-3.2111175014814</v>
      </c>
      <c r="E13" s="16"/>
      <c r="F13" s="63" t="s">
        <v>38</v>
      </c>
      <c r="G13" s="60" t="s">
        <v>39</v>
      </c>
      <c r="H13" s="61" t="n">
        <f aca="false">'[1]8-Acomp. Hidrologia'!D13</f>
        <v>631</v>
      </c>
      <c r="I13" s="61" t="n">
        <f aca="false">'[1]8-Acomp. Hidrologia'!E13</f>
        <v>23.97</v>
      </c>
      <c r="J13" s="61" t="n">
        <f aca="false">'[1]8-Acomp. Hidrologia'!F13</f>
        <v>310</v>
      </c>
      <c r="K13" s="61" t="n">
        <f aca="false">'[1]8-Acomp. Hidrologia'!G13</f>
        <v>197</v>
      </c>
      <c r="L13" s="62" t="n">
        <f aca="false">J13-K13</f>
        <v>113</v>
      </c>
      <c r="M13" s="61" t="n">
        <f aca="false">'[1]8-Acomp. Hidrologia'!H13</f>
        <v>0</v>
      </c>
      <c r="N13" s="16"/>
      <c r="O13" s="52" t="s">
        <v>40</v>
      </c>
      <c r="P13" s="53" t="n">
        <v>65.3</v>
      </c>
      <c r="Q13" s="53" t="n">
        <v>52.41</v>
      </c>
      <c r="R13" s="54" t="n">
        <f aca="false">(Q13-P13)/P13</f>
        <v>-0.19739663093415</v>
      </c>
    </row>
    <row r="14" customFormat="false" ht="12" hidden="false" customHeight="true" outlineLevel="0" collapsed="false">
      <c r="A14" s="64" t="s">
        <v>41</v>
      </c>
      <c r="B14" s="56" t="n">
        <f aca="false">'[1]1-Balanço Energético '!$B$13</f>
        <v>27841</v>
      </c>
      <c r="C14" s="57" t="n">
        <f aca="false">'[1]1-Balanço Energético '!$C$13</f>
        <v>28388.5375</v>
      </c>
      <c r="D14" s="58" t="n">
        <f aca="false">IF((OR(B14=0,AND(B14&lt;0,C14&gt;0),AND(B14&gt;0,C14&lt;0))),"n/m",((C14-B14)/B14)*100)</f>
        <v>1.96665888437916</v>
      </c>
      <c r="E14" s="16"/>
      <c r="F14" s="65"/>
      <c r="G14" s="60" t="s">
        <v>42</v>
      </c>
      <c r="H14" s="61" t="n">
        <f aca="false">'[1]8-Acomp. Hidrologia'!D14</f>
        <v>787.41</v>
      </c>
      <c r="I14" s="61" t="n">
        <f aca="false">'[1]8-Acomp. Hidrologia'!E14</f>
        <v>18.62</v>
      </c>
      <c r="J14" s="61" t="n">
        <f aca="false">'[1]8-Acomp. Hidrologia'!F14</f>
        <v>222</v>
      </c>
      <c r="K14" s="61" t="n">
        <f aca="false">'[1]8-Acomp. Hidrologia'!G14</f>
        <v>199</v>
      </c>
      <c r="L14" s="62" t="n">
        <f aca="false">J14-K14</f>
        <v>23</v>
      </c>
      <c r="M14" s="61" t="n">
        <f aca="false">'[1]8-Acomp. Hidrologia'!H14</f>
        <v>0</v>
      </c>
      <c r="N14" s="16"/>
      <c r="O14" s="52" t="s">
        <v>43</v>
      </c>
      <c r="P14" s="53" t="n">
        <v>61.4</v>
      </c>
      <c r="Q14" s="53" t="n">
        <v>46.16</v>
      </c>
      <c r="R14" s="54" t="n">
        <f aca="false">(Q14-P14)/P14</f>
        <v>-0.248208469055375</v>
      </c>
    </row>
    <row r="15" customFormat="false" ht="12" hidden="false" customHeight="true" outlineLevel="0" collapsed="false">
      <c r="A15" s="64" t="s">
        <v>44</v>
      </c>
      <c r="B15" s="56" t="n">
        <f aca="false">'[1]1-Balanço Energético '!$G$11+'[1]1-Balanço Energético '!$B$14</f>
        <v>-817</v>
      </c>
      <c r="C15" s="57" t="n">
        <f aca="false">'[1]1-Balanço Energético '!$H$11+'[1]1-Balanço Energético '!$C$14</f>
        <v>-705.195833333331</v>
      </c>
      <c r="D15" s="58" t="n">
        <f aca="false">IF((OR(B15=0,AND(B15&lt;0,C15&gt;0),AND(B15&gt;0,C15&lt;0))),"n/m",((C15-B15)/B15)*100)</f>
        <v>-13.6847205222361</v>
      </c>
      <c r="E15" s="16"/>
      <c r="F15" s="65"/>
      <c r="G15" s="60" t="s">
        <v>45</v>
      </c>
      <c r="H15" s="61" t="n">
        <f aca="false">'[1]8-Acomp. Hidrologia'!D15</f>
        <v>504.1</v>
      </c>
      <c r="I15" s="61" t="n">
        <f aca="false">'[1]8-Acomp. Hidrologia'!E15</f>
        <v>25.18</v>
      </c>
      <c r="J15" s="61" t="n">
        <f aca="false">'[1]8-Acomp. Hidrologia'!F15</f>
        <v>940</v>
      </c>
      <c r="K15" s="61" t="n">
        <f aca="false">'[1]8-Acomp. Hidrologia'!G15</f>
        <v>1487</v>
      </c>
      <c r="L15" s="62" t="n">
        <f aca="false">J15-K15</f>
        <v>-547</v>
      </c>
      <c r="M15" s="61" t="n">
        <f aca="false">'[1]8-Acomp. Hidrologia'!H15</f>
        <v>0</v>
      </c>
      <c r="N15" s="16"/>
      <c r="O15" s="52" t="s">
        <v>46</v>
      </c>
      <c r="P15" s="53" t="n">
        <v>57</v>
      </c>
      <c r="Q15" s="53" t="n">
        <v>40.48</v>
      </c>
      <c r="R15" s="54" t="n">
        <f aca="false">(Q15-P15)/P15</f>
        <v>-0.289824561403509</v>
      </c>
    </row>
    <row r="16" customFormat="false" ht="12" hidden="false" customHeight="true" outlineLevel="0" collapsed="false">
      <c r="A16" s="64" t="s">
        <v>47</v>
      </c>
      <c r="B16" s="56" t="n">
        <f aca="false">'[1]1-Balanço Energético '!$B$15</f>
        <v>-531</v>
      </c>
      <c r="C16" s="57" t="n">
        <f aca="false">'[1]1-Balanço Energético '!$C$15</f>
        <v>-446.175</v>
      </c>
      <c r="D16" s="58" t="n">
        <f aca="false">IF((OR(B16=0,AND(B16&lt;0,C16&gt;0),AND(B16&gt;0,C16&lt;0))),"n/m",((C16-B16)/B16)*100)</f>
        <v>-15.9745762711864</v>
      </c>
      <c r="E16" s="16"/>
      <c r="F16" s="65"/>
      <c r="G16" s="60" t="s">
        <v>48</v>
      </c>
      <c r="H16" s="61" t="n">
        <f aca="false">'[1]8-Acomp. Hidrologia'!D16</f>
        <v>396.26</v>
      </c>
      <c r="I16" s="61" t="n">
        <f aca="false">'[1]8-Acomp. Hidrologia'!E16</f>
        <v>50.95</v>
      </c>
      <c r="J16" s="61" t="n">
        <f aca="false">'[1]8-Acomp. Hidrologia'!F16</f>
        <v>2527</v>
      </c>
      <c r="K16" s="61" t="n">
        <f aca="false">'[1]8-Acomp. Hidrologia'!G16</f>
        <v>2592</v>
      </c>
      <c r="L16" s="62" t="n">
        <f aca="false">J16-K16</f>
        <v>-65</v>
      </c>
      <c r="M16" s="61" t="n">
        <f aca="false">'[1]8-Acomp. Hidrologia'!H16</f>
        <v>0</v>
      </c>
      <c r="N16" s="16"/>
      <c r="O16" s="52" t="s">
        <v>49</v>
      </c>
      <c r="P16" s="53" t="n">
        <v>47.4</v>
      </c>
      <c r="Q16" s="53" t="n">
        <v>33.49</v>
      </c>
      <c r="R16" s="54" t="n">
        <f aca="false">(Q16-P16)/P16</f>
        <v>-0.293459915611814</v>
      </c>
    </row>
    <row r="17" customFormat="false" ht="12" hidden="false" customHeight="true" outlineLevel="0" collapsed="false">
      <c r="A17" s="66" t="s">
        <v>50</v>
      </c>
      <c r="B17" s="67" t="n">
        <f aca="false">'[1]1-Balanço Energético '!$B$16</f>
        <v>0</v>
      </c>
      <c r="C17" s="68" t="n">
        <f aca="false">'[1]1-Balanço Energético '!$C$16</f>
        <v>1.30739863379858E-012</v>
      </c>
      <c r="D17" s="69" t="str">
        <f aca="false">IF((OR(B17=0,AND(B17&lt;0,C17&gt;0),AND(B17&gt;0,C17&lt;0))),"n/m",((C17-B17)/B17)*100)</f>
        <v>n/m</v>
      </c>
      <c r="E17" s="16"/>
      <c r="F17" s="63" t="s">
        <v>51</v>
      </c>
      <c r="G17" s="60" t="s">
        <v>52</v>
      </c>
      <c r="H17" s="61" t="n">
        <f aca="false">'[1]8-Acomp. Hidrologia'!D17</f>
        <v>324.64</v>
      </c>
      <c r="I17" s="61" t="n">
        <f aca="false">'[1]8-Acomp. Hidrologia'!E17</f>
        <v>30.82</v>
      </c>
      <c r="J17" s="61" t="n">
        <f aca="false">'[1]8-Acomp. Hidrologia'!F17</f>
        <v>5563</v>
      </c>
      <c r="K17" s="61" t="n">
        <f aca="false">'[1]8-Acomp. Hidrologia'!G17</f>
        <v>5686</v>
      </c>
      <c r="L17" s="62" t="n">
        <f aca="false">J17-K17</f>
        <v>-123</v>
      </c>
      <c r="M17" s="61" t="n">
        <f aca="false">'[1]8-Acomp. Hidrologia'!H17</f>
        <v>0</v>
      </c>
      <c r="N17" s="16"/>
      <c r="O17" s="52" t="s">
        <v>53</v>
      </c>
      <c r="P17" s="53" t="n">
        <v>39</v>
      </c>
      <c r="Q17" s="53" t="n">
        <v>35.26</v>
      </c>
      <c r="R17" s="54" t="n">
        <f aca="false">(Q17-P17)/P17</f>
        <v>-0.095897435897436</v>
      </c>
    </row>
    <row r="18" customFormat="false" ht="12" hidden="false" customHeight="true" outlineLevel="0" collapsed="false">
      <c r="A18" s="70"/>
      <c r="B18" s="71" t="str">
        <f aca="false">IF(ABS(B12+B13-B14-B15-B16)&gt;2,"Check","")</f>
        <v/>
      </c>
      <c r="C18" s="71" t="str">
        <f aca="false">IF(ABS(C12+C13-C14-C15-C16)&gt;2,"Check","")</f>
        <v/>
      </c>
      <c r="D18" s="72"/>
      <c r="E18" s="16"/>
      <c r="F18" s="63"/>
      <c r="G18" s="60" t="s">
        <v>54</v>
      </c>
      <c r="H18" s="61" t="n">
        <f aca="false">'[1]8-Acomp. Hidrologia'!D18</f>
        <v>279.72</v>
      </c>
      <c r="I18" s="61" t="n">
        <f aca="false">'[1]8-Acomp. Hidrologia'!E18</f>
        <v>89.86</v>
      </c>
      <c r="J18" s="61" t="n">
        <f aca="false">'[1]8-Acomp. Hidrologia'!F18</f>
        <v>7209</v>
      </c>
      <c r="K18" s="61" t="n">
        <f aca="false">'[1]8-Acomp. Hidrologia'!G18</f>
        <v>7134</v>
      </c>
      <c r="L18" s="62" t="n">
        <f aca="false">J18-K18</f>
        <v>75</v>
      </c>
      <c r="M18" s="61" t="n">
        <f aca="false">'[1]8-Acomp. Hidrologia'!H18</f>
        <v>0</v>
      </c>
      <c r="N18" s="16"/>
      <c r="O18" s="52" t="s">
        <v>55</v>
      </c>
      <c r="P18" s="53" t="n">
        <v>30.6</v>
      </c>
      <c r="Q18" s="53" t="n">
        <v>28.99</v>
      </c>
      <c r="R18" s="54" t="n">
        <f aca="false">(Q18-P18)/P18</f>
        <v>-0.0526143790849674</v>
      </c>
    </row>
    <row r="19" customFormat="false" ht="12" hidden="false" customHeight="true" outlineLevel="0" collapsed="false">
      <c r="A19" s="25" t="s">
        <v>56</v>
      </c>
      <c r="B19" s="25"/>
      <c r="C19" s="25"/>
      <c r="D19" s="25"/>
      <c r="E19" s="16"/>
      <c r="F19" s="63"/>
      <c r="G19" s="60" t="s">
        <v>57</v>
      </c>
      <c r="H19" s="61" t="n">
        <f aca="false">'[1]8-Acomp. Hidrologia'!D19</f>
        <v>220.24</v>
      </c>
      <c r="I19" s="61" t="n">
        <f aca="false">'[1]8-Acomp. Hidrologia'!E19</f>
        <v>0</v>
      </c>
      <c r="J19" s="61" t="n">
        <f aca="false">'[1]8-Acomp. Hidrologia'!F19</f>
        <v>13952</v>
      </c>
      <c r="K19" s="61" t="n">
        <f aca="false">'[1]8-Acomp. Hidrologia'!G19</f>
        <v>15054</v>
      </c>
      <c r="L19" s="62" t="n">
        <f aca="false">J19-K19</f>
        <v>-1102</v>
      </c>
      <c r="M19" s="61" t="n">
        <f aca="false">'[1]8-Acomp. Hidrologia'!H19</f>
        <v>4924</v>
      </c>
      <c r="N19" s="16"/>
      <c r="O19" s="52" t="s">
        <v>58</v>
      </c>
      <c r="P19" s="53" t="n">
        <v>23.6</v>
      </c>
      <c r="Q19" s="53" t="n">
        <v>27.9020837629161</v>
      </c>
      <c r="R19" s="54" t="n">
        <f aca="false">(Q19-P19)/P19</f>
        <v>0.182291684869327</v>
      </c>
    </row>
    <row r="20" customFormat="false" ht="12" hidden="false" customHeight="true" outlineLevel="0" collapsed="false">
      <c r="A20" s="32" t="s">
        <v>17</v>
      </c>
      <c r="B20" s="73" t="s">
        <v>18</v>
      </c>
      <c r="C20" s="34" t="s">
        <v>19</v>
      </c>
      <c r="D20" s="35" t="s">
        <v>20</v>
      </c>
      <c r="E20" s="16"/>
      <c r="F20" s="63" t="s">
        <v>59</v>
      </c>
      <c r="G20" s="60" t="s">
        <v>60</v>
      </c>
      <c r="H20" s="61" t="n">
        <f aca="false">'[1]8-Acomp. Hidrologia'!D20</f>
        <v>447.86</v>
      </c>
      <c r="I20" s="61" t="n">
        <f aca="false">'[1]8-Acomp. Hidrologia'!E20</f>
        <v>60.45</v>
      </c>
      <c r="J20" s="61" t="n">
        <f aca="false">'[1]8-Acomp. Hidrologia'!F20</f>
        <v>546</v>
      </c>
      <c r="K20" s="61" t="n">
        <f aca="false">'[1]8-Acomp. Hidrologia'!G20</f>
        <v>661</v>
      </c>
      <c r="L20" s="62" t="n">
        <f aca="false">J20-K20</f>
        <v>-115</v>
      </c>
      <c r="M20" s="61" t="n">
        <f aca="false">'[1]8-Acomp. Hidrologia'!H20</f>
        <v>32</v>
      </c>
      <c r="N20" s="16"/>
      <c r="O20" s="74" t="s">
        <v>61</v>
      </c>
      <c r="P20" s="75" t="n">
        <v>20.5</v>
      </c>
      <c r="Q20" s="75" t="n">
        <v>33.5129231526528</v>
      </c>
      <c r="R20" s="76" t="n">
        <f aca="false">(Q20-P20)/P20</f>
        <v>0.634776739153793</v>
      </c>
    </row>
    <row r="21" customFormat="false" ht="12" hidden="false" customHeight="true" outlineLevel="0" collapsed="false">
      <c r="A21" s="77" t="s">
        <v>24</v>
      </c>
      <c r="B21" s="78" t="n">
        <f aca="false">'[1]1-Balanço Energético '!$G$8</f>
        <v>7364</v>
      </c>
      <c r="C21" s="46" t="n">
        <f aca="false">'[1]1-Balanço Energético '!$H$8</f>
        <v>7154.375</v>
      </c>
      <c r="D21" s="47" t="n">
        <f aca="false">IF((OR(B21=0,AND(B21&lt;0,C21&gt;0),AND(B21&gt;0,C21&lt;0))),"n/m",((C21-B21)/B21)*100)</f>
        <v>-2.84661868549701</v>
      </c>
      <c r="E21" s="16"/>
      <c r="F21" s="63"/>
      <c r="G21" s="60" t="s">
        <v>62</v>
      </c>
      <c r="H21" s="61" t="n">
        <f aca="false">'[1]8-Acomp. Hidrologia'!D21</f>
        <v>382.59</v>
      </c>
      <c r="I21" s="61" t="n">
        <f aca="false">'[1]8-Acomp. Hidrologia'!E21</f>
        <v>65.64</v>
      </c>
      <c r="J21" s="61" t="n">
        <f aca="false">'[1]8-Acomp. Hidrologia'!F21</f>
        <v>971</v>
      </c>
      <c r="K21" s="61" t="n">
        <f aca="false">'[1]8-Acomp. Hidrologia'!G21</f>
        <v>795</v>
      </c>
      <c r="L21" s="62" t="n">
        <f aca="false">J21-K21</f>
        <v>176</v>
      </c>
      <c r="M21" s="61" t="n">
        <f aca="false">'[1]8-Acomp. Hidrologia'!H21</f>
        <v>0</v>
      </c>
      <c r="N21" s="16"/>
      <c r="O21" s="36"/>
      <c r="P21" s="53"/>
      <c r="Q21" s="53"/>
      <c r="R21" s="72"/>
    </row>
    <row r="22" customFormat="false" ht="12" hidden="false" customHeight="true" outlineLevel="0" collapsed="false">
      <c r="A22" s="55" t="s">
        <v>28</v>
      </c>
      <c r="B22" s="79" t="n">
        <f aca="false">'[1]1-Balanço Energético '!$G$9</f>
        <v>1300</v>
      </c>
      <c r="C22" s="57" t="n">
        <f aca="false">'[1]1-Balanço Energético '!$H$9</f>
        <v>1422</v>
      </c>
      <c r="D22" s="58" t="n">
        <f aca="false">IF((OR(B22=0,AND(B22&lt;0,C22&gt;0),AND(B22&gt;0,C22&lt;0))),"n/m",((C22-B22)/B22)*100)</f>
        <v>9.38461538461539</v>
      </c>
      <c r="E22" s="16"/>
      <c r="F22" s="63"/>
      <c r="G22" s="60" t="s">
        <v>63</v>
      </c>
      <c r="H22" s="61" t="n">
        <f aca="false">'[1]8-Acomp. Hidrologia'!D22</f>
        <v>324.76</v>
      </c>
      <c r="I22" s="61" t="n">
        <f aca="false">'[1]8-Acomp. Hidrologia'!E22</f>
        <v>32.94</v>
      </c>
      <c r="J22" s="61" t="n">
        <f aca="false">'[1]8-Acomp. Hidrologia'!F22</f>
        <v>615</v>
      </c>
      <c r="K22" s="61" t="n">
        <f aca="false">'[1]8-Acomp. Hidrologia'!G22</f>
        <v>692</v>
      </c>
      <c r="L22" s="62" t="n">
        <f aca="false">J22-K22</f>
        <v>-77</v>
      </c>
      <c r="M22" s="61" t="n">
        <f aca="false">'[1]8-Acomp. Hidrologia'!H22</f>
        <v>0</v>
      </c>
      <c r="N22" s="16"/>
      <c r="O22" s="32" t="s">
        <v>64</v>
      </c>
      <c r="P22" s="32"/>
      <c r="Q22" s="32"/>
      <c r="R22" s="32"/>
    </row>
    <row r="23" customFormat="false" ht="12" hidden="false" customHeight="true" outlineLevel="0" collapsed="false">
      <c r="A23" s="55" t="s">
        <v>34</v>
      </c>
      <c r="B23" s="79" t="n">
        <f aca="false">SUM(B21:B22)</f>
        <v>8664</v>
      </c>
      <c r="C23" s="57" t="n">
        <f aca="false">SUM(C21:C22)</f>
        <v>8576.375</v>
      </c>
      <c r="D23" s="58" t="n">
        <f aca="false">IF((OR(B23=0,AND(B23&lt;0,C23&gt;0),AND(B23&gt;0,C23&lt;0))),"n/m",((C23-B23)/B23)*100)</f>
        <v>-1.01136888273315</v>
      </c>
      <c r="E23" s="16"/>
      <c r="F23" s="63" t="s">
        <v>65</v>
      </c>
      <c r="G23" s="60" t="s">
        <v>66</v>
      </c>
      <c r="H23" s="61" t="n">
        <f aca="false">'[1]8-Acomp. Hidrologia'!D23</f>
        <v>564.7</v>
      </c>
      <c r="I23" s="61" t="n">
        <f aca="false">'[1]8-Acomp. Hidrologia'!E23</f>
        <v>56.27</v>
      </c>
      <c r="J23" s="61" t="n">
        <f aca="false">'[1]8-Acomp. Hidrologia'!F23</f>
        <v>183</v>
      </c>
      <c r="K23" s="61" t="n">
        <f aca="false">'[1]8-Acomp. Hidrologia'!G23</f>
        <v>93</v>
      </c>
      <c r="L23" s="62" t="n">
        <f aca="false">J23-K23</f>
        <v>90</v>
      </c>
      <c r="M23" s="61" t="n">
        <f aca="false">'[1]8-Acomp. Hidrologia'!H23</f>
        <v>0</v>
      </c>
      <c r="N23" s="16"/>
      <c r="O23" s="41" t="s">
        <v>22</v>
      </c>
      <c r="P23" s="42" t="n">
        <v>1999</v>
      </c>
      <c r="Q23" s="42" t="n">
        <v>2000</v>
      </c>
      <c r="R23" s="43" t="s">
        <v>23</v>
      </c>
    </row>
    <row r="24" customFormat="false" ht="12" hidden="false" customHeight="true" outlineLevel="0" collapsed="false">
      <c r="A24" s="64" t="s">
        <v>41</v>
      </c>
      <c r="B24" s="79" t="n">
        <f aca="false">'[1]1-Balanço Energético '!$G$12</f>
        <v>7874</v>
      </c>
      <c r="C24" s="57" t="n">
        <f aca="false">'[1]1-Balanço Energético '!$H$12</f>
        <v>7916.45833333333</v>
      </c>
      <c r="D24" s="58" t="n">
        <f aca="false">IF((OR(B24=0,AND(B24&lt;0,C24&gt;0),AND(B24&gt;0,C24&lt;0))),"n/m",((C24-B24)/B24)*100)</f>
        <v>0.539221911777153</v>
      </c>
      <c r="E24" s="16"/>
      <c r="F24" s="65"/>
      <c r="G24" s="60" t="s">
        <v>67</v>
      </c>
      <c r="H24" s="61" t="n">
        <f aca="false">'[1]8-Acomp. Hidrologia'!D24</f>
        <v>469.02</v>
      </c>
      <c r="I24" s="61" t="n">
        <f aca="false">'[1]8-Acomp. Hidrologia'!E24</f>
        <v>39.51</v>
      </c>
      <c r="J24" s="61" t="n">
        <f aca="false">'[1]8-Acomp. Hidrologia'!F24</f>
        <v>223</v>
      </c>
      <c r="K24" s="61" t="n">
        <f aca="false">'[1]8-Acomp. Hidrologia'!G24</f>
        <v>184</v>
      </c>
      <c r="L24" s="62" t="n">
        <f aca="false">J24-K24</f>
        <v>39</v>
      </c>
      <c r="M24" s="61" t="n">
        <f aca="false">'[1]8-Acomp. Hidrologia'!H24</f>
        <v>0</v>
      </c>
      <c r="N24" s="16"/>
      <c r="O24" s="52" t="s">
        <v>27</v>
      </c>
      <c r="P24" s="53" t="n">
        <v>52.6</v>
      </c>
      <c r="Q24" s="53" t="n">
        <v>42.68</v>
      </c>
      <c r="R24" s="54" t="n">
        <f aca="false">(Q24-P24)/P24</f>
        <v>-0.188593155893536</v>
      </c>
    </row>
    <row r="25" customFormat="false" ht="12" hidden="false" customHeight="true" outlineLevel="0" collapsed="false">
      <c r="A25" s="64" t="s">
        <v>68</v>
      </c>
      <c r="B25" s="79" t="n">
        <f aca="false">-'[1]1-Balanço Energético '!$G$11+'[1]1-Balanço Energético '!$G$13</f>
        <v>837</v>
      </c>
      <c r="C25" s="57" t="n">
        <f aca="false">-'[1]1-Balanço Energético '!$H$11+'[1]1-Balanço Energético '!$H$13</f>
        <v>705.195833333334</v>
      </c>
      <c r="D25" s="58" t="n">
        <f aca="false">IF((OR(B25=0,AND(B25&lt;0,C25&gt;0),AND(B25&gt;0,C25&lt;0))),"n/m",((C25-B25)/B25)*100)</f>
        <v>-15.7472122660294</v>
      </c>
      <c r="E25" s="80"/>
      <c r="F25" s="81"/>
      <c r="G25" s="82" t="s">
        <v>69</v>
      </c>
      <c r="H25" s="83" t="n">
        <f aca="false">'[1]8-Acomp. Hidrologia'!D25</f>
        <v>330.43</v>
      </c>
      <c r="I25" s="83" t="n">
        <f aca="false">'[1]8-Acomp. Hidrologia'!E25</f>
        <v>66.7</v>
      </c>
      <c r="J25" s="83" t="n">
        <f aca="false">'[1]8-Acomp. Hidrologia'!F25</f>
        <v>1219</v>
      </c>
      <c r="K25" s="83" t="n">
        <f aca="false">'[1]8-Acomp. Hidrologia'!G25</f>
        <v>1332</v>
      </c>
      <c r="L25" s="84" t="n">
        <f aca="false">J25-K25</f>
        <v>-113</v>
      </c>
      <c r="M25" s="83" t="n">
        <f aca="false">'[1]8-Acomp. Hidrologia'!H25</f>
        <v>0</v>
      </c>
      <c r="N25" s="16"/>
      <c r="O25" s="52" t="s">
        <v>30</v>
      </c>
      <c r="P25" s="53" t="n">
        <v>48.8</v>
      </c>
      <c r="Q25" s="53" t="n">
        <v>58.7636079900125</v>
      </c>
      <c r="R25" s="54" t="n">
        <f aca="false">(Q25-P25)/P25</f>
        <v>0.204172294877305</v>
      </c>
    </row>
    <row r="26" customFormat="false" ht="12" hidden="false" customHeight="true" outlineLevel="0" collapsed="false">
      <c r="A26" s="66" t="s">
        <v>70</v>
      </c>
      <c r="B26" s="85" t="n">
        <f aca="false">-'[1]1-Balanço Energético '!$G$14</f>
        <v>47</v>
      </c>
      <c r="C26" s="68" t="n">
        <f aca="false">-'[1]1-Balanço Energético '!$H$14</f>
        <v>45.2791666666667</v>
      </c>
      <c r="D26" s="69" t="n">
        <f aca="false">IF((OR(B26=0,AND(B26&lt;0,C26&gt;0),AND(B26&gt;0,C26&lt;0))),"n/m",((C26-B26)/B26)*100)</f>
        <v>-3.66134751773045</v>
      </c>
      <c r="E26" s="16"/>
      <c r="F26" s="36" t="s">
        <v>71</v>
      </c>
      <c r="G26" s="86"/>
      <c r="H26" s="87"/>
      <c r="I26" s="87"/>
      <c r="J26" s="87"/>
      <c r="K26" s="87"/>
      <c r="L26" s="88"/>
      <c r="M26" s="89"/>
      <c r="N26" s="16"/>
      <c r="O26" s="52" t="s">
        <v>33</v>
      </c>
      <c r="P26" s="53" t="n">
        <v>62.6</v>
      </c>
      <c r="Q26" s="53" t="n">
        <v>69.0330984295946</v>
      </c>
      <c r="R26" s="54" t="n">
        <f aca="false">(Q26-P26)/P26</f>
        <v>0.102765150632502</v>
      </c>
    </row>
    <row r="27" customFormat="false" ht="12" hidden="false" customHeight="true" outlineLevel="0" collapsed="false">
      <c r="A27" s="90"/>
      <c r="B27" s="91" t="str">
        <f aca="false">IF(ABS(B23-B25+B26-B24)&gt;1,"Check","")</f>
        <v/>
      </c>
      <c r="C27" s="91" t="str">
        <f aca="false">IF(ABS(C23-C25+C26-C24)&gt;1,"Check","")</f>
        <v/>
      </c>
      <c r="D27" s="92"/>
      <c r="E27" s="16"/>
      <c r="F27" s="93" t="s">
        <v>72</v>
      </c>
      <c r="G27" s="94" t="s">
        <v>73</v>
      </c>
      <c r="H27" s="50" t="n">
        <f aca="false">'[1]8-Acomp. Hidrologia'!D26</f>
        <v>741.12</v>
      </c>
      <c r="I27" s="50" t="n">
        <f aca="false">'[1]8-Acomp. Hidrologia'!E26</f>
        <v>96.85</v>
      </c>
      <c r="J27" s="50" t="n">
        <f aca="false">'[1]8-Acomp. Hidrologia'!F26</f>
        <v>1143</v>
      </c>
      <c r="K27" s="50" t="n">
        <f aca="false">'[1]8-Acomp. Hidrologia'!G26</f>
        <v>1033</v>
      </c>
      <c r="L27" s="51" t="n">
        <f aca="false">J27-K27</f>
        <v>110</v>
      </c>
      <c r="M27" s="50" t="n">
        <f aca="false">'[1]8-Acomp. Hidrologia'!H26</f>
        <v>0</v>
      </c>
      <c r="N27" s="16"/>
      <c r="O27" s="52" t="s">
        <v>36</v>
      </c>
      <c r="P27" s="53" t="n">
        <v>62.1</v>
      </c>
      <c r="Q27" s="53" t="n">
        <v>73.3915451080886</v>
      </c>
      <c r="R27" s="54" t="n">
        <f aca="false">(Q27-P27)/P27</f>
        <v>0.181828423640718</v>
      </c>
    </row>
    <row r="28" customFormat="false" ht="12" hidden="false" customHeight="true" outlineLevel="0" collapsed="false">
      <c r="A28" s="25" t="s">
        <v>74</v>
      </c>
      <c r="B28" s="25"/>
      <c r="C28" s="25"/>
      <c r="D28" s="25"/>
      <c r="E28" s="16"/>
      <c r="F28" s="95"/>
      <c r="G28" s="96" t="s">
        <v>75</v>
      </c>
      <c r="H28" s="83" t="n">
        <f aca="false">'[1]8-Acomp. Hidrologia'!D27</f>
        <v>505.72</v>
      </c>
      <c r="I28" s="83" t="n">
        <f aca="false">'[1]8-Acomp. Hidrologia'!E27</f>
        <v>98.58</v>
      </c>
      <c r="J28" s="83" t="n">
        <f aca="false">'[1]8-Acomp. Hidrologia'!F27</f>
        <v>1222</v>
      </c>
      <c r="K28" s="83" t="n">
        <f aca="false">'[1]8-Acomp. Hidrologia'!G27</f>
        <v>1006</v>
      </c>
      <c r="L28" s="84" t="n">
        <f aca="false">J28-K28</f>
        <v>216</v>
      </c>
      <c r="M28" s="83" t="n">
        <f aca="false">'[1]8-Acomp. Hidrologia'!H27</f>
        <v>0</v>
      </c>
      <c r="N28" s="16"/>
      <c r="O28" s="52" t="s">
        <v>40</v>
      </c>
      <c r="P28" s="53" t="n">
        <v>58.4</v>
      </c>
      <c r="Q28" s="53" t="n">
        <v>69.93</v>
      </c>
      <c r="R28" s="54" t="n">
        <f aca="false">(Q28-P28)/P28</f>
        <v>0.197431506849315</v>
      </c>
    </row>
    <row r="29" customFormat="false" ht="12" hidden="false" customHeight="true" outlineLevel="0" collapsed="false">
      <c r="A29" s="32" t="s">
        <v>17</v>
      </c>
      <c r="B29" s="73" t="s">
        <v>18</v>
      </c>
      <c r="C29" s="34" t="s">
        <v>19</v>
      </c>
      <c r="D29" s="35" t="s">
        <v>20</v>
      </c>
      <c r="E29" s="16"/>
      <c r="F29" s="36" t="s">
        <v>76</v>
      </c>
      <c r="G29" s="86"/>
      <c r="H29" s="87"/>
      <c r="I29" s="87"/>
      <c r="J29" s="87"/>
      <c r="K29" s="87"/>
      <c r="L29" s="88"/>
      <c r="M29" s="89"/>
      <c r="N29" s="16"/>
      <c r="O29" s="52" t="s">
        <v>43</v>
      </c>
      <c r="P29" s="53" t="n">
        <v>52.8</v>
      </c>
      <c r="Q29" s="53" t="n">
        <v>65.19</v>
      </c>
      <c r="R29" s="54" t="n">
        <f aca="false">(Q29-P29)/P29</f>
        <v>0.234659090909091</v>
      </c>
    </row>
    <row r="30" customFormat="false" ht="12" hidden="false" customHeight="true" outlineLevel="0" collapsed="false">
      <c r="A30" s="77" t="s">
        <v>24</v>
      </c>
      <c r="B30" s="78" t="n">
        <f aca="false">'[1]1-Balanço Energético '!$B$24</f>
        <v>3530</v>
      </c>
      <c r="C30" s="46" t="n">
        <f aca="false">'[1]1-Balanço Energético '!$C$24</f>
        <v>3469.425</v>
      </c>
      <c r="D30" s="47" t="n">
        <f aca="false">IF((OR(B30=0,AND(B30&lt;0,C30&gt;0),AND(B30&gt;0,C30&lt;0))),"n/m",((C30-B30)/B30)*100)</f>
        <v>-1.71600566572236</v>
      </c>
      <c r="E30" s="16"/>
      <c r="F30" s="93" t="s">
        <v>77</v>
      </c>
      <c r="G30" s="94" t="s">
        <v>78</v>
      </c>
      <c r="H30" s="50" t="n">
        <f aca="false">'[1]8-Acomp. Hidrologia'!D28</f>
        <v>561.01</v>
      </c>
      <c r="I30" s="50" t="n">
        <f aca="false">'[1]8-Acomp. Hidrologia'!E28</f>
        <v>38</v>
      </c>
      <c r="J30" s="50" t="n">
        <f aca="false">'[1]8-Acomp. Hidrologia'!F28</f>
        <v>357</v>
      </c>
      <c r="K30" s="50" t="n">
        <f aca="false">'[1]8-Acomp. Hidrologia'!G28</f>
        <v>586</v>
      </c>
      <c r="L30" s="51" t="n">
        <f aca="false">J30-K30</f>
        <v>-229</v>
      </c>
      <c r="M30" s="50" t="n">
        <f aca="false">'[1]8-Acomp. Hidrologia'!H29</f>
        <v>0</v>
      </c>
      <c r="N30" s="16"/>
      <c r="O30" s="52" t="s">
        <v>46</v>
      </c>
      <c r="P30" s="53" t="n">
        <v>45.4</v>
      </c>
      <c r="Q30" s="53" t="n">
        <v>58.49</v>
      </c>
      <c r="R30" s="54" t="n">
        <f aca="false">(Q30-P30)/P30</f>
        <v>0.288325991189427</v>
      </c>
    </row>
    <row r="31" customFormat="false" ht="12" hidden="false" customHeight="true" outlineLevel="0" collapsed="false">
      <c r="A31" s="55" t="s">
        <v>28</v>
      </c>
      <c r="B31" s="79" t="n">
        <f aca="false">'[1]1-Balanço Energético '!$B$25</f>
        <v>0</v>
      </c>
      <c r="C31" s="57" t="n">
        <f aca="false">'[1]1-Balanço Energético '!$C$25</f>
        <v>0</v>
      </c>
      <c r="D31" s="58" t="str">
        <f aca="false">IF((OR(B31=0,AND(B31&lt;0,C31&gt;0),AND(B31&gt;0,C31&lt;0))),"n/m",((C31-B31)/B31)*100)</f>
        <v>n/m</v>
      </c>
      <c r="E31" s="16"/>
      <c r="F31" s="97"/>
      <c r="G31" s="98" t="s">
        <v>79</v>
      </c>
      <c r="H31" s="61" t="n">
        <f aca="false">'[1]8-Acomp. Hidrologia'!D29</f>
        <v>387.54</v>
      </c>
      <c r="I31" s="61" t="n">
        <f aca="false">'[1]8-Acomp. Hidrologia'!E29</f>
        <v>43.03</v>
      </c>
      <c r="J31" s="61" t="n">
        <f aca="false">'[1]8-Acomp. Hidrologia'!F29</f>
        <v>2850</v>
      </c>
      <c r="K31" s="61" t="n">
        <f aca="false">'[1]8-Acomp. Hidrologia'!G29</f>
        <v>2076</v>
      </c>
      <c r="L31" s="62" t="n">
        <f aca="false">J31-K31</f>
        <v>774</v>
      </c>
      <c r="M31" s="61" t="n">
        <f aca="false">'[1]8-Acomp. Hidrologia'!H30</f>
        <v>0</v>
      </c>
      <c r="N31" s="16"/>
      <c r="O31" s="52" t="s">
        <v>49</v>
      </c>
      <c r="P31" s="53" t="n">
        <v>37.1</v>
      </c>
      <c r="Q31" s="53" t="n">
        <v>49.34</v>
      </c>
      <c r="R31" s="54" t="n">
        <f aca="false">(Q31-P31)/P31</f>
        <v>0.329919137466307</v>
      </c>
    </row>
    <row r="32" customFormat="false" ht="12" hidden="false" customHeight="true" outlineLevel="0" collapsed="false">
      <c r="A32" s="55" t="s">
        <v>34</v>
      </c>
      <c r="B32" s="79" t="n">
        <f aca="false">SUM(B30:B31)</f>
        <v>3530</v>
      </c>
      <c r="C32" s="57" t="n">
        <f aca="false">SUM(C30:C31)</f>
        <v>3469.425</v>
      </c>
      <c r="D32" s="58" t="n">
        <f aca="false">IF((OR(B32=0,AND(B32&lt;0,C32&gt;0),AND(B32&gt;0,C32&lt;0))),"n/m",((C32-B32)/B32)*100)</f>
        <v>-1.71600566572236</v>
      </c>
      <c r="E32" s="16"/>
      <c r="F32" s="95"/>
      <c r="G32" s="96" t="s">
        <v>80</v>
      </c>
      <c r="H32" s="83" t="n">
        <f aca="false">'[1]8-Acomp. Hidrologia'!D30</f>
        <v>301.8</v>
      </c>
      <c r="I32" s="83" t="n">
        <f aca="false">'[1]8-Acomp. Hidrologia'!E30</f>
        <v>52.42</v>
      </c>
      <c r="J32" s="83" t="n">
        <f aca="false">'[1]8-Acomp. Hidrologia'!F30</f>
        <v>1684</v>
      </c>
      <c r="K32" s="83" t="n">
        <f aca="false">'[1]8-Acomp. Hidrologia'!G30</f>
        <v>2019</v>
      </c>
      <c r="L32" s="84" t="n">
        <f aca="false">J32-K32</f>
        <v>-335</v>
      </c>
      <c r="M32" s="83" t="n">
        <f aca="false">'[1]8-Acomp. Hidrologia'!H31</f>
        <v>0</v>
      </c>
      <c r="N32" s="16"/>
      <c r="O32" s="52" t="s">
        <v>53</v>
      </c>
      <c r="P32" s="53" t="n">
        <v>28.6</v>
      </c>
      <c r="Q32" s="53" t="n">
        <v>40.42</v>
      </c>
      <c r="R32" s="54" t="n">
        <f aca="false">(Q32-P32)/P32</f>
        <v>0.413286713286713</v>
      </c>
    </row>
    <row r="33" customFormat="false" ht="12" hidden="false" customHeight="true" outlineLevel="0" collapsed="false">
      <c r="A33" s="64" t="s">
        <v>41</v>
      </c>
      <c r="B33" s="79" t="n">
        <f aca="false">'[1]1-Balanço Energético '!$B$27</f>
        <v>2550</v>
      </c>
      <c r="C33" s="57" t="n">
        <f aca="false">'[1]1-Balanço Energético '!$C$27</f>
        <v>2570.33333333333</v>
      </c>
      <c r="D33" s="58" t="n">
        <f aca="false">IF((OR(B33=0,AND(B33&lt;0,C33&gt;0),AND(B33&gt;0,C33&lt;0))),"n/m",((C33-B33)/B33)*100)</f>
        <v>0.797385620915039</v>
      </c>
      <c r="E33" s="16"/>
      <c r="F33" s="36" t="s">
        <v>81</v>
      </c>
      <c r="G33" s="86"/>
      <c r="H33" s="99"/>
      <c r="I33" s="99"/>
      <c r="J33" s="100"/>
      <c r="K33" s="100"/>
      <c r="L33" s="101"/>
      <c r="M33" s="102"/>
      <c r="N33" s="16"/>
      <c r="O33" s="52" t="s">
        <v>55</v>
      </c>
      <c r="P33" s="53" t="n">
        <v>19.4</v>
      </c>
      <c r="Q33" s="53" t="n">
        <v>29.45</v>
      </c>
      <c r="R33" s="54" t="n">
        <f aca="false">(Q33-P33)/P33</f>
        <v>0.518041237113402</v>
      </c>
    </row>
    <row r="34" customFormat="false" ht="12" hidden="false" customHeight="true" outlineLevel="0" collapsed="false">
      <c r="A34" s="64" t="s">
        <v>82</v>
      </c>
      <c r="B34" s="79" t="n">
        <f aca="false">'[1]1-Balanço Energético '!$B$28</f>
        <v>419</v>
      </c>
      <c r="C34" s="57" t="n">
        <f aca="false">'[1]1-Balanço Energético '!$C$28</f>
        <v>452.916666666667</v>
      </c>
      <c r="D34" s="58" t="n">
        <f aca="false">IF((OR(B34=0,AND(B34&lt;0,C34&gt;0),AND(B34&gt;0,C34&lt;0))),"n/m",((C34-B34)/B34)*100)</f>
        <v>8.09466984884644</v>
      </c>
      <c r="E34" s="16"/>
      <c r="F34" s="93" t="s">
        <v>83</v>
      </c>
      <c r="G34" s="94" t="s">
        <v>84</v>
      </c>
      <c r="H34" s="103" t="n">
        <f aca="false">'[1]8-Acomp. Hidrologia'!D31</f>
        <v>440.3</v>
      </c>
      <c r="I34" s="103" t="n">
        <f aca="false">'[1]8-Acomp. Hidrologia'!E31</f>
        <v>37.63</v>
      </c>
      <c r="J34" s="103" t="n">
        <f aca="false">'[1]8-Acomp. Hidrologia'!F31</f>
        <v>453</v>
      </c>
      <c r="K34" s="103" t="n">
        <f aca="false">'[1]8-Acomp. Hidrologia'!G31</f>
        <v>1078</v>
      </c>
      <c r="L34" s="51" t="n">
        <f aca="false">J34-K34</f>
        <v>-625</v>
      </c>
      <c r="M34" s="103" t="n">
        <f aca="false">'[1]8-Acomp. Hidrologia'!H33</f>
        <v>0</v>
      </c>
      <c r="N34" s="16"/>
      <c r="O34" s="52" t="s">
        <v>58</v>
      </c>
      <c r="P34" s="53" t="n">
        <v>17.4</v>
      </c>
      <c r="Q34" s="53" t="n">
        <v>27.8019348268839</v>
      </c>
      <c r="R34" s="54" t="n">
        <f aca="false">(Q34-P34)/P34</f>
        <v>0.597812346372639</v>
      </c>
    </row>
    <row r="35" customFormat="false" ht="12" hidden="false" customHeight="true" outlineLevel="0" collapsed="false">
      <c r="A35" s="66" t="s">
        <v>85</v>
      </c>
      <c r="B35" s="85" t="n">
        <f aca="false">'[1]1-Balanço Energético '!$B$29</f>
        <v>531</v>
      </c>
      <c r="C35" s="68" t="n">
        <f aca="false">'[1]1-Balanço Energético '!$C$29</f>
        <v>446.175</v>
      </c>
      <c r="D35" s="69" t="n">
        <f aca="false">IF((OR(B35=0,AND(B35&lt;0,C35&gt;0),AND(B35&gt;0,C35&lt;0))),"n/m",((C35-B35)/B35)*100)</f>
        <v>-15.9745762711864</v>
      </c>
      <c r="E35" s="16"/>
      <c r="F35" s="95"/>
      <c r="G35" s="96" t="s">
        <v>86</v>
      </c>
      <c r="H35" s="104" t="n">
        <f aca="false">'[1]8-Acomp. Hidrologia'!D32</f>
        <v>71.14</v>
      </c>
      <c r="I35" s="104" t="n">
        <f aca="false">'[1]8-Acomp. Hidrologia'!E32</f>
        <v>94.57</v>
      </c>
      <c r="J35" s="104" t="n">
        <f aca="false">'[1]8-Acomp. Hidrologia'!F32</f>
        <v>14535</v>
      </c>
      <c r="K35" s="104" t="n">
        <f aca="false">'[1]8-Acomp. Hidrologia'!G32</f>
        <v>13783</v>
      </c>
      <c r="L35" s="84" t="n">
        <f aca="false">J35-K35</f>
        <v>752</v>
      </c>
      <c r="M35" s="104" t="n">
        <f aca="false">'[1]8-Acomp. Hidrologia'!H34</f>
        <v>0</v>
      </c>
      <c r="N35" s="16"/>
      <c r="O35" s="74" t="s">
        <v>61</v>
      </c>
      <c r="P35" s="75" t="n">
        <v>25.9</v>
      </c>
      <c r="Q35" s="75" t="n">
        <v>40.7720648377054</v>
      </c>
      <c r="R35" s="76" t="n">
        <f aca="false">(Q35-P35)/P35</f>
        <v>0.574210997594802</v>
      </c>
    </row>
    <row r="36" customFormat="false" ht="12" hidden="false" customHeight="true" outlineLevel="0" collapsed="false">
      <c r="A36" s="70"/>
      <c r="B36" s="71" t="str">
        <f aca="false">IF(ABS(B32-B33-B34-B35)&gt;1,"Check","")</f>
        <v>Check</v>
      </c>
      <c r="C36" s="71" t="str">
        <f aca="false">IF(ABS(C32-C33-C34-C35)&gt;1,"Check","")</f>
        <v/>
      </c>
      <c r="D36" s="92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customFormat="false" ht="12" hidden="false" customHeight="true" outlineLevel="0" collapsed="false">
      <c r="A37" s="25" t="s">
        <v>87</v>
      </c>
      <c r="B37" s="25"/>
      <c r="C37" s="25"/>
      <c r="D37" s="25"/>
      <c r="E37" s="16"/>
      <c r="F37" s="10" t="s">
        <v>88</v>
      </c>
      <c r="G37" s="105"/>
      <c r="H37" s="105"/>
      <c r="I37" s="105"/>
      <c r="J37" s="105"/>
      <c r="K37" s="105"/>
      <c r="L37" s="105"/>
      <c r="M37" s="106"/>
      <c r="N37" s="14"/>
      <c r="O37" s="10" t="s">
        <v>89</v>
      </c>
      <c r="P37" s="105"/>
      <c r="Q37" s="105"/>
      <c r="R37" s="106"/>
    </row>
    <row r="38" customFormat="false" ht="12" hidden="false" customHeight="true" outlineLevel="0" collapsed="false">
      <c r="A38" s="32" t="s">
        <v>17</v>
      </c>
      <c r="B38" s="73" t="s">
        <v>18</v>
      </c>
      <c r="C38" s="34" t="s">
        <v>19</v>
      </c>
      <c r="D38" s="35" t="s">
        <v>20</v>
      </c>
      <c r="E38" s="16"/>
      <c r="F38" s="107" t="s">
        <v>90</v>
      </c>
      <c r="G38" s="39"/>
      <c r="H38" s="39"/>
      <c r="I38" s="40"/>
      <c r="J38" s="107" t="s">
        <v>91</v>
      </c>
      <c r="K38" s="39"/>
      <c r="L38" s="39"/>
      <c r="M38" s="40"/>
      <c r="N38" s="108"/>
      <c r="O38" s="109"/>
      <c r="P38" s="39"/>
      <c r="Q38" s="39"/>
      <c r="R38" s="24"/>
    </row>
    <row r="39" customFormat="false" ht="12" hidden="false" customHeight="true" outlineLevel="0" collapsed="false">
      <c r="A39" s="77" t="s">
        <v>24</v>
      </c>
      <c r="B39" s="78" t="n">
        <f aca="false">'[1]1-Balanço Energético '!$G$24</f>
        <v>5932</v>
      </c>
      <c r="C39" s="46" t="n">
        <f aca="false">'[1]1-Balanço Energético '!$H$24</f>
        <v>5810.1375</v>
      </c>
      <c r="D39" s="47" t="n">
        <f aca="false">IF((OR(B39=0,AND(B39&lt;0,C39&gt;0),AND(B39&gt;0,C39&lt;0))),"n/m",((C39-B39)/B39)*100)</f>
        <v>-2.05432400539447</v>
      </c>
      <c r="E39" s="16"/>
      <c r="F39" s="107"/>
      <c r="G39" s="39"/>
      <c r="H39" s="39"/>
      <c r="I39" s="40"/>
      <c r="J39" s="107"/>
      <c r="K39" s="39"/>
      <c r="L39" s="39"/>
      <c r="M39" s="40"/>
      <c r="N39" s="108"/>
      <c r="O39" s="109"/>
      <c r="P39" s="39"/>
      <c r="Q39" s="39"/>
      <c r="R39" s="40"/>
    </row>
    <row r="40" customFormat="false" ht="12" hidden="false" customHeight="true" outlineLevel="0" collapsed="false">
      <c r="A40" s="55" t="s">
        <v>28</v>
      </c>
      <c r="B40" s="79" t="n">
        <f aca="false">'[1]1-Balanço Energético '!$G$25</f>
        <v>0</v>
      </c>
      <c r="C40" s="57" t="n">
        <f aca="false">'[1]1-Balanço Energético '!$H$25</f>
        <v>0</v>
      </c>
      <c r="D40" s="58" t="str">
        <f aca="false">IF((OR(B40=0,AND(B40&lt;0,C40&gt;0),AND(B40&gt;0,C40&lt;0))),"n/m",((C40-B40)/B40)*100)</f>
        <v>n/m</v>
      </c>
      <c r="E40" s="16"/>
      <c r="F40" s="32" t="s">
        <v>92</v>
      </c>
      <c r="G40" s="32"/>
      <c r="H40" s="32"/>
      <c r="I40" s="32"/>
      <c r="J40" s="32" t="s">
        <v>92</v>
      </c>
      <c r="K40" s="32"/>
      <c r="L40" s="32"/>
      <c r="M40" s="32"/>
      <c r="N40" s="110"/>
      <c r="O40" s="32" t="s">
        <v>92</v>
      </c>
      <c r="P40" s="32"/>
      <c r="Q40" s="32"/>
      <c r="R40" s="32"/>
    </row>
    <row r="41" customFormat="false" ht="12" hidden="false" customHeight="true" outlineLevel="0" collapsed="false">
      <c r="A41" s="55" t="s">
        <v>34</v>
      </c>
      <c r="B41" s="79" t="n">
        <f aca="false">SUM(B39:B40)</f>
        <v>5932</v>
      </c>
      <c r="C41" s="57" t="n">
        <f aca="false">SUM(C39:C40)</f>
        <v>5810.1375</v>
      </c>
      <c r="D41" s="58" t="n">
        <f aca="false">IF((OR(B41=0,AND(B41&lt;0,C41&gt;0),AND(B41&gt;0,C41&lt;0))),"n/m",((C41-B41)/B41)*100)</f>
        <v>-2.05432400539447</v>
      </c>
      <c r="E41" s="16"/>
      <c r="F41" s="41" t="s">
        <v>22</v>
      </c>
      <c r="G41" s="111" t="n">
        <v>1999</v>
      </c>
      <c r="H41" s="111" t="n">
        <v>2000</v>
      </c>
      <c r="I41" s="43" t="s">
        <v>23</v>
      </c>
      <c r="J41" s="41" t="s">
        <v>22</v>
      </c>
      <c r="K41" s="111" t="n">
        <v>1999</v>
      </c>
      <c r="L41" s="111" t="n">
        <v>2000</v>
      </c>
      <c r="M41" s="43" t="s">
        <v>23</v>
      </c>
      <c r="N41" s="112"/>
      <c r="O41" s="41" t="s">
        <v>22</v>
      </c>
      <c r="P41" s="111" t="n">
        <v>1999</v>
      </c>
      <c r="Q41" s="111" t="n">
        <v>2000</v>
      </c>
      <c r="R41" s="43" t="s">
        <v>23</v>
      </c>
    </row>
    <row r="42" customFormat="false" ht="12" hidden="false" customHeight="true" outlineLevel="0" collapsed="false">
      <c r="A42" s="64" t="s">
        <v>41</v>
      </c>
      <c r="B42" s="79" t="n">
        <f aca="false">'[1]1-Balanço Energético '!$G$27</f>
        <v>6351</v>
      </c>
      <c r="C42" s="57" t="n">
        <f aca="false">'[1]1-Balanço Energético '!$H$27</f>
        <v>6263.05416666667</v>
      </c>
      <c r="D42" s="58" t="n">
        <f aca="false">IF((OR(B42=0,AND(B42&lt;0,C42&gt;0),AND(B42&gt;0,C42&lt;0))),"n/m",((C42-B42)/B42)*100)</f>
        <v>-1.38475568151995</v>
      </c>
      <c r="E42" s="16"/>
      <c r="F42" s="52" t="s">
        <v>27</v>
      </c>
      <c r="G42" s="91" t="n">
        <v>27057.6</v>
      </c>
      <c r="H42" s="91" t="n">
        <v>27687</v>
      </c>
      <c r="I42" s="54" t="n">
        <f aca="false">(H42-G42)/G42</f>
        <v>0.023261486606351</v>
      </c>
      <c r="J42" s="52" t="s">
        <v>27</v>
      </c>
      <c r="K42" s="91" t="n">
        <v>1226.9</v>
      </c>
      <c r="L42" s="91" t="n">
        <v>1871</v>
      </c>
      <c r="M42" s="54" t="n">
        <f aca="false">(L42-K42)/K42</f>
        <v>0.524981661097074</v>
      </c>
      <c r="N42" s="113"/>
      <c r="O42" s="52" t="s">
        <v>27</v>
      </c>
      <c r="P42" s="91" t="n">
        <v>28284.5</v>
      </c>
      <c r="Q42" s="91" t="n">
        <v>29600</v>
      </c>
      <c r="R42" s="54" t="n">
        <f aca="false">(Q42-P42)/P42</f>
        <v>0.0465095723806325</v>
      </c>
    </row>
    <row r="43" customFormat="false" ht="12" hidden="false" customHeight="true" outlineLevel="0" collapsed="false">
      <c r="A43" s="64" t="s">
        <v>93</v>
      </c>
      <c r="B43" s="79" t="n">
        <f aca="false">'[1]1-Balanço Energético '!$G$28</f>
        <v>-419</v>
      </c>
      <c r="C43" s="57" t="n">
        <f aca="false">'[1]1-Balanço Energético '!$H$28</f>
        <v>-452.916666666667</v>
      </c>
      <c r="D43" s="58" t="n">
        <f aca="false">IF((OR(B43=0,AND(B43&lt;0,C43&gt;0),AND(B43&gt;0,C43&lt;0))),"n/m",((C43-B43)/B43)*100)</f>
        <v>8.09466984884644</v>
      </c>
      <c r="E43" s="16"/>
      <c r="F43" s="52" t="s">
        <v>30</v>
      </c>
      <c r="G43" s="91" t="n">
        <v>25137</v>
      </c>
      <c r="H43" s="91" t="n">
        <v>26907</v>
      </c>
      <c r="I43" s="54" t="n">
        <f aca="false">(H43-G43)/G43</f>
        <v>0.0704141305645065</v>
      </c>
      <c r="J43" s="52" t="s">
        <v>30</v>
      </c>
      <c r="K43" s="91" t="n">
        <v>1207</v>
      </c>
      <c r="L43" s="91" t="n">
        <v>1775</v>
      </c>
      <c r="M43" s="54" t="n">
        <f aca="false">(L43-K43)/K43</f>
        <v>0.470588235294118</v>
      </c>
      <c r="N43" s="113"/>
      <c r="O43" s="52" t="s">
        <v>30</v>
      </c>
      <c r="P43" s="91" t="n">
        <v>26344</v>
      </c>
      <c r="Q43" s="91" t="n">
        <v>28701.1874666667</v>
      </c>
      <c r="R43" s="54" t="n">
        <f aca="false">(Q43-P43)/P43</f>
        <v>0.0894772041704627</v>
      </c>
    </row>
    <row r="44" customFormat="false" ht="12" hidden="false" customHeight="true" outlineLevel="0" collapsed="false">
      <c r="A44" s="66" t="s">
        <v>94</v>
      </c>
      <c r="B44" s="85" t="n">
        <f aca="false">'[1]1-Balanço Energético '!$G$29</f>
        <v>0</v>
      </c>
      <c r="C44" s="68" t="n">
        <f aca="false">'[1]1-Balanço Energético '!$H$29</f>
        <v>-1.30739863379858E-012</v>
      </c>
      <c r="D44" s="69" t="str">
        <f aca="false">IF((OR(B44=0,AND(B44&lt;0,C44&gt;0),AND(B44&gt;0,C44&lt;0))),"n/m",((C44-B44)/B44)*100)</f>
        <v>n/m</v>
      </c>
      <c r="E44" s="16"/>
      <c r="F44" s="52" t="s">
        <v>33</v>
      </c>
      <c r="G44" s="91" t="n">
        <v>28507</v>
      </c>
      <c r="H44" s="91" t="n">
        <v>28799</v>
      </c>
      <c r="I44" s="54" t="n">
        <f aca="false">(H44-G44)/G44</f>
        <v>0.0102430981864104</v>
      </c>
      <c r="J44" s="52" t="s">
        <v>33</v>
      </c>
      <c r="K44" s="91" t="n">
        <v>1319</v>
      </c>
      <c r="L44" s="91" t="n">
        <v>1681</v>
      </c>
      <c r="M44" s="54" t="n">
        <f aca="false">(L44-K44)/K44</f>
        <v>0.274450341167551</v>
      </c>
      <c r="N44" s="113"/>
      <c r="O44" s="52" t="s">
        <v>33</v>
      </c>
      <c r="P44" s="91" t="n">
        <v>29826</v>
      </c>
      <c r="Q44" s="91" t="n">
        <v>30509.932557</v>
      </c>
      <c r="R44" s="54" t="n">
        <f aca="false">(Q44-P44)/P44</f>
        <v>0.0229307502514585</v>
      </c>
    </row>
    <row r="45" customFormat="false" ht="12" hidden="false" customHeight="true" outlineLevel="0" collapsed="false">
      <c r="A45" s="90"/>
      <c r="B45" s="91" t="str">
        <f aca="false">IF(ABS(-B41+B42+B43+B44)&gt;1,"Check","")</f>
        <v/>
      </c>
      <c r="C45" s="91" t="str">
        <f aca="false">IF(ABS(-C41+C42+C43+C44)&gt;1,"Check","")</f>
        <v/>
      </c>
      <c r="D45" s="92"/>
      <c r="E45" s="16"/>
      <c r="F45" s="52" t="s">
        <v>36</v>
      </c>
      <c r="G45" s="91" t="n">
        <v>26917</v>
      </c>
      <c r="H45" s="91" t="n">
        <v>27799</v>
      </c>
      <c r="I45" s="54" t="n">
        <f aca="false">(H45-G45)/G45</f>
        <v>0.0327673960693985</v>
      </c>
      <c r="J45" s="52" t="s">
        <v>36</v>
      </c>
      <c r="K45" s="91" t="n">
        <v>1239</v>
      </c>
      <c r="L45" s="91" t="n">
        <v>1415</v>
      </c>
      <c r="M45" s="54" t="n">
        <f aca="false">(L45-K45)/K45</f>
        <v>0.142050040355125</v>
      </c>
      <c r="N45" s="113"/>
      <c r="O45" s="52" t="s">
        <v>36</v>
      </c>
      <c r="P45" s="91" t="n">
        <v>28156</v>
      </c>
      <c r="Q45" s="91" t="n">
        <v>27799</v>
      </c>
      <c r="R45" s="54" t="n">
        <f aca="false">(Q45-P45)/P45</f>
        <v>-0.0126793578633329</v>
      </c>
    </row>
    <row r="46" customFormat="false" ht="12" hidden="false" customHeight="true" outlineLevel="0" collapsed="false">
      <c r="A46" s="109"/>
      <c r="B46" s="32" t="s">
        <v>19</v>
      </c>
      <c r="C46" s="39"/>
      <c r="D46" s="40"/>
      <c r="E46" s="16"/>
      <c r="F46" s="52" t="s">
        <v>40</v>
      </c>
      <c r="G46" s="91" t="n">
        <v>27147</v>
      </c>
      <c r="H46" s="91" t="n">
        <v>28801</v>
      </c>
      <c r="I46" s="54" t="n">
        <f aca="false">(H46-G46)/G46</f>
        <v>0.0609275426382289</v>
      </c>
      <c r="J46" s="52" t="s">
        <v>40</v>
      </c>
      <c r="K46" s="91" t="n">
        <v>1340</v>
      </c>
      <c r="L46" s="91" t="n">
        <v>1335</v>
      </c>
      <c r="M46" s="54" t="n">
        <f aca="false">(L46-K46)/K46</f>
        <v>-0.00373134328358209</v>
      </c>
      <c r="N46" s="113"/>
      <c r="O46" s="52" t="s">
        <v>40</v>
      </c>
      <c r="P46" s="91" t="n">
        <v>28528.245</v>
      </c>
      <c r="Q46" s="91" t="n">
        <v>30294.6867</v>
      </c>
      <c r="R46" s="54" t="n">
        <f aca="false">(Q46-P46)/P46</f>
        <v>0.0619190454933346</v>
      </c>
    </row>
    <row r="47" customFormat="false" ht="12" hidden="false" customHeight="true" outlineLevel="0" collapsed="false">
      <c r="A47" s="114" t="s">
        <v>95</v>
      </c>
      <c r="B47" s="115" t="n">
        <f aca="false">'[1]1-Balanço Energético '!$G$18</f>
        <v>5420.8625</v>
      </c>
      <c r="C47" s="39"/>
      <c r="D47" s="116" t="str">
        <f aca="false">IF(ABS(B47-Page2!G68&gt;1),"Check","")</f>
        <v/>
      </c>
      <c r="E47" s="16"/>
      <c r="F47" s="52" t="s">
        <v>43</v>
      </c>
      <c r="G47" s="91" t="n">
        <v>26576</v>
      </c>
      <c r="H47" s="91" t="n">
        <v>27362</v>
      </c>
      <c r="I47" s="54" t="n">
        <f aca="false">(H47-G47)/G47</f>
        <v>0.0295755568934377</v>
      </c>
      <c r="J47" s="52" t="s">
        <v>43</v>
      </c>
      <c r="K47" s="91" t="n">
        <v>1272</v>
      </c>
      <c r="L47" s="91" t="n">
        <v>1413</v>
      </c>
      <c r="M47" s="54" t="n">
        <f aca="false">(L47-K47)/K47</f>
        <v>0.110849056603774</v>
      </c>
      <c r="N47" s="113"/>
      <c r="O47" s="52" t="s">
        <v>43</v>
      </c>
      <c r="P47" s="91" t="n">
        <v>27875.0342</v>
      </c>
      <c r="Q47" s="91" t="n">
        <v>29204.74065</v>
      </c>
      <c r="R47" s="54" t="n">
        <f aca="false">(Q47-P47)/P47</f>
        <v>0.04770241501623</v>
      </c>
    </row>
    <row r="48" customFormat="false" ht="12" hidden="false" customHeight="true" outlineLevel="0" collapsed="false">
      <c r="A48" s="117" t="s">
        <v>96</v>
      </c>
      <c r="B48" s="118" t="n">
        <f aca="false">'[1]1-Balanço Energético '!$G$19</f>
        <v>3835.05833333333</v>
      </c>
      <c r="C48" s="38" t="str">
        <f aca="false">IF(B47+B48-C13&gt;1,"Check","")</f>
        <v/>
      </c>
      <c r="D48" s="116" t="str">
        <f aca="false">IF(ABS(B48-Page2!G69&gt;1),"Check","")</f>
        <v/>
      </c>
      <c r="E48" s="16"/>
      <c r="F48" s="52" t="s">
        <v>46</v>
      </c>
      <c r="G48" s="91" t="n">
        <v>27818</v>
      </c>
      <c r="H48" s="91" t="n">
        <v>27666</v>
      </c>
      <c r="I48" s="54" t="n">
        <f aca="false">(H48-G48)/G48</f>
        <v>-0.00546408800057517</v>
      </c>
      <c r="J48" s="52" t="s">
        <v>46</v>
      </c>
      <c r="K48" s="91" t="n">
        <v>988</v>
      </c>
      <c r="L48" s="91" t="n">
        <v>1351</v>
      </c>
      <c r="M48" s="54" t="n">
        <f aca="false">(L48-K48)/K48</f>
        <v>0.367408906882591</v>
      </c>
      <c r="N48" s="113"/>
      <c r="O48" s="52" t="s">
        <v>46</v>
      </c>
      <c r="P48" s="91" t="n">
        <v>28840</v>
      </c>
      <c r="Q48" s="91" t="n">
        <v>29739</v>
      </c>
      <c r="R48" s="54" t="n">
        <f aca="false">(Q48-P48)/P48</f>
        <v>0.0311719833564494</v>
      </c>
    </row>
    <row r="49" customFormat="false" ht="12" hidden="false" customHeight="true" outlineLevel="0" collapsed="false">
      <c r="A49" s="119" t="s">
        <v>44</v>
      </c>
      <c r="B49" s="120" t="n">
        <f aca="false">'[1]1-Balanço Energético '!$G$20</f>
        <v>-705.195833333334</v>
      </c>
      <c r="C49" s="121" t="str">
        <f aca="false">IF(B49-C15&gt;1,"Check","")</f>
        <v/>
      </c>
      <c r="D49" s="122"/>
      <c r="E49" s="16"/>
      <c r="F49" s="52" t="s">
        <v>49</v>
      </c>
      <c r="G49" s="91" t="n">
        <v>27884</v>
      </c>
      <c r="H49" s="91" t="n">
        <v>27797.48</v>
      </c>
      <c r="I49" s="54" t="n">
        <f aca="false">(H49-G49)/G49</f>
        <v>-0.00310285468368959</v>
      </c>
      <c r="J49" s="52" t="s">
        <v>49</v>
      </c>
      <c r="K49" s="91" t="n">
        <v>1315</v>
      </c>
      <c r="L49" s="91" t="n">
        <v>1982.83</v>
      </c>
      <c r="M49" s="54" t="n">
        <f aca="false">(L49-K49)/K49</f>
        <v>0.507855513307985</v>
      </c>
      <c r="N49" s="113"/>
      <c r="O49" s="52" t="s">
        <v>49</v>
      </c>
      <c r="P49" s="91" t="n">
        <v>29228.86095</v>
      </c>
      <c r="Q49" s="91" t="n">
        <v>30567.1849</v>
      </c>
      <c r="R49" s="54" t="n">
        <f aca="false">(Q49-P49)/P49</f>
        <v>0.0457877558858484</v>
      </c>
    </row>
    <row r="50" customFormat="false" ht="12" hidden="false" customHeight="true" outlineLevel="0" collapsed="false">
      <c r="A50" s="123" t="s">
        <v>97</v>
      </c>
      <c r="B50" s="39"/>
      <c r="C50" s="39"/>
      <c r="D50" s="39"/>
      <c r="E50" s="16"/>
      <c r="F50" s="52" t="s">
        <v>53</v>
      </c>
      <c r="G50" s="91" t="n">
        <v>27287</v>
      </c>
      <c r="H50" s="91" t="n">
        <v>27472</v>
      </c>
      <c r="I50" s="54" t="n">
        <f aca="false">(H50-G50)/G50</f>
        <v>0.00677978524572141</v>
      </c>
      <c r="J50" s="52" t="s">
        <v>53</v>
      </c>
      <c r="K50" s="91" t="n">
        <v>1378</v>
      </c>
      <c r="L50" s="91" t="n">
        <v>1178</v>
      </c>
      <c r="M50" s="54" t="n">
        <f aca="false">(L50-K50)/K50</f>
        <v>-0.145137880986938</v>
      </c>
      <c r="N50" s="53"/>
      <c r="O50" s="52" t="s">
        <v>53</v>
      </c>
      <c r="P50" s="91" t="n">
        <v>28692.31395</v>
      </c>
      <c r="Q50" s="91" t="n">
        <v>29592.63922</v>
      </c>
      <c r="R50" s="54" t="n">
        <f aca="false">(Q50-P50)/P50</f>
        <v>0.0313786218695685</v>
      </c>
    </row>
    <row r="51" customFormat="false" ht="12" hidden="false" customHeight="true" outlineLevel="0" collapsed="false">
      <c r="A51" s="39"/>
      <c r="B51" s="39"/>
      <c r="C51" s="39"/>
      <c r="D51" s="39"/>
      <c r="E51" s="16"/>
      <c r="F51" s="52" t="s">
        <v>55</v>
      </c>
      <c r="G51" s="91" t="n">
        <v>27759</v>
      </c>
      <c r="H51" s="91" t="n">
        <v>30031</v>
      </c>
      <c r="I51" s="54" t="n">
        <f aca="false">(H51-G51)/G51</f>
        <v>0.0818473287942649</v>
      </c>
      <c r="J51" s="52" t="s">
        <v>55</v>
      </c>
      <c r="K51" s="91" t="n">
        <v>1491</v>
      </c>
      <c r="L51" s="91" t="n">
        <v>1500</v>
      </c>
      <c r="M51" s="54" t="n">
        <f aca="false">(L51-K51)/K51</f>
        <v>0.00603621730382294</v>
      </c>
      <c r="N51" s="53"/>
      <c r="O51" s="52" t="s">
        <v>55</v>
      </c>
      <c r="P51" s="91" t="n">
        <v>29280.68655</v>
      </c>
      <c r="Q51" s="91" t="n">
        <v>31630</v>
      </c>
      <c r="R51" s="54" t="n">
        <f aca="false">(Q51-P51)/P51</f>
        <v>0.0802342337837021</v>
      </c>
    </row>
    <row r="52" customFormat="false" ht="12" hidden="false" customHeight="true" outlineLevel="0" collapsed="false">
      <c r="A52" s="7" t="s">
        <v>98</v>
      </c>
      <c r="B52" s="8"/>
      <c r="C52" s="8"/>
      <c r="D52" s="9"/>
      <c r="E52" s="16"/>
      <c r="F52" s="52" t="s">
        <v>58</v>
      </c>
      <c r="G52" s="91" t="n">
        <v>26734</v>
      </c>
      <c r="H52" s="91" t="n">
        <v>27567</v>
      </c>
      <c r="I52" s="54" t="n">
        <f aca="false">(H52-G52)/G52</f>
        <v>0.0311588239694771</v>
      </c>
      <c r="J52" s="52" t="s">
        <v>58</v>
      </c>
      <c r="K52" s="91" t="n">
        <v>1647</v>
      </c>
      <c r="L52" s="91" t="n">
        <v>2261</v>
      </c>
      <c r="M52" s="54" t="n">
        <f aca="false">(L52-K52)/K52</f>
        <v>0.372799028536733</v>
      </c>
      <c r="N52" s="53"/>
      <c r="O52" s="52" t="s">
        <v>58</v>
      </c>
      <c r="P52" s="91" t="n">
        <v>28449.43325</v>
      </c>
      <c r="Q52" s="91" t="n">
        <v>30100.8829233333</v>
      </c>
      <c r="R52" s="54" t="n">
        <f aca="false">(Q52-P52)/P52</f>
        <v>0.058048596568557</v>
      </c>
    </row>
    <row r="53" customFormat="false" ht="12.75" hidden="false" customHeight="true" outlineLevel="0" collapsed="false">
      <c r="A53" s="124" t="s">
        <v>99</v>
      </c>
      <c r="B53" s="125" t="s">
        <v>100</v>
      </c>
      <c r="C53" s="126" t="s">
        <v>101</v>
      </c>
      <c r="D53" s="127" t="s">
        <v>102</v>
      </c>
      <c r="E53" s="16"/>
      <c r="F53" s="74" t="s">
        <v>61</v>
      </c>
      <c r="G53" s="128" t="n">
        <v>27700.647</v>
      </c>
      <c r="H53" s="128" t="n">
        <v>27569.8486786667</v>
      </c>
      <c r="I53" s="76" t="n">
        <f aca="false">(H53-G53)/G53</f>
        <v>-0.00472185076880449</v>
      </c>
      <c r="J53" s="74" t="s">
        <v>61</v>
      </c>
      <c r="K53" s="128" t="n">
        <v>1846.2556</v>
      </c>
      <c r="L53" s="128" t="n">
        <v>2635.07377916667</v>
      </c>
      <c r="M53" s="76" t="n">
        <f aca="false">(L53-K53)/K53</f>
        <v>0.427252964956026</v>
      </c>
      <c r="N53" s="53"/>
      <c r="O53" s="74" t="s">
        <v>61</v>
      </c>
      <c r="P53" s="128" t="n">
        <v>29613.1733</v>
      </c>
      <c r="Q53" s="128" t="n">
        <v>30892.0916532139</v>
      </c>
      <c r="R53" s="76" t="n">
        <f aca="false">(Q53-P53)/P53</f>
        <v>0.0431874807963897</v>
      </c>
    </row>
    <row r="54" customFormat="false" ht="12" hidden="false" customHeight="true" outlineLevel="0" collapsed="false">
      <c r="A54" s="129" t="s">
        <v>103</v>
      </c>
      <c r="B54" s="130" t="n">
        <f aca="false">'[1]4-Disponibilidade'!F43</f>
        <v>9010</v>
      </c>
      <c r="C54" s="131" t="n">
        <f aca="false">'[1]4-Disponibilidade'!G43</f>
        <v>1605</v>
      </c>
      <c r="D54" s="132" t="n">
        <f aca="false">SUM(B54:C54)</f>
        <v>10615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41" t="s">
        <v>104</v>
      </c>
      <c r="P54" s="133" t="n">
        <f aca="false">SUM(P42:P53)</f>
        <v>343118.2472</v>
      </c>
      <c r="Q54" s="133" t="n">
        <f aca="false">SUM(Q42:Q53)</f>
        <v>358631.346070214</v>
      </c>
      <c r="R54" s="134" t="n">
        <f aca="false">Q54/P54-1</f>
        <v>0.045212106895532</v>
      </c>
    </row>
    <row r="55" customFormat="false" ht="12" hidden="false" customHeight="true" outlineLevel="0" collapsed="false">
      <c r="A55" s="135" t="s">
        <v>105</v>
      </c>
      <c r="B55" s="136" t="n">
        <f aca="false">'[1]4-Disponibilidade'!F44</f>
        <v>35336</v>
      </c>
      <c r="C55" s="137" t="n">
        <f aca="false">'[1]4-Disponibilidade'!G44</f>
        <v>1454</v>
      </c>
      <c r="D55" s="138" t="n">
        <f aca="false">SUM(B55:C55)</f>
        <v>36790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</row>
    <row r="56" customFormat="false" ht="13.5" hidden="false" customHeight="true" outlineLevel="0" collapsed="false">
      <c r="A56" s="135" t="s">
        <v>106</v>
      </c>
      <c r="B56" s="136" t="n">
        <f aca="false">SUM(B54:B55)</f>
        <v>44346</v>
      </c>
      <c r="C56" s="137" t="n">
        <f aca="false">SUM(C54:C55)</f>
        <v>3059</v>
      </c>
      <c r="D56" s="138" t="n">
        <f aca="false">SUM(B56:C56)</f>
        <v>47405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</row>
    <row r="57" customFormat="false" ht="13.5" hidden="false" customHeight="true" outlineLevel="0" collapsed="false">
      <c r="A57" s="135" t="s">
        <v>107</v>
      </c>
      <c r="B57" s="136" t="n">
        <f aca="false">'[1]4-Disponibilidade'!F46</f>
        <v>3764</v>
      </c>
      <c r="C57" s="139" t="str">
        <f aca="false">'[1]4-Disponibilidade'!G46</f>
        <v>-</v>
      </c>
      <c r="D57" s="138" t="n">
        <f aca="false">SUM(B57:C57)</f>
        <v>3764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</row>
    <row r="58" customFormat="false" ht="13.5" hidden="false" customHeight="true" outlineLevel="0" collapsed="false">
      <c r="A58" s="135" t="s">
        <v>108</v>
      </c>
      <c r="B58" s="136" t="n">
        <f aca="false">'[1]4-Disponibilidade'!F47</f>
        <v>8230</v>
      </c>
      <c r="C58" s="139" t="n">
        <f aca="false">'[1]4-Disponibilidade'!G47</f>
        <v>0</v>
      </c>
      <c r="D58" s="138" t="n">
        <f aca="false">SUM(B58:C58)</f>
        <v>8230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</row>
    <row r="59" customFormat="false" ht="11.25" hidden="false" customHeight="false" outlineLevel="0" collapsed="false">
      <c r="A59" s="135" t="s">
        <v>109</v>
      </c>
      <c r="B59" s="136" t="n">
        <f aca="false">SUM(B57:B58)</f>
        <v>11994</v>
      </c>
      <c r="C59" s="139" t="n">
        <f aca="false">SUM(C57:C58)</f>
        <v>0</v>
      </c>
      <c r="D59" s="138" t="n">
        <f aca="false">SUM(B59:C59)</f>
        <v>11994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</row>
    <row r="60" customFormat="false" ht="12" hidden="false" customHeight="false" outlineLevel="0" collapsed="false">
      <c r="A60" s="140" t="s">
        <v>102</v>
      </c>
      <c r="B60" s="141" t="n">
        <f aca="false">B56+B59</f>
        <v>56340</v>
      </c>
      <c r="C60" s="142" t="n">
        <f aca="false">C56+C59</f>
        <v>3059</v>
      </c>
      <c r="D60" s="143" t="n">
        <f aca="false">SUM(B60:C60)</f>
        <v>59399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</row>
    <row r="61" customFormat="false" ht="11.25" hidden="false" customHeight="false" outlineLevel="0" collapsed="false">
      <c r="A61" s="16"/>
      <c r="B61" s="144" t="str">
        <f aca="false">IF(B60-Page2!E107&gt;1,"Check","")</f>
        <v/>
      </c>
      <c r="C61" s="144" t="e">
        <f aca="false">IF(C60-Page2!P24&gt;1,"Check","")</f>
        <v>#N/A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</row>
    <row r="62" customFormat="false" ht="12" hidden="false" customHeight="false" outlineLevel="0" collapsed="false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</row>
    <row r="63" customFormat="false" ht="13.5" hidden="false" customHeight="false" outlineLevel="0" collapsed="false">
      <c r="A63" s="4" t="s">
        <v>110</v>
      </c>
      <c r="B63" s="145"/>
      <c r="C63" s="145"/>
      <c r="D63" s="14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</row>
    <row r="64" customFormat="false" ht="11.25" hidden="false" customHeight="false" outlineLevel="0" collapsed="false">
      <c r="A64" s="52" t="s">
        <v>111</v>
      </c>
      <c r="B64" s="147" t="n">
        <f aca="false">-'[1]9-Energético'!$H$58/24*1000</f>
        <v>45.2791666666667</v>
      </c>
      <c r="C64" s="148"/>
      <c r="D64" s="149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</row>
    <row r="65" customFormat="false" ht="11.25" hidden="false" customHeight="false" outlineLevel="0" collapsed="false">
      <c r="A65" s="52" t="s">
        <v>112</v>
      </c>
      <c r="B65" s="147" t="n">
        <f aca="false">-'[1]9-Energético'!$H$59/24*1000</f>
        <v>-0</v>
      </c>
      <c r="C65" s="148"/>
      <c r="D65" s="149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</row>
    <row r="66" customFormat="false" ht="13.5" hidden="false" customHeight="true" outlineLevel="0" collapsed="false">
      <c r="A66" s="95" t="s">
        <v>102</v>
      </c>
      <c r="B66" s="150" t="n">
        <f aca="false">SUM(B64:B65)</f>
        <v>45.2791666666667</v>
      </c>
      <c r="C66" s="151" t="str">
        <f aca="false">IF(B66-C26&gt;1,"Check","")</f>
        <v/>
      </c>
      <c r="D66" s="152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</row>
    <row r="67" customFormat="false" ht="12.75" hidden="false" customHeight="false" outlineLevel="0" collapsed="false">
      <c r="A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</row>
    <row r="68" customFormat="false" ht="13.5" hidden="false" customHeight="false" outlineLevel="0" collapsed="false"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</row>
    <row r="69" customFormat="false" ht="13.5" hidden="false" customHeight="false" outlineLevel="0" collapsed="false">
      <c r="A69" s="4" t="s">
        <v>113</v>
      </c>
      <c r="B69" s="5"/>
      <c r="C69" s="5"/>
      <c r="D69" s="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</row>
    <row r="70" customFormat="false" ht="11.25" hidden="false" customHeight="false" outlineLevel="0" collapsed="false">
      <c r="A70" s="36"/>
      <c r="B70" s="153"/>
      <c r="C70" s="154"/>
      <c r="D70" s="155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</row>
    <row r="71" customFormat="false" ht="11.25" hidden="false" customHeight="false" outlineLevel="0" collapsed="false">
      <c r="A71" s="90" t="s">
        <v>114</v>
      </c>
      <c r="B71" s="156"/>
      <c r="C71" s="157" t="s">
        <v>115</v>
      </c>
      <c r="D71" s="158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</row>
    <row r="72" customFormat="false" ht="11.25" hidden="false" customHeight="false" outlineLevel="0" collapsed="false">
      <c r="A72" s="90"/>
      <c r="B72" s="156"/>
      <c r="C72" s="159"/>
      <c r="D72" s="158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</row>
    <row r="73" customFormat="false" ht="11.25" hidden="false" customHeight="false" outlineLevel="0" collapsed="false">
      <c r="A73" s="36"/>
      <c r="B73" s="159"/>
      <c r="C73" s="159"/>
      <c r="D73" s="158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</row>
    <row r="74" customFormat="false" ht="11.25" hidden="false" customHeight="false" outlineLevel="0" collapsed="false">
      <c r="A74" s="90"/>
      <c r="B74" s="156"/>
      <c r="C74" s="159"/>
      <c r="D74" s="158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</row>
    <row r="75" customFormat="false" ht="13.5" hidden="false" customHeight="true" outlineLevel="0" collapsed="false">
      <c r="A75" s="90"/>
      <c r="B75" s="156"/>
      <c r="C75" s="39"/>
      <c r="D75" s="40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</row>
    <row r="76" customFormat="false" ht="11.25" hidden="false" customHeight="false" outlineLevel="0" collapsed="false">
      <c r="A76" s="160"/>
      <c r="B76" s="113"/>
      <c r="C76" s="39"/>
      <c r="D76" s="40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customFormat="false" ht="11.25" hidden="false" customHeight="false" outlineLevel="0" collapsed="false">
      <c r="A77" s="90"/>
      <c r="B77" s="156"/>
      <c r="C77" s="39"/>
      <c r="D77" s="40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</row>
    <row r="78" customFormat="false" ht="11.25" hidden="false" customHeight="false" outlineLevel="0" collapsed="false">
      <c r="A78" s="90"/>
      <c r="B78" s="156"/>
      <c r="C78" s="39"/>
      <c r="D78" s="40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</row>
    <row r="79" customFormat="false" ht="11.25" hidden="false" customHeight="false" outlineLevel="0" collapsed="false">
      <c r="A79" s="160"/>
      <c r="B79" s="113"/>
      <c r="C79" s="39"/>
      <c r="D79" s="40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</row>
    <row r="80" customFormat="false" ht="11.25" hidden="false" customHeight="false" outlineLevel="0" collapsed="false">
      <c r="A80" s="90"/>
      <c r="B80" s="156"/>
      <c r="C80" s="39"/>
      <c r="D80" s="40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</row>
    <row r="81" customFormat="false" ht="12.75" hidden="false" customHeight="false" outlineLevel="0" collapsed="false">
      <c r="A81" s="90"/>
      <c r="B81" s="156"/>
      <c r="C81" s="39"/>
      <c r="D81" s="40"/>
      <c r="E81" s="16"/>
      <c r="F81" s="16"/>
      <c r="G81" s="16"/>
      <c r="H81" s="16"/>
      <c r="I81" s="16"/>
      <c r="N81" s="16"/>
      <c r="O81" s="16"/>
      <c r="P81" s="16"/>
      <c r="Q81" s="16"/>
      <c r="R81" s="16"/>
    </row>
    <row r="82" customFormat="false" ht="12.75" hidden="false" customHeight="false" outlineLevel="0" collapsed="false">
      <c r="A82" s="160"/>
      <c r="B82" s="113"/>
      <c r="C82" s="39"/>
      <c r="D82" s="40"/>
      <c r="F82" s="16"/>
      <c r="G82" s="16"/>
      <c r="H82" s="16"/>
      <c r="I82" s="16"/>
      <c r="N82" s="16"/>
      <c r="O82" s="16"/>
      <c r="P82" s="16"/>
      <c r="Q82" s="16"/>
      <c r="R82" s="16"/>
    </row>
    <row r="83" customFormat="false" ht="12.75" hidden="false" customHeight="false" outlineLevel="0" collapsed="false">
      <c r="A83" s="109"/>
      <c r="B83" s="39"/>
      <c r="C83" s="39"/>
      <c r="D83" s="40"/>
    </row>
    <row r="84" customFormat="false" ht="12.75" hidden="false" customHeight="false" outlineLevel="0" collapsed="false">
      <c r="A84" s="109"/>
      <c r="B84" s="39"/>
      <c r="C84" s="39"/>
      <c r="D84" s="40"/>
      <c r="J84" s="161"/>
      <c r="K84" s="16"/>
      <c r="L84" s="16"/>
      <c r="M84" s="16"/>
    </row>
    <row r="85" customFormat="false" ht="12.75" hidden="false" customHeight="false" outlineLevel="0" collapsed="false">
      <c r="A85" s="90" t="s">
        <v>116</v>
      </c>
      <c r="B85" s="39"/>
      <c r="C85" s="157" t="s">
        <v>117</v>
      </c>
      <c r="D85" s="40"/>
      <c r="J85" s="161"/>
      <c r="K85" s="16"/>
      <c r="L85" s="16"/>
      <c r="M85" s="16"/>
    </row>
    <row r="86" customFormat="false" ht="12.75" hidden="false" customHeight="false" outlineLevel="0" collapsed="false">
      <c r="A86" s="109"/>
      <c r="B86" s="39"/>
      <c r="C86" s="39"/>
      <c r="D86" s="40"/>
    </row>
    <row r="87" customFormat="false" ht="12.75" hidden="false" customHeight="false" outlineLevel="0" collapsed="false">
      <c r="A87" s="109"/>
      <c r="B87" s="39"/>
      <c r="C87" s="39"/>
      <c r="D87" s="40"/>
    </row>
    <row r="88" customFormat="false" ht="12.75" hidden="false" customHeight="false" outlineLevel="0" collapsed="false">
      <c r="A88" s="109"/>
      <c r="B88" s="39"/>
      <c r="C88" s="39"/>
      <c r="D88" s="40"/>
    </row>
    <row r="89" customFormat="false" ht="12.75" hidden="false" customHeight="false" outlineLevel="0" collapsed="false">
      <c r="A89" s="109"/>
      <c r="B89" s="39"/>
      <c r="C89" s="39"/>
      <c r="D89" s="40"/>
    </row>
    <row r="90" customFormat="false" ht="12.75" hidden="false" customHeight="false" outlineLevel="0" collapsed="false">
      <c r="A90" s="109"/>
      <c r="B90" s="39"/>
      <c r="C90" s="39"/>
      <c r="D90" s="40"/>
    </row>
    <row r="91" customFormat="false" ht="12.75" hidden="false" customHeight="false" outlineLevel="0" collapsed="false">
      <c r="A91" s="109"/>
      <c r="B91" s="39"/>
      <c r="C91" s="39"/>
      <c r="D91" s="40"/>
    </row>
    <row r="92" customFormat="false" ht="12.75" hidden="false" customHeight="false" outlineLevel="0" collapsed="false">
      <c r="A92" s="109"/>
      <c r="B92" s="39"/>
      <c r="C92" s="39"/>
      <c r="D92" s="40"/>
    </row>
    <row r="93" customFormat="false" ht="12.75" hidden="false" customHeight="false" outlineLevel="0" collapsed="false">
      <c r="A93" s="109"/>
      <c r="B93" s="39"/>
      <c r="C93" s="39"/>
      <c r="D93" s="40"/>
    </row>
    <row r="94" customFormat="false" ht="12.75" hidden="false" customHeight="false" outlineLevel="0" collapsed="false">
      <c r="A94" s="109"/>
      <c r="B94" s="39"/>
      <c r="C94" s="39"/>
      <c r="D94" s="40"/>
    </row>
    <row r="95" customFormat="false" ht="12.75" hidden="false" customHeight="false" outlineLevel="0" collapsed="false">
      <c r="A95" s="109"/>
      <c r="B95" s="39"/>
      <c r="C95" s="39"/>
      <c r="D95" s="40"/>
    </row>
    <row r="96" customFormat="false" ht="12.75" hidden="false" customHeight="false" outlineLevel="0" collapsed="false">
      <c r="A96" s="109"/>
      <c r="B96" s="39"/>
      <c r="C96" s="39"/>
      <c r="D96" s="40"/>
    </row>
    <row r="97" customFormat="false" ht="12.75" hidden="false" customHeight="false" outlineLevel="0" collapsed="false">
      <c r="A97" s="109"/>
      <c r="B97" s="39"/>
      <c r="C97" s="39"/>
      <c r="D97" s="40"/>
    </row>
    <row r="98" customFormat="false" ht="13.5" hidden="false" customHeight="false" outlineLevel="0" collapsed="false">
      <c r="A98" s="162"/>
      <c r="B98" s="163"/>
      <c r="C98" s="163"/>
      <c r="D98" s="122"/>
    </row>
  </sheetData>
  <mergeCells count="12">
    <mergeCell ref="A1:R1"/>
    <mergeCell ref="A2:R2"/>
    <mergeCell ref="J6:M6"/>
    <mergeCell ref="A7:D7"/>
    <mergeCell ref="O7:R7"/>
    <mergeCell ref="A19:D19"/>
    <mergeCell ref="O22:R22"/>
    <mergeCell ref="A28:D28"/>
    <mergeCell ref="A37:D37"/>
    <mergeCell ref="F40:I40"/>
    <mergeCell ref="J40:M40"/>
    <mergeCell ref="O40:R40"/>
  </mergeCells>
  <printOptions headings="false" gridLines="false" gridLinesSet="true" horizontalCentered="true" verticalCentered="false"/>
  <pageMargins left="0.1" right="0.1" top="0.4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42"/>
    <col collapsed="false" customWidth="true" hidden="true" outlineLevel="0" max="2" min="2" style="0" width="24.99"/>
    <col collapsed="false" customWidth="true" hidden="false" outlineLevel="0" max="8" min="3" style="0" width="8.7"/>
    <col collapsed="false" customWidth="true" hidden="false" outlineLevel="0" max="10" min="9" style="0" width="9.28"/>
    <col collapsed="false" customWidth="true" hidden="false" outlineLevel="0" max="11" min="11" style="0" width="3.56"/>
    <col collapsed="false" customWidth="true" hidden="false" outlineLevel="0" max="12" min="12" style="0" width="14.99"/>
    <col collapsed="false" customWidth="true" hidden="true" outlineLevel="0" max="13" min="13" style="0" width="12.7"/>
    <col collapsed="false" customWidth="true" hidden="false" outlineLevel="0" max="18" min="14" style="0" width="9.7"/>
    <col collapsed="false" customWidth="true" hidden="false" outlineLevel="0" max="19" min="19" style="0" width="9.56"/>
    <col collapsed="false" customWidth="true" hidden="false" outlineLevel="0" max="22" min="22" style="0" width="12.28"/>
    <col collapsed="false" customWidth="true" hidden="false" outlineLevel="0" max="23" min="23" style="0" width="4.85"/>
  </cols>
  <sheetData>
    <row r="1" customFormat="false" ht="13.5" hidden="false" customHeight="false" outlineLevel="0" collapsed="false">
      <c r="A1" s="4" t="s">
        <v>118</v>
      </c>
      <c r="B1" s="164"/>
      <c r="C1" s="164"/>
      <c r="D1" s="164"/>
      <c r="E1" s="16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</row>
    <row r="2" customFormat="false" ht="13.5" hidden="false" customHeight="false" outlineLevel="0" collapsed="false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6"/>
      <c r="S2" s="165"/>
      <c r="T2" s="165"/>
      <c r="U2" s="165"/>
      <c r="V2" s="165"/>
    </row>
    <row r="3" customFormat="false" ht="13.5" hidden="false" customHeight="false" outlineLevel="0" collapsed="false">
      <c r="A3" s="7" t="s">
        <v>119</v>
      </c>
      <c r="B3" s="167"/>
      <c r="C3" s="167"/>
      <c r="D3" s="167"/>
      <c r="E3" s="167"/>
      <c r="F3" s="8"/>
      <c r="G3" s="8"/>
      <c r="H3" s="8"/>
      <c r="I3" s="8"/>
      <c r="J3" s="9"/>
      <c r="K3" s="165"/>
      <c r="L3" s="7" t="s">
        <v>120</v>
      </c>
      <c r="M3" s="167"/>
      <c r="N3" s="8"/>
      <c r="O3" s="8"/>
      <c r="P3" s="8"/>
      <c r="Q3" s="8"/>
      <c r="R3" s="8"/>
      <c r="S3" s="8"/>
      <c r="T3" s="8"/>
      <c r="U3" s="8"/>
      <c r="V3" s="9"/>
    </row>
    <row r="4" customFormat="false" ht="13.5" hidden="false" customHeight="false" outlineLevel="0" collapsed="false">
      <c r="A4" s="32" t="s">
        <v>121</v>
      </c>
      <c r="B4" s="168" t="s">
        <v>121</v>
      </c>
      <c r="C4" s="169" t="s">
        <v>122</v>
      </c>
      <c r="D4" s="170" t="s">
        <v>123</v>
      </c>
      <c r="E4" s="170" t="s">
        <v>124</v>
      </c>
      <c r="F4" s="171" t="s">
        <v>18</v>
      </c>
      <c r="G4" s="171" t="s">
        <v>19</v>
      </c>
      <c r="H4" s="171" t="s">
        <v>125</v>
      </c>
      <c r="I4" s="171" t="s">
        <v>126</v>
      </c>
      <c r="J4" s="172" t="s">
        <v>127</v>
      </c>
      <c r="K4" s="173"/>
      <c r="L4" s="32" t="s">
        <v>121</v>
      </c>
      <c r="M4" s="73"/>
      <c r="N4" s="174" t="s">
        <v>122</v>
      </c>
      <c r="O4" s="175" t="s">
        <v>123</v>
      </c>
      <c r="P4" s="175" t="s">
        <v>124</v>
      </c>
      <c r="Q4" s="174" t="s">
        <v>18</v>
      </c>
      <c r="R4" s="175" t="s">
        <v>19</v>
      </c>
      <c r="S4" s="175" t="s">
        <v>125</v>
      </c>
      <c r="T4" s="174" t="s">
        <v>126</v>
      </c>
      <c r="U4" s="174" t="s">
        <v>127</v>
      </c>
      <c r="V4" s="176" t="s">
        <v>128</v>
      </c>
      <c r="W4" s="173"/>
    </row>
    <row r="5" customFormat="false" ht="12.75" hidden="false" customHeight="false" outlineLevel="0" collapsed="false">
      <c r="A5" s="177" t="s">
        <v>129</v>
      </c>
      <c r="B5" s="178" t="s">
        <v>130</v>
      </c>
      <c r="C5" s="179" t="n">
        <f aca="false">VLOOKUP($B5,'[1]4-Disponibilidade'!$A$8:$C$102,2,FALSE())</f>
        <v>50.7042236328125</v>
      </c>
      <c r="D5" s="180" t="n">
        <f aca="false">IF(AND(C5=0,E5=0),"n/a",E5/C5*100)</f>
        <v>35.500001203749</v>
      </c>
      <c r="E5" s="181" t="n">
        <f aca="false">VLOOKUP($B5,'[1]4-Disponibilidade'!$A$8:$C$102,3,FALSE())</f>
        <v>18</v>
      </c>
      <c r="F5" s="182" t="n">
        <f aca="false">IF(ISNA(VLOOKUP($A5,'[1]3-Produção'!$A$9:$C$103,2,FALSE()))=TRUE(),"n/a",VLOOKUP($A5,'[1]3-Produção'!$A$9:$C$103,2,FALSE()))</f>
        <v>18</v>
      </c>
      <c r="G5" s="182" t="n">
        <f aca="false">IF(ISNA(VLOOKUP($A5,'[1]3-Produção'!$A$9:$C$103,3,FALSE()))=TRUE(),"n/a",VLOOKUP($A5,'[1]3-Produção'!$A$9:$C$103,3,FALSE()))</f>
        <v>18</v>
      </c>
      <c r="H5" s="182" t="n">
        <f aca="false">IF(OR(F5="n/a",G5="n/a"),"n/a",G5-F5)</f>
        <v>0</v>
      </c>
      <c r="I5" s="182" t="n">
        <f aca="false">IF(OR(G5="n/a",D5="n/a"),"n/a",D5-G5)</f>
        <v>17.500001203749</v>
      </c>
      <c r="J5" s="183" t="n">
        <f aca="false">IF(OR(G5="n/a",G5=0,E5="n/a",E5=0),"n/a",E5-G5)</f>
        <v>0</v>
      </c>
      <c r="K5" s="184" t="str">
        <f aca="false">IF(OR(C5&gt;100,D5="n/a",F5="n/a",G5="n/a",H5="n/a",I5="n/a",J5="n/a"),"X","")</f>
        <v/>
      </c>
      <c r="L5" s="177" t="s">
        <v>131</v>
      </c>
      <c r="M5" s="185" t="s">
        <v>131</v>
      </c>
      <c r="N5" s="186" t="n">
        <f aca="false">VLOOKUP($M5,'[1]4-Disponibilidade'!$E$8:$G$26,2,FALSE())</f>
        <v>87.5190277099609</v>
      </c>
      <c r="O5" s="186" t="n">
        <v>1850</v>
      </c>
      <c r="P5" s="186" t="n">
        <f aca="false">VLOOKUP($M5,'[1]4-Disponibilidade'!$E$8:$G$26,3,FALSE())</f>
        <v>575</v>
      </c>
      <c r="Q5" s="186" t="n">
        <f aca="false">VLOOKUP($L5,'[1]3-Produção'!$A$124:$C$145,2,FALSE())</f>
        <v>600</v>
      </c>
      <c r="R5" s="186" t="n">
        <f aca="false">IF(ISNA(VLOOKUP($L5,'[1]3-Produção'!$A$124:$C$145,3,FALSE())),"n/a",VLOOKUP($L5,'[1]3-Produção'!$A$124:$C$145,3,FALSE()))</f>
        <v>574.3375</v>
      </c>
      <c r="S5" s="187" t="n">
        <f aca="false">IF(OR(Q5="n/a",R5="n/a"),"n/a",R5-Q5)</f>
        <v>-25.6625</v>
      </c>
      <c r="T5" s="187" t="n">
        <f aca="false">IF(OR(O5="n/a",P5="n/a",R5="n/a"),"n/a",O5-R5)</f>
        <v>1275.6625</v>
      </c>
      <c r="U5" s="187" t="n">
        <f aca="false">IF(OR(P5="n/a",O5="n/a",R5="n/a"),"n/a",P5-R5)</f>
        <v>0.662500000000023</v>
      </c>
      <c r="V5" s="188" t="n">
        <v>8.5</v>
      </c>
      <c r="W5" s="184" t="str">
        <f aca="false">IF(OR(N5&gt;100,N5="n/a",O5="n/a",P5="n/a",Q5="n/a",R5="n/a"),"X","")</f>
        <v/>
      </c>
    </row>
    <row r="6" customFormat="false" ht="12.75" hidden="false" customHeight="false" outlineLevel="0" collapsed="false">
      <c r="A6" s="189" t="s">
        <v>132</v>
      </c>
      <c r="B6" s="178" t="s">
        <v>132</v>
      </c>
      <c r="C6" s="190" t="n">
        <f aca="false">VLOOKUP($B6,'[1]4-Disponibilidade'!$A$8:$C$102,2,FALSE())</f>
        <v>58.3333320617676</v>
      </c>
      <c r="D6" s="191" t="n">
        <f aca="false">IF(AND(C6=0,E6=0),"n/a",E6/C6*100)</f>
        <v>48.000001046317</v>
      </c>
      <c r="E6" s="191" t="n">
        <f aca="false">VLOOKUP($B6,'[1]4-Disponibilidade'!$A$8:$C$102,3,FALSE())</f>
        <v>28</v>
      </c>
      <c r="F6" s="192" t="n">
        <f aca="false">IF(ISNA(VLOOKUP($A6,'[1]3-Produção'!$A$9:$C$103,2,FALSE()))=TRUE(),"n/a",VLOOKUP($A6,'[1]3-Produção'!$A$9:$C$103,2,FALSE()))</f>
        <v>10.6666666666667</v>
      </c>
      <c r="G6" s="192" t="n">
        <f aca="false">IF(ISNA(VLOOKUP($A6,'[1]3-Produção'!$A$9:$C$103,3,FALSE()))=TRUE(),"n/a",VLOOKUP($A6,'[1]3-Produção'!$A$9:$C$103,3,FALSE()))</f>
        <v>13.3708333333333</v>
      </c>
      <c r="H6" s="192" t="n">
        <f aca="false">IF(OR(F6="n/a",G6="n/a"),"n/a",G6-F6)</f>
        <v>2.70416666666667</v>
      </c>
      <c r="I6" s="192" t="n">
        <f aca="false">IF(OR(G6="n/a",D6="n/a"),"n/a",D6-G6)</f>
        <v>34.6291677129837</v>
      </c>
      <c r="J6" s="193" t="n">
        <f aca="false">IF(OR(G6="n/a",G6=0,E6="n/a",E6=0),"n/a",E6-G6)</f>
        <v>14.6291666666667</v>
      </c>
      <c r="K6" s="184" t="str">
        <f aca="false">IF(OR(C6&gt;100,D6="n/a",F6="n/a",G6="n/a",H6="n/a",I6="n/a",J6="n/a"),"X","")</f>
        <v/>
      </c>
      <c r="L6" s="194" t="s">
        <v>133</v>
      </c>
      <c r="M6" s="195" t="s">
        <v>133</v>
      </c>
      <c r="N6" s="196" t="n">
        <f aca="false">VLOOKUP($M6,'[1]4-Disponibilidade'!$E$8:$G$26,2,FALSE())</f>
        <v>62.1076240539551</v>
      </c>
      <c r="O6" s="196" t="n">
        <f aca="false">IF(AND(N6=0,P6=0),P6,P6/N6*100)</f>
        <v>445.999994717815</v>
      </c>
      <c r="P6" s="196" t="n">
        <f aca="false">VLOOKUP($M6,'[1]4-Disponibilidade'!$E$8:$G$26,3,FALSE())</f>
        <v>277</v>
      </c>
      <c r="Q6" s="197" t="n">
        <f aca="false">VLOOKUP($L6,'[1]3-Produção'!$A$124:$C$145,2,FALSE())</f>
        <v>280</v>
      </c>
      <c r="R6" s="197" t="n">
        <f aca="false">IF(ISNA(VLOOKUP($L6,'[1]3-Produção'!$A$124:$C$145,3,FALSE())),"n/a",VLOOKUP($L6,'[1]3-Produção'!$A$124:$C$145,3,FALSE()))</f>
        <v>252.458333333333</v>
      </c>
      <c r="S6" s="198" t="n">
        <f aca="false">IF(OR(Q6="n/a",R6="n/a"),"n/a",R6-Q6)</f>
        <v>-27.5416666666667</v>
      </c>
      <c r="T6" s="198" t="n">
        <f aca="false">IF(OR(O6="n/a",P6="n/a",R6="n/a"),"n/a",O6-R6)</f>
        <v>193.541661384482</v>
      </c>
      <c r="U6" s="198" t="n">
        <f aca="false">IF(OR(P6="n/a",O6="n/a",R6="n/a"),"n/a",P6-R6)</f>
        <v>24.5416666666667</v>
      </c>
      <c r="V6" s="199" t="n">
        <v>28.6</v>
      </c>
      <c r="W6" s="184" t="str">
        <f aca="false">IF(OR(N6&gt;100,N6="n/a",O6="n/a",P6="n/a",Q6="n/a",R6="n/a"),"X","")</f>
        <v/>
      </c>
    </row>
    <row r="7" customFormat="false" ht="12.75" hidden="false" customHeight="false" outlineLevel="0" collapsed="false">
      <c r="A7" s="189" t="s">
        <v>39</v>
      </c>
      <c r="B7" s="178" t="s">
        <v>39</v>
      </c>
      <c r="C7" s="190" t="n">
        <f aca="false">VLOOKUP($B7,'[1]4-Disponibilidade'!$A$8:$C$102,2,FALSE())</f>
        <v>49.8322143554688</v>
      </c>
      <c r="D7" s="191" t="n">
        <f aca="false">IF(AND(C7=0,E7=0),"n/a",E7/C7*100)</f>
        <v>1192.00000979851</v>
      </c>
      <c r="E7" s="191" t="n">
        <f aca="false">VLOOKUP($B7,'[1]4-Disponibilidade'!$A$8:$C$102,3,FALSE())</f>
        <v>594</v>
      </c>
      <c r="F7" s="192" t="n">
        <f aca="false">IF(ISNA(VLOOKUP($A7,'[1]3-Produção'!$A$9:$C$103,2,FALSE()))=TRUE(),"n/a",VLOOKUP($A7,'[1]3-Produção'!$A$9:$C$103,2,FALSE()))</f>
        <v>130</v>
      </c>
      <c r="G7" s="192" t="n">
        <f aca="false">IF(ISNA(VLOOKUP($A7,'[1]3-Produção'!$A$9:$C$103,3,FALSE()))=TRUE(),"n/a",VLOOKUP($A7,'[1]3-Produção'!$A$9:$C$103,3,FALSE()))</f>
        <v>179.266666666667</v>
      </c>
      <c r="H7" s="192" t="n">
        <f aca="false">IF(OR(F7="n/a",G7="n/a"),"n/a",G7-F7)</f>
        <v>49.2666666666666</v>
      </c>
      <c r="I7" s="192" t="n">
        <f aca="false">IF(OR(G7="n/a",D7="n/a"),"n/a",D7-G7)</f>
        <v>1012.73334313184</v>
      </c>
      <c r="J7" s="193" t="n">
        <f aca="false">IF(OR(G7="n/a",G7=0,E7="n/a",E7=0),"n/a",E7-G7)</f>
        <v>414.733333333333</v>
      </c>
      <c r="K7" s="184" t="str">
        <f aca="false">IF(OR(C7&gt;100,D7="n/a",F7="n/a",G7="n/a",H7="n/a",I7="n/a",J7="n/a"),"X","")</f>
        <v/>
      </c>
      <c r="L7" s="194" t="s">
        <v>134</v>
      </c>
      <c r="M7" s="195" t="s">
        <v>135</v>
      </c>
      <c r="N7" s="196" t="e">
        <f aca="false">VLOOKUP($M7,'[1]4-Disponibilidade'!$E$8:$G$26,2,FALSE())</f>
        <v>#N/A</v>
      </c>
      <c r="O7" s="196" t="n">
        <v>450</v>
      </c>
      <c r="P7" s="196" t="e">
        <f aca="false">VLOOKUP($M7,'[1]4-Disponibilidade'!$E$8:$G$26,3,FALSE())</f>
        <v>#N/A</v>
      </c>
      <c r="Q7" s="197" t="n">
        <f aca="false">VLOOKUP($L7,'[1]3-Produção'!$A$124:$C$145,2,FALSE())</f>
        <v>550</v>
      </c>
      <c r="R7" s="197" t="n">
        <f aca="false">IF(ISNA(VLOOKUP($L7,'[1]3-Produção'!$A$124:$C$145,3,FALSE())),"n/a",VLOOKUP($L7,'[1]3-Produção'!$A$124:$C$145,3,FALSE()))</f>
        <v>550</v>
      </c>
      <c r="S7" s="198" t="n">
        <f aca="false">IF(OR(Q7="n/a",R7="n/a"),"n/a",R7-Q7)</f>
        <v>0</v>
      </c>
      <c r="T7" s="198" t="e">
        <f aca="false">IF(OR(O7="n/a",P7="n/a",R7="n/a"),"n/a",O7-R7)</f>
        <v>#N/A</v>
      </c>
      <c r="U7" s="198" t="e">
        <f aca="false">IF(OR(P7="n/a",O7="n/a",R7="n/a"),"n/a",P7-R7)</f>
        <v>#N/A</v>
      </c>
      <c r="V7" s="199" t="n">
        <v>38.95</v>
      </c>
      <c r="W7" s="184" t="e">
        <f aca="false">IF(OR(N7&gt;100,N7="n/a",O7="n/a",P7="n/a",Q7="n/a",R7="n/a"),"X","")</f>
        <v>#N/A</v>
      </c>
    </row>
    <row r="8" customFormat="false" ht="12.75" hidden="false" customHeight="false" outlineLevel="0" collapsed="false">
      <c r="A8" s="189" t="s">
        <v>136</v>
      </c>
      <c r="B8" s="178" t="s">
        <v>136</v>
      </c>
      <c r="C8" s="190" t="n">
        <f aca="false">VLOOKUP($B8,'[1]4-Disponibilidade'!$A$8:$C$102,2,FALSE())</f>
        <v>102.857139587402</v>
      </c>
      <c r="D8" s="191" t="n">
        <f aca="false">IF(AND(C8=0,E8=0),"n/a",E8/C8*100)</f>
        <v>140.00000445048</v>
      </c>
      <c r="E8" s="191" t="n">
        <f aca="false">VLOOKUP($B8,'[1]4-Disponibilidade'!$A$8:$C$102,3,FALSE())</f>
        <v>144</v>
      </c>
      <c r="F8" s="192" t="n">
        <f aca="false">IF(ISNA(VLOOKUP($A8,'[1]3-Produção'!$A$9:$C$103,2,FALSE()))=TRUE(),"n/a",VLOOKUP($A8,'[1]3-Produção'!$A$9:$C$103,2,FALSE()))</f>
        <v>53.8125</v>
      </c>
      <c r="G8" s="192" t="n">
        <f aca="false">IF(ISNA(VLOOKUP($A8,'[1]3-Produção'!$A$9:$C$103,3,FALSE()))=TRUE(),"n/a",VLOOKUP($A8,'[1]3-Produção'!$A$9:$C$103,3,FALSE()))</f>
        <v>110.291666666667</v>
      </c>
      <c r="H8" s="192" t="n">
        <f aca="false">IF(OR(F8="n/a",G8="n/a"),"n/a",G8-F8)</f>
        <v>56.4791666666667</v>
      </c>
      <c r="I8" s="192" t="n">
        <f aca="false">IF(OR(G8="n/a",D8="n/a"),"n/a",D8-G8)</f>
        <v>29.7083377838136</v>
      </c>
      <c r="J8" s="193" t="n">
        <f aca="false">IF(OR(G8="n/a",G8=0,E8="n/a",E8=0),"n/a",E8-G8)</f>
        <v>33.7083333333333</v>
      </c>
      <c r="K8" s="184" t="str">
        <f aca="false">IF(OR(C8&gt;100,D8="n/a",F8="n/a",G8="n/a",H8="n/a",I8="n/a",J8="n/a"),"X","")</f>
        <v>X</v>
      </c>
      <c r="L8" s="194" t="s">
        <v>137</v>
      </c>
      <c r="M8" s="195" t="s">
        <v>137</v>
      </c>
      <c r="N8" s="196" t="n">
        <f aca="false">VLOOKUP($M8,'[1]4-Disponibilidade'!$E$8:$G$26,2,FALSE())</f>
        <v>97.796142578125</v>
      </c>
      <c r="O8" s="196" t="n">
        <f aca="false">IF(AND(N8=0,P8=0),P8,P8/N8*100)</f>
        <v>363.000002496424</v>
      </c>
      <c r="P8" s="196" t="n">
        <f aca="false">VLOOKUP($M8,'[1]4-Disponibilidade'!$E$8:$G$26,3,FALSE())</f>
        <v>355</v>
      </c>
      <c r="Q8" s="197" t="n">
        <f aca="false">VLOOKUP($L8,'[1]3-Produção'!$A$124:$C$145,2,FALSE())</f>
        <v>180</v>
      </c>
      <c r="R8" s="197" t="n">
        <f aca="false">IF(ISNA(VLOOKUP($L8,'[1]3-Produção'!$A$124:$C$145,3,FALSE())),"n/a",VLOOKUP($L8,'[1]3-Produção'!$A$124:$C$145,3,FALSE()))</f>
        <v>263.129166666667</v>
      </c>
      <c r="S8" s="198" t="n">
        <f aca="false">IF(OR(Q8="n/a",R8="n/a"),"n/a",R8-Q8)</f>
        <v>83.1291666666667</v>
      </c>
      <c r="T8" s="198" t="n">
        <f aca="false">IF(OR(O8="n/a",P8="n/a",R8="n/a"),"n/a",O8-R8)</f>
        <v>99.8708358297572</v>
      </c>
      <c r="U8" s="198" t="n">
        <f aca="false">IF(OR(P8="n/a",O8="n/a",R8="n/a"),"n/a",P8-R8)</f>
        <v>91.8708333333333</v>
      </c>
      <c r="V8" s="199" t="n">
        <v>45.4</v>
      </c>
      <c r="W8" s="184" t="str">
        <f aca="false">IF(OR(N8&gt;100,N8="n/a",O8="n/a",P8="n/a",Q8="n/a",R8="n/a"),"X","")</f>
        <v/>
      </c>
    </row>
    <row r="9" customFormat="false" ht="12.75" hidden="false" customHeight="false" outlineLevel="0" collapsed="false">
      <c r="A9" s="189" t="s">
        <v>138</v>
      </c>
      <c r="B9" s="178" t="s">
        <v>138</v>
      </c>
      <c r="C9" s="190" t="n">
        <f aca="false">VLOOKUP($B9,'[1]4-Disponibilidade'!$A$8:$C$102,2,FALSE())</f>
        <v>100</v>
      </c>
      <c r="D9" s="191" t="n">
        <f aca="false">IF(AND(C9=0,E9=0),"n/a",E9/C9*100)</f>
        <v>210</v>
      </c>
      <c r="E9" s="191" t="n">
        <f aca="false">VLOOKUP($B9,'[1]4-Disponibilidade'!$A$8:$C$102,3,FALSE())</f>
        <v>210</v>
      </c>
      <c r="F9" s="192" t="n">
        <f aca="false">IF(ISNA(VLOOKUP($A9,'[1]3-Produção'!$A$9:$C$103,2,FALSE()))=TRUE(),"n/a",VLOOKUP($A9,'[1]3-Produção'!$A$9:$C$103,2,FALSE()))</f>
        <v>107.8125</v>
      </c>
      <c r="G9" s="192" t="n">
        <f aca="false">IF(ISNA(VLOOKUP($A9,'[1]3-Produção'!$A$9:$C$103,3,FALSE()))=TRUE(),"n/a",VLOOKUP($A9,'[1]3-Produção'!$A$9:$C$103,3,FALSE()))</f>
        <v>121.020833333333</v>
      </c>
      <c r="H9" s="192" t="n">
        <f aca="false">IF(OR(F9="n/a",G9="n/a"),"n/a",G9-F9)</f>
        <v>13.2083333333334</v>
      </c>
      <c r="I9" s="192" t="n">
        <f aca="false">IF(OR(G9="n/a",D9="n/a"),"n/a",D9-G9)</f>
        <v>88.9791666666666</v>
      </c>
      <c r="J9" s="193" t="n">
        <f aca="false">IF(OR(G9="n/a",G9=0,E9="n/a",E9=0),"n/a",E9-G9)</f>
        <v>88.9791666666666</v>
      </c>
      <c r="K9" s="184" t="str">
        <f aca="false">IF(OR(C9&gt;100,D9="n/a",F9="n/a",G9="n/a",H9="n/a",I9="n/a",J9="n/a"),"X","")</f>
        <v/>
      </c>
      <c r="L9" s="194" t="s">
        <v>139</v>
      </c>
      <c r="M9" s="195" t="s">
        <v>139</v>
      </c>
      <c r="N9" s="196" t="n">
        <f aca="false">VLOOKUP($M9,'[1]4-Disponibilidade'!$E$8:$G$26,2,FALSE())</f>
        <v>95.4198455810547</v>
      </c>
      <c r="O9" s="196" t="n">
        <f aca="false">IF(AND(N9=0,P9=0),P9,P9/N9*100)</f>
        <v>262.000004797363</v>
      </c>
      <c r="P9" s="196" t="n">
        <f aca="false">VLOOKUP($M9,'[1]4-Disponibilidade'!$E$8:$G$26,3,FALSE())</f>
        <v>250</v>
      </c>
      <c r="Q9" s="197" t="n">
        <f aca="false">VLOOKUP($L9,'[1]3-Produção'!$A$124:$C$145,2,FALSE())</f>
        <v>160</v>
      </c>
      <c r="R9" s="197" t="n">
        <f aca="false">IF(ISNA(VLOOKUP($L9,'[1]3-Produção'!$A$124:$C$145,3,FALSE())),"n/a",VLOOKUP($L9,'[1]3-Produção'!$A$124:$C$145,3,FALSE()))</f>
        <v>207.679166666667</v>
      </c>
      <c r="S9" s="198" t="n">
        <f aca="false">IF(OR(Q9="n/a",R9="n/a"),"n/a",R9-Q9)</f>
        <v>47.6791666666667</v>
      </c>
      <c r="T9" s="198" t="n">
        <f aca="false">IF(OR(O9="n/a",P9="n/a",R9="n/a"),"n/a",O9-R9)</f>
        <v>54.3208381306967</v>
      </c>
      <c r="U9" s="198" t="n">
        <f aca="false">IF(OR(P9="n/a",O9="n/a",R9="n/a"),"n/a",P9-R9)</f>
        <v>42.3208333333333</v>
      </c>
      <c r="V9" s="199" t="n">
        <v>53.31</v>
      </c>
      <c r="W9" s="184" t="str">
        <f aca="false">IF(OR(N9&gt;100,N9="n/a",O9="n/a",P9="n/a",Q9="n/a",R9="n/a"),"X","")</f>
        <v/>
      </c>
    </row>
    <row r="10" customFormat="false" ht="12.75" hidden="false" customHeight="false" outlineLevel="0" collapsed="false">
      <c r="A10" s="189" t="s">
        <v>140</v>
      </c>
      <c r="B10" s="178" t="s">
        <v>140</v>
      </c>
      <c r="C10" s="190" t="n">
        <f aca="false">VLOOKUP($B10,'[1]4-Disponibilidade'!$A$8:$C$102,2,FALSE())</f>
        <v>98.0769195556641</v>
      </c>
      <c r="D10" s="191" t="n">
        <f aca="false">IF(AND(C10=0,E10=0),"n/a",E10/C10*100)</f>
        <v>52.0000018669578</v>
      </c>
      <c r="E10" s="191" t="n">
        <f aca="false">VLOOKUP($B10,'[1]4-Disponibilidade'!$A$8:$C$102,3,FALSE())</f>
        <v>51</v>
      </c>
      <c r="F10" s="192" t="n">
        <f aca="false">IF(ISNA(VLOOKUP($A10,'[1]3-Produção'!$A$9:$C$103,2,FALSE()))=TRUE(),"n/a",VLOOKUP($A10,'[1]3-Produção'!$A$9:$C$103,2,FALSE()))</f>
        <v>18</v>
      </c>
      <c r="G10" s="192" t="n">
        <f aca="false">IF(ISNA(VLOOKUP($A10,'[1]3-Produção'!$A$9:$C$103,3,FALSE()))=TRUE(),"n/a",VLOOKUP($A10,'[1]3-Produção'!$A$9:$C$103,3,FALSE()))</f>
        <v>23.1</v>
      </c>
      <c r="H10" s="192" t="n">
        <f aca="false">IF(OR(F10="n/a",G10="n/a"),"n/a",G10-F10)</f>
        <v>5.1</v>
      </c>
      <c r="I10" s="192" t="n">
        <f aca="false">IF(OR(G10="n/a",D10="n/a"),"n/a",D10-G10)</f>
        <v>28.9000018669578</v>
      </c>
      <c r="J10" s="193" t="n">
        <f aca="false">IF(OR(G10="n/a",G10=0,E10="n/a",E10=0),"n/a",E10-G10)</f>
        <v>27.9</v>
      </c>
      <c r="K10" s="184" t="str">
        <f aca="false">IF(OR(C10&gt;100,D10="n/a",F10="n/a",G10="n/a",H10="n/a",I10="n/a",J10="n/a"),"X","")</f>
        <v/>
      </c>
      <c r="L10" s="194" t="s">
        <v>141</v>
      </c>
      <c r="M10" s="195" t="s">
        <v>141</v>
      </c>
      <c r="N10" s="196" t="n">
        <f aca="false">VLOOKUP($M10,'[1]4-Disponibilidade'!$E$8:$G$26,2,FALSE())</f>
        <v>57.3275871276856</v>
      </c>
      <c r="O10" s="196" t="n">
        <f aca="false">IF(AND(N10=0,P10=0),P10,P10/N10*100)</f>
        <v>231.999996273643</v>
      </c>
      <c r="P10" s="196" t="n">
        <f aca="false">VLOOKUP($M10,'[1]4-Disponibilidade'!$E$8:$G$26,3,FALSE())</f>
        <v>133</v>
      </c>
      <c r="Q10" s="197" t="n">
        <f aca="false">VLOOKUP($L10,'[1]3-Produção'!$A$124:$C$145,2,FALSE())</f>
        <v>91</v>
      </c>
      <c r="R10" s="197" t="n">
        <f aca="false">IF(ISNA(VLOOKUP($L10,'[1]3-Produção'!$A$124:$C$145,3,FALSE())),"n/a",VLOOKUP($L10,'[1]3-Produção'!$A$124:$C$145,3,FALSE()))</f>
        <v>111.875</v>
      </c>
      <c r="S10" s="198" t="n">
        <f aca="false">IF(OR(Q10="n/a",R10="n/a"),"n/a",R10-Q10)</f>
        <v>20.875</v>
      </c>
      <c r="T10" s="198" t="n">
        <f aca="false">IF(OR(O10="n/a",P10="n/a",R10="n/a"),"n/a",O10-R10)</f>
        <v>120.124996273643</v>
      </c>
      <c r="U10" s="198" t="n">
        <f aca="false">IF(OR(P10="n/a",O10="n/a",R10="n/a"),"n/a",P10-R10)</f>
        <v>21.125</v>
      </c>
      <c r="V10" s="199" t="n">
        <v>57.3</v>
      </c>
      <c r="W10" s="184" t="str">
        <f aca="false">IF(OR(N11&gt;100,N11="n/a",O11="n/a",P11="n/a",Q11="n/a",R11="n/a"),"X","")</f>
        <v/>
      </c>
    </row>
    <row r="11" customFormat="false" ht="12.75" hidden="false" customHeight="false" outlineLevel="0" collapsed="false">
      <c r="A11" s="189" t="s">
        <v>142</v>
      </c>
      <c r="B11" s="178" t="s">
        <v>142</v>
      </c>
      <c r="C11" s="190" t="n">
        <f aca="false">VLOOKUP($B11,'[1]4-Disponibilidade'!$A$8:$C$102,2,FALSE())</f>
        <v>85.1415100097656</v>
      </c>
      <c r="D11" s="191" t="n">
        <f aca="false">IF(AND(C11=0,E11=0),"n/a",E11/C11*100)</f>
        <v>423.999997132531</v>
      </c>
      <c r="E11" s="191" t="n">
        <f aca="false">VLOOKUP($B11,'[1]4-Disponibilidade'!$A$8:$C$102,3,FALSE())</f>
        <v>361</v>
      </c>
      <c r="F11" s="192" t="n">
        <f aca="false">IF(ISNA(VLOOKUP($A11,'[1]3-Produção'!$A$9:$C$103,2,FALSE()))=TRUE(),"n/a",VLOOKUP($A11,'[1]3-Produção'!$A$9:$C$103,2,FALSE()))</f>
        <v>252.708333333333</v>
      </c>
      <c r="G11" s="192" t="n">
        <f aca="false">IF(ISNA(VLOOKUP($A11,'[1]3-Produção'!$A$9:$C$103,3,FALSE()))=TRUE(),"n/a",VLOOKUP($A11,'[1]3-Produção'!$A$9:$C$103,3,FALSE()))</f>
        <v>282.6875</v>
      </c>
      <c r="H11" s="192" t="n">
        <f aca="false">IF(OR(F11="n/a",G11="n/a"),"n/a",G11-F11)</f>
        <v>29.9791666666667</v>
      </c>
      <c r="I11" s="192" t="n">
        <f aca="false">IF(OR(G11="n/a",D11="n/a"),"n/a",D11-G11)</f>
        <v>141.312497132531</v>
      </c>
      <c r="J11" s="193" t="n">
        <f aca="false">IF(OR(G11="n/a",G11=0,E11="n/a",E11=0),"n/a",E11-G11)</f>
        <v>78.3125</v>
      </c>
      <c r="K11" s="184" t="str">
        <f aca="false">IF(OR(C11&gt;100,D11="n/a",F11="n/a",G11="n/a",H11="n/a",I11="n/a",J11="n/a"),"X","")</f>
        <v/>
      </c>
      <c r="L11" s="194" t="s">
        <v>143</v>
      </c>
      <c r="M11" s="195" t="s">
        <v>143</v>
      </c>
      <c r="N11" s="196" t="n">
        <f aca="false">VLOOKUP($M11,'[1]4-Disponibilidade'!$E$8:$G$26,2,FALSE())</f>
        <v>40.2777786254883</v>
      </c>
      <c r="O11" s="196" t="n">
        <f aca="false">IF(AND(N11=0,P11=0),P11,P11/N11*100)</f>
        <v>71.9999984846444</v>
      </c>
      <c r="P11" s="196" t="n">
        <f aca="false">VLOOKUP($M11,'[1]4-Disponibilidade'!$E$8:$G$26,3,FALSE())</f>
        <v>29</v>
      </c>
      <c r="Q11" s="197" t="n">
        <f aca="false">VLOOKUP($L11,'[1]3-Produção'!$A$124:$C$145,2,FALSE())</f>
        <v>25</v>
      </c>
      <c r="R11" s="197" t="n">
        <f aca="false">IF(ISNA(VLOOKUP($L11,'[1]3-Produção'!$A$124:$C$145,3,FALSE())),"n/a",VLOOKUP($L11,'[1]3-Produção'!$A$124:$C$145,3,FALSE()))</f>
        <v>27.5875</v>
      </c>
      <c r="S11" s="198" t="n">
        <f aca="false">IF(OR(Q11="n/a",R11="n/a"),"n/a",R11-Q11)</f>
        <v>2.5875</v>
      </c>
      <c r="T11" s="198" t="n">
        <f aca="false">IF(OR(O11="n/a",P11="n/a",R11="n/a"),"n/a",O11-R11)</f>
        <v>44.4124984846444</v>
      </c>
      <c r="U11" s="198" t="n">
        <f aca="false">IF(OR(P11="n/a",O11="n/a",R11="n/a"),"n/a",P11-R11)</f>
        <v>1.4125</v>
      </c>
      <c r="V11" s="199" t="n">
        <v>57.65</v>
      </c>
      <c r="W11" s="184" t="str">
        <f aca="false">IF(OR(N10&gt;100,N10="n/a",O10="n/a",P10="n/a",Q10="n/a",R10="n/a"),"X","")</f>
        <v/>
      </c>
    </row>
    <row r="12" customFormat="false" ht="12.75" hidden="false" customHeight="false" outlineLevel="0" collapsed="false">
      <c r="A12" s="189" t="s">
        <v>144</v>
      </c>
      <c r="B12" s="178" t="s">
        <v>144</v>
      </c>
      <c r="C12" s="190" t="n">
        <f aca="false">VLOOKUP($B12,'[1]4-Disponibilidade'!$A$8:$C$102,2,FALSE())</f>
        <v>66.6666641235352</v>
      </c>
      <c r="D12" s="191" t="n">
        <f aca="false">IF(AND(C12=0,E12=0),"n/a",E12/C12*100)</f>
        <v>408.000015563965</v>
      </c>
      <c r="E12" s="191" t="n">
        <f aca="false">VLOOKUP($B12,'[1]4-Disponibilidade'!$A$8:$C$102,3,FALSE())</f>
        <v>272</v>
      </c>
      <c r="F12" s="192" t="n">
        <f aca="false">IF(ISNA(VLOOKUP($A12,'[1]3-Produção'!$A$9:$C$103,2,FALSE()))=TRUE(),"n/a",VLOOKUP($A12,'[1]3-Produção'!$A$9:$C$103,2,FALSE()))</f>
        <v>118.333333333333</v>
      </c>
      <c r="G12" s="192" t="n">
        <f aca="false">IF(ISNA(VLOOKUP($A12,'[1]3-Produção'!$A$9:$C$103,3,FALSE()))=TRUE(),"n/a",VLOOKUP($A12,'[1]3-Produção'!$A$9:$C$103,3,FALSE()))</f>
        <v>142.641666666667</v>
      </c>
      <c r="H12" s="192" t="n">
        <f aca="false">IF(OR(F12="n/a",G12="n/a"),"n/a",G12-F12)</f>
        <v>24.3083333333334</v>
      </c>
      <c r="I12" s="192" t="n">
        <f aca="false">IF(OR(G12="n/a",D12="n/a"),"n/a",D12-G12)</f>
        <v>265.358348897299</v>
      </c>
      <c r="J12" s="193" t="n">
        <f aca="false">IF(OR(G12="n/a",G12=0,E12="n/a",E12=0),"n/a",E12-G12)</f>
        <v>129.358333333333</v>
      </c>
      <c r="K12" s="184" t="str">
        <f aca="false">IF(OR(C12&gt;100,D12="n/a",F12="n/a",G12="n/a",H12="n/a",I12="n/a",J12="n/a"),"X","")</f>
        <v/>
      </c>
      <c r="L12" s="189" t="s">
        <v>145</v>
      </c>
      <c r="M12" s="200" t="s">
        <v>145</v>
      </c>
      <c r="N12" s="201" t="n">
        <f aca="false">VLOOKUP($M12,'[1]4-Disponibilidade'!$E$8:$G$26,2,FALSE())</f>
        <v>87.5</v>
      </c>
      <c r="O12" s="201" t="n">
        <f aca="false">IF(AND(N12=0,P12=0),P12,P12/N12*100)</f>
        <v>32</v>
      </c>
      <c r="P12" s="201" t="n">
        <f aca="false">VLOOKUP($M12,'[1]4-Disponibilidade'!$E$8:$G$26,3,FALSE())</f>
        <v>28</v>
      </c>
      <c r="Q12" s="202" t="n">
        <f aca="false">VLOOKUP($L12,'[1]3-Produção'!$A$124:$C$145,2,FALSE())</f>
        <v>30</v>
      </c>
      <c r="R12" s="202" t="n">
        <f aca="false">IF(ISNA(VLOOKUP($L12,'[1]3-Produção'!$A$124:$C$145,3,FALSE())),"n/a",VLOOKUP($L12,'[1]3-Produção'!$A$124:$C$145,3,FALSE()))</f>
        <v>28</v>
      </c>
      <c r="S12" s="192" t="n">
        <f aca="false">IF(OR(Q12="n/a",R12="n/a"),"n/a",R12-Q12)</f>
        <v>-2</v>
      </c>
      <c r="T12" s="192" t="n">
        <f aca="false">IF(OR(O12="n/a",P12="n/a",R12="n/a"),"n/a",O12-R12)</f>
        <v>4</v>
      </c>
      <c r="U12" s="192" t="n">
        <f aca="false">IF(OR(P12="n/a",O12="n/a",R12="n/a"),"n/a",P12-R12)</f>
        <v>0</v>
      </c>
      <c r="V12" s="203" t="n">
        <v>69.35</v>
      </c>
      <c r="W12" s="184" t="str">
        <f aca="false">IF(OR(N12&gt;100,N12="n/a",O12="n/a",P12="n/a",Q12="n/a",R12="n/a"),"X","")</f>
        <v/>
      </c>
    </row>
    <row r="13" customFormat="false" ht="12.75" hidden="false" customHeight="false" outlineLevel="0" collapsed="false">
      <c r="A13" s="204" t="s">
        <v>42</v>
      </c>
      <c r="B13" s="205" t="s">
        <v>42</v>
      </c>
      <c r="C13" s="190" t="n">
        <f aca="false">VLOOKUP($B13,'[1]4-Disponibilidade'!$A$8:$C$102,2,FALSE())</f>
        <v>82.3529434204102</v>
      </c>
      <c r="D13" s="191" t="n">
        <f aca="false">IF(AND(C13=0,E13=0),"n/a",E13/C13*100)</f>
        <v>509.999986103603</v>
      </c>
      <c r="E13" s="191" t="n">
        <f aca="false">VLOOKUP($B13,'[1]4-Disponibilidade'!$A$8:$C$102,3,FALSE())</f>
        <v>420</v>
      </c>
      <c r="F13" s="192" t="n">
        <f aca="false">IF(ISNA(VLOOKUP($A13,'[1]3-Produção'!$A$9:$C$103,2,FALSE()))=TRUE(),"n/a",VLOOKUP($A13,'[1]3-Produção'!$A$9:$C$103,2,FALSE()))</f>
        <v>125</v>
      </c>
      <c r="G13" s="192" t="n">
        <f aca="false">IF(ISNA(VLOOKUP($A13,'[1]3-Produção'!$A$9:$C$103,3,FALSE()))=TRUE(),"n/a",VLOOKUP($A13,'[1]3-Produção'!$A$9:$C$103,3,FALSE()))</f>
        <v>169.454166666667</v>
      </c>
      <c r="H13" s="192" t="n">
        <f aca="false">IF(OR(F13="n/a",G13="n/a"),"n/a",G13-F13)</f>
        <v>44.4541666666667</v>
      </c>
      <c r="I13" s="192" t="n">
        <f aca="false">IF(OR(G13="n/a",D13="n/a"),"n/a",D13-G13)</f>
        <v>340.545819436937</v>
      </c>
      <c r="J13" s="193" t="n">
        <f aca="false">IF(OR(G13="n/a",G13=0,E13="n/a",E13=0),"n/a",E13-G13)</f>
        <v>250.545833333333</v>
      </c>
      <c r="K13" s="184" t="str">
        <f aca="false">IF(OR(C13&gt;100,D13="n/a",F13="n/a",G13="n/a",H13="n/a",I13="n/a",J13="n/a"),"X","")</f>
        <v/>
      </c>
      <c r="L13" s="189" t="s">
        <v>146</v>
      </c>
      <c r="M13" s="200" t="s">
        <v>146</v>
      </c>
      <c r="N13" s="201" t="n">
        <f aca="false">VLOOKUP($M13,'[1]4-Disponibilidade'!$E$8:$G$26,2,FALSE())</f>
        <v>99.7715148925781</v>
      </c>
      <c r="O13" s="201" t="n">
        <f aca="false">IF(AND(N13=0,P13=0),P13,P13/N13*100)</f>
        <v>131.300000948211</v>
      </c>
      <c r="P13" s="201" t="n">
        <f aca="false">VLOOKUP($M13,'[1]4-Disponibilidade'!$E$8:$G$26,3,FALSE())</f>
        <v>131</v>
      </c>
      <c r="Q13" s="202" t="n">
        <f aca="false">VLOOKUP($L13,'[1]3-Produção'!$A$124:$C$145,2,FALSE())</f>
        <v>131</v>
      </c>
      <c r="R13" s="202" t="n">
        <f aca="false">IF(ISNA(VLOOKUP($L13,'[1]3-Produção'!$A$124:$C$145,3,FALSE())),"n/a",VLOOKUP($L13,'[1]3-Produção'!$A$124:$C$145,3,FALSE()))</f>
        <v>130.820833333333</v>
      </c>
      <c r="S13" s="192" t="n">
        <f aca="false">IF(OR(Q13="n/a",R13="n/a"),"n/a",R13-Q13)</f>
        <v>-0.179166666666646</v>
      </c>
      <c r="T13" s="192" t="n">
        <f aca="false">IF(OR(O13="n/a",P13="n/a",R13="n/a"),"n/a",O13-R13)</f>
        <v>0.479167614878094</v>
      </c>
      <c r="U13" s="192" t="n">
        <f aca="false">IF(OR(P13="n/a",O13="n/a",R13="n/a"),"n/a",P13-R13)</f>
        <v>0.179166666666646</v>
      </c>
      <c r="V13" s="203" t="n">
        <v>78.13</v>
      </c>
      <c r="W13" s="184" t="str">
        <f aca="false">IF(OR(N13&gt;100,N13="n/a",O13="n/a",P13="n/a",Q13="n/a",R13="n/a"),"X","")</f>
        <v/>
      </c>
    </row>
    <row r="14" customFormat="false" ht="12.75" hidden="false" customHeight="false" outlineLevel="0" collapsed="false">
      <c r="A14" s="189" t="s">
        <v>147</v>
      </c>
      <c r="B14" s="178" t="s">
        <v>147</v>
      </c>
      <c r="C14" s="190" t="n">
        <f aca="false">VLOOKUP($B14,'[1]4-Disponibilidade'!$A$8:$C$102,2,FALSE())</f>
        <v>50.886661529541</v>
      </c>
      <c r="D14" s="191" t="n">
        <f aca="false">IF(AND(C14=0,E14=0),"n/a",E14/C14*100)</f>
        <v>129.699999992504</v>
      </c>
      <c r="E14" s="191" t="n">
        <f aca="false">VLOOKUP($B14,'[1]4-Disponibilidade'!$A$8:$C$102,3,FALSE())</f>
        <v>66</v>
      </c>
      <c r="F14" s="192" t="n">
        <f aca="false">IF(ISNA(VLOOKUP($A14,'[1]3-Produção'!$A$9:$C$103,2,FALSE()))=TRUE(),"n/a",VLOOKUP($A14,'[1]3-Produção'!$A$9:$C$103,2,FALSE()))</f>
        <v>52.9166666666667</v>
      </c>
      <c r="G14" s="192" t="n">
        <f aca="false">IF(ISNA(VLOOKUP($A14,'[1]3-Produção'!$A$9:$C$103,3,FALSE()))=TRUE(),"n/a",VLOOKUP($A14,'[1]3-Produção'!$A$9:$C$103,3,FALSE()))</f>
        <v>53.5958333333333</v>
      </c>
      <c r="H14" s="192" t="n">
        <f aca="false">IF(OR(F14="n/a",G14="n/a"),"n/a",G14-F14)</f>
        <v>0.679166666666667</v>
      </c>
      <c r="I14" s="192" t="n">
        <f aca="false">IF(OR(G14="n/a",D14="n/a"),"n/a",D14-G14)</f>
        <v>76.1041666591702</v>
      </c>
      <c r="J14" s="193" t="n">
        <f aca="false">IF(OR(G14="n/a",G14=0,E14="n/a",E14=0),"n/a",E14-G14)</f>
        <v>12.4041666666667</v>
      </c>
      <c r="K14" s="184" t="str">
        <f aca="false">IF(OR(C14&gt;100,D14="n/a",F14="n/a",G14="n/a",H14="n/a",I14="n/a",J14="n/a"),"X","")</f>
        <v/>
      </c>
      <c r="L14" s="194" t="s">
        <v>148</v>
      </c>
      <c r="M14" s="195" t="s">
        <v>148</v>
      </c>
      <c r="N14" s="196" t="n">
        <f aca="false">VLOOKUP($M14,'[1]4-Disponibilidade'!$E$8:$G$26,2,FALSE())</f>
        <v>30</v>
      </c>
      <c r="O14" s="196" t="n">
        <f aca="false">IF(AND(N14=0,P14=0),P14,P14/N14*100)</f>
        <v>20</v>
      </c>
      <c r="P14" s="196" t="n">
        <f aca="false">VLOOKUP($M14,'[1]4-Disponibilidade'!$E$8:$G$26,3,FALSE())</f>
        <v>6</v>
      </c>
      <c r="Q14" s="197" t="n">
        <f aca="false">VLOOKUP($L14,'[1]3-Produção'!$A$124:$C$145,2,FALSE())</f>
        <v>6</v>
      </c>
      <c r="R14" s="197" t="n">
        <f aca="false">IF(ISNA(VLOOKUP($L14,'[1]3-Produção'!$A$124:$C$145,3,FALSE())),"n/a",VLOOKUP($L14,'[1]3-Produção'!$A$124:$C$145,3,FALSE()))</f>
        <v>4.49166666666667</v>
      </c>
      <c r="S14" s="198" t="n">
        <f aca="false">IF(OR(Q14="n/a",R14="n/a"),"n/a",R14-Q14)</f>
        <v>-1.50833333333333</v>
      </c>
      <c r="T14" s="198" t="n">
        <f aca="false">IF(OR(O14="n/a",P14="n/a",R14="n/a"),"n/a",O14-R14)</f>
        <v>15.5083333333333</v>
      </c>
      <c r="U14" s="198" t="n">
        <f aca="false">IF(OR(P14="n/a",O14="n/a",R14="n/a"),"n/a",P14-R14)</f>
        <v>1.50833333333333</v>
      </c>
      <c r="V14" s="199" t="n">
        <v>78.52</v>
      </c>
      <c r="W14" s="184" t="str">
        <f aca="false">IF(OR(N14&gt;100,N14="n/a",O14="n/a",P14="n/a",Q14="n/a",R14="n/a"),"X","")</f>
        <v/>
      </c>
    </row>
    <row r="15" customFormat="false" ht="12.75" hidden="false" customHeight="false" outlineLevel="0" collapsed="false">
      <c r="A15" s="189" t="s">
        <v>149</v>
      </c>
      <c r="B15" s="178" t="s">
        <v>149</v>
      </c>
      <c r="C15" s="190" t="n">
        <f aca="false">VLOOKUP($B15,'[1]4-Disponibilidade'!$A$8:$C$102,2,FALSE())</f>
        <v>100</v>
      </c>
      <c r="D15" s="191" t="n">
        <f aca="false">IF(AND(C15=0,E15=0),"n/a",E15/C15*100)</f>
        <v>102</v>
      </c>
      <c r="E15" s="191" t="n">
        <f aca="false">VLOOKUP($B15,'[1]4-Disponibilidade'!$A$8:$C$102,3,FALSE())</f>
        <v>102</v>
      </c>
      <c r="F15" s="192" t="n">
        <f aca="false">IF(ISNA(VLOOKUP($A15,'[1]3-Produção'!$A$9:$C$103,2,FALSE()))=TRUE(),"n/a",VLOOKUP($A15,'[1]3-Produção'!$A$9:$C$103,2,FALSE()))</f>
        <v>69.6875</v>
      </c>
      <c r="G15" s="192" t="n">
        <f aca="false">IF(ISNA(VLOOKUP($A15,'[1]3-Produção'!$A$9:$C$103,3,FALSE()))=TRUE(),"n/a",VLOOKUP($A15,'[1]3-Produção'!$A$9:$C$103,3,FALSE()))</f>
        <v>70</v>
      </c>
      <c r="H15" s="192" t="n">
        <f aca="false">IF(OR(F15="n/a",G15="n/a"),"n/a",G15-F15)</f>
        <v>0.3125</v>
      </c>
      <c r="I15" s="192" t="n">
        <f aca="false">IF(OR(G15="n/a",D15="n/a"),"n/a",D15-G15)</f>
        <v>32</v>
      </c>
      <c r="J15" s="193" t="n">
        <f aca="false">IF(OR(G15="n/a",G15=0,E15="n/a",E15=0),"n/a",E15-G15)</f>
        <v>32</v>
      </c>
      <c r="K15" s="184" t="str">
        <f aca="false">IF(OR(C15&gt;100,D15="n/a",F15="n/a",G15="n/a",H15="n/a",I15="n/a",J15="n/a"),"X","")</f>
        <v/>
      </c>
      <c r="L15" s="194" t="s">
        <v>150</v>
      </c>
      <c r="M15" s="195" t="s">
        <v>151</v>
      </c>
      <c r="N15" s="196" t="n">
        <f aca="false">VLOOKUP($M15,'[1]4-Disponibilidade'!$E$8:$G$26,2,FALSE())</f>
        <v>29.4117641448975</v>
      </c>
      <c r="O15" s="196" t="n">
        <f aca="false">IF(AND(N15=0,P15=0),P15,P15/N15*100)</f>
        <v>17.0000003242493</v>
      </c>
      <c r="P15" s="196" t="n">
        <f aca="false">VLOOKUP($M15,'[1]4-Disponibilidade'!$E$8:$G$26,3,FALSE())</f>
        <v>5</v>
      </c>
      <c r="Q15" s="197" t="n">
        <f aca="false">VLOOKUP($L15,'[1]3-Produção'!$A$124:$C$145,2,FALSE())</f>
        <v>5</v>
      </c>
      <c r="R15" s="197" t="str">
        <f aca="false">IF(ISNA(VLOOKUP($L15,'[1]3-Produção'!$A$124:$C$145,3,FALSE())),"n/a",VLOOKUP($L15,'[1]3-Produção'!$A$124:$C$145,3,FALSE()))</f>
        <v/>
      </c>
      <c r="S15" s="198" t="e">
        <f aca="false">IF(OR(Q15="n/a",R15="n/a"),"n/a",R15-Q15)</f>
        <v>#VALUE!</v>
      </c>
      <c r="T15" s="198" t="e">
        <f aca="false">IF(OR(O15="n/a",P15="n/a",R15="n/a"),"n/a",O15-R15)</f>
        <v>#VALUE!</v>
      </c>
      <c r="U15" s="198" t="e">
        <f aca="false">IF(OR(P15="n/a",O15="n/a",R15="n/a"),"n/a",P15-R15)</f>
        <v>#VALUE!</v>
      </c>
      <c r="V15" s="199" t="n">
        <v>87.33</v>
      </c>
      <c r="W15" s="184" t="str">
        <f aca="false">IF(OR(N15&gt;100,N15="n/a",O15="n/a",P15="n/a",Q15="n/a",R15="n/a"),"X","")</f>
        <v/>
      </c>
    </row>
    <row r="16" customFormat="false" ht="12.75" hidden="false" customHeight="false" outlineLevel="0" collapsed="false">
      <c r="A16" s="189" t="s">
        <v>152</v>
      </c>
      <c r="B16" s="178" t="s">
        <v>152</v>
      </c>
      <c r="C16" s="190" t="n">
        <f aca="false">VLOOKUP($B16,'[1]4-Disponibilidade'!$A$8:$C$102,2,FALSE())</f>
        <v>93.9766082763672</v>
      </c>
      <c r="D16" s="191" t="n">
        <f aca="false">IF(AND(C16=0,E16=0),"n/a",E16/C16*100)</f>
        <v>1709.99999837632</v>
      </c>
      <c r="E16" s="191" t="n">
        <f aca="false">VLOOKUP($B16,'[1]4-Disponibilidade'!$A$8:$C$102,3,FALSE())</f>
        <v>1607</v>
      </c>
      <c r="F16" s="192" t="n">
        <f aca="false">IF(ISNA(VLOOKUP($A16,'[1]3-Produção'!$A$9:$C$103,2,FALSE()))=TRUE(),"n/a",VLOOKUP($A16,'[1]3-Produção'!$A$9:$C$103,2,FALSE()))</f>
        <v>1528.75</v>
      </c>
      <c r="G16" s="192" t="n">
        <f aca="false">IF(ISNA(VLOOKUP($A16,'[1]3-Produção'!$A$9:$C$103,3,FALSE()))=TRUE(),"n/a",VLOOKUP($A16,'[1]3-Produção'!$A$9:$C$103,3,FALSE()))</f>
        <v>1541.94166666667</v>
      </c>
      <c r="H16" s="192" t="n">
        <f aca="false">IF(OR(F16="n/a",G16="n/a"),"n/a",G16-F16)</f>
        <v>13.1916666666668</v>
      </c>
      <c r="I16" s="192" t="n">
        <f aca="false">IF(OR(G16="n/a",D16="n/a"),"n/a",D16-G16)</f>
        <v>168.058331709654</v>
      </c>
      <c r="J16" s="193" t="n">
        <f aca="false">IF(OR(G16="n/a",G16=0,E16="n/a",E16=0),"n/a",E16-G16)</f>
        <v>65.0583333333332</v>
      </c>
      <c r="K16" s="184" t="str">
        <f aca="false">IF(OR(C16&gt;100,D16="n/a",F16="n/a",G16="n/a",H16="n/a",I16="n/a",J16="n/a"),"X","")</f>
        <v/>
      </c>
      <c r="L16" s="189" t="s">
        <v>153</v>
      </c>
      <c r="M16" s="200" t="s">
        <v>153</v>
      </c>
      <c r="N16" s="201" t="n">
        <f aca="false">VLOOKUP($M16,'[1]4-Disponibilidade'!$E$8:$G$26,2,FALSE())</f>
        <v>64.9671020507813</v>
      </c>
      <c r="O16" s="201" t="n">
        <f aca="false">IF(AND(N16=0,P16=0),P16,P16/N16*100)</f>
        <v>608.000030063293</v>
      </c>
      <c r="P16" s="201" t="n">
        <f aca="false">VLOOKUP($M16,'[1]4-Disponibilidade'!$E$8:$G$26,3,FALSE())</f>
        <v>395</v>
      </c>
      <c r="Q16" s="202" t="n">
        <f aca="false">VLOOKUP($L16,'[1]3-Produção'!$A$124:$C$145,2,FALSE())</f>
        <v>430</v>
      </c>
      <c r="R16" s="202" t="n">
        <f aca="false">IF(ISNA(VLOOKUP($L16,'[1]3-Produção'!$A$124:$C$145,3,FALSE())),"n/a",VLOOKUP($L16,'[1]3-Produção'!$A$124:$C$145,3,FALSE()))</f>
        <v>388.995833333333</v>
      </c>
      <c r="S16" s="192" t="n">
        <f aca="false">IF(OR(Q16="n/a",R16="n/a"),"n/a",R16-Q16)</f>
        <v>-41.0041666666667</v>
      </c>
      <c r="T16" s="192" t="n">
        <f aca="false">IF(OR(O16="n/a",P16="n/a",R16="n/a"),"n/a",O16-R16)</f>
        <v>219.004196729959</v>
      </c>
      <c r="U16" s="192" t="n">
        <f aca="false">IF(OR(P16="n/a",O16="n/a",R16="n/a"),"n/a",P16-R16)</f>
        <v>6.00416666666666</v>
      </c>
      <c r="V16" s="203" t="n">
        <v>97.11</v>
      </c>
      <c r="W16" s="184" t="str">
        <f aca="false">IF(OR(N16&gt;100,N16="n/a",O16="n/a",P16="n/a",Q16="n/a",R16="n/a"),"X","")</f>
        <v/>
      </c>
    </row>
    <row r="17" customFormat="false" ht="12.75" hidden="false" customHeight="false" outlineLevel="0" collapsed="false">
      <c r="A17" s="189" t="s">
        <v>154</v>
      </c>
      <c r="B17" s="178" t="s">
        <v>154</v>
      </c>
      <c r="C17" s="190" t="n">
        <f aca="false">VLOOKUP($B17,'[1]4-Disponibilidade'!$A$8:$C$102,2,FALSE())</f>
        <v>65.3594818115234</v>
      </c>
      <c r="D17" s="191" t="n">
        <f aca="false">IF(AND(C17=0,E17=0),"n/a",E17/C17*100)</f>
        <v>61.1999956109622</v>
      </c>
      <c r="E17" s="191" t="n">
        <f aca="false">VLOOKUP($B17,'[1]4-Disponibilidade'!$A$8:$C$102,3,FALSE())</f>
        <v>40</v>
      </c>
      <c r="F17" s="192" t="n">
        <f aca="false">IF(ISNA(VLOOKUP($A17,'[1]3-Produção'!$A$9:$C$103,2,FALSE()))=TRUE(),"n/a",VLOOKUP($A17,'[1]3-Produção'!$A$9:$C$103,2,FALSE()))</f>
        <v>26</v>
      </c>
      <c r="G17" s="192" t="n">
        <f aca="false">IF(ISNA(VLOOKUP($A17,'[1]3-Produção'!$A$9:$C$103,3,FALSE()))=TRUE(),"n/a",VLOOKUP($A17,'[1]3-Produção'!$A$9:$C$103,3,FALSE()))</f>
        <v>25.0458333333333</v>
      </c>
      <c r="H17" s="192" t="n">
        <f aca="false">IF(OR(F17="n/a",G17="n/a"),"n/a",G17-F17)</f>
        <v>-0.954166666666666</v>
      </c>
      <c r="I17" s="192" t="n">
        <f aca="false">IF(OR(G17="n/a",D17="n/a"),"n/a",D17-G17)</f>
        <v>36.1541622776289</v>
      </c>
      <c r="J17" s="193" t="n">
        <f aca="false">IF(OR(G17="n/a",G17=0,E17="n/a",E17=0),"n/a",E17-G17)</f>
        <v>14.9541666666667</v>
      </c>
      <c r="K17" s="184" t="str">
        <f aca="false">IF(OR(C17&gt;100,D17="n/a",F17="n/a",G17="n/a",H17="n/a",I17="n/a",J17="n/a"),"X","")</f>
        <v/>
      </c>
      <c r="L17" s="189" t="s">
        <v>155</v>
      </c>
      <c r="M17" s="200" t="s">
        <v>155</v>
      </c>
      <c r="N17" s="201" t="n">
        <f aca="false">VLOOKUP($M17,'[1]4-Disponibilidade'!$E$8:$G$26,2,FALSE())</f>
        <v>68.0851058959961</v>
      </c>
      <c r="O17" s="201" t="n">
        <f aca="false">IF(AND(N17=0,P17=0),P17,P17/N17*100)</f>
        <v>470.000003361702</v>
      </c>
      <c r="P17" s="201" t="n">
        <f aca="false">VLOOKUP($M17,'[1]4-Disponibilidade'!$E$8:$G$26,3,FALSE())</f>
        <v>320</v>
      </c>
      <c r="Q17" s="202" t="n">
        <f aca="false">VLOOKUP($L17,'[1]3-Produção'!$A$124:$C$145,2,FALSE())</f>
        <v>245</v>
      </c>
      <c r="R17" s="202" t="n">
        <f aca="false">IF(ISNA(VLOOKUP($L17,'[1]3-Produção'!$A$124:$C$145,3,FALSE())),"n/a",VLOOKUP($L17,'[1]3-Produção'!$A$124:$C$145,3,FALSE()))</f>
        <v>231.970833333333</v>
      </c>
      <c r="S17" s="192" t="n">
        <f aca="false">IF(OR(Q17="n/a",R17="n/a"),"n/a",R17-Q17)</f>
        <v>-13.0291666666666</v>
      </c>
      <c r="T17" s="192" t="n">
        <f aca="false">IF(OR(O17="n/a",P17="n/a",R17="n/a"),"n/a",O17-R17)</f>
        <v>238.029170028369</v>
      </c>
      <c r="U17" s="192" t="n">
        <f aca="false">IF(OR(P17="n/a",O17="n/a",R17="n/a"),"n/a",P17-R17)</f>
        <v>88.0291666666666</v>
      </c>
      <c r="V17" s="203" t="n">
        <v>115.27</v>
      </c>
      <c r="W17" s="184" t="str">
        <f aca="false">IF(OR(N17&gt;100,N17="n/a",O17="n/a",P17="n/a",Q17="n/a",R17="n/a"),"X","")</f>
        <v/>
      </c>
    </row>
    <row r="18" customFormat="false" ht="12.75" hidden="false" customHeight="false" outlineLevel="0" collapsed="false">
      <c r="A18" s="204" t="s">
        <v>156</v>
      </c>
      <c r="B18" s="205" t="s">
        <v>156</v>
      </c>
      <c r="C18" s="190" t="n">
        <f aca="false">VLOOKUP($B18,'[1]4-Disponibilidade'!$A$8:$C$102,2,FALSE())</f>
        <v>86.363639831543</v>
      </c>
      <c r="D18" s="191" t="n">
        <f aca="false">IF(AND(C18=0,E18=0),"n/a",E18/C18*100)</f>
        <v>395.999984098736</v>
      </c>
      <c r="E18" s="191" t="n">
        <f aca="false">VLOOKUP($B18,'[1]4-Disponibilidade'!$A$8:$C$102,3,FALSE())</f>
        <v>342</v>
      </c>
      <c r="F18" s="192" t="n">
        <f aca="false">IF(ISNA(VLOOKUP($A18,'[1]3-Produção'!$A$9:$C$103,2,FALSE()))=TRUE(),"n/a",VLOOKUP($A18,'[1]3-Produção'!$A$9:$C$103,2,FALSE()))</f>
        <v>168.958333333333</v>
      </c>
      <c r="G18" s="192" t="n">
        <f aca="false">IF(ISNA(VLOOKUP($A18,'[1]3-Produção'!$A$9:$C$103,3,FALSE()))=TRUE(),"n/a",VLOOKUP($A18,'[1]3-Produção'!$A$9:$C$103,3,FALSE()))</f>
        <v>218.783333333333</v>
      </c>
      <c r="H18" s="192" t="n">
        <f aca="false">IF(OR(F18="n/a",G18="n/a"),"n/a",G18-F18)</f>
        <v>49.825</v>
      </c>
      <c r="I18" s="192" t="n">
        <f aca="false">IF(OR(G18="n/a",D18="n/a"),"n/a",D18-G18)</f>
        <v>177.216650765403</v>
      </c>
      <c r="J18" s="193" t="n">
        <f aca="false">IF(OR(G18="n/a",G18=0,E18="n/a",E18=0),"n/a",E18-G18)</f>
        <v>123.216666666667</v>
      </c>
      <c r="K18" s="184" t="str">
        <f aca="false">IF(OR(C18&gt;100,D18="n/a",F18="n/a",G18="n/a",H18="n/a",I18="n/a",J18="n/a"),"X","")</f>
        <v/>
      </c>
      <c r="L18" s="194" t="s">
        <v>157</v>
      </c>
      <c r="M18" s="195" t="s">
        <v>157</v>
      </c>
      <c r="N18" s="196" t="n">
        <f aca="false">VLOOKUP($M18,'[1]4-Disponibilidade'!$E$8:$G$26,2,FALSE())</f>
        <v>0</v>
      </c>
      <c r="O18" s="196" t="n">
        <f aca="false">IF(AND(N18=0,P18=0),P18,P18/N18*100)</f>
        <v>0</v>
      </c>
      <c r="P18" s="196" t="n">
        <f aca="false">VLOOKUP($M18,'[1]4-Disponibilidade'!$E$8:$G$26,3,FALSE())</f>
        <v>0</v>
      </c>
      <c r="Q18" s="197" t="n">
        <f aca="false">VLOOKUP($L18,'[1]3-Produção'!$A$124:$C$145,2,FALSE())</f>
        <v>0</v>
      </c>
      <c r="R18" s="197" t="n">
        <f aca="false">IF(ISNA(VLOOKUP($L18,'[1]3-Produção'!$A$124:$C$145,3,FALSE())),"n/a",VLOOKUP($L18,'[1]3-Produção'!$A$124:$C$145,3,FALSE()))</f>
        <v>0</v>
      </c>
      <c r="S18" s="198" t="n">
        <f aca="false">IF(OR(Q18="n/a",R18="n/a"),"n/a",R18-Q18)</f>
        <v>0</v>
      </c>
      <c r="T18" s="198" t="n">
        <f aca="false">IF(OR(O18="n/a",P18="n/a",R18="n/a"),"n/a",O18-R18)</f>
        <v>0</v>
      </c>
      <c r="U18" s="198" t="n">
        <f aca="false">IF(OR(P18="n/a",O18="n/a",R18="n/a"),"n/a",P18-R18)</f>
        <v>0</v>
      </c>
      <c r="V18" s="199" t="n">
        <v>128.24</v>
      </c>
      <c r="W18" s="184" t="str">
        <f aca="false">IF(OR(N18&gt;100,N18="n/a",O18="n/a",P18="n/a",Q18="n/a",R18="n/a"),"X","")</f>
        <v/>
      </c>
    </row>
    <row r="19" customFormat="false" ht="12.75" hidden="false" customHeight="false" outlineLevel="0" collapsed="false">
      <c r="A19" s="189" t="s">
        <v>158</v>
      </c>
      <c r="B19" s="178" t="s">
        <v>158</v>
      </c>
      <c r="C19" s="190" t="n">
        <f aca="false">VLOOKUP($B19,'[1]4-Disponibilidade'!$A$8:$C$102,2,FALSE())</f>
        <v>100</v>
      </c>
      <c r="D19" s="191" t="n">
        <f aca="false">IF(AND(C19=0,E19=0),"n/a",E19/C19*100)</f>
        <v>380</v>
      </c>
      <c r="E19" s="191" t="n">
        <f aca="false">VLOOKUP($B19,'[1]4-Disponibilidade'!$A$8:$C$102,3,FALSE())</f>
        <v>380</v>
      </c>
      <c r="F19" s="192" t="n">
        <f aca="false">IF(ISNA(VLOOKUP($A19,'[1]3-Produção'!$A$9:$C$103,2,FALSE()))=TRUE(),"n/a",VLOOKUP($A19,'[1]3-Produção'!$A$9:$C$103,2,FALSE()))</f>
        <v>170</v>
      </c>
      <c r="G19" s="192" t="n">
        <f aca="false">IF(ISNA(VLOOKUP($A19,'[1]3-Produção'!$A$9:$C$103,3,FALSE()))=TRUE(),"n/a",VLOOKUP($A19,'[1]3-Produção'!$A$9:$C$103,3,FALSE()))</f>
        <v>210.175</v>
      </c>
      <c r="H19" s="192" t="n">
        <f aca="false">IF(OR(F19="n/a",G19="n/a"),"n/a",G19-F19)</f>
        <v>40.175</v>
      </c>
      <c r="I19" s="192" t="n">
        <f aca="false">IF(OR(G19="n/a",D19="n/a"),"n/a",D19-G19)</f>
        <v>169.825</v>
      </c>
      <c r="J19" s="193" t="n">
        <f aca="false">IF(OR(G19="n/a",G19=0,E19="n/a",E19=0),"n/a",E19-G19)</f>
        <v>169.825</v>
      </c>
      <c r="K19" s="184" t="str">
        <f aca="false">IF(OR(C19&gt;100,D19="n/a",F19="n/a",G19="n/a",H19="n/a",I19="n/a",J19="n/a"),"X","")</f>
        <v/>
      </c>
      <c r="L19" s="189" t="s">
        <v>159</v>
      </c>
      <c r="M19" s="200" t="s">
        <v>160</v>
      </c>
      <c r="N19" s="201" t="e">
        <f aca="false">VLOOKUP($M19,'[1]4-Disponibilidade'!$E$8:$G$26,2,FALSE())</f>
        <v>#N/A</v>
      </c>
      <c r="O19" s="201" t="e">
        <f aca="false">IF(AND(N19=0,P19=0),P19,P19/N19*100)</f>
        <v>#N/A</v>
      </c>
      <c r="P19" s="201" t="e">
        <f aca="false">VLOOKUP($M19,'[1]4-Disponibilidade'!$E$8:$G$26,3,FALSE())</f>
        <v>#N/A</v>
      </c>
      <c r="Q19" s="202" t="n">
        <f aca="false">VLOOKUP($M19,'[1]3-Produção'!$A$124:$C$145,2,FALSE())</f>
        <v>0</v>
      </c>
      <c r="R19" s="202" t="str">
        <f aca="false">IF(ISNA(VLOOKUP($L19,'[1]3-Produção'!$A$124:$C$145,3,FALSE())),"n/a",VLOOKUP($L19,'[1]3-Produção'!$A$124:$C$145,3,FALSE()))</f>
        <v>n/a</v>
      </c>
      <c r="S19" s="192" t="str">
        <f aca="false">IF(OR(Q19="n/a",R19="n/a"),"n/a",R19-Q19)</f>
        <v>n/a</v>
      </c>
      <c r="T19" s="192" t="e">
        <f aca="false">IF(OR(O19="n/a",P19="n/a",R19="n/a"),"n/a",O19-R19)</f>
        <v>#N/A</v>
      </c>
      <c r="U19" s="192" t="e">
        <f aca="false">IF(OR(P19="n/a",O19="n/a",R19="n/a"),"n/a",P19-R19)</f>
        <v>#N/A</v>
      </c>
      <c r="V19" s="203" t="n">
        <v>142.88</v>
      </c>
      <c r="W19" s="184" t="e">
        <f aca="false">IF(OR(N19&gt;100,N19="n/a",O19="n/a",P19="n/a",Q19="n/a",R19="n/a"),"X","")</f>
        <v>#N/A</v>
      </c>
    </row>
    <row r="20" customFormat="false" ht="12.75" hidden="false" customHeight="false" outlineLevel="0" collapsed="false">
      <c r="A20" s="189" t="s">
        <v>161</v>
      </c>
      <c r="B20" s="178" t="s">
        <v>162</v>
      </c>
      <c r="C20" s="190" t="n">
        <f aca="false">VLOOKUP($B20,'[1]4-Disponibilidade'!$A$8:$C$102,2,FALSE())</f>
        <v>85.6653366088867</v>
      </c>
      <c r="D20" s="191" t="n">
        <f aca="false">IF(AND(C20=0,E20=0),"n/a",E20/C20*100)</f>
        <v>17.5099994861211</v>
      </c>
      <c r="E20" s="191" t="n">
        <f aca="false">VLOOKUP($B20,'[1]4-Disponibilidade'!$A$8:$C$102,3,FALSE())</f>
        <v>15</v>
      </c>
      <c r="F20" s="192" t="n">
        <f aca="false">IF(ISNA(VLOOKUP($A20,'[1]3-Produção'!$A$9:$C$103,2,FALSE()))=TRUE(),"n/a",VLOOKUP($A20,'[1]3-Produção'!$A$9:$C$103,2,FALSE()))</f>
        <v>8.975</v>
      </c>
      <c r="G20" s="192" t="n">
        <f aca="false">IF(ISNA(VLOOKUP($A20,'[1]3-Produção'!$A$9:$C$103,3,FALSE()))=TRUE(),"n/a",VLOOKUP($A20,'[1]3-Produção'!$A$9:$C$103,3,FALSE()))</f>
        <v>8.975</v>
      </c>
      <c r="H20" s="192" t="n">
        <f aca="false">IF(OR(F20="n/a",G20="n/a"),"n/a",G20-F20)</f>
        <v>0</v>
      </c>
      <c r="I20" s="192" t="n">
        <f aca="false">IF(OR(G20="n/a",D20="n/a"),"n/a",D20-G20)</f>
        <v>8.53499948612113</v>
      </c>
      <c r="J20" s="193" t="n">
        <f aca="false">IF(OR(G20="n/a",G20=0,E20="n/a",E20=0),"n/a",E20-G20)</f>
        <v>6.025</v>
      </c>
      <c r="K20" s="184" t="str">
        <f aca="false">IF(OR(C20&gt;100,D20="n/a",F20="n/a",G20="n/a",H20="n/a",I20="n/a",J20="n/a"),"X","")</f>
        <v/>
      </c>
      <c r="L20" s="189" t="s">
        <v>163</v>
      </c>
      <c r="M20" s="200" t="s">
        <v>163</v>
      </c>
      <c r="N20" s="201" t="n">
        <f aca="false">VLOOKUP($M20,'[1]4-Disponibilidade'!$E$8:$G$26,2,FALSE())</f>
        <v>0</v>
      </c>
      <c r="O20" s="201" t="n">
        <v>480</v>
      </c>
      <c r="P20" s="201" t="n">
        <f aca="false">VLOOKUP($M20,'[1]4-Disponibilidade'!$E$8:$G$26,3,FALSE())</f>
        <v>0</v>
      </c>
      <c r="Q20" s="202" t="n">
        <f aca="false">VLOOKUP($L20,'[1]3-Produção'!$A$124:$C$145,2,FALSE())</f>
        <v>0</v>
      </c>
      <c r="R20" s="202" t="n">
        <f aca="false">IF(ISNA(VLOOKUP($L20,'[1]3-Produção'!$A$124:$C$145,3,FALSE())),"n/a",VLOOKUP($L20,'[1]3-Produção'!$A$124:$C$145,3,FALSE()))</f>
        <v>0</v>
      </c>
      <c r="S20" s="192" t="n">
        <f aca="false">IF(OR(Q20="n/a",R20="n/a"),"n/a",R20-Q20)</f>
        <v>0</v>
      </c>
      <c r="T20" s="192" t="n">
        <f aca="false">IF(OR(O20="n/a",P20="n/a",R20="n/a"),"n/a",O20-R20)</f>
        <v>480</v>
      </c>
      <c r="U20" s="192" t="n">
        <f aca="false">IF(OR(P20="n/a",O20="n/a",R20="n/a"),"n/a",P20-R20)</f>
        <v>0</v>
      </c>
      <c r="V20" s="203" t="n">
        <v>160.06</v>
      </c>
      <c r="W20" s="184" t="str">
        <f aca="false">IF(OR(N20&gt;100,N20="n/a",O20="n/a",P20="n/a",Q20="n/a",R20="n/a"),"X","")</f>
        <v/>
      </c>
    </row>
    <row r="21" customFormat="false" ht="12.75" hidden="false" customHeight="false" outlineLevel="0" collapsed="false">
      <c r="A21" s="189" t="s">
        <v>164</v>
      </c>
      <c r="B21" s="178" t="s">
        <v>164</v>
      </c>
      <c r="C21" s="190" t="n">
        <f aca="false">VLOOKUP($B21,'[1]4-Disponibilidade'!$A$8:$C$102,2,FALSE())</f>
        <v>49.1510276794434</v>
      </c>
      <c r="D21" s="191" t="n">
        <f aca="false">IF(AND(C21=0,E21=0),"n/a",E21/C21*100)</f>
        <v>111.900000054328</v>
      </c>
      <c r="E21" s="191" t="n">
        <f aca="false">VLOOKUP($B21,'[1]4-Disponibilidade'!$A$8:$C$102,3,FALSE())</f>
        <v>55</v>
      </c>
      <c r="F21" s="192" t="n">
        <f aca="false">IF(ISNA(VLOOKUP($A21,'[1]3-Produção'!$A$9:$C$103,2,FALSE()))=TRUE(),"n/a",VLOOKUP($A21,'[1]3-Produção'!$A$9:$C$103,2,FALSE()))</f>
        <v>54.7916666666667</v>
      </c>
      <c r="G21" s="192" t="n">
        <f aca="false">IF(ISNA(VLOOKUP($A21,'[1]3-Produção'!$A$9:$C$103,3,FALSE()))=TRUE(),"n/a",VLOOKUP($A21,'[1]3-Produção'!$A$9:$C$103,3,FALSE()))</f>
        <v>54.7916666666667</v>
      </c>
      <c r="H21" s="192" t="n">
        <f aca="false">IF(OR(F21="n/a",G21="n/a"),"n/a",G21-F21)</f>
        <v>0</v>
      </c>
      <c r="I21" s="192" t="n">
        <f aca="false">IF(OR(G21="n/a",D21="n/a"),"n/a",D21-G21)</f>
        <v>57.1083333876616</v>
      </c>
      <c r="J21" s="193" t="n">
        <f aca="false">IF(OR(G21="n/a",G21=0,E21="n/a",E21=0),"n/a",E21-G21)</f>
        <v>0.208333333333336</v>
      </c>
      <c r="K21" s="184" t="str">
        <f aca="false">IF(OR(C21&gt;100,D21="n/a",F21="n/a",G21="n/a",H21="n/a",I21="n/a",J21="n/a"),"X","")</f>
        <v/>
      </c>
      <c r="L21" s="194" t="s">
        <v>165</v>
      </c>
      <c r="M21" s="195" t="s">
        <v>165</v>
      </c>
      <c r="N21" s="196" t="n">
        <f aca="false">VLOOKUP($M21,'[1]4-Disponibilidade'!$E$8:$G$26,2,FALSE())</f>
        <v>0</v>
      </c>
      <c r="O21" s="196" t="n">
        <f aca="false">IF(AND(N21=0,P21=0),P21,P21/N21*100)</f>
        <v>0</v>
      </c>
      <c r="P21" s="196" t="n">
        <f aca="false">VLOOKUP($M21,'[1]4-Disponibilidade'!$E$8:$G$26,3,FALSE())</f>
        <v>0</v>
      </c>
      <c r="Q21" s="197" t="n">
        <f aca="false">VLOOKUP($L21,'[1]3-Produção'!$A$124:$C$145,2,FALSE())</f>
        <v>0</v>
      </c>
      <c r="R21" s="197" t="n">
        <f aca="false">IF(ISNA(VLOOKUP($L21,'[1]3-Produção'!$A$124:$C$145,3,FALSE())),"n/a",VLOOKUP($L21,'[1]3-Produção'!$A$124:$C$145,3,FALSE()))</f>
        <v>0</v>
      </c>
      <c r="S21" s="198" t="n">
        <f aca="false">IF(OR(Q21="n/a",R21="n/a"),"n/a",R21-Q21)</f>
        <v>0</v>
      </c>
      <c r="T21" s="198" t="n">
        <f aca="false">IF(OR(O21="n/a",P21="n/a",R21="n/a"),"n/a",O21-R21)</f>
        <v>0</v>
      </c>
      <c r="U21" s="198" t="n">
        <f aca="false">IF(OR(P21="n/a",O21="n/a",R21="n/a"),"n/a",P21-R21)</f>
        <v>0</v>
      </c>
      <c r="V21" s="199" t="n">
        <v>204.96</v>
      </c>
      <c r="W21" s="184" t="str">
        <f aca="false">IF(OR(N21&gt;100,N21="n/a",O21="n/a",P21="n/a",Q21="n/a",R21="n/a"),"X","")</f>
        <v/>
      </c>
    </row>
    <row r="22" customFormat="false" ht="12.75" hidden="false" customHeight="false" outlineLevel="0" collapsed="false">
      <c r="A22" s="204" t="s">
        <v>166</v>
      </c>
      <c r="B22" s="205" t="s">
        <v>166</v>
      </c>
      <c r="C22" s="190" t="n">
        <f aca="false">VLOOKUP($B22,'[1]4-Disponibilidade'!$A$8:$C$102,2,FALSE())</f>
        <v>87.3434371948242</v>
      </c>
      <c r="D22" s="191" t="n">
        <f aca="false">IF(AND(C22=0,E22=0),"n/a",E22/C22*100)</f>
        <v>60.680002644939</v>
      </c>
      <c r="E22" s="191" t="n">
        <f aca="false">VLOOKUP($B22,'[1]4-Disponibilidade'!$A$8:$C$102,3,FALSE())</f>
        <v>53</v>
      </c>
      <c r="F22" s="192" t="n">
        <f aca="false">IF(ISNA(VLOOKUP($A22,'[1]3-Produção'!$A$9:$C$103,2,FALSE()))=TRUE(),"n/a",VLOOKUP($A22,'[1]3-Produção'!$A$9:$C$103,2,FALSE()))</f>
        <v>33.5291666666667</v>
      </c>
      <c r="G22" s="192" t="n">
        <f aca="false">IF(ISNA(VLOOKUP($A22,'[1]3-Produção'!$A$9:$C$103,3,FALSE()))=TRUE(),"n/a",VLOOKUP($A22,'[1]3-Produção'!$A$9:$C$103,3,FALSE()))</f>
        <v>33.5291666666667</v>
      </c>
      <c r="H22" s="192" t="n">
        <f aca="false">IF(OR(F22="n/a",G22="n/a"),"n/a",G22-F22)</f>
        <v>0</v>
      </c>
      <c r="I22" s="192" t="n">
        <f aca="false">IF(OR(G22="n/a",D22="n/a"),"n/a",D22-G22)</f>
        <v>27.1508359782724</v>
      </c>
      <c r="J22" s="193" t="n">
        <f aca="false">IF(OR(G22="n/a",G22=0,E22="n/a",E22=0),"n/a",E22-G22)</f>
        <v>19.4708333333333</v>
      </c>
      <c r="K22" s="184" t="str">
        <f aca="false">IF(OR(C22&gt;100,D22="n/a",F22="n/a",G22="n/a",H22="n/a",I22="n/a",J22="n/a"),"X","")</f>
        <v/>
      </c>
      <c r="L22" s="206" t="s">
        <v>167</v>
      </c>
      <c r="M22" s="207" t="s">
        <v>167</v>
      </c>
      <c r="N22" s="208" t="n">
        <f aca="false">VLOOKUP($M22,'[1]4-Disponibilidade'!$E$8:$G$26,2,FALSE())</f>
        <v>0</v>
      </c>
      <c r="O22" s="208" t="n">
        <f aca="false">IF(AND(N22=0,P22=0),P22,P22/N22*100)</f>
        <v>0</v>
      </c>
      <c r="P22" s="208" t="n">
        <f aca="false">VLOOKUP($M22,'[1]4-Disponibilidade'!$E$8:$G$26,3,FALSE())</f>
        <v>0</v>
      </c>
      <c r="Q22" s="209" t="n">
        <f aca="false">VLOOKUP($L22,'[1]3-Produção'!$A$124:$C$145,2,FALSE())</f>
        <v>0</v>
      </c>
      <c r="R22" s="209" t="n">
        <f aca="false">IF(ISNA(VLOOKUP($L22,'[1]3-Produção'!$A$124:$C$145,3,FALSE())),"n/a",VLOOKUP($L22,'[1]3-Produção'!$A$124:$C$145,3,FALSE()))</f>
        <v>0</v>
      </c>
      <c r="S22" s="210" t="n">
        <f aca="false">IF(OR(Q22="n/a",R22="n/a"),"n/a",R22-Q22)</f>
        <v>0</v>
      </c>
      <c r="T22" s="210" t="n">
        <f aca="false">IF(OR(O22="n/a",P22="n/a",R22="n/a"),"n/a",O22-R22)</f>
        <v>0</v>
      </c>
      <c r="U22" s="210" t="n">
        <f aca="false">IF(OR(P22="n/a",O22="n/a",R22="n/a"),"n/a",P22-R22)</f>
        <v>0</v>
      </c>
      <c r="V22" s="211" t="n">
        <v>247.78</v>
      </c>
      <c r="W22" s="184" t="str">
        <f aca="false">IF(OR(N22&gt;100,N22="n/a",O22="n/a",P22="n/a",Q22="n/a",R22="n/a"),"X","")</f>
        <v/>
      </c>
    </row>
    <row r="23" customFormat="false" ht="13.5" hidden="false" customHeight="false" outlineLevel="0" collapsed="false">
      <c r="A23" s="189" t="s">
        <v>168</v>
      </c>
      <c r="B23" s="178" t="s">
        <v>168</v>
      </c>
      <c r="C23" s="190" t="n">
        <f aca="false">VLOOKUP($B23,'[1]4-Disponibilidade'!$A$8:$C$102,2,FALSE())</f>
        <v>89.413444519043</v>
      </c>
      <c r="D23" s="191" t="n">
        <f aca="false">IF(AND(C23=0,E23=0),"n/a",E23/C23*100)</f>
        <v>1398.00005102564</v>
      </c>
      <c r="E23" s="191" t="n">
        <f aca="false">VLOOKUP($B23,'[1]4-Disponibilidade'!$A$8:$C$102,3,FALSE())</f>
        <v>1250</v>
      </c>
      <c r="F23" s="192" t="n">
        <f aca="false">IF(ISNA(VLOOKUP($A23,'[1]3-Produção'!$A$9:$C$103,2,FALSE()))=TRUE(),"n/a",VLOOKUP($A23,'[1]3-Produção'!$A$9:$C$103,2,FALSE()))</f>
        <v>879.166666666667</v>
      </c>
      <c r="G23" s="192" t="n">
        <f aca="false">IF(ISNA(VLOOKUP($A23,'[1]3-Produção'!$A$9:$C$103,3,FALSE()))=TRUE(),"n/a",VLOOKUP($A23,'[1]3-Produção'!$A$9:$C$103,3,FALSE()))</f>
        <v>925.9375</v>
      </c>
      <c r="H23" s="192" t="n">
        <f aca="false">IF(OR(F23="n/a",G23="n/a"),"n/a",G23-F23)</f>
        <v>46.7708333333334</v>
      </c>
      <c r="I23" s="192" t="n">
        <f aca="false">IF(OR(G23="n/a",D23="n/a"),"n/a",D23-G23)</f>
        <v>472.062551025637</v>
      </c>
      <c r="J23" s="193" t="n">
        <f aca="false">IF(OR(G23="n/a",G23=0,E23="n/a",E23=0),"n/a",E23-G23)</f>
        <v>324.0625</v>
      </c>
      <c r="K23" s="184" t="str">
        <f aca="false">IF(OR(C23&gt;100,D23="n/a",F23="n/a",G23="n/a",H23="n/a",I23="n/a",J23="n/a"),"X","")</f>
        <v/>
      </c>
      <c r="L23" s="212" t="s">
        <v>169</v>
      </c>
      <c r="M23" s="213" t="s">
        <v>169</v>
      </c>
      <c r="N23" s="214" t="n">
        <f aca="false">VLOOKUP($M23,'[1]4-Disponibilidade'!$E$8:$G$26,2,FALSE())</f>
        <v>0</v>
      </c>
      <c r="O23" s="214" t="n">
        <f aca="false">IF(AND(N23=0,P23=0),P23,P23/N23*100)</f>
        <v>0</v>
      </c>
      <c r="P23" s="214" t="n">
        <f aca="false">VLOOKUP($M23,'[1]4-Disponibilidade'!$E$8:$G$26,3,FALSE())</f>
        <v>0</v>
      </c>
      <c r="Q23" s="215" t="n">
        <f aca="false">VLOOKUP($L23,'[1]3-Produção'!$A$124:$C$145,2,FALSE())</f>
        <v>2.91666666666667</v>
      </c>
      <c r="R23" s="215" t="n">
        <f aca="false">IF(ISNA(VLOOKUP($L23,'[1]3-Produção'!$A$124:$C$145,3,FALSE())),"n/a",VLOOKUP($L23,'[1]3-Produção'!$A$124:$C$145,3,FALSE()))</f>
        <v>0</v>
      </c>
      <c r="S23" s="216" t="n">
        <f aca="false">IF(OR(Q23="n/a",R23="n/a"),"n/a",R23-Q23)</f>
        <v>-2.91666666666667</v>
      </c>
      <c r="T23" s="216" t="n">
        <f aca="false">IF(OR(O23="n/a",P23="n/a",R23="n/a"),"n/a",O23-R23)</f>
        <v>0</v>
      </c>
      <c r="U23" s="216" t="n">
        <f aca="false">IF(OR(P23="n/a",O23="n/a",R23="n/a"),"n/a",P23-R23)</f>
        <v>0</v>
      </c>
      <c r="V23" s="217" t="n">
        <v>324.06</v>
      </c>
      <c r="W23" s="184" t="str">
        <f aca="false">IF(OR(N23&gt;100,N23="n/a",O23="n/a",P23="n/a",Q23="n/a",R23="n/a"),"X","")</f>
        <v/>
      </c>
    </row>
    <row r="24" customFormat="false" ht="13.5" hidden="false" customHeight="false" outlineLevel="0" collapsed="false">
      <c r="A24" s="189" t="s">
        <v>170</v>
      </c>
      <c r="B24" s="178" t="s">
        <v>170</v>
      </c>
      <c r="C24" s="190" t="n">
        <f aca="false">VLOOKUP($B24,'[1]4-Disponibilidade'!$A$8:$C$102,2,FALSE())</f>
        <v>82.8571395874023</v>
      </c>
      <c r="D24" s="191" t="n">
        <f aca="false">IF(AND(C24=0,E24=0),"n/a",E24/C24*100)</f>
        <v>140.000005524734</v>
      </c>
      <c r="E24" s="191" t="n">
        <f aca="false">VLOOKUP($B24,'[1]4-Disponibilidade'!$A$8:$C$102,3,FALSE())</f>
        <v>116</v>
      </c>
      <c r="F24" s="192" t="n">
        <f aca="false">IF(ISNA(VLOOKUP($A24,'[1]3-Produção'!$A$9:$C$103,2,FALSE()))=TRUE(),"n/a",VLOOKUP($A24,'[1]3-Produção'!$A$9:$C$103,2,FALSE()))</f>
        <v>116</v>
      </c>
      <c r="G24" s="192" t="n">
        <f aca="false">IF(ISNA(VLOOKUP($A24,'[1]3-Produção'!$A$9:$C$103,3,FALSE()))=TRUE(),"n/a",VLOOKUP($A24,'[1]3-Produção'!$A$9:$C$103,3,FALSE()))</f>
        <v>105.395833333333</v>
      </c>
      <c r="H24" s="192" t="n">
        <f aca="false">IF(OR(F24="n/a",G24="n/a"),"n/a",G24-F24)</f>
        <v>-10.6041666666667</v>
      </c>
      <c r="I24" s="192" t="n">
        <f aca="false">IF(OR(G24="n/a",D24="n/a"),"n/a",D24-G24)</f>
        <v>34.6041721914009</v>
      </c>
      <c r="J24" s="193" t="n">
        <f aca="false">IF(OR(G24="n/a",G24=0,E24="n/a",E24=0),"n/a",E24-G24)</f>
        <v>10.6041666666667</v>
      </c>
      <c r="K24" s="184" t="str">
        <f aca="false">IF(OR(C24&gt;100,D24="n/a",F24="n/a",G24="n/a",H24="n/a",I24="n/a",J24="n/a"),"X","")</f>
        <v/>
      </c>
      <c r="L24" s="218" t="s">
        <v>104</v>
      </c>
      <c r="M24" s="219"/>
      <c r="N24" s="220" t="e">
        <f aca="false">SUMPRODUCT(N5:N23,O5:O23)/O24</f>
        <v>#N/A</v>
      </c>
      <c r="O24" s="220" t="e">
        <f aca="false">SUM(O5:O23)</f>
        <v>#N/A</v>
      </c>
      <c r="P24" s="220" t="e">
        <f aca="false">SUM(P5:P23)</f>
        <v>#N/A</v>
      </c>
      <c r="Q24" s="220" t="n">
        <f aca="false">SUM(Q5:Q23)</f>
        <v>2735.91666666667</v>
      </c>
      <c r="R24" s="220" t="n">
        <f aca="false">SUM(R5:R23)</f>
        <v>2771.34583333333</v>
      </c>
      <c r="S24" s="221" t="e">
        <f aca="false">SUM(S5:S23)</f>
        <v>#VALUE!</v>
      </c>
      <c r="T24" s="221" t="e">
        <f aca="false">SUM(T5:T23)</f>
        <v>#N/A</v>
      </c>
      <c r="U24" s="221" t="e">
        <f aca="false">SUM(U5:U23)</f>
        <v>#N/A</v>
      </c>
      <c r="V24" s="222"/>
      <c r="W24" s="223"/>
    </row>
    <row r="25" customFormat="false" ht="12.75" hidden="false" customHeight="false" outlineLevel="0" collapsed="false">
      <c r="A25" s="189" t="s">
        <v>171</v>
      </c>
      <c r="B25" s="178" t="s">
        <v>171</v>
      </c>
      <c r="C25" s="190" t="n">
        <f aca="false">VLOOKUP($B25,'[1]4-Disponibilidade'!$A$8:$C$102,2,FALSE())</f>
        <v>91.6666641235352</v>
      </c>
      <c r="D25" s="191" t="n">
        <f aca="false">IF(AND(C25=0,E25=0),"n/a",E25/C25*100)</f>
        <v>144.000003995029</v>
      </c>
      <c r="E25" s="191" t="n">
        <f aca="false">VLOOKUP($B25,'[1]4-Disponibilidade'!$A$8:$C$102,3,FALSE())</f>
        <v>132</v>
      </c>
      <c r="F25" s="192" t="n">
        <f aca="false">IF(ISNA(VLOOKUP($A25,'[1]3-Produção'!$A$9:$C$103,2,FALSE()))=TRUE(),"n/a",VLOOKUP($A25,'[1]3-Produção'!$A$9:$C$103,2,FALSE()))</f>
        <v>130</v>
      </c>
      <c r="G25" s="192" t="n">
        <f aca="false">IF(ISNA(VLOOKUP($A25,'[1]3-Produção'!$A$9:$C$103,3,FALSE()))=TRUE(),"n/a",VLOOKUP($A25,'[1]3-Produção'!$A$9:$C$103,3,FALSE()))</f>
        <v>125.0875</v>
      </c>
      <c r="H25" s="192" t="n">
        <f aca="false">IF(OR(F25="n/a",G25="n/a"),"n/a",G25-F25)</f>
        <v>-4.91249999999999</v>
      </c>
      <c r="I25" s="192" t="n">
        <f aca="false">IF(OR(G25="n/a",D25="n/a"),"n/a",D25-G25)</f>
        <v>18.9125039950285</v>
      </c>
      <c r="J25" s="193" t="n">
        <f aca="false">IF(OR(G25="n/a",G25=0,E25="n/a",E25=0),"n/a",E25-G25)</f>
        <v>6.91249999999999</v>
      </c>
      <c r="K25" s="184" t="str">
        <f aca="false">IF(OR(C25&gt;100,D25="n/a",F25="n/a",G25="n/a",H25="n/a",I25="n/a",J25="n/a"),"X","")</f>
        <v/>
      </c>
      <c r="R25" s="224"/>
      <c r="S25" s="225"/>
      <c r="T25" s="225"/>
      <c r="U25" s="225"/>
    </row>
    <row r="26" customFormat="false" ht="12.75" hidden="false" customHeight="false" outlineLevel="0" collapsed="false">
      <c r="A26" s="189" t="s">
        <v>172</v>
      </c>
      <c r="B26" s="178" t="s">
        <v>172</v>
      </c>
      <c r="C26" s="190" t="n">
        <f aca="false">VLOOKUP($B26,'[1]4-Disponibilidade'!$A$8:$C$102,2,FALSE())</f>
        <v>75</v>
      </c>
      <c r="D26" s="191" t="n">
        <f aca="false">IF(AND(C26=0,E26=0),"n/a",E26/C26*100)</f>
        <v>80</v>
      </c>
      <c r="E26" s="191" t="n">
        <f aca="false">VLOOKUP($B26,'[1]4-Disponibilidade'!$A$8:$C$102,3,FALSE())</f>
        <v>60</v>
      </c>
      <c r="F26" s="192" t="n">
        <f aca="false">IF(ISNA(VLOOKUP($A26,'[1]3-Produção'!$A$9:$C$103,2,FALSE()))=TRUE(),"n/a",VLOOKUP($A26,'[1]3-Produção'!$A$9:$C$103,2,FALSE()))</f>
        <v>60</v>
      </c>
      <c r="G26" s="192" t="n">
        <f aca="false">IF(ISNA(VLOOKUP($A26,'[1]3-Produção'!$A$9:$C$103,3,FALSE()))=TRUE(),"n/a",VLOOKUP($A26,'[1]3-Produção'!$A$9:$C$103,3,FALSE()))</f>
        <v>58.4583333333333</v>
      </c>
      <c r="H26" s="192" t="n">
        <f aca="false">IF(OR(F26="n/a",G26="n/a"),"n/a",G26-F26)</f>
        <v>-1.54166666666668</v>
      </c>
      <c r="I26" s="192" t="n">
        <f aca="false">IF(OR(G26="n/a",D26="n/a"),"n/a",D26-G26)</f>
        <v>21.5416666666667</v>
      </c>
      <c r="J26" s="193" t="n">
        <f aca="false">IF(OR(G26="n/a",G26=0,E26="n/a",E26=0),"n/a",E26-G26)</f>
        <v>1.54166666666668</v>
      </c>
      <c r="K26" s="184" t="str">
        <f aca="false">IF(OR(C26&gt;100,D26="n/a",F26="n/a",G26="n/a",H26="n/a",I26="n/a",J26="n/a"),"X","")</f>
        <v/>
      </c>
      <c r="L26" s="226" t="s">
        <v>173</v>
      </c>
      <c r="M26" s="227"/>
      <c r="R26" s="224"/>
    </row>
    <row r="27" customFormat="false" ht="12.75" hidden="false" customHeight="false" outlineLevel="0" collapsed="false">
      <c r="A27" s="189" t="s">
        <v>67</v>
      </c>
      <c r="B27" s="178" t="s">
        <v>67</v>
      </c>
      <c r="C27" s="190" t="n">
        <f aca="false">VLOOKUP($B27,'[1]4-Disponibilidade'!$A$8:$C$102,2,FALSE())</f>
        <v>89.4230804443359</v>
      </c>
      <c r="D27" s="191" t="n">
        <f aca="false">IF(AND(C27=0,E27=0),"n/a",E27/C27*100)</f>
        <v>415.999983618952</v>
      </c>
      <c r="E27" s="191" t="n">
        <f aca="false">VLOOKUP($B27,'[1]4-Disponibilidade'!$A$8:$C$102,3,FALSE())</f>
        <v>372</v>
      </c>
      <c r="F27" s="192" t="n">
        <f aca="false">IF(ISNA(VLOOKUP($A27,'[1]3-Produção'!$A$9:$C$103,2,FALSE()))=TRUE(),"n/a",VLOOKUP($A27,'[1]3-Produção'!$A$9:$C$103,2,FALSE()))</f>
        <v>81.1666666666667</v>
      </c>
      <c r="G27" s="192" t="n">
        <f aca="false">IF(ISNA(VLOOKUP($A27,'[1]3-Produção'!$A$9:$C$103,3,FALSE()))=TRUE(),"n/a",VLOOKUP($A27,'[1]3-Produção'!$A$9:$C$103,3,FALSE()))</f>
        <v>92.0833333333333</v>
      </c>
      <c r="H27" s="192" t="n">
        <f aca="false">IF(OR(F27="n/a",G27="n/a"),"n/a",G27-F27)</f>
        <v>10.9166666666666</v>
      </c>
      <c r="I27" s="192" t="n">
        <f aca="false">IF(OR(G27="n/a",D27="n/a"),"n/a",D27-G27)</f>
        <v>323.916650285619</v>
      </c>
      <c r="J27" s="193" t="n">
        <f aca="false">IF(OR(G27="n/a",G27=0,E27="n/a",E27=0),"n/a",E27-G27)</f>
        <v>279.916666666667</v>
      </c>
      <c r="K27" s="184" t="str">
        <f aca="false">IF(OR(C27&gt;100,D27="n/a",F27="n/a",G27="n/a",H27="n/a",I27="n/a",J27="n/a"),"X","")</f>
        <v/>
      </c>
      <c r="L27" s="226" t="s">
        <v>174</v>
      </c>
      <c r="M27" s="227"/>
      <c r="R27" s="166"/>
      <c r="S27" s="165"/>
      <c r="T27" s="165"/>
      <c r="U27" s="165"/>
      <c r="V27" s="165"/>
      <c r="W27" s="165"/>
      <c r="X27" s="165"/>
      <c r="Y27" s="165"/>
      <c r="Z27" s="165"/>
      <c r="AA27" s="165"/>
    </row>
    <row r="28" customFormat="false" ht="12.75" hidden="false" customHeight="false" outlineLevel="0" collapsed="false">
      <c r="A28" s="189" t="s">
        <v>69</v>
      </c>
      <c r="B28" s="178" t="s">
        <v>69</v>
      </c>
      <c r="C28" s="190" t="n">
        <f aca="false">VLOOKUP($B28,'[1]4-Disponibilidade'!$A$8:$C$102,2,FALSE())</f>
        <v>88.28125</v>
      </c>
      <c r="D28" s="191" t="n">
        <f aca="false">IF(AND(C28=0,E28=0),"n/a",E28/C28*100)</f>
        <v>640</v>
      </c>
      <c r="E28" s="191" t="n">
        <f aca="false">VLOOKUP($B28,'[1]4-Disponibilidade'!$A$8:$C$102,3,FALSE())</f>
        <v>565</v>
      </c>
      <c r="F28" s="192" t="n">
        <f aca="false">IF(ISNA(VLOOKUP($A28,'[1]3-Produção'!$A$9:$C$103,2,FALSE()))=TRUE(),"n/a",VLOOKUP($A28,'[1]3-Produção'!$A$9:$C$103,2,FALSE()))</f>
        <v>535</v>
      </c>
      <c r="G28" s="192" t="n">
        <f aca="false">IF(ISNA(VLOOKUP($A28,'[1]3-Produção'!$A$9:$C$103,3,FALSE()))=TRUE(),"n/a",VLOOKUP($A28,'[1]3-Produção'!$A$9:$C$103,3,FALSE()))</f>
        <v>522.733333333333</v>
      </c>
      <c r="H28" s="192" t="n">
        <f aca="false">IF(OR(F28="n/a",G28="n/a"),"n/a",G28-F28)</f>
        <v>-12.2666666666668</v>
      </c>
      <c r="I28" s="192" t="n">
        <f aca="false">IF(OR(G28="n/a",D28="n/a"),"n/a",D28-G28)</f>
        <v>117.266666666667</v>
      </c>
      <c r="J28" s="193" t="n">
        <f aca="false">IF(OR(G28="n/a",G28=0,E28="n/a",E28=0),"n/a",E28-G28)</f>
        <v>42.2666666666668</v>
      </c>
      <c r="K28" s="184" t="str">
        <f aca="false">IF(OR(C28&gt;100,D28="n/a",F28="n/a",G28="n/a",H28="n/a",I28="n/a",J28="n/a"),"X","")</f>
        <v/>
      </c>
      <c r="L28" s="226"/>
      <c r="R28" s="165"/>
      <c r="S28" s="165"/>
      <c r="T28" s="165"/>
      <c r="U28" s="165"/>
      <c r="V28" s="165"/>
      <c r="W28" s="165"/>
      <c r="X28" s="165"/>
      <c r="Y28" s="165"/>
      <c r="Z28" s="165"/>
      <c r="AA28" s="165"/>
    </row>
    <row r="29" customFormat="false" ht="12.75" hidden="false" customHeight="false" outlineLevel="0" collapsed="false">
      <c r="A29" s="189" t="s">
        <v>175</v>
      </c>
      <c r="B29" s="178" t="s">
        <v>175</v>
      </c>
      <c r="C29" s="190" t="n">
        <f aca="false">VLOOKUP($B29,'[1]4-Disponibilidade'!$A$8:$C$102,2,FALSE())</f>
        <v>65.4545440673828</v>
      </c>
      <c r="D29" s="191" t="n">
        <f aca="false">IF(AND(C29=0,E29=0),"n/a",E29/C29*100)</f>
        <v>82.500001748403</v>
      </c>
      <c r="E29" s="191" t="n">
        <f aca="false">VLOOKUP($B29,'[1]4-Disponibilidade'!$A$8:$C$102,3,FALSE())</f>
        <v>54</v>
      </c>
      <c r="F29" s="192" t="n">
        <f aca="false">IF(ISNA(VLOOKUP($A29,'[1]3-Produção'!$A$9:$C$103,2,FALSE()))=TRUE(),"n/a",VLOOKUP($A29,'[1]3-Produção'!$A$9:$C$103,2,FALSE()))</f>
        <v>54</v>
      </c>
      <c r="G29" s="192" t="n">
        <f aca="false">IF(ISNA(VLOOKUP($A29,'[1]3-Produção'!$A$9:$C$103,3,FALSE()))=TRUE(),"n/a",VLOOKUP($A29,'[1]3-Produção'!$A$9:$C$103,3,FALSE()))</f>
        <v>54</v>
      </c>
      <c r="H29" s="192" t="n">
        <f aca="false">IF(OR(F29="n/a",G29="n/a"),"n/a",G29-F29)</f>
        <v>0</v>
      </c>
      <c r="I29" s="192" t="n">
        <f aca="false">IF(OR(G29="n/a",D29="n/a"),"n/a",D29-G29)</f>
        <v>28.500001748403</v>
      </c>
      <c r="J29" s="193" t="n">
        <f aca="false">IF(OR(G29="n/a",G29=0,E29="n/a",E29=0),"n/a",E29-G29)</f>
        <v>0</v>
      </c>
      <c r="K29" s="184" t="str">
        <f aca="false">IF(OR(C29&gt;100,D29="n/a",F29="n/a",G29="n/a",H29="n/a",I29="n/a",J29="n/a"),"X","")</f>
        <v/>
      </c>
      <c r="R29" s="165"/>
      <c r="S29" s="165"/>
      <c r="T29" s="165"/>
      <c r="U29" s="165"/>
      <c r="V29" s="165"/>
      <c r="W29" s="165"/>
      <c r="X29" s="165"/>
      <c r="Y29" s="165"/>
      <c r="Z29" s="165"/>
      <c r="AA29" s="165"/>
    </row>
    <row r="30" customFormat="false" ht="12.75" hidden="false" customHeight="false" outlineLevel="0" collapsed="false">
      <c r="A30" s="189" t="s">
        <v>176</v>
      </c>
      <c r="B30" s="178" t="s">
        <v>176</v>
      </c>
      <c r="C30" s="190" t="n">
        <f aca="false">VLOOKUP($B30,'[1]4-Disponibilidade'!$A$8:$C$102,2,FALSE())</f>
        <v>102.040817260742</v>
      </c>
      <c r="D30" s="191" t="n">
        <f aca="false">IF(AND(C30=0,E30=0),"n/a",E30/C30*100)</f>
        <v>73.4999993270874</v>
      </c>
      <c r="E30" s="191" t="n">
        <f aca="false">VLOOKUP($B30,'[1]4-Disponibilidade'!$A$8:$C$102,3,FALSE())</f>
        <v>75</v>
      </c>
      <c r="F30" s="192" t="n">
        <f aca="false">IF(ISNA(VLOOKUP($A30,'[1]3-Produção'!$A$9:$C$103,2,FALSE()))=TRUE(),"n/a",VLOOKUP($A30,'[1]3-Produção'!$A$9:$C$103,2,FALSE()))</f>
        <v>45</v>
      </c>
      <c r="G30" s="192" t="n">
        <f aca="false">IF(ISNA(VLOOKUP($A30,'[1]3-Produção'!$A$9:$C$103,3,FALSE()))=TRUE(),"n/a",VLOOKUP($A30,'[1]3-Produção'!$A$9:$C$103,3,FALSE()))</f>
        <v>44.6875</v>
      </c>
      <c r="H30" s="192" t="n">
        <f aca="false">IF(OR(F30="n/a",G30="n/a"),"n/a",G30-F30)</f>
        <v>-0.3125</v>
      </c>
      <c r="I30" s="192" t="n">
        <f aca="false">IF(OR(G30="n/a",D30="n/a"),"n/a",D30-G30)</f>
        <v>28.8124993270874</v>
      </c>
      <c r="J30" s="193" t="n">
        <f aca="false">IF(OR(G30="n/a",G30=0,E30="n/a",E30=0),"n/a",E30-G30)</f>
        <v>30.3125</v>
      </c>
      <c r="K30" s="184" t="str">
        <f aca="false">IF(OR(C30&gt;100,D30="n/a",F30="n/a",G30="n/a",H30="n/a",I30="n/a",J30="n/a"),"X","")</f>
        <v>X</v>
      </c>
      <c r="L30" s="14"/>
      <c r="M30" s="14"/>
      <c r="N30" s="228" t="s">
        <v>177</v>
      </c>
      <c r="O30" s="229"/>
      <c r="P30" s="229"/>
      <c r="Q30" s="229"/>
      <c r="R30" s="229"/>
      <c r="S30" s="165"/>
    </row>
    <row r="31" customFormat="false" ht="12.75" hidden="false" customHeight="false" outlineLevel="0" collapsed="false">
      <c r="A31" s="204" t="s">
        <v>178</v>
      </c>
      <c r="B31" s="178" t="s">
        <v>178</v>
      </c>
      <c r="C31" s="190" t="n">
        <f aca="false">VLOOKUP($B31,'[1]4-Disponibilidade'!$A$8:$C$102,2,FALSE())</f>
        <v>88.8888854980469</v>
      </c>
      <c r="D31" s="191" t="n">
        <f aca="false">IF(AND(C31=0,E31=0),"n/a",E31/C31*100)</f>
        <v>108.000004119873</v>
      </c>
      <c r="E31" s="191" t="n">
        <f aca="false">VLOOKUP($B31,'[1]4-Disponibilidade'!$A$8:$C$102,3,FALSE())</f>
        <v>96</v>
      </c>
      <c r="F31" s="192" t="n">
        <f aca="false">IF(ISNA(VLOOKUP($A31,'[1]3-Produção'!$A$9:$C$103,2,FALSE()))=TRUE(),"n/a",VLOOKUP($A31,'[1]3-Produção'!$A$9:$C$103,2,FALSE()))</f>
        <v>68.3333333333333</v>
      </c>
      <c r="G31" s="192" t="n">
        <f aca="false">IF(ISNA(VLOOKUP($A31,'[1]3-Produção'!$A$9:$C$103,3,FALSE()))=TRUE(),"n/a",VLOOKUP($A31,'[1]3-Produção'!$A$9:$C$103,3,FALSE()))</f>
        <v>67.6291666666667</v>
      </c>
      <c r="H31" s="192" t="n">
        <f aca="false">IF(OR(F31="n/a",G31="n/a"),"n/a",G31-F31)</f>
        <v>-0.704166666666652</v>
      </c>
      <c r="I31" s="192" t="n">
        <f aca="false">IF(OR(G31="n/a",D31="n/a"),"n/a",D31-G31)</f>
        <v>40.3708374532065</v>
      </c>
      <c r="J31" s="193" t="n">
        <f aca="false">IF(OR(G31="n/a",G31=0,E31="n/a",E31=0),"n/a",E31-G31)</f>
        <v>28.3708333333333</v>
      </c>
      <c r="K31" s="184" t="str">
        <f aca="false">IF(OR(C31&gt;100,D31="n/a",F31="n/a",G31="n/a",H31="n/a",I31="n/a",J31="n/a"),"X","")</f>
        <v/>
      </c>
      <c r="L31" s="165"/>
      <c r="M31" s="165"/>
      <c r="N31" s="230"/>
      <c r="O31" s="231" t="s">
        <v>179</v>
      </c>
      <c r="P31" s="232"/>
      <c r="Q31" s="233"/>
      <c r="R31" s="231" t="s">
        <v>180</v>
      </c>
      <c r="S31" s="165"/>
      <c r="T31" s="165"/>
      <c r="U31" s="165"/>
    </row>
    <row r="32" customFormat="false" ht="12.75" hidden="false" customHeight="false" outlineLevel="0" collapsed="false">
      <c r="A32" s="189" t="s">
        <v>181</v>
      </c>
      <c r="B32" s="205" t="s">
        <v>181</v>
      </c>
      <c r="C32" s="190" t="n">
        <f aca="false">VLOOKUP($B32,'[1]4-Disponibilidade'!$A$8:$C$102,2,FALSE())</f>
        <v>97.7272720336914</v>
      </c>
      <c r="D32" s="191" t="n">
        <f aca="false">IF(AND(C32=0,E32=0),"n/a",E32/C32*100)</f>
        <v>132.000000936819</v>
      </c>
      <c r="E32" s="191" t="n">
        <f aca="false">VLOOKUP($B32,'[1]4-Disponibilidade'!$A$8:$C$102,3,FALSE())</f>
        <v>129</v>
      </c>
      <c r="F32" s="192" t="n">
        <f aca="false">IF(ISNA(VLOOKUP($A32,'[1]3-Produção'!$A$9:$C$103,2,FALSE()))=TRUE(),"n/a",VLOOKUP($A32,'[1]3-Produção'!$A$9:$C$103,2,FALSE()))</f>
        <v>126</v>
      </c>
      <c r="G32" s="192" t="n">
        <f aca="false">IF(ISNA(VLOOKUP($A32,'[1]3-Produção'!$A$9:$C$103,3,FALSE()))=TRUE(),"n/a",VLOOKUP($A32,'[1]3-Produção'!$A$9:$C$103,3,FALSE()))</f>
        <v>123.295833333333</v>
      </c>
      <c r="H32" s="192" t="n">
        <f aca="false">IF(OR(F32="n/a",G32="n/a"),"n/a",G32-F32)</f>
        <v>-2.70416666666667</v>
      </c>
      <c r="I32" s="192" t="n">
        <f aca="false">IF(OR(G32="n/a",D32="n/a"),"n/a",D32-G32)</f>
        <v>8.70416760348535</v>
      </c>
      <c r="J32" s="193" t="n">
        <f aca="false">IF(OR(G32="n/a",G32=0,E32="n/a",E32=0),"n/a",E32-G32)</f>
        <v>5.70416666666667</v>
      </c>
      <c r="K32" s="184" t="str">
        <f aca="false">IF(OR(C32&gt;100,D32="n/a",F32="n/a",G32="n/a",H32="n/a",I32="n/a",J32="n/a"),"X","")</f>
        <v/>
      </c>
      <c r="L32" s="165"/>
      <c r="M32" s="165"/>
      <c r="N32" s="165"/>
      <c r="O32" s="165"/>
      <c r="P32" s="232"/>
      <c r="Q32" s="165"/>
      <c r="R32" s="165"/>
      <c r="S32" s="165"/>
      <c r="T32" s="165"/>
      <c r="U32" s="165"/>
    </row>
    <row r="33" customFormat="false" ht="12.75" hidden="false" customHeight="false" outlineLevel="0" collapsed="false">
      <c r="A33" s="189" t="s">
        <v>182</v>
      </c>
      <c r="B33" s="178" t="s">
        <v>182</v>
      </c>
      <c r="C33" s="190" t="n">
        <f aca="false">VLOOKUP($B33,'[1]4-Disponibilidade'!$A$8:$C$102,2,FALSE())</f>
        <v>90.1858291625977</v>
      </c>
      <c r="D33" s="191" t="n">
        <f aca="false">IF(AND(C33=0,E33=0),"n/a",E33/C33*100)</f>
        <v>3444.00004838913</v>
      </c>
      <c r="E33" s="191" t="n">
        <f aca="false">VLOOKUP($B33,'[1]4-Disponibilidade'!$A$8:$C$102,3,FALSE())</f>
        <v>3106</v>
      </c>
      <c r="F33" s="192" t="n">
        <f aca="false">IF(ISNA(VLOOKUP($A33,'[1]3-Produção'!$A$9:$C$103,2,FALSE()))=TRUE(),"n/a",VLOOKUP($A33,'[1]3-Produção'!$A$9:$C$103,2,FALSE()))</f>
        <v>2039.58333333333</v>
      </c>
      <c r="G33" s="192" t="n">
        <f aca="false">IF(ISNA(VLOOKUP($A33,'[1]3-Produção'!$A$9:$C$103,3,FALSE()))=TRUE(),"n/a",VLOOKUP($A33,'[1]3-Produção'!$A$9:$C$103,3,FALSE()))</f>
        <v>2065.09166666667</v>
      </c>
      <c r="H33" s="192" t="n">
        <f aca="false">IF(OR(F33="n/a",G33="n/a"),"n/a",G33-F33)</f>
        <v>25.5083333333334</v>
      </c>
      <c r="I33" s="192" t="n">
        <f aca="false">IF(OR(G33="n/a",D33="n/a"),"n/a",D33-G33)</f>
        <v>1378.90838172246</v>
      </c>
      <c r="J33" s="193" t="n">
        <f aca="false">IF(OR(G33="n/a",G33=0,E33="n/a",E33=0),"n/a",E33-G33)</f>
        <v>1040.90833333333</v>
      </c>
      <c r="K33" s="184" t="str">
        <f aca="false">IF(OR(C33&gt;100,D33="n/a",F33="n/a",G33="n/a",H33="n/a",I33="n/a",J33="n/a"),"X","")</f>
        <v/>
      </c>
      <c r="L33" s="165"/>
      <c r="M33" s="165"/>
      <c r="N33" s="234"/>
      <c r="O33" s="231" t="s">
        <v>183</v>
      </c>
      <c r="P33" s="232"/>
      <c r="Q33" s="235"/>
      <c r="R33" s="231" t="s">
        <v>184</v>
      </c>
      <c r="S33" s="165"/>
      <c r="T33" s="165"/>
      <c r="U33" s="165"/>
    </row>
    <row r="34" customFormat="false" ht="12.75" hidden="false" customHeight="false" outlineLevel="0" collapsed="false">
      <c r="A34" s="189" t="s">
        <v>185</v>
      </c>
      <c r="B34" s="178" t="s">
        <v>185</v>
      </c>
      <c r="C34" s="190" t="n">
        <f aca="false">VLOOKUP($B34,'[1]4-Disponibilidade'!$A$8:$C$102,2,FALSE())</f>
        <v>71.4285736083984</v>
      </c>
      <c r="D34" s="191" t="n">
        <f aca="false">IF(AND(C34=0,E34=0),"n/a",E34/C34*100)</f>
        <v>27.9999991455078</v>
      </c>
      <c r="E34" s="191" t="n">
        <f aca="false">VLOOKUP($B34,'[1]4-Disponibilidade'!$A$8:$C$102,3,FALSE())</f>
        <v>20</v>
      </c>
      <c r="F34" s="192" t="n">
        <f aca="false">IF(ISNA(VLOOKUP($A34,'[1]3-Produção'!$A$9:$C$103,2,FALSE()))=TRUE(),"n/a",VLOOKUP($A34,'[1]3-Produção'!$A$9:$C$103,2,FALSE()))</f>
        <v>4</v>
      </c>
      <c r="G34" s="192" t="n">
        <f aca="false">IF(ISNA(VLOOKUP($A34,'[1]3-Produção'!$A$9:$C$103,3,FALSE()))=TRUE(),"n/a",VLOOKUP($A34,'[1]3-Produção'!$A$9:$C$103,3,FALSE()))</f>
        <v>3.95416666666667</v>
      </c>
      <c r="H34" s="192" t="n">
        <f aca="false">IF(OR(F34="n/a",G34="n/a"),"n/a",G34-F34)</f>
        <v>-0.0458333333333343</v>
      </c>
      <c r="I34" s="192" t="n">
        <f aca="false">IF(OR(G34="n/a",D34="n/a"),"n/a",D34-G34)</f>
        <v>24.0458324788412</v>
      </c>
      <c r="J34" s="193" t="n">
        <f aca="false">IF(OR(G34="n/a",G34=0,E34="n/a",E34=0),"n/a",E34-G34)</f>
        <v>16.0458333333333</v>
      </c>
      <c r="K34" s="184" t="str">
        <f aca="false">IF(OR(C34&gt;100,D34="n/a",F34="n/a",G34="n/a",H34="n/a",I34="n/a",J34="n/a"),"X","")</f>
        <v/>
      </c>
      <c r="L34" s="165"/>
      <c r="M34" s="165"/>
      <c r="N34" s="165"/>
      <c r="O34" s="165"/>
      <c r="P34" s="165"/>
      <c r="Q34" s="165"/>
      <c r="R34" s="165"/>
      <c r="S34" s="165"/>
      <c r="T34" s="165"/>
      <c r="U34" s="165"/>
    </row>
    <row r="35" customFormat="false" ht="12.75" hidden="false" customHeight="false" outlineLevel="0" collapsed="false">
      <c r="A35" s="204" t="s">
        <v>186</v>
      </c>
      <c r="B35" s="178" t="s">
        <v>186</v>
      </c>
      <c r="C35" s="190" t="n">
        <f aca="false">VLOOKUP($B35,'[1]4-Disponibilidade'!$A$8:$C$102,2,FALSE())</f>
        <v>87.6740493774414</v>
      </c>
      <c r="D35" s="191" t="n">
        <f aca="false">IF(AND(C35=0,E35=0),"n/a",E35/C35*100)</f>
        <v>1551.20016659106</v>
      </c>
      <c r="E35" s="191" t="n">
        <f aca="false">VLOOKUP($B35,'[1]4-Disponibilidade'!$A$8:$C$102,3,FALSE())</f>
        <v>1360</v>
      </c>
      <c r="F35" s="192" t="n">
        <f aca="false">IF(ISNA(VLOOKUP($A35,'[1]3-Produção'!$A$9:$C$103,2,FALSE()))=TRUE(),"n/a",VLOOKUP($A35,'[1]3-Produção'!$A$9:$C$103,2,FALSE()))</f>
        <v>1189.58333333333</v>
      </c>
      <c r="G35" s="192" t="n">
        <f aca="false">IF(ISNA(VLOOKUP($A35,'[1]3-Produção'!$A$9:$C$103,3,FALSE()))=TRUE(),"n/a",VLOOKUP($A35,'[1]3-Produção'!$A$9:$C$103,3,FALSE()))</f>
        <v>1244.16666666667</v>
      </c>
      <c r="H35" s="192" t="n">
        <f aca="false">IF(OR(F35="n/a",G35="n/a"),"n/a",G35-F35)</f>
        <v>54.5833333333333</v>
      </c>
      <c r="I35" s="192" t="n">
        <f aca="false">IF(OR(G35="n/a",D35="n/a"),"n/a",D35-G35)</f>
        <v>307.033499924394</v>
      </c>
      <c r="J35" s="193" t="n">
        <f aca="false">IF(OR(G35="n/a",G35=0,E35="n/a",E35=0),"n/a",E35-G35)</f>
        <v>115.833333333333</v>
      </c>
      <c r="K35" s="184" t="str">
        <f aca="false">IF(OR(C35&gt;100,D35="n/a",F35="n/a",G35="n/a",H35="n/a",I35="n/a",J35="n/a"),"X","")</f>
        <v/>
      </c>
      <c r="L35" s="165"/>
      <c r="M35" s="165"/>
      <c r="N35" s="165"/>
      <c r="O35" s="165"/>
      <c r="P35" s="165"/>
      <c r="Q35" s="165"/>
      <c r="R35" s="165"/>
      <c r="S35" s="165"/>
      <c r="T35" s="165"/>
      <c r="U35" s="165"/>
    </row>
    <row r="36" customFormat="false" ht="12.75" hidden="false" customHeight="false" outlineLevel="0" collapsed="false">
      <c r="A36" s="204" t="s">
        <v>66</v>
      </c>
      <c r="B36" s="205" t="s">
        <v>66</v>
      </c>
      <c r="C36" s="190" t="n">
        <f aca="false">VLOOKUP($B36,'[1]4-Disponibilidade'!$A$8:$C$102,2,FALSE())</f>
        <v>91.8367309570313</v>
      </c>
      <c r="D36" s="191" t="n">
        <f aca="false">IF(AND(C36=0,E36=0),"n/a",E36/C36*100)</f>
        <v>98.0000039876304</v>
      </c>
      <c r="E36" s="191" t="n">
        <f aca="false">VLOOKUP($B36,'[1]4-Disponibilidade'!$A$8:$C$102,3,FALSE())</f>
        <v>90</v>
      </c>
      <c r="F36" s="192" t="n">
        <f aca="false">IF(ISNA(VLOOKUP($A36,'[1]3-Produção'!$A$9:$C$103,2,FALSE()))=TRUE(),"n/a",VLOOKUP($A36,'[1]3-Produção'!$A$9:$C$103,2,FALSE()))</f>
        <v>24.3333333333333</v>
      </c>
      <c r="G36" s="192" t="n">
        <f aca="false">IF(ISNA(VLOOKUP($A36,'[1]3-Produção'!$A$9:$C$103,3,FALSE()))=TRUE(),"n/a",VLOOKUP($A36,'[1]3-Produção'!$A$9:$C$103,3,FALSE()))</f>
        <v>25.0833333333333</v>
      </c>
      <c r="H36" s="192" t="n">
        <f aca="false">IF(OR(F36="n/a",G36="n/a"),"n/a",G36-F36)</f>
        <v>0.75</v>
      </c>
      <c r="I36" s="192" t="n">
        <f aca="false">IF(OR(G36="n/a",D36="n/a"),"n/a",D36-G36)</f>
        <v>72.916670654297</v>
      </c>
      <c r="J36" s="193" t="n">
        <f aca="false">IF(OR(G36="n/a",G36=0,E36="n/a",E36=0),"n/a",E36-G36)</f>
        <v>64.9166666666667</v>
      </c>
      <c r="K36" s="184" t="str">
        <f aca="false">IF(OR(C36&gt;100,D36="n/a",F36="n/a",G36="n/a",H36="n/a",I36="n/a",J36="n/a"),"X","")</f>
        <v/>
      </c>
      <c r="L36" s="165"/>
      <c r="M36" s="165"/>
      <c r="N36" s="165"/>
      <c r="O36" s="165"/>
      <c r="P36" s="165"/>
      <c r="Q36" s="165"/>
      <c r="R36" s="165"/>
      <c r="S36" s="165"/>
      <c r="T36" s="165"/>
      <c r="U36" s="165"/>
    </row>
    <row r="37" customFormat="false" ht="12.75" hidden="false" customHeight="false" outlineLevel="0" collapsed="false">
      <c r="A37" s="189" t="s">
        <v>187</v>
      </c>
      <c r="B37" s="205" t="s">
        <v>187</v>
      </c>
      <c r="C37" s="190" t="n">
        <f aca="false">VLOOKUP($B37,'[1]4-Disponibilidade'!$A$8:$C$102,2,FALSE())</f>
        <v>100</v>
      </c>
      <c r="D37" s="191" t="n">
        <f aca="false">IF(AND(C37=0,E37=0),"n/a",E37/C37*100)</f>
        <v>32</v>
      </c>
      <c r="E37" s="191" t="n">
        <f aca="false">VLOOKUP($B37,'[1]4-Disponibilidade'!$A$8:$C$102,3,FALSE())</f>
        <v>32</v>
      </c>
      <c r="F37" s="192" t="n">
        <f aca="false">IF(ISNA(VLOOKUP($A37,'[1]3-Produção'!$A$9:$C$103,2,FALSE()))=TRUE(),"n/a",VLOOKUP($A37,'[1]3-Produção'!$A$9:$C$103,2,FALSE()))</f>
        <v>20.8333333333333</v>
      </c>
      <c r="G37" s="192" t="n">
        <f aca="false">IF(ISNA(VLOOKUP($A37,'[1]3-Produção'!$A$9:$C$103,3,FALSE()))=TRUE(),"n/a",VLOOKUP($A37,'[1]3-Produção'!$A$9:$C$103,3,FALSE()))</f>
        <v>20.4333333333333</v>
      </c>
      <c r="H37" s="192" t="n">
        <f aca="false">IF(OR(F37="n/a",G37="n/a"),"n/a",G37-F37)</f>
        <v>-0.399999999999999</v>
      </c>
      <c r="I37" s="192" t="n">
        <f aca="false">IF(OR(G37="n/a",D37="n/a"),"n/a",D37-G37)</f>
        <v>11.5666666666667</v>
      </c>
      <c r="J37" s="193" t="n">
        <f aca="false">IF(OR(G37="n/a",G37=0,E37="n/a",E37=0),"n/a",E37-G37)</f>
        <v>11.5666666666667</v>
      </c>
      <c r="K37" s="184" t="str">
        <f aca="false">IF(OR(C37&gt;100,D37="n/a",F37="n/a",G37="n/a",H37="n/a",I37="n/a",J37="n/a"),"X","")</f>
        <v/>
      </c>
      <c r="L37" s="165"/>
      <c r="M37" s="165"/>
      <c r="N37" s="165"/>
      <c r="O37" s="165"/>
      <c r="P37" s="165"/>
      <c r="Q37" s="165"/>
      <c r="R37" s="165"/>
      <c r="S37" s="165"/>
      <c r="T37" s="165"/>
      <c r="U37" s="165"/>
    </row>
    <row r="38" customFormat="false" ht="12.75" hidden="false" customHeight="false" outlineLevel="0" collapsed="false">
      <c r="A38" s="189" t="s">
        <v>188</v>
      </c>
      <c r="B38" s="178" t="s">
        <v>188</v>
      </c>
      <c r="C38" s="190" t="n">
        <f aca="false">VLOOKUP($B38,'[1]4-Disponibilidade'!$A$8:$C$102,2,FALSE())</f>
        <v>99.3091430664063</v>
      </c>
      <c r="D38" s="191" t="n">
        <f aca="false">IF(AND(C38=0,E38=0),"n/a",E38/C38*100)</f>
        <v>347.400037244612</v>
      </c>
      <c r="E38" s="191" t="n">
        <f aca="false">VLOOKUP($B38,'[1]4-Disponibilidade'!$A$8:$C$102,3,FALSE())</f>
        <v>345</v>
      </c>
      <c r="F38" s="192" t="n">
        <f aca="false">IF(ISNA(VLOOKUP($A38,'[1]3-Produção'!$A$9:$C$103,2,FALSE()))=TRUE(),"n/a",VLOOKUP($A38,'[1]3-Produção'!$A$9:$C$103,2,FALSE()))</f>
        <v>243.333333333333</v>
      </c>
      <c r="G38" s="192" t="n">
        <f aca="false">IF(ISNA(VLOOKUP($A38,'[1]3-Produção'!$A$9:$C$103,3,FALSE()))=TRUE(),"n/a",VLOOKUP($A38,'[1]3-Produção'!$A$9:$C$103,3,FALSE()))</f>
        <v>250.708333333333</v>
      </c>
      <c r="H38" s="192" t="n">
        <f aca="false">IF(OR(F38="n/a",G38="n/a"),"n/a",G38-F38)</f>
        <v>7.37500000000003</v>
      </c>
      <c r="I38" s="192" t="n">
        <f aca="false">IF(OR(G38="n/a",D38="n/a"),"n/a",D38-G38)</f>
        <v>96.6917039112783</v>
      </c>
      <c r="J38" s="193" t="n">
        <f aca="false">IF(OR(G38="n/a",G38=0,E38="n/a",E38=0),"n/a",E38-G38)</f>
        <v>94.2916666666666</v>
      </c>
      <c r="K38" s="184" t="str">
        <f aca="false">IF(OR(C38&gt;100,D38="n/a",F38="n/a",G38="n/a",H38="n/a",I38="n/a",J38="n/a"),"X","")</f>
        <v/>
      </c>
      <c r="L38" s="165"/>
      <c r="M38" s="165"/>
      <c r="N38" s="165"/>
      <c r="O38" s="165"/>
      <c r="P38" s="165"/>
      <c r="Q38" s="165"/>
      <c r="R38" s="165"/>
      <c r="S38" s="165"/>
      <c r="T38" s="165"/>
      <c r="U38" s="165"/>
    </row>
    <row r="39" customFormat="false" ht="12.75" hidden="false" customHeight="false" outlineLevel="0" collapsed="false">
      <c r="A39" s="189" t="s">
        <v>189</v>
      </c>
      <c r="B39" s="178" t="s">
        <v>189</v>
      </c>
      <c r="C39" s="190" t="n">
        <f aca="false">VLOOKUP($B39,'[1]4-Disponibilidade'!$A$8:$C$102,2,FALSE())</f>
        <v>81.3953475952148</v>
      </c>
      <c r="D39" s="191" t="n">
        <f aca="false">IF(AND(C39=0,E39=0),"n/a",E39/C39*100)</f>
        <v>86.0000013122559</v>
      </c>
      <c r="E39" s="191" t="n">
        <f aca="false">VLOOKUP($B39,'[1]4-Disponibilidade'!$A$8:$C$102,3,FALSE())</f>
        <v>70</v>
      </c>
      <c r="F39" s="192" t="n">
        <f aca="false">IF(ISNA(VLOOKUP($A39,'[1]3-Produção'!$A$9:$C$103,2,FALSE()))=TRUE(),"n/a",VLOOKUP($A39,'[1]3-Produção'!$A$9:$C$103,2,FALSE()))</f>
        <v>10</v>
      </c>
      <c r="G39" s="192" t="n">
        <f aca="false">IF(ISNA(VLOOKUP($A39,'[1]3-Produção'!$A$9:$C$103,3,FALSE()))=TRUE(),"n/a",VLOOKUP($A39,'[1]3-Produção'!$A$9:$C$103,3,FALSE()))</f>
        <v>12.5541666666667</v>
      </c>
      <c r="H39" s="192" t="n">
        <f aca="false">IF(OR(F39="n/a",G39="n/a"),"n/a",G39-F39)</f>
        <v>2.55416666666667</v>
      </c>
      <c r="I39" s="192" t="n">
        <f aca="false">IF(OR(G39="n/a",D39="n/a"),"n/a",D39-G39)</f>
        <v>73.4458346455892</v>
      </c>
      <c r="J39" s="193" t="n">
        <f aca="false">IF(OR(G39="n/a",G39=0,E39="n/a",E39=0),"n/a",E39-G39)</f>
        <v>57.4458333333333</v>
      </c>
      <c r="K39" s="184" t="str">
        <f aca="false">IF(OR(C39&gt;100,D39="n/a",F39="n/a",G39="n/a",H39="n/a",I39="n/a",J39="n/a"),"X","")</f>
        <v/>
      </c>
      <c r="L39" s="165"/>
      <c r="M39" s="165"/>
      <c r="N39" s="165"/>
      <c r="O39" s="165"/>
      <c r="P39" s="165"/>
      <c r="Q39" s="165"/>
      <c r="R39" s="165"/>
      <c r="S39" s="165"/>
      <c r="T39" s="165"/>
      <c r="U39" s="165"/>
    </row>
    <row r="40" customFormat="false" ht="12.75" hidden="false" customHeight="false" outlineLevel="0" collapsed="false">
      <c r="A40" s="189" t="s">
        <v>190</v>
      </c>
      <c r="B40" s="178" t="s">
        <v>190</v>
      </c>
      <c r="C40" s="190" t="n">
        <f aca="false">VLOOKUP($B40,'[1]4-Disponibilidade'!$A$8:$C$102,2,FALSE())</f>
        <v>65.1041717529297</v>
      </c>
      <c r="D40" s="191" t="n">
        <f aca="false">IF(AND(C40=0,E40=0),"n/a",E40/C40*100)</f>
        <v>806.399937000005</v>
      </c>
      <c r="E40" s="191" t="n">
        <f aca="false">VLOOKUP($B40,'[1]4-Disponibilidade'!$A$8:$C$102,3,FALSE())</f>
        <v>525</v>
      </c>
      <c r="F40" s="192" t="n">
        <f aca="false">IF(ISNA(VLOOKUP($A40,'[1]3-Produção'!$A$9:$C$103,2,FALSE()))=TRUE(),"n/a",VLOOKUP($A40,'[1]3-Produção'!$A$9:$C$103,2,FALSE()))</f>
        <v>525</v>
      </c>
      <c r="G40" s="192" t="n">
        <f aca="false">IF(ISNA(VLOOKUP($A40,'[1]3-Produção'!$A$9:$C$103,3,FALSE()))=TRUE(),"n/a",VLOOKUP($A40,'[1]3-Produção'!$A$9:$C$103,3,FALSE()))</f>
        <v>520.970833333333</v>
      </c>
      <c r="H40" s="192" t="n">
        <f aca="false">IF(OR(F40="n/a",G40="n/a"),"n/a",G40-F40)</f>
        <v>-4.0291666666667</v>
      </c>
      <c r="I40" s="192" t="n">
        <f aca="false">IF(OR(G40="n/a",D40="n/a"),"n/a",D40-G40)</f>
        <v>285.429103666672</v>
      </c>
      <c r="J40" s="193" t="n">
        <f aca="false">IF(OR(G40="n/a",G40=0,E40="n/a",E40=0),"n/a",E40-G40)</f>
        <v>4.0291666666667</v>
      </c>
      <c r="K40" s="184" t="str">
        <f aca="false">IF(OR(C40&gt;100,D40="n/a",F40="n/a",G40="n/a",H40="n/a",I40="n/a",J40="n/a"),"X","")</f>
        <v/>
      </c>
      <c r="R40" s="166"/>
      <c r="S40" s="165"/>
      <c r="T40" s="165"/>
      <c r="U40" s="165"/>
      <c r="V40" s="165"/>
      <c r="W40" s="165"/>
      <c r="X40" s="165"/>
      <c r="Y40" s="165"/>
      <c r="Z40" s="165"/>
      <c r="AA40" s="165"/>
    </row>
    <row r="41" customFormat="false" ht="12.75" hidden="false" customHeight="false" outlineLevel="0" collapsed="false">
      <c r="A41" s="189" t="s">
        <v>62</v>
      </c>
      <c r="B41" s="178" t="s">
        <v>62</v>
      </c>
      <c r="C41" s="190" t="n">
        <f aca="false">VLOOKUP($B41,'[1]4-Disponibilidade'!$A$8:$C$102,2,FALSE())</f>
        <v>96.5909118652344</v>
      </c>
      <c r="D41" s="191" t="n">
        <f aca="false">IF(AND(C41=0,E41=0),"n/a",E41/C41*100)</f>
        <v>263.99999241728</v>
      </c>
      <c r="E41" s="191" t="n">
        <f aca="false">VLOOKUP($B41,'[1]4-Disponibilidade'!$A$8:$C$102,3,FALSE())</f>
        <v>255</v>
      </c>
      <c r="F41" s="192" t="n">
        <f aca="false">IF(ISNA(VLOOKUP($A41,'[1]3-Produção'!$A$9:$C$103,2,FALSE()))=TRUE(),"n/a",VLOOKUP($A41,'[1]3-Produção'!$A$9:$C$103,2,FALSE()))</f>
        <v>162.916666666667</v>
      </c>
      <c r="G41" s="192" t="n">
        <f aca="false">IF(ISNA(VLOOKUP($A41,'[1]3-Produção'!$A$9:$C$103,3,FALSE()))=TRUE(),"n/a",VLOOKUP($A41,'[1]3-Produção'!$A$9:$C$103,3,FALSE()))</f>
        <v>165.695833333333</v>
      </c>
      <c r="H41" s="192" t="n">
        <f aca="false">IF(OR(F41="n/a",G41="n/a"),"n/a",G41-F41)</f>
        <v>2.77916666666667</v>
      </c>
      <c r="I41" s="192" t="n">
        <f aca="false">IF(OR(G41="n/a",D41="n/a"),"n/a",D41-G41)</f>
        <v>98.3041590839463</v>
      </c>
      <c r="J41" s="193" t="n">
        <f aca="false">IF(OR(G41="n/a",G41=0,E41="n/a",E41=0),"n/a",E41-G41)</f>
        <v>89.3041666666667</v>
      </c>
      <c r="K41" s="184" t="str">
        <f aca="false">IF(OR(C41&gt;100,D41="n/a",F41="n/a",G41="n/a",H41="n/a",I41="n/a",J41="n/a"),"X","")</f>
        <v/>
      </c>
      <c r="R41" s="166"/>
      <c r="S41" s="165"/>
      <c r="T41" s="165"/>
      <c r="U41" s="165"/>
      <c r="V41" s="165"/>
      <c r="W41" s="165"/>
      <c r="X41" s="165"/>
      <c r="Y41" s="165"/>
      <c r="Z41" s="165"/>
      <c r="AA41" s="165"/>
    </row>
    <row r="42" customFormat="false" ht="12.75" hidden="false" customHeight="false" outlineLevel="0" collapsed="false">
      <c r="A42" s="189" t="s">
        <v>191</v>
      </c>
      <c r="B42" s="178" t="s">
        <v>191</v>
      </c>
      <c r="C42" s="190" t="n">
        <f aca="false">VLOOKUP($B42,'[1]4-Disponibilidade'!$A$8:$C$102,2,FALSE())</f>
        <v>98.6559143066406</v>
      </c>
      <c r="D42" s="191" t="n">
        <f aca="false">IF(AND(C42=0,E42=0),"n/a",E42/C42*100)</f>
        <v>371.999998762666</v>
      </c>
      <c r="E42" s="191" t="n">
        <f aca="false">VLOOKUP($B42,'[1]4-Disponibilidade'!$A$8:$C$102,3,FALSE())</f>
        <v>367</v>
      </c>
      <c r="F42" s="192" t="n">
        <f aca="false">IF(ISNA(VLOOKUP($A42,'[1]3-Produção'!$A$9:$C$103,2,FALSE()))=TRUE(),"n/a",VLOOKUP($A42,'[1]3-Produção'!$A$9:$C$103,2,FALSE()))</f>
        <v>277.5</v>
      </c>
      <c r="G42" s="192" t="n">
        <f aca="false">IF(ISNA(VLOOKUP($A42,'[1]3-Produção'!$A$9:$C$103,3,FALSE()))=TRUE(),"n/a",VLOOKUP($A42,'[1]3-Produção'!$A$9:$C$103,3,FALSE()))</f>
        <v>288.779166666667</v>
      </c>
      <c r="H42" s="192" t="n">
        <f aca="false">IF(OR(F42="n/a",G42="n/a"),"n/a",G42-F42)</f>
        <v>11.2791666666667</v>
      </c>
      <c r="I42" s="192" t="n">
        <f aca="false">IF(OR(G42="n/a",D42="n/a"),"n/a",D42-G42)</f>
        <v>83.2208320959994</v>
      </c>
      <c r="J42" s="193" t="n">
        <f aca="false">IF(OR(G42="n/a",G42=0,E42="n/a",E42=0),"n/a",E42-G42)</f>
        <v>78.2208333333333</v>
      </c>
      <c r="K42" s="184" t="str">
        <f aca="false">IF(OR(C42&gt;100,D42="n/a",F42="n/a",G42="n/a",H42="n/a",I42="n/a",J42="n/a"),"X","")</f>
        <v/>
      </c>
      <c r="R42" s="166"/>
      <c r="S42" s="165"/>
      <c r="T42" s="165"/>
      <c r="U42" s="165"/>
      <c r="V42" s="165"/>
      <c r="W42" s="165"/>
      <c r="X42" s="165"/>
      <c r="Y42" s="165"/>
      <c r="Z42" s="165"/>
      <c r="AA42" s="165"/>
    </row>
    <row r="43" customFormat="false" ht="12.75" hidden="false" customHeight="false" outlineLevel="0" collapsed="false">
      <c r="A43" s="189" t="s">
        <v>192</v>
      </c>
      <c r="B43" s="178" t="s">
        <v>192</v>
      </c>
      <c r="C43" s="190" t="n">
        <f aca="false">VLOOKUP($B43,'[1]4-Disponibilidade'!$A$8:$C$102,2,FALSE())</f>
        <v>73.6111145019531</v>
      </c>
      <c r="D43" s="191" t="n">
        <f aca="false">IF(AND(C43=0,E43=0),"n/a",E43/C43*100)</f>
        <v>71.9999966833728</v>
      </c>
      <c r="E43" s="191" t="n">
        <f aca="false">VLOOKUP($B43,'[1]4-Disponibilidade'!$A$8:$C$102,3,FALSE())</f>
        <v>53</v>
      </c>
      <c r="F43" s="192" t="n">
        <f aca="false">IF(ISNA(VLOOKUP($A43,'[1]3-Produção'!$A$9:$C$103,2,FALSE()))=TRUE(),"n/a",VLOOKUP($A43,'[1]3-Produção'!$A$9:$C$103,2,FALSE()))</f>
        <v>45.125</v>
      </c>
      <c r="G43" s="192" t="n">
        <f aca="false">IF(ISNA(VLOOKUP($A43,'[1]3-Produção'!$A$9:$C$103,3,FALSE()))=TRUE(),"n/a",VLOOKUP($A43,'[1]3-Produção'!$A$9:$C$103,3,FALSE()))</f>
        <v>44.6875</v>
      </c>
      <c r="H43" s="192" t="n">
        <f aca="false">IF(OR(F43="n/a",G43="n/a"),"n/a",G43-F43)</f>
        <v>-0.4375</v>
      </c>
      <c r="I43" s="192" t="n">
        <f aca="false">IF(OR(G43="n/a",D43="n/a"),"n/a",D43-G43)</f>
        <v>27.3124966833728</v>
      </c>
      <c r="J43" s="193" t="n">
        <f aca="false">IF(OR(G43="n/a",G43=0,E43="n/a",E43=0),"n/a",E43-G43)</f>
        <v>8.3125</v>
      </c>
      <c r="K43" s="184" t="str">
        <f aca="false">IF(OR(C43&gt;100,D43="n/a",F43="n/a",G43="n/a",H43="n/a",I43="n/a",J43="n/a"),"X","")</f>
        <v/>
      </c>
      <c r="R43" s="166"/>
      <c r="S43" s="165"/>
      <c r="T43" s="165"/>
      <c r="U43" s="165"/>
      <c r="V43" s="165"/>
      <c r="W43" s="165"/>
      <c r="X43" s="165"/>
      <c r="Y43" s="165"/>
      <c r="Z43" s="165"/>
      <c r="AA43" s="165"/>
    </row>
    <row r="44" customFormat="false" ht="12.75" hidden="false" customHeight="false" outlineLevel="0" collapsed="false">
      <c r="A44" s="204" t="s">
        <v>193</v>
      </c>
      <c r="B44" s="178" t="s">
        <v>193</v>
      </c>
      <c r="C44" s="190" t="n">
        <f aca="false">VLOOKUP($B44,'[1]4-Disponibilidade'!$A$8:$C$102,2,FALSE())</f>
        <v>80.5054168701172</v>
      </c>
      <c r="D44" s="191" t="n">
        <f aca="false">IF(AND(C44=0,E44=0),"n/a",E44/C44*100)</f>
        <v>553.99998824868</v>
      </c>
      <c r="E44" s="191" t="n">
        <f aca="false">VLOOKUP($B44,'[1]4-Disponibilidade'!$A$8:$C$102,3,FALSE())</f>
        <v>446</v>
      </c>
      <c r="F44" s="192" t="n">
        <f aca="false">IF(ISNA(VLOOKUP($A44,'[1]3-Produção'!$A$9:$C$103,2,FALSE()))=TRUE(),"n/a",VLOOKUP($A44,'[1]3-Produção'!$A$9:$C$103,2,FALSE()))</f>
        <v>314.791666666667</v>
      </c>
      <c r="G44" s="192" t="n">
        <f aca="false">IF(ISNA(VLOOKUP($A44,'[1]3-Produção'!$A$9:$C$103,3,FALSE()))=TRUE(),"n/a",VLOOKUP($A44,'[1]3-Produção'!$A$9:$C$103,3,FALSE()))</f>
        <v>337.5375</v>
      </c>
      <c r="H44" s="192" t="n">
        <f aca="false">IF(OR(F44="n/a",G44="n/a"),"n/a",G44-F44)</f>
        <v>22.7458333333333</v>
      </c>
      <c r="I44" s="192" t="n">
        <f aca="false">IF(OR(G44="n/a",D44="n/a"),"n/a",D44-G44)</f>
        <v>216.46248824868</v>
      </c>
      <c r="J44" s="193" t="n">
        <f aca="false">IF(OR(G44="n/a",G44=0,E44="n/a",E44=0),"n/a",E44-G44)</f>
        <v>108.4625</v>
      </c>
      <c r="K44" s="184" t="str">
        <f aca="false">IF(OR(C44&gt;100,D44="n/a",F44="n/a",G44="n/a",H44="n/a",I44="n/a",J44="n/a"),"X","")</f>
        <v/>
      </c>
      <c r="R44" s="166"/>
      <c r="S44" s="165"/>
      <c r="T44" s="165"/>
      <c r="U44" s="165"/>
      <c r="V44" s="165"/>
      <c r="W44" s="165"/>
      <c r="X44" s="165"/>
      <c r="Y44" s="165"/>
      <c r="Z44" s="165"/>
      <c r="AA44" s="165"/>
    </row>
    <row r="45" customFormat="false" ht="12.75" hidden="false" customHeight="false" outlineLevel="0" collapsed="false">
      <c r="A45" s="189" t="s">
        <v>194</v>
      </c>
      <c r="B45" s="205" t="s">
        <v>194</v>
      </c>
      <c r="C45" s="190" t="n">
        <f aca="false">VLOOKUP($B45,'[1]4-Disponibilidade'!$A$8:$C$102,2,FALSE())</f>
        <v>80</v>
      </c>
      <c r="D45" s="191" t="n">
        <f aca="false">IF(AND(C45=0,E45=0),"n/a",E45/C45*100)</f>
        <v>810</v>
      </c>
      <c r="E45" s="191" t="n">
        <f aca="false">VLOOKUP($B45,'[1]4-Disponibilidade'!$A$8:$C$102,3,FALSE())</f>
        <v>648</v>
      </c>
      <c r="F45" s="192" t="n">
        <f aca="false">IF(ISNA(VLOOKUP($A45,'[1]3-Produção'!$A$9:$C$103,2,FALSE()))=TRUE(),"n/a",VLOOKUP($A45,'[1]3-Produção'!$A$9:$C$103,2,FALSE()))</f>
        <v>148.958333333333</v>
      </c>
      <c r="G45" s="192" t="n">
        <f aca="false">IF(ISNA(VLOOKUP($A45,'[1]3-Produção'!$A$9:$C$103,3,FALSE()))=TRUE(),"n/a",VLOOKUP($A45,'[1]3-Produção'!$A$9:$C$103,3,FALSE()))</f>
        <v>254.779166666667</v>
      </c>
      <c r="H45" s="192" t="n">
        <f aca="false">IF(OR(F45="n/a",G45="n/a"),"n/a",G45-F45)</f>
        <v>105.820833333333</v>
      </c>
      <c r="I45" s="192" t="n">
        <f aca="false">IF(OR(G45="n/a",D45="n/a"),"n/a",D45-G45)</f>
        <v>555.220833333333</v>
      </c>
      <c r="J45" s="193" t="n">
        <f aca="false">IF(OR(G45="n/a",G45=0,E45="n/a",E45=0),"n/a",E45-G45)</f>
        <v>393.220833333333</v>
      </c>
      <c r="K45" s="184" t="str">
        <f aca="false">IF(OR(C45&gt;100,D45="n/a",F45="n/a",G45="n/a",H45="n/a",I45="n/a",J45="n/a"),"X","")</f>
        <v/>
      </c>
      <c r="R45" s="166"/>
      <c r="S45" s="165"/>
      <c r="T45" s="165"/>
      <c r="U45" s="165"/>
      <c r="V45" s="165"/>
      <c r="W45" s="165"/>
      <c r="X45" s="165"/>
      <c r="Y45" s="165"/>
      <c r="Z45" s="165"/>
      <c r="AA45" s="165"/>
    </row>
    <row r="46" customFormat="false" ht="12.75" hidden="false" customHeight="false" outlineLevel="0" collapsed="false">
      <c r="A46" s="189" t="s">
        <v>195</v>
      </c>
      <c r="B46" s="178" t="s">
        <v>196</v>
      </c>
      <c r="C46" s="190" t="n">
        <f aca="false">VLOOKUP($B46,'[1]4-Disponibilidade'!$A$8:$C$102,2,FALSE())</f>
        <v>27.7790966033936</v>
      </c>
      <c r="D46" s="191" t="n">
        <f aca="false">IF(AND(C46=0,E46=0),"n/a",E46/C46*100)</f>
        <v>421.180003332819</v>
      </c>
      <c r="E46" s="191" t="n">
        <f aca="false">VLOOKUP($B46,'[1]4-Disponibilidade'!$A$8:$C$102,3,FALSE())</f>
        <v>117</v>
      </c>
      <c r="F46" s="192" t="n">
        <f aca="false">IF(ISNA(VLOOKUP($A46,'[1]3-Produção'!$A$9:$C$103,2,FALSE()))=TRUE(),"n/a",VLOOKUP($A46,'[1]3-Produção'!$A$9:$C$103,2,FALSE()))</f>
        <v>94.5541666666667</v>
      </c>
      <c r="G46" s="192" t="n">
        <f aca="false">IF(ISNA(VLOOKUP($A46,'[1]3-Produção'!$A$9:$C$103,3,FALSE()))=TRUE(),"n/a",VLOOKUP($A46,'[1]3-Produção'!$A$9:$C$103,3,FALSE()))</f>
        <v>94.5541666666667</v>
      </c>
      <c r="H46" s="192" t="n">
        <f aca="false">IF(OR(F46="n/a",G46="n/a"),"n/a",G46-F46)</f>
        <v>0</v>
      </c>
      <c r="I46" s="192" t="n">
        <f aca="false">IF(OR(G46="n/a",D46="n/a"),"n/a",D46-G46)</f>
        <v>326.625836666152</v>
      </c>
      <c r="J46" s="193" t="n">
        <f aca="false">IF(OR(G46="n/a",G46=0,E46="n/a",E46=0),"n/a",E46-G46)</f>
        <v>22.4458333333333</v>
      </c>
      <c r="K46" s="184" t="str">
        <f aca="false">IF(OR(C46&gt;100,D46="n/a",F46="n/a",G46="n/a",H46="n/a",I46="n/a",J46="n/a"),"X","")</f>
        <v/>
      </c>
      <c r="R46" s="165"/>
      <c r="S46" s="165"/>
      <c r="T46" s="165"/>
      <c r="U46" s="165"/>
      <c r="V46" s="165"/>
      <c r="W46" s="165"/>
      <c r="X46" s="165"/>
      <c r="Y46" s="165"/>
      <c r="Z46" s="165"/>
      <c r="AA46" s="165"/>
    </row>
    <row r="47" customFormat="false" ht="12.75" hidden="false" customHeight="false" outlineLevel="0" collapsed="false">
      <c r="A47" s="189" t="s">
        <v>197</v>
      </c>
      <c r="B47" s="178" t="s">
        <v>197</v>
      </c>
      <c r="C47" s="190" t="n">
        <f aca="false">VLOOKUP($B47,'[1]4-Disponibilidade'!$A$8:$C$102,2,FALSE())</f>
        <v>102.362205505371</v>
      </c>
      <c r="D47" s="191" t="n">
        <f aca="false">IF(AND(C47=0,E47=0),"n/a",E47/C47*100)</f>
        <v>126.999999031067</v>
      </c>
      <c r="E47" s="191" t="n">
        <f aca="false">VLOOKUP($B47,'[1]4-Disponibilidade'!$A$8:$C$102,3,FALSE())</f>
        <v>130</v>
      </c>
      <c r="F47" s="192" t="n">
        <f aca="false">IF(ISNA(VLOOKUP($A47,'[1]3-Produção'!$A$9:$C$103,2,FALSE()))=TRUE(),"n/a",VLOOKUP($A47,'[1]3-Produção'!$A$9:$C$103,2,FALSE()))</f>
        <v>130</v>
      </c>
      <c r="G47" s="192" t="n">
        <f aca="false">IF(ISNA(VLOOKUP($A47,'[1]3-Produção'!$A$9:$C$103,3,FALSE()))=TRUE(),"n/a",VLOOKUP($A47,'[1]3-Produção'!$A$9:$C$103,3,FALSE()))</f>
        <v>130</v>
      </c>
      <c r="H47" s="192" t="n">
        <f aca="false">IF(OR(F47="n/a",G47="n/a"),"n/a",G47-F47)</f>
        <v>0</v>
      </c>
      <c r="I47" s="192" t="n">
        <f aca="false">IF(OR(G47="n/a",D47="n/a"),"n/a",D47-G47)</f>
        <v>-3.00000096893309</v>
      </c>
      <c r="J47" s="193" t="n">
        <f aca="false">IF(OR(G47="n/a",G47=0,E47="n/a",E47=0),"n/a",E47-G47)</f>
        <v>0</v>
      </c>
      <c r="K47" s="184" t="str">
        <f aca="false">IF(OR(C47&gt;100,D47="n/a",F47="n/a",G47="n/a",H47="n/a",I47="n/a",J47="n/a"),"X","")</f>
        <v>X</v>
      </c>
      <c r="R47" s="165"/>
      <c r="S47" s="165"/>
      <c r="T47" s="165"/>
      <c r="U47" s="165"/>
      <c r="V47" s="165"/>
      <c r="W47" s="165"/>
      <c r="X47" s="165"/>
      <c r="Y47" s="165"/>
      <c r="Z47" s="165"/>
      <c r="AA47" s="165"/>
    </row>
    <row r="48" customFormat="false" ht="12.75" hidden="false" customHeight="false" outlineLevel="0" collapsed="false">
      <c r="A48" s="189" t="s">
        <v>198</v>
      </c>
      <c r="B48" s="178" t="s">
        <v>199</v>
      </c>
      <c r="C48" s="190" t="n">
        <f aca="false">VLOOKUP($B48,'[1]4-Disponibilidade'!$A$8:$C$102,2,FALSE())</f>
        <v>39.4011039733887</v>
      </c>
      <c r="D48" s="191" t="n">
        <f aca="false">IF(AND(C48=0,E48=0),"n/a",E48/C48*100)</f>
        <v>139.589997369482</v>
      </c>
      <c r="E48" s="191" t="n">
        <f aca="false">VLOOKUP($B48,'[1]4-Disponibilidade'!$A$8:$C$102,3,FALSE())</f>
        <v>55</v>
      </c>
      <c r="F48" s="192" t="n">
        <f aca="false">IF(ISNA(VLOOKUP($A48,'[1]3-Produção'!$A$9:$C$103,2,FALSE()))=TRUE(),"n/a",VLOOKUP($A48,'[1]3-Produção'!$A$9:$C$103,2,FALSE()))</f>
        <v>55</v>
      </c>
      <c r="G48" s="192" t="n">
        <f aca="false">IF(ISNA(VLOOKUP($A48,'[1]3-Produção'!$A$9:$C$103,3,FALSE()))=TRUE(),"n/a",VLOOKUP($A48,'[1]3-Produção'!$A$9:$C$103,3,FALSE()))</f>
        <v>55</v>
      </c>
      <c r="H48" s="192" t="n">
        <f aca="false">IF(OR(F48="n/a",G48="n/a"),"n/a",G48-F48)</f>
        <v>0</v>
      </c>
      <c r="I48" s="192" t="n">
        <f aca="false">IF(OR(G48="n/a",D48="n/a"),"n/a",D48-G48)</f>
        <v>84.5899973694817</v>
      </c>
      <c r="J48" s="193" t="n">
        <f aca="false">IF(OR(G48="n/a",G48=0,E48="n/a",E48=0),"n/a",E48-G48)</f>
        <v>0</v>
      </c>
      <c r="K48" s="184" t="str">
        <f aca="false">IF(OR(C48&gt;100,D48="n/a",F48="n/a",G48="n/a",H48="n/a",I48="n/a",J48="n/a"),"X","")</f>
        <v/>
      </c>
      <c r="R48" s="165"/>
      <c r="S48" s="165"/>
      <c r="T48" s="165"/>
      <c r="U48" s="165"/>
      <c r="V48" s="165"/>
      <c r="W48" s="165"/>
      <c r="X48" s="165"/>
      <c r="Y48" s="165"/>
      <c r="Z48" s="165"/>
      <c r="AA48" s="165"/>
    </row>
    <row r="49" customFormat="false" ht="12.75" hidden="false" customHeight="false" outlineLevel="0" collapsed="false">
      <c r="A49" s="189" t="s">
        <v>200</v>
      </c>
      <c r="B49" s="178" t="s">
        <v>200</v>
      </c>
      <c r="C49" s="190" t="n">
        <f aca="false">VLOOKUP($B49,'[1]4-Disponibilidade'!$A$8:$C$102,2,FALSE())</f>
        <v>85.5010681152344</v>
      </c>
      <c r="D49" s="191" t="n">
        <f aca="false">IF(AND(C49=0,E49=0),"n/a",E49/C49*100)</f>
        <v>468.999988935285</v>
      </c>
      <c r="E49" s="191" t="n">
        <f aca="false">VLOOKUP($B49,'[1]4-Disponibilidade'!$A$8:$C$102,3,FALSE())</f>
        <v>401</v>
      </c>
      <c r="F49" s="192" t="n">
        <f aca="false">IF(ISNA(VLOOKUP($A49,'[1]3-Produção'!$A$9:$C$103,2,FALSE()))=TRUE(),"n/a",VLOOKUP($A49,'[1]3-Produção'!$A$9:$C$103,2,FALSE()))</f>
        <v>62.4583333333333</v>
      </c>
      <c r="G49" s="192" t="n">
        <f aca="false">IF(ISNA(VLOOKUP($A49,'[1]3-Produção'!$A$9:$C$103,3,FALSE()))=TRUE(),"n/a",VLOOKUP($A49,'[1]3-Produção'!$A$9:$C$103,3,FALSE()))</f>
        <v>119.420833333333</v>
      </c>
      <c r="H49" s="192" t="n">
        <f aca="false">IF(OR(F49="n/a",G49="n/a"),"n/a",G49-F49)</f>
        <v>56.9625</v>
      </c>
      <c r="I49" s="192" t="n">
        <f aca="false">IF(OR(G49="n/a",D49="n/a"),"n/a",D49-G49)</f>
        <v>349.579155601952</v>
      </c>
      <c r="J49" s="193" t="n">
        <f aca="false">IF(OR(G49="n/a",G49=0,E49="n/a",E49=0),"n/a",E49-G49)</f>
        <v>281.579166666667</v>
      </c>
      <c r="K49" s="184" t="str">
        <f aca="false">IF(OR(C49&gt;100,D49="n/a",F49="n/a",G49="n/a",H49="n/a",I49="n/a",J49="n/a"),"X","")</f>
        <v/>
      </c>
      <c r="R49" s="165"/>
      <c r="S49" s="165"/>
      <c r="T49" s="165"/>
      <c r="U49" s="165"/>
      <c r="V49" s="165"/>
      <c r="W49" s="165"/>
      <c r="X49" s="165"/>
      <c r="Y49" s="165"/>
      <c r="Z49" s="165"/>
      <c r="AA49" s="165"/>
    </row>
    <row r="50" customFormat="false" ht="12.75" hidden="false" customHeight="false" outlineLevel="0" collapsed="false">
      <c r="A50" s="189" t="s">
        <v>201</v>
      </c>
      <c r="B50" s="178" t="s">
        <v>202</v>
      </c>
      <c r="C50" s="190" t="n">
        <f aca="false">VLOOKUP($B50,'[1]4-Disponibilidade'!$A$8:$C$102,2,FALSE())</f>
        <v>66.6666641235352</v>
      </c>
      <c r="D50" s="191" t="n">
        <f aca="false">IF(AND(C50=0,E50=0),"n/a",E50/C50*100)</f>
        <v>420.000016021729</v>
      </c>
      <c r="E50" s="191" t="n">
        <f aca="false">VLOOKUP($B50,'[1]4-Disponibilidade'!$A$8:$C$102,3,FALSE())</f>
        <v>280</v>
      </c>
      <c r="F50" s="192" t="n">
        <f aca="false">IF(ISNA(VLOOKUP($A50,'[1]3-Produção'!$A$9:$C$103,2,FALSE()))=TRUE(),"n/a",VLOOKUP($A50,'[1]3-Produção'!$A$9:$C$103,2,FALSE()))</f>
        <v>0</v>
      </c>
      <c r="G50" s="192" t="n">
        <f aca="false">IF(ISNA(VLOOKUP($A50,'[1]3-Produção'!$A$9:$C$103,3,FALSE()))=TRUE(),"n/a",VLOOKUP($A50,'[1]3-Produção'!$A$9:$C$103,3,FALSE()))</f>
        <v>69.9833333333333</v>
      </c>
      <c r="H50" s="192" t="n">
        <f aca="false">IF(OR(F50="n/a",G50="n/a"),"n/a",G50-F50)</f>
        <v>69.9833333333333</v>
      </c>
      <c r="I50" s="192" t="n">
        <f aca="false">IF(OR(G50="n/a",D50="n/a"),"n/a",D50-G50)</f>
        <v>350.016682688396</v>
      </c>
      <c r="J50" s="193" t="n">
        <f aca="false">IF(OR(G50="n/a",G50=0,E50="n/a",E50=0),"n/a",E50-G50)</f>
        <v>210.016666666667</v>
      </c>
      <c r="K50" s="184" t="str">
        <f aca="false">IF(OR(C50&gt;100,D50="n/a",F50="n/a",G50="n/a",H50="n/a",I50="n/a",J50="n/a"),"X","")</f>
        <v/>
      </c>
      <c r="S50" s="165"/>
      <c r="T50" s="165"/>
      <c r="U50" s="165"/>
      <c r="V50" s="165"/>
      <c r="W50" s="165"/>
      <c r="X50" s="165"/>
      <c r="Y50" s="165"/>
      <c r="Z50" s="165"/>
      <c r="AA50" s="165"/>
    </row>
    <row r="51" customFormat="false" ht="12.75" hidden="false" customHeight="false" outlineLevel="0" collapsed="false">
      <c r="A51" s="189" t="s">
        <v>203</v>
      </c>
      <c r="B51" s="178" t="s">
        <v>203</v>
      </c>
      <c r="C51" s="190" t="n">
        <f aca="false">VLOOKUP($B51,'[1]4-Disponibilidade'!$A$8:$C$102,2,FALSE())</f>
        <v>41.0677604675293</v>
      </c>
      <c r="D51" s="191" t="n">
        <f aca="false">IF(AND(C51=0,E51=0),"n/a",E51/C51*100)</f>
        <v>48.7000015883828</v>
      </c>
      <c r="E51" s="191" t="n">
        <f aca="false">VLOOKUP($B51,'[1]4-Disponibilidade'!$A$8:$C$102,3,FALSE())</f>
        <v>20</v>
      </c>
      <c r="F51" s="192" t="n">
        <f aca="false">IF(ISNA(VLOOKUP($A51,'[1]3-Produção'!$A$9:$C$103,2,FALSE()))=TRUE(),"n/a",VLOOKUP($A51,'[1]3-Produção'!$A$9:$C$103,2,FALSE()))</f>
        <v>20</v>
      </c>
      <c r="G51" s="192" t="n">
        <f aca="false">IF(ISNA(VLOOKUP($A51,'[1]3-Produção'!$A$9:$C$103,3,FALSE()))=TRUE(),"n/a",VLOOKUP($A51,'[1]3-Produção'!$A$9:$C$103,3,FALSE()))</f>
        <v>20</v>
      </c>
      <c r="H51" s="192" t="n">
        <f aca="false">IF(OR(F51="n/a",G51="n/a"),"n/a",G51-F51)</f>
        <v>0</v>
      </c>
      <c r="I51" s="192" t="n">
        <f aca="false">IF(OR(G51="n/a",D51="n/a"),"n/a",D51-G51)</f>
        <v>28.7000015883828</v>
      </c>
      <c r="J51" s="193" t="n">
        <f aca="false">IF(OR(G51="n/a",G51=0,E51="n/a",E51=0),"n/a",E51-G51)</f>
        <v>0</v>
      </c>
      <c r="K51" s="184" t="str">
        <f aca="false">IF(OR(C51&gt;100,D51="n/a",F51="n/a",G51="n/a",H51="n/a",I51="n/a",J51="n/a"),"X","")</f>
        <v/>
      </c>
    </row>
    <row r="52" customFormat="false" ht="12.75" hidden="false" customHeight="false" outlineLevel="0" collapsed="false">
      <c r="A52" s="189" t="s">
        <v>204</v>
      </c>
      <c r="B52" s="178" t="s">
        <v>204</v>
      </c>
      <c r="C52" s="190" t="n">
        <f aca="false">VLOOKUP($B52,'[1]4-Disponibilidade'!$A$8:$C$102,2,FALSE())</f>
        <v>97.5609741210938</v>
      </c>
      <c r="D52" s="191" t="n">
        <f aca="false">IF(AND(C52=0,E52=0),"n/a",E52/C52*100)</f>
        <v>328.000005004883</v>
      </c>
      <c r="E52" s="191" t="n">
        <f aca="false">VLOOKUP($B52,'[1]4-Disponibilidade'!$A$8:$C$102,3,FALSE())</f>
        <v>320</v>
      </c>
      <c r="F52" s="192" t="n">
        <f aca="false">IF(ISNA(VLOOKUP($A52,'[1]3-Produção'!$A$9:$C$103,2,FALSE()))=TRUE(),"n/a",VLOOKUP($A52,'[1]3-Produção'!$A$9:$C$103,2,FALSE()))</f>
        <v>158.333333333333</v>
      </c>
      <c r="G52" s="192" t="n">
        <f aca="false">IF(ISNA(VLOOKUP($A52,'[1]3-Produção'!$A$9:$C$103,3,FALSE()))=TRUE(),"n/a",VLOOKUP($A52,'[1]3-Produção'!$A$9:$C$103,3,FALSE()))</f>
        <v>186.008333333333</v>
      </c>
      <c r="H52" s="192" t="n">
        <f aca="false">IF(OR(F52="n/a",G52="n/a"),"n/a",G52-F52)</f>
        <v>27.675</v>
      </c>
      <c r="I52" s="192" t="n">
        <f aca="false">IF(OR(G52="n/a",D52="n/a"),"n/a",D52-G52)</f>
        <v>141.99167167155</v>
      </c>
      <c r="J52" s="193" t="n">
        <f aca="false">IF(OR(G52="n/a",G52=0,E52="n/a",E52=0),"n/a",E52-G52)</f>
        <v>133.991666666667</v>
      </c>
      <c r="K52" s="184" t="str">
        <f aca="false">IF(OR(C52&gt;100,D52="n/a",F52="n/a",G52="n/a",H52="n/a",I52="n/a",J52="n/a"),"X","")</f>
        <v/>
      </c>
    </row>
    <row r="53" customFormat="false" ht="12.75" hidden="false" customHeight="false" outlineLevel="0" collapsed="false">
      <c r="A53" s="189" t="s">
        <v>205</v>
      </c>
      <c r="B53" s="178" t="s">
        <v>206</v>
      </c>
      <c r="C53" s="190" t="n">
        <f aca="false">VLOOKUP($B53,'[1]4-Disponibilidade'!$A$8:$C$102,2,FALSE())</f>
        <v>100</v>
      </c>
      <c r="D53" s="191" t="n">
        <f aca="false">IF(AND(C53=0,E53=0),"n/a",E53/C53*100)</f>
        <v>375</v>
      </c>
      <c r="E53" s="191" t="n">
        <f aca="false">VLOOKUP($B53,'[1]4-Disponibilidade'!$A$8:$C$102,3,FALSE())</f>
        <v>375</v>
      </c>
      <c r="F53" s="192" t="n">
        <f aca="false">IF(ISNA(VLOOKUP($A53,'[1]3-Produção'!$A$9:$C$103,2,FALSE()))=TRUE(),"n/a",VLOOKUP($A53,'[1]3-Produção'!$A$9:$C$103,2,FALSE()))</f>
        <v>375</v>
      </c>
      <c r="G53" s="192" t="n">
        <f aca="false">IF(ISNA(VLOOKUP($A53,'[1]3-Produção'!$A$9:$C$103,3,FALSE()))=TRUE(),"n/a",VLOOKUP($A53,'[1]3-Produção'!$A$9:$C$103,3,FALSE()))</f>
        <v>373.641666666667</v>
      </c>
      <c r="H53" s="192" t="n">
        <f aca="false">IF(OR(F53="n/a",G53="n/a"),"n/a",G53-F53)</f>
        <v>-1.35833333333335</v>
      </c>
      <c r="I53" s="192" t="n">
        <f aca="false">IF(OR(G53="n/a",D53="n/a"),"n/a",D53-G53)</f>
        <v>1.35833333333335</v>
      </c>
      <c r="J53" s="193" t="n">
        <f aca="false">IF(OR(G53="n/a",G53=0,E53="n/a",E53=0),"n/a",E53-G53)</f>
        <v>1.35833333333335</v>
      </c>
      <c r="K53" s="184" t="str">
        <f aca="false">IF(OR(C53&gt;100,D53="n/a",F53="n/a",G53="n/a",H53="n/a",I53="n/a",J53="n/a"),"X","")</f>
        <v/>
      </c>
    </row>
    <row r="54" customFormat="false" ht="12.75" hidden="false" customHeight="false" outlineLevel="0" collapsed="false">
      <c r="A54" s="189" t="s">
        <v>207</v>
      </c>
      <c r="B54" s="178" t="s">
        <v>207</v>
      </c>
      <c r="C54" s="190" t="n">
        <f aca="false">VLOOKUP($B54,'[1]4-Disponibilidade'!$A$8:$C$102,2,FALSE())</f>
        <v>83.7837829589844</v>
      </c>
      <c r="D54" s="191" t="n">
        <f aca="false">IF(AND(C54=0,E54=0),"n/a",E54/C54*100)</f>
        <v>222.000002185452</v>
      </c>
      <c r="E54" s="191" t="n">
        <f aca="false">VLOOKUP($B54,'[1]4-Disponibilidade'!$A$8:$C$102,3,FALSE())</f>
        <v>186</v>
      </c>
      <c r="F54" s="192" t="n">
        <f aca="false">IF(ISNA(VLOOKUP($A54,'[1]3-Produção'!$A$9:$C$103,2,FALSE()))=TRUE(),"n/a",VLOOKUP($A54,'[1]3-Produção'!$A$9:$C$103,2,FALSE()))</f>
        <v>118.333333333333</v>
      </c>
      <c r="G54" s="192" t="n">
        <f aca="false">IF(ISNA(VLOOKUP($A54,'[1]3-Produção'!$A$9:$C$103,3,FALSE()))=TRUE(),"n/a",VLOOKUP($A54,'[1]3-Produção'!$A$9:$C$103,3,FALSE()))</f>
        <v>131.7875</v>
      </c>
      <c r="H54" s="192" t="n">
        <f aca="false">IF(OR(F54="n/a",G54="n/a"),"n/a",G54-F54)</f>
        <v>13.4541666666667</v>
      </c>
      <c r="I54" s="192" t="n">
        <f aca="false">IF(OR(G54="n/a",D54="n/a"),"n/a",D54-G54)</f>
        <v>90.2125021854524</v>
      </c>
      <c r="J54" s="193" t="n">
        <f aca="false">IF(OR(G54="n/a",G54=0,E54="n/a",E54=0),"n/a",E54-G54)</f>
        <v>54.2125</v>
      </c>
      <c r="K54" s="184" t="str">
        <f aca="false">IF(OR(C54&gt;100,D54="n/a",F54="n/a",G54="n/a",H54="n/a",I54="n/a",J54="n/a"),"X","")</f>
        <v/>
      </c>
    </row>
    <row r="55" customFormat="false" ht="12.75" hidden="false" customHeight="false" outlineLevel="0" collapsed="false">
      <c r="A55" s="189" t="s">
        <v>26</v>
      </c>
      <c r="B55" s="178" t="s">
        <v>26</v>
      </c>
      <c r="C55" s="190" t="n">
        <f aca="false">VLOOKUP($B55,'[1]4-Disponibilidade'!$A$8:$C$102,2,FALSE())</f>
        <v>72.5609741210938</v>
      </c>
      <c r="D55" s="191" t="n">
        <f aca="false">IF(AND(C55=0,E55=0),"n/a",E55/C55*100)</f>
        <v>1312.00002691702</v>
      </c>
      <c r="E55" s="191" t="n">
        <f aca="false">VLOOKUP($B55,'[1]4-Disponibilidade'!$A$8:$C$102,3,FALSE())</f>
        <v>952</v>
      </c>
      <c r="F55" s="192" t="n">
        <f aca="false">IF(ISNA(VLOOKUP($A55,'[1]3-Produção'!$A$9:$C$103,2,FALSE()))=TRUE(),"n/a",VLOOKUP($A55,'[1]3-Produção'!$A$9:$C$103,2,FALSE()))</f>
        <v>404.166666666667</v>
      </c>
      <c r="G55" s="192" t="n">
        <f aca="false">IF(ISNA(VLOOKUP($A55,'[1]3-Produção'!$A$9:$C$103,3,FALSE()))=TRUE(),"n/a",VLOOKUP($A55,'[1]3-Produção'!$A$9:$C$103,3,FALSE()))</f>
        <v>490.108333333333</v>
      </c>
      <c r="H55" s="192" t="n">
        <f aca="false">IF(OR(F55="n/a",G55="n/a"),"n/a",G55-F55)</f>
        <v>85.9416666666667</v>
      </c>
      <c r="I55" s="192" t="n">
        <f aca="false">IF(OR(G55="n/a",D55="n/a"),"n/a",D55-G55)</f>
        <v>821.891693583684</v>
      </c>
      <c r="J55" s="193" t="n">
        <f aca="false">IF(OR(G55="n/a",G55=0,E55="n/a",E55=0),"n/a",E55-G55)</f>
        <v>461.891666666667</v>
      </c>
      <c r="K55" s="184" t="str">
        <f aca="false">IF(OR(C55&gt;100,D55="n/a",F55="n/a",G55="n/a",H55="n/a",I55="n/a",J55="n/a"),"X","")</f>
        <v/>
      </c>
      <c r="R55" s="224"/>
    </row>
    <row r="56" customFormat="false" ht="12.75" hidden="false" customHeight="false" outlineLevel="0" collapsed="false">
      <c r="A56" s="189" t="s">
        <v>45</v>
      </c>
      <c r="B56" s="178" t="s">
        <v>45</v>
      </c>
      <c r="C56" s="190" t="n">
        <f aca="false">VLOOKUP($B56,'[1]4-Disponibilidade'!$A$8:$C$102,2,FALSE())</f>
        <v>65.7894744873047</v>
      </c>
      <c r="D56" s="191" t="n">
        <f aca="false">IF(AND(C56=0,E56=0),"n/a",E56/C56*100)</f>
        <v>2279.99997216797</v>
      </c>
      <c r="E56" s="191" t="n">
        <f aca="false">VLOOKUP($B56,'[1]4-Disponibilidade'!$A$8:$C$102,3,FALSE())</f>
        <v>1500</v>
      </c>
      <c r="F56" s="192" t="n">
        <f aca="false">IF(ISNA(VLOOKUP($A56,'[1]3-Produção'!$A$9:$C$103,2,FALSE()))=TRUE(),"n/a",VLOOKUP($A56,'[1]3-Produção'!$A$9:$C$103,2,FALSE()))</f>
        <v>816.666666666667</v>
      </c>
      <c r="G56" s="192" t="n">
        <f aca="false">IF(ISNA(VLOOKUP($A56,'[1]3-Produção'!$A$9:$C$103,3,FALSE()))=TRUE(),"n/a",VLOOKUP($A56,'[1]3-Produção'!$A$9:$C$103,3,FALSE()))</f>
        <v>900.8375</v>
      </c>
      <c r="H56" s="192" t="n">
        <f aca="false">IF(OR(F56="n/a",G56="n/a"),"n/a",G56-F56)</f>
        <v>84.1708333333334</v>
      </c>
      <c r="I56" s="192" t="n">
        <f aca="false">IF(OR(G56="n/a",D56="n/a"),"n/a",D56-G56)</f>
        <v>1379.16247216797</v>
      </c>
      <c r="J56" s="193" t="n">
        <f aca="false">IF(OR(G56="n/a",G56=0,E56="n/a",E56=0),"n/a",E56-G56)</f>
        <v>599.1625</v>
      </c>
      <c r="K56" s="184" t="str">
        <f aca="false">IF(OR(C56&gt;100,D56="n/a",F56="n/a",G56="n/a",H56="n/a",I56="n/a",J56="n/a"),"X","")</f>
        <v/>
      </c>
      <c r="R56" s="224"/>
    </row>
    <row r="57" customFormat="false" ht="12.75" hidden="false" customHeight="false" outlineLevel="0" collapsed="false">
      <c r="A57" s="189" t="s">
        <v>208</v>
      </c>
      <c r="B57" s="178" t="s">
        <v>208</v>
      </c>
      <c r="C57" s="190" t="n">
        <f aca="false">VLOOKUP($B57,'[1]4-Disponibilidade'!$A$8:$C$102,2,FALSE())</f>
        <v>95.1086959838867</v>
      </c>
      <c r="D57" s="191" t="n">
        <f aca="false">IF(AND(C57=0,E57=0),"n/a",E57/C57*100)</f>
        <v>1103.99999614955</v>
      </c>
      <c r="E57" s="191" t="n">
        <f aca="false">VLOOKUP($B57,'[1]4-Disponibilidade'!$A$8:$C$102,3,FALSE())</f>
        <v>1050</v>
      </c>
      <c r="F57" s="192" t="n">
        <f aca="false">IF(ISNA(VLOOKUP($A57,'[1]3-Produção'!$A$9:$C$103,2,FALSE()))=TRUE(),"n/a",VLOOKUP($A57,'[1]3-Produção'!$A$9:$C$103,2,FALSE()))</f>
        <v>302.083333333333</v>
      </c>
      <c r="G57" s="192" t="n">
        <f aca="false">IF(ISNA(VLOOKUP($A57,'[1]3-Produção'!$A$9:$C$103,3,FALSE()))=TRUE(),"n/a",VLOOKUP($A57,'[1]3-Produção'!$A$9:$C$103,3,FALSE()))</f>
        <v>358.720833333333</v>
      </c>
      <c r="H57" s="192" t="n">
        <f aca="false">IF(OR(F57="n/a",G57="n/a"),"n/a",G57-F57)</f>
        <v>56.6374999999999</v>
      </c>
      <c r="I57" s="192" t="n">
        <f aca="false">IF(OR(G57="n/a",D57="n/a"),"n/a",D57-G57)</f>
        <v>745.27916281622</v>
      </c>
      <c r="J57" s="193" t="n">
        <f aca="false">IF(OR(G57="n/a",G57=0,E57="n/a",E57=0),"n/a",E57-G57)</f>
        <v>691.279166666667</v>
      </c>
      <c r="K57" s="184" t="str">
        <f aca="false">IF(OR(C57&gt;100,D57="n/a",F57="n/a",G57="n/a",H57="n/a",I57="n/a",J57="n/a"),"X","")</f>
        <v/>
      </c>
      <c r="R57" s="224"/>
    </row>
    <row r="58" customFormat="false" ht="12.75" hidden="false" customHeight="false" outlineLevel="0" collapsed="false">
      <c r="A58" s="189" t="s">
        <v>209</v>
      </c>
      <c r="B58" s="178" t="s">
        <v>209</v>
      </c>
      <c r="C58" s="190" t="n">
        <f aca="false">VLOOKUP($B58,'[1]4-Disponibilidade'!$A$8:$C$102,2,FALSE())</f>
        <v>45.7142868041992</v>
      </c>
      <c r="D58" s="191" t="n">
        <f aca="false">IF(AND(C58=0,E58=0),"n/a",E58/C58*100)</f>
        <v>52.4999987483025</v>
      </c>
      <c r="E58" s="191" t="n">
        <f aca="false">VLOOKUP($B58,'[1]4-Disponibilidade'!$A$8:$C$102,3,FALSE())</f>
        <v>24</v>
      </c>
      <c r="F58" s="192" t="n">
        <f aca="false">IF(ISNA(VLOOKUP($A58,'[1]3-Produção'!$A$9:$C$103,2,FALSE()))=TRUE(),"n/a",VLOOKUP($A58,'[1]3-Produção'!$A$9:$C$103,2,FALSE()))</f>
        <v>24</v>
      </c>
      <c r="G58" s="192" t="n">
        <f aca="false">IF(ISNA(VLOOKUP($A58,'[1]3-Produção'!$A$9:$C$103,3,FALSE()))=TRUE(),"n/a",VLOOKUP($A58,'[1]3-Produção'!$A$9:$C$103,3,FALSE()))</f>
        <v>24</v>
      </c>
      <c r="H58" s="192" t="n">
        <f aca="false">IF(OR(F58="n/a",G58="n/a"),"n/a",G58-F58)</f>
        <v>0</v>
      </c>
      <c r="I58" s="192" t="n">
        <f aca="false">IF(OR(G58="n/a",D58="n/a"),"n/a",D58-G58)</f>
        <v>28.4999987483025</v>
      </c>
      <c r="J58" s="193" t="n">
        <f aca="false">IF(OR(G58="n/a",G58=0,E58="n/a",E58=0),"n/a",E58-G58)</f>
        <v>0</v>
      </c>
      <c r="K58" s="184" t="str">
        <f aca="false">IF(OR(C58&gt;100,D58="n/a",F58="n/a",G58="n/a",H58="n/a",I58="n/a",J58="n/a"),"X","")</f>
        <v/>
      </c>
      <c r="R58" s="224"/>
    </row>
    <row r="59" customFormat="false" ht="12.75" hidden="false" customHeight="false" outlineLevel="0" collapsed="false">
      <c r="A59" s="189" t="s">
        <v>29</v>
      </c>
      <c r="B59" s="178" t="s">
        <v>29</v>
      </c>
      <c r="C59" s="190" t="n">
        <f aca="false">VLOOKUP($B59,'[1]4-Disponibilidade'!$A$8:$C$102,2,FALSE())</f>
        <v>89.121337890625</v>
      </c>
      <c r="D59" s="191" t="n">
        <f aca="false">IF(AND(C59=0,E59=0),"n/a",E59/C59*100)</f>
        <v>478.000005478837</v>
      </c>
      <c r="E59" s="191" t="n">
        <f aca="false">VLOOKUP($B59,'[1]4-Disponibilidade'!$A$8:$C$102,3,FALSE())</f>
        <v>426</v>
      </c>
      <c r="F59" s="192" t="n">
        <f aca="false">IF(ISNA(VLOOKUP($A59,'[1]3-Produção'!$A$9:$C$103,2,FALSE()))=TRUE(),"n/a",VLOOKUP($A59,'[1]3-Produção'!$A$9:$C$103,2,FALSE()))</f>
        <v>260.416666666667</v>
      </c>
      <c r="G59" s="192" t="n">
        <f aca="false">IF(ISNA(VLOOKUP($A59,'[1]3-Produção'!$A$9:$C$103,3,FALSE()))=TRUE(),"n/a",VLOOKUP($A59,'[1]3-Produção'!$A$9:$C$103,3,FALSE()))</f>
        <v>289.783333333333</v>
      </c>
      <c r="H59" s="192" t="n">
        <f aca="false">IF(OR(F59="n/a",G59="n/a"),"n/a",G59-F59)</f>
        <v>29.3666666666667</v>
      </c>
      <c r="I59" s="192" t="n">
        <f aca="false">IF(OR(G59="n/a",D59="n/a"),"n/a",D59-G59)</f>
        <v>188.216672145503</v>
      </c>
      <c r="J59" s="193" t="n">
        <f aca="false">IF(OR(G59="n/a",G59=0,E59="n/a",E59=0),"n/a",E59-G59)</f>
        <v>136.216666666667</v>
      </c>
      <c r="K59" s="184" t="str">
        <f aca="false">IF(OR(C59&gt;100,D59="n/a",F59="n/a",G59="n/a",H59="n/a",I59="n/a",J59="n/a"),"X","")</f>
        <v/>
      </c>
      <c r="R59" s="224"/>
    </row>
    <row r="60" customFormat="false" ht="12.75" hidden="false" customHeight="false" outlineLevel="0" collapsed="false">
      <c r="A60" s="189" t="s">
        <v>32</v>
      </c>
      <c r="B60" s="178" t="s">
        <v>32</v>
      </c>
      <c r="C60" s="190" t="n">
        <f aca="false">VLOOKUP($B60,'[1]4-Disponibilidade'!$A$8:$C$102,2,FALSE())</f>
        <v>65.8602142333984</v>
      </c>
      <c r="D60" s="191" t="n">
        <f aca="false">IF(AND(C60=0,E60=0),"n/a",E60/C60*100)</f>
        <v>1488.00001853476</v>
      </c>
      <c r="E60" s="191" t="n">
        <f aca="false">VLOOKUP($B60,'[1]4-Disponibilidade'!$A$8:$C$102,3,FALSE())</f>
        <v>980</v>
      </c>
      <c r="F60" s="192" t="n">
        <f aca="false">IF(ISNA(VLOOKUP($A60,'[1]3-Produção'!$A$9:$C$103,2,FALSE()))=TRUE(),"n/a",VLOOKUP($A60,'[1]3-Produção'!$A$9:$C$103,2,FALSE()))</f>
        <v>690.833333333333</v>
      </c>
      <c r="G60" s="192" t="n">
        <f aca="false">IF(ISNA(VLOOKUP($A60,'[1]3-Produção'!$A$9:$C$103,3,FALSE()))=TRUE(),"n/a",VLOOKUP($A60,'[1]3-Produção'!$A$9:$C$103,3,FALSE()))</f>
        <v>740.608333333334</v>
      </c>
      <c r="H60" s="192" t="n">
        <f aca="false">IF(OR(F60="n/a",G60="n/a"),"n/a",G60-F60)</f>
        <v>49.7750000000001</v>
      </c>
      <c r="I60" s="192" t="n">
        <f aca="false">IF(OR(G60="n/a",D60="n/a"),"n/a",D60-G60)</f>
        <v>747.391685201424</v>
      </c>
      <c r="J60" s="193" t="n">
        <f aca="false">IF(OR(G60="n/a",G60=0,E60="n/a",E60=0),"n/a",E60-G60)</f>
        <v>239.391666666667</v>
      </c>
      <c r="K60" s="184" t="str">
        <f aca="false">IF(OR(C60&gt;100,D60="n/a",F60="n/a",G60="n/a",H60="n/a",I60="n/a",J60="n/a"),"X","")</f>
        <v/>
      </c>
      <c r="R60" s="224"/>
    </row>
    <row r="61" customFormat="false" ht="12.75" hidden="false" customHeight="false" outlineLevel="0" collapsed="false">
      <c r="A61" s="189" t="s">
        <v>210</v>
      </c>
      <c r="B61" s="178" t="s">
        <v>211</v>
      </c>
      <c r="C61" s="190" t="n">
        <f aca="false">VLOOKUP($B61,'[1]4-Disponibilidade'!$A$8:$C$102,2,FALSE())</f>
        <v>81.3953475952148</v>
      </c>
      <c r="D61" s="191" t="n">
        <f aca="false">IF(AND(C61=0,E61=0),"n/a",E61/C61*100)</f>
        <v>1290.00001968384</v>
      </c>
      <c r="E61" s="191" t="n">
        <f aca="false">VLOOKUP($B61,'[1]4-Disponibilidade'!$A$8:$C$102,3,FALSE())</f>
        <v>1050</v>
      </c>
      <c r="F61" s="192" t="n">
        <f aca="false">IF(ISNA(VLOOKUP($A61,'[1]3-Produção'!$A$9:$C$103,2,FALSE()))=TRUE(),"n/a",VLOOKUP($A61,'[1]3-Produção'!$A$9:$C$103,2,FALSE()))</f>
        <v>1027.08333333333</v>
      </c>
      <c r="G61" s="192" t="n">
        <f aca="false">IF(ISNA(VLOOKUP($A61,'[1]3-Produção'!$A$9:$C$103,3,FALSE()))=TRUE(),"n/a",VLOOKUP($A61,'[1]3-Produção'!$A$9:$C$103,3,FALSE()))</f>
        <v>1029.9875</v>
      </c>
      <c r="H61" s="192" t="n">
        <f aca="false">IF(OR(F61="n/a",G61="n/a"),"n/a",G61-F61)</f>
        <v>2.9041666666667</v>
      </c>
      <c r="I61" s="192" t="n">
        <f aca="false">IF(OR(G61="n/a",D61="n/a"),"n/a",D61-G61)</f>
        <v>260.012519683838</v>
      </c>
      <c r="J61" s="193" t="n">
        <f aca="false">IF(OR(G61="n/a",G61=0,E61="n/a",E61=0),"n/a",E61-G61)</f>
        <v>20.0125</v>
      </c>
      <c r="K61" s="184" t="str">
        <f aca="false">IF(OR(C61&gt;100,D61="n/a",F61="n/a",G61="n/a",H61="n/a",I61="n/a",J61="n/a"),"X","")</f>
        <v/>
      </c>
      <c r="R61" s="224"/>
    </row>
    <row r="62" customFormat="false" ht="12.75" hidden="false" customHeight="false" outlineLevel="0" collapsed="false">
      <c r="A62" s="189" t="s">
        <v>212</v>
      </c>
      <c r="B62" s="178" t="s">
        <v>212</v>
      </c>
      <c r="C62" s="190" t="n">
        <f aca="false">VLOOKUP($B62,'[1]4-Disponibilidade'!$A$8:$C$102,2,FALSE())</f>
        <v>81.3069915771484</v>
      </c>
      <c r="D62" s="191" t="n">
        <f aca="false">IF(AND(C62=0,E62=0),"n/a",E62/C62*100)</f>
        <v>657.999994369935</v>
      </c>
      <c r="E62" s="191" t="n">
        <f aca="false">VLOOKUP($B62,'[1]4-Disponibilidade'!$A$8:$C$102,3,FALSE())</f>
        <v>535</v>
      </c>
      <c r="F62" s="192" t="n">
        <f aca="false">IF(ISNA(VLOOKUP($A62,'[1]3-Produção'!$A$9:$C$103,2,FALSE()))=TRUE(),"n/a",VLOOKUP($A62,'[1]3-Produção'!$A$9:$C$103,2,FALSE()))</f>
        <v>348.125</v>
      </c>
      <c r="G62" s="192" t="n">
        <f aca="false">IF(ISNA(VLOOKUP($A62,'[1]3-Produção'!$A$9:$C$103,3,FALSE()))=TRUE(),"n/a",VLOOKUP($A62,'[1]3-Produção'!$A$9:$C$103,3,FALSE()))</f>
        <v>406.9125</v>
      </c>
      <c r="H62" s="192" t="n">
        <f aca="false">IF(OR(F62="n/a",G62="n/a"),"n/a",G62-F62)</f>
        <v>58.7875</v>
      </c>
      <c r="I62" s="192" t="n">
        <f aca="false">IF(OR(G62="n/a",D62="n/a"),"n/a",D62-G62)</f>
        <v>251.087494369935</v>
      </c>
      <c r="J62" s="193" t="n">
        <f aca="false">IF(OR(G62="n/a",G62=0,E62="n/a",E62=0),"n/a",E62-G62)</f>
        <v>128.0875</v>
      </c>
      <c r="K62" s="184" t="str">
        <f aca="false">IF(OR(C62&gt;100,D62="n/a",F62="n/a",G62="n/a",H62="n/a",I62="n/a",J62="n/a"),"X","")</f>
        <v/>
      </c>
      <c r="R62" s="224"/>
    </row>
    <row r="63" customFormat="false" ht="12.75" hidden="false" customHeight="false" outlineLevel="0" collapsed="false">
      <c r="A63" s="189" t="s">
        <v>213</v>
      </c>
      <c r="B63" s="178" t="s">
        <v>213</v>
      </c>
      <c r="C63" s="190" t="n">
        <f aca="false">VLOOKUP($B63,'[1]4-Disponibilidade'!$A$8:$C$102,2,FALSE())</f>
        <v>100</v>
      </c>
      <c r="D63" s="191" t="n">
        <f aca="false">IF(AND(C63=0,E63=0),"n/a",E63/C63*100)</f>
        <v>132</v>
      </c>
      <c r="E63" s="191" t="n">
        <f aca="false">VLOOKUP($B63,'[1]4-Disponibilidade'!$A$8:$C$102,3,FALSE())</f>
        <v>132</v>
      </c>
      <c r="F63" s="192" t="n">
        <f aca="false">IF(ISNA(VLOOKUP($A63,'[1]3-Produção'!$A$9:$C$103,2,FALSE()))=TRUE(),"n/a",VLOOKUP($A63,'[1]3-Produção'!$A$9:$C$103,2,FALSE()))</f>
        <v>106.791666666667</v>
      </c>
      <c r="G63" s="192" t="n">
        <f aca="false">IF(ISNA(VLOOKUP($A63,'[1]3-Produção'!$A$9:$C$103,3,FALSE()))=TRUE(),"n/a",VLOOKUP($A63,'[1]3-Produção'!$A$9:$C$103,3,FALSE()))</f>
        <v>105.3625</v>
      </c>
      <c r="H63" s="192" t="n">
        <f aca="false">IF(OR(F63="n/a",G63="n/a"),"n/a",G63-F63)</f>
        <v>-1.42916666666667</v>
      </c>
      <c r="I63" s="192" t="n">
        <f aca="false">IF(OR(G63="n/a",D63="n/a"),"n/a",D63-G63)</f>
        <v>26.6375</v>
      </c>
      <c r="J63" s="193" t="n">
        <f aca="false">IF(OR(G63="n/a",G63=0,E63="n/a",E63=0),"n/a",E63-G63)</f>
        <v>26.6375</v>
      </c>
      <c r="K63" s="184" t="str">
        <f aca="false">IF(OR(C63&gt;100,D63="n/a",F63="n/a",G63="n/a",H63="n/a",I63="n/a",J63="n/a"),"X","")</f>
        <v/>
      </c>
      <c r="R63" s="224"/>
    </row>
    <row r="64" customFormat="false" ht="12.75" hidden="false" customHeight="false" outlineLevel="0" collapsed="false">
      <c r="A64" s="204" t="s">
        <v>214</v>
      </c>
      <c r="B64" s="178" t="s">
        <v>214</v>
      </c>
      <c r="C64" s="190" t="n">
        <f aca="false">VLOOKUP($B64,'[1]4-Disponibilidade'!$A$8:$C$102,2,FALSE())</f>
        <v>86.2068939208984</v>
      </c>
      <c r="D64" s="191" t="n">
        <f aca="false">IF(AND(C64=0,E64=0),"n/a",E64/C64*100)</f>
        <v>174.000005310059</v>
      </c>
      <c r="E64" s="191" t="n">
        <f aca="false">VLOOKUP($B64,'[1]4-Disponibilidade'!$A$8:$C$102,3,FALSE())</f>
        <v>150</v>
      </c>
      <c r="F64" s="192" t="n">
        <f aca="false">IF(ISNA(VLOOKUP($A64,'[1]3-Produção'!$A$9:$C$103,2,FALSE()))=TRUE(),"n/a",VLOOKUP($A64,'[1]3-Produção'!$A$9:$C$103,2,FALSE()))</f>
        <v>68.875</v>
      </c>
      <c r="G64" s="192" t="n">
        <f aca="false">IF(ISNA(VLOOKUP($A64,'[1]3-Produção'!$A$9:$C$103,3,FALSE()))=TRUE(),"n/a",VLOOKUP($A64,'[1]3-Produção'!$A$9:$C$103,3,FALSE()))</f>
        <v>67.1583333333333</v>
      </c>
      <c r="H64" s="192" t="n">
        <f aca="false">IF(OR(F64="n/a",G64="n/a"),"n/a",G64-F64)</f>
        <v>-1.71666666666667</v>
      </c>
      <c r="I64" s="192" t="n">
        <f aca="false">IF(OR(G64="n/a",D64="n/a"),"n/a",D64-G64)</f>
        <v>106.841671976725</v>
      </c>
      <c r="J64" s="193" t="n">
        <f aca="false">IF(OR(G64="n/a",G64=0,E64="n/a",E64=0),"n/a",E64-G64)</f>
        <v>82.8416666666667</v>
      </c>
      <c r="K64" s="184" t="str">
        <f aca="false">IF(OR(C64&gt;100,D64="n/a",F64="n/a",G64="n/a",H64="n/a",I64="n/a",J64="n/a"),"X","")</f>
        <v/>
      </c>
      <c r="R64" s="224"/>
    </row>
    <row r="65" customFormat="false" ht="12.75" hidden="false" customHeight="false" outlineLevel="0" collapsed="false">
      <c r="A65" s="204" t="s">
        <v>215</v>
      </c>
      <c r="B65" s="178" t="s">
        <v>215</v>
      </c>
      <c r="C65" s="190" t="n">
        <f aca="false">VLOOKUP($B65,'[1]4-Disponibilidade'!$A$8:$C$102,2,FALSE())</f>
        <v>100</v>
      </c>
      <c r="D65" s="191" t="n">
        <f aca="false">IF(AND(C65=0,E65=0),"n/a",E65/C65*100)</f>
        <v>380</v>
      </c>
      <c r="E65" s="191" t="n">
        <f aca="false">VLOOKUP($B65,'[1]4-Disponibilidade'!$A$8:$C$102,3,FALSE())</f>
        <v>380</v>
      </c>
      <c r="F65" s="192" t="n">
        <f aca="false">IF(ISNA(VLOOKUP($A65,'[1]3-Produção'!$A$9:$C$103,2,FALSE()))=TRUE(),"n/a",VLOOKUP($A65,'[1]3-Produção'!$A$9:$C$103,2,FALSE()))</f>
        <v>325.833333333333</v>
      </c>
      <c r="G65" s="192" t="n">
        <f aca="false">IF(ISNA(VLOOKUP($A65,'[1]3-Produção'!$A$9:$C$103,3,FALSE()))=TRUE(),"n/a",VLOOKUP($A65,'[1]3-Produção'!$A$9:$C$103,3,FALSE()))</f>
        <v>341.3875</v>
      </c>
      <c r="H65" s="192" t="n">
        <f aca="false">IF(OR(F65="n/a",G65="n/a"),"n/a",G65-F65)</f>
        <v>15.5541666666667</v>
      </c>
      <c r="I65" s="192" t="n">
        <f aca="false">IF(OR(G65="n/a",D65="n/a"),"n/a",D65-G65)</f>
        <v>38.6125</v>
      </c>
      <c r="J65" s="193" t="n">
        <f aca="false">IF(OR(G65="n/a",G65=0,E65="n/a",E65=0),"n/a",E65-G65)</f>
        <v>38.6125</v>
      </c>
      <c r="K65" s="184" t="str">
        <f aca="false">IF(OR(C65&gt;100,D65="n/a",F65="n/a",G65="n/a",H65="n/a",I65="n/a",J65="n/a"),"X","")</f>
        <v/>
      </c>
      <c r="R65" s="224"/>
    </row>
    <row r="66" customFormat="false" ht="12.75" hidden="false" customHeight="false" outlineLevel="0" collapsed="false">
      <c r="A66" s="204" t="s">
        <v>216</v>
      </c>
      <c r="B66" s="205" t="s">
        <v>216</v>
      </c>
      <c r="C66" s="190" t="n">
        <f aca="false">VLOOKUP($B66,'[1]4-Disponibilidade'!$A$8:$C$102,2,FALSE())</f>
        <v>100</v>
      </c>
      <c r="D66" s="236" t="n">
        <f aca="false">IF(AND(C66=0,E66=0),"n/a",E66/C66*100)</f>
        <v>100</v>
      </c>
      <c r="E66" s="191" t="n">
        <f aca="false">VLOOKUP($B66,'[1]4-Disponibilidade'!$A$8:$C$102,3,FALSE())</f>
        <v>100</v>
      </c>
      <c r="F66" s="192" t="n">
        <f aca="false">IF(ISNA(VLOOKUP($A66,'[1]3-Produção'!$A$9:$C$103,2,FALSE()))=TRUE(),"n/a",VLOOKUP($A66,'[1]3-Produção'!$A$9:$C$103,2,FALSE()))</f>
        <v>44.7916666666667</v>
      </c>
      <c r="G66" s="192" t="n">
        <f aca="false">IF(ISNA(VLOOKUP($A66,'[1]3-Produção'!$A$9:$C$103,3,FALSE()))=TRUE(),"n/a",VLOOKUP($A66,'[1]3-Produção'!$A$9:$C$103,3,FALSE()))</f>
        <v>49.5583333333333</v>
      </c>
      <c r="H66" s="192" t="n">
        <f aca="false">IF(OR(F66="n/a",G66="n/a"),"n/a",G66-F66)</f>
        <v>4.76666666666667</v>
      </c>
      <c r="I66" s="192" t="n">
        <f aca="false">IF(OR(G66="n/a",D66="n/a"),"n/a",D66-G66)</f>
        <v>50.4416666666667</v>
      </c>
      <c r="J66" s="193" t="n">
        <f aca="false">IF(OR(G66="n/a",G66=0,E66="n/a",E66=0),"n/a",E66-G66)</f>
        <v>50.4416666666667</v>
      </c>
      <c r="K66" s="184" t="str">
        <f aca="false">IF(OR(C66&gt;100,D66="n/a",F66="n/a",G66="n/a",H66="n/a",I66="n/a",J66="n/a"),"X","")</f>
        <v/>
      </c>
      <c r="R66" s="224"/>
    </row>
    <row r="67" customFormat="false" ht="12.75" hidden="false" customHeight="false" outlineLevel="0" collapsed="false">
      <c r="A67" s="189" t="s">
        <v>217</v>
      </c>
      <c r="B67" s="205" t="s">
        <v>218</v>
      </c>
      <c r="C67" s="190" t="n">
        <f aca="false">VLOOKUP($B67,'[1]4-Disponibilidade'!$A$8:$C$102,2,FALSE())</f>
        <v>21.0526313781738</v>
      </c>
      <c r="D67" s="236" t="n">
        <f aca="false">IF(AND(C67=0,E67=0),"n/a",E67/C67*100)</f>
        <v>57.0000005435944</v>
      </c>
      <c r="E67" s="191" t="n">
        <f aca="false">VLOOKUP($B67,'[1]4-Disponibilidade'!$A$8:$C$102,3,FALSE())</f>
        <v>12</v>
      </c>
      <c r="F67" s="192" t="n">
        <f aca="false">IF(ISNA(VLOOKUP($A67,'[1]3-Produção'!$A$9:$C$103,2,FALSE()))=TRUE(),"n/a",VLOOKUP($A67,'[1]3-Produção'!$A$9:$C$103,2,FALSE()))</f>
        <v>12</v>
      </c>
      <c r="G67" s="192" t="n">
        <f aca="false">IF(ISNA(VLOOKUP($A67,'[1]3-Produção'!$A$9:$C$103,3,FALSE()))=TRUE(),"n/a",VLOOKUP($A67,'[1]3-Produção'!$A$9:$C$103,3,FALSE()))</f>
        <v>12.025</v>
      </c>
      <c r="H67" s="192" t="n">
        <f aca="false">IF(OR(F67="n/a",G67="n/a"),"n/a",G67-F67)</f>
        <v>0.0250000000000004</v>
      </c>
      <c r="I67" s="192" t="n">
        <f aca="false">IF(OR(G67="n/a",D67="n/a"),"n/a",D67-G67)</f>
        <v>44.9750005435944</v>
      </c>
      <c r="J67" s="193" t="n">
        <f aca="false">IF(OR(G67="n/a",G67=0,E67="n/a",E67=0),"n/a",E67-G67)</f>
        <v>-0.0250000000000004</v>
      </c>
      <c r="K67" s="184" t="str">
        <f aca="false">IF(OR(C67&gt;100,D67="n/a",F67="n/a",G67="n/a",H67="n/a",I67="n/a",J67="n/a"),"X","")</f>
        <v/>
      </c>
      <c r="R67" s="224"/>
    </row>
    <row r="68" customFormat="false" ht="12.75" hidden="false" customHeight="false" outlineLevel="0" collapsed="false">
      <c r="A68" s="204" t="s">
        <v>219</v>
      </c>
      <c r="B68" s="205" t="s">
        <v>219</v>
      </c>
      <c r="C68" s="190" t="n">
        <f aca="false">VLOOKUP($B68,'[1]4-Disponibilidade'!$A$8:$C$102,2,FALSE())</f>
        <v>88.2063522338867</v>
      </c>
      <c r="D68" s="191" t="n">
        <f aca="false">IF(AND(C68=0,E68=0),"n/a",E68/C68*100)</f>
        <v>6299.99978376289</v>
      </c>
      <c r="E68" s="191" t="n">
        <f aca="false">VLOOKUP($B68,'[1]4-Disponibilidade'!$A$8:$C$102,3,FALSE())</f>
        <v>5557</v>
      </c>
      <c r="F68" s="192" t="n">
        <f aca="false">IF(ISNA(VLOOKUP($A68,'[1]3-Produção'!$A$9:$C$103,2,FALSE()))=TRUE(),"n/a",VLOOKUP($A68,'[1]3-Produção'!$A$9:$C$103,2,FALSE()))</f>
        <v>5483.33333333333</v>
      </c>
      <c r="G68" s="192" t="n">
        <f aca="false">IF(ISNA(VLOOKUP($A68,'[1]3-Produção'!$A$9:$C$103,3,FALSE()))=TRUE(),"n/a",VLOOKUP($A68,'[1]3-Produção'!$A$9:$C$103,3,FALSE()))</f>
        <v>5420.8625</v>
      </c>
      <c r="H68" s="192" t="n">
        <f aca="false">IF(OR(F68="n/a",G68="n/a"),"n/a",G68-F68)</f>
        <v>-62.4708333333329</v>
      </c>
      <c r="I68" s="192" t="n">
        <f aca="false">IF(OR(G68="n/a",D68="n/a"),"n/a",D68-G68)</f>
        <v>879.137283762894</v>
      </c>
      <c r="J68" s="193" t="n">
        <f aca="false">IF(OR(G68="n/a",G68=0,E68="n/a",E68=0),"n/a",E68-G68)</f>
        <v>136.1375</v>
      </c>
      <c r="K68" s="184" t="str">
        <f aca="false">IF(OR(C68&gt;100,D68="n/a",F68="n/a",G68="n/a",H68="n/a",I68="n/a",J68="n/a"),"X","")</f>
        <v/>
      </c>
      <c r="R68" s="224"/>
    </row>
    <row r="69" customFormat="false" ht="13.5" hidden="false" customHeight="false" outlineLevel="0" collapsed="false">
      <c r="A69" s="237" t="s">
        <v>220</v>
      </c>
      <c r="B69" s="238" t="s">
        <v>220</v>
      </c>
      <c r="C69" s="239" t="n">
        <f aca="false">VLOOKUP($B69,'[1]4-Disponibilidade'!$A$8:$C$102,2,FALSE())</f>
        <v>90.1587295532227</v>
      </c>
      <c r="D69" s="240" t="n">
        <f aca="false">IF(AND(C69=0,E69=0),"n/a",E69/C69*100)</f>
        <v>6300.0000423109</v>
      </c>
      <c r="E69" s="240" t="n">
        <f aca="false">VLOOKUP($B69,'[1]4-Disponibilidade'!$A$8:$C$102,3,FALSE())</f>
        <v>5680</v>
      </c>
      <c r="F69" s="241" t="n">
        <f aca="false">IF(ISNA(VLOOKUP($A69,'[1]3-Produção'!$A$9:$C$103,2,FALSE()))=TRUE(),"n/a",VLOOKUP($A69,'[1]3-Produção'!$A$9:$C$103,2,FALSE()))</f>
        <v>4079.16666666667</v>
      </c>
      <c r="G69" s="241" t="n">
        <f aca="false">IF(ISNA(VLOOKUP($A69,'[1]3-Produção'!$A$9:$C$103,3,FALSE()))=TRUE(),"n/a",VLOOKUP($A69,'[1]3-Produção'!$A$9:$C$103,3,FALSE()))</f>
        <v>3835.05833333333</v>
      </c>
      <c r="H69" s="241" t="n">
        <f aca="false">IF(OR(F69="n/a",G69="n/a"),"n/a",G69-F69)</f>
        <v>-244.108333333333</v>
      </c>
      <c r="I69" s="241" t="n">
        <f aca="false">IF(OR(G69="n/a",D69="n/a"),"n/a",D69-G69)</f>
        <v>2464.94170897757</v>
      </c>
      <c r="J69" s="242" t="n">
        <f aca="false">IF(OR(G69="n/a",G69=0,E69="n/a",E69=0),"n/a",E69-G69)</f>
        <v>1844.94166666667</v>
      </c>
      <c r="K69" s="184" t="str">
        <f aca="false">IF(OR(C69&gt;100,D69="n/a",F69="n/a",G69="n/a",H69="n/a",I69="n/a",J69="n/a"),"X","")</f>
        <v/>
      </c>
      <c r="R69" s="224"/>
    </row>
    <row r="70" customFormat="false" ht="13.5" hidden="false" customHeight="false" outlineLevel="0" collapsed="false">
      <c r="A70" s="243" t="s">
        <v>221</v>
      </c>
      <c r="B70" s="244"/>
      <c r="C70" s="245" t="n">
        <f aca="false">SUMPRODUCT(C5:C69,E5:E69)/E70</f>
        <v>85.6274585518223</v>
      </c>
      <c r="D70" s="246" t="n">
        <f aca="false">SUM(D5:D69)</f>
        <v>42323.4600949555</v>
      </c>
      <c r="E70" s="246" t="n">
        <f aca="false">SUM(E5:E69)</f>
        <v>35336</v>
      </c>
      <c r="F70" s="247" t="n">
        <f aca="false">SUM(F5:F69)</f>
        <v>25056.4125</v>
      </c>
      <c r="G70" s="247" t="n">
        <f aca="false">SUM(G5:G69)</f>
        <v>25883.1875</v>
      </c>
      <c r="H70" s="247" t="n">
        <f aca="false">SUM(H5:H69)</f>
        <v>826.775000000002</v>
      </c>
      <c r="I70" s="247" t="n">
        <f aca="false">SUM(I5:I69)</f>
        <v>16440.2725949555</v>
      </c>
      <c r="J70" s="248" t="n">
        <f aca="false">SUM(J5:J69)</f>
        <v>9452.8125</v>
      </c>
      <c r="K70" s="184" t="str">
        <f aca="false">IF(OR(C70&gt;100,D70="n/a",F70="n/a",G70="n/a",H70="n/a",I70="n/a",J70="n/a"),"X","")</f>
        <v/>
      </c>
      <c r="R70" s="224"/>
    </row>
    <row r="71" customFormat="false" ht="13.5" hidden="false" customHeight="false" outlineLevel="0" collapsed="false">
      <c r="A71" s="249"/>
      <c r="B71" s="249"/>
      <c r="C71" s="108"/>
      <c r="D71" s="250"/>
      <c r="E71" s="250"/>
      <c r="F71" s="251"/>
      <c r="G71" s="251"/>
      <c r="H71" s="251"/>
      <c r="I71" s="251"/>
      <c r="J71" s="251"/>
      <c r="K71" s="184" t="str">
        <f aca="false">IF(OR(C71&gt;100,D71="n/a",F71="n/a",G71="n/a",H71="n/a",I71="n/a",J71="n/a"),"X","")</f>
        <v/>
      </c>
      <c r="R71" s="224"/>
    </row>
    <row r="72" customFormat="false" ht="12.75" hidden="false" customHeight="false" outlineLevel="0" collapsed="false">
      <c r="A72" s="252" t="s">
        <v>222</v>
      </c>
      <c r="B72" s="253" t="s">
        <v>222</v>
      </c>
      <c r="C72" s="254" t="n">
        <f aca="false">VLOOKUP($B72,'[1]4-Disponibilidade'!$A$8:$C$102,2,FALSE())</f>
        <v>106.583076477051</v>
      </c>
      <c r="D72" s="255" t="n">
        <f aca="false">IF(AND(C72=0,E72=0),"n/a",E72/C72*100)</f>
        <v>31.8999986900555</v>
      </c>
      <c r="E72" s="255" t="n">
        <f aca="false">VLOOKUP($B72,'[1]4-Disponibilidade'!$A$8:$C$102,3,FALSE())</f>
        <v>34</v>
      </c>
      <c r="F72" s="256" t="n">
        <f aca="false">IF(ISNA(VLOOKUP($A72,'[1]4-Disponibilidade'!$A$8:$C$102,2,FALSE()))=TRUE(),"n/a",VLOOKUP($A72,'[1]4-Disponibilidade'!$A$8:$C$102,2,FALSE()))</f>
        <v>106.583076477051</v>
      </c>
      <c r="G72" s="256" t="n">
        <f aca="false">IF(ISNA(VLOOKUP($A72,'[1]3-Produção'!$A$9:$C$103,3,FALSE()))=TRUE(),"n/a",VLOOKUP($A72,'[1]3-Produção'!$A$9:$C$103,3,FALSE()))</f>
        <v>33.85</v>
      </c>
      <c r="H72" s="256" t="n">
        <f aca="false">IF(OR(F72="n/a",G72="n/a"),"n/a",G72-F72)</f>
        <v>-72.7330764770508</v>
      </c>
      <c r="I72" s="256" t="n">
        <f aca="false">IF(OR(G72="n/a",D72="n/a"),"n/a",D72-G72)</f>
        <v>-1.95000130994455</v>
      </c>
      <c r="J72" s="257" t="n">
        <f aca="false">IF(OR(G72="n/a",G72=0,E72="n/a",E72=0),"n/a",E72-G72)</f>
        <v>0.149999999999999</v>
      </c>
      <c r="K72" s="184" t="str">
        <f aca="false">IF(OR(C72&gt;100,D72="n/a",F72="n/a",G72="n/a",H72="n/a",I72="n/a",J72="n/a"),"X","")</f>
        <v>X</v>
      </c>
      <c r="L72" s="258"/>
      <c r="M72" s="258"/>
      <c r="N72" s="3"/>
      <c r="O72" s="3"/>
      <c r="P72" s="3"/>
      <c r="R72" s="224"/>
    </row>
    <row r="73" customFormat="false" ht="12.75" hidden="false" customHeight="false" outlineLevel="0" collapsed="false">
      <c r="A73" s="194" t="s">
        <v>223</v>
      </c>
      <c r="B73" s="253" t="s">
        <v>223</v>
      </c>
      <c r="C73" s="259" t="n">
        <f aca="false">VLOOKUP($B73,'[1]4-Disponibilidade'!$A$8:$C$102,2,FALSE())</f>
        <v>79.5454559326172</v>
      </c>
      <c r="D73" s="234" t="n">
        <f aca="false">IF(AND(C73=0,E73=0),"n/a",E73/C73*100)</f>
        <v>43.9999992327009</v>
      </c>
      <c r="E73" s="234" t="n">
        <f aca="false">VLOOKUP($B73,'[1]4-Disponibilidade'!$A$8:$C$102,3,FALSE())</f>
        <v>35</v>
      </c>
      <c r="F73" s="198" t="n">
        <f aca="false">IF(ISNA(VLOOKUP($A73,'[1]4-Disponibilidade'!$A$8:$C$102,2,FALSE()))=TRUE(),"n/a",VLOOKUP($A73,'[1]4-Disponibilidade'!$A$8:$C$102,2,FALSE()))</f>
        <v>79.5454559326172</v>
      </c>
      <c r="G73" s="198" t="n">
        <f aca="false">IF(ISNA(VLOOKUP($A73,'[1]3-Produção'!$A$9:$C$103,3,FALSE()))=TRUE(),"n/a",VLOOKUP($A73,'[1]3-Produção'!$A$9:$C$103,3,FALSE()))</f>
        <v>15.6583333333333</v>
      </c>
      <c r="H73" s="198" t="n">
        <f aca="false">IF(OR(F73="n/a",G73="n/a"),"n/a",G73-F73)</f>
        <v>-63.8871225992839</v>
      </c>
      <c r="I73" s="198" t="n">
        <f aca="false">IF(OR(G73="n/a",D73="n/a"),"n/a",D73-G73)</f>
        <v>28.3416658993676</v>
      </c>
      <c r="J73" s="260" t="n">
        <f aca="false">IF(OR(G73="n/a",G73=0,E73="n/a",E73=0),"n/a",E73-G73)</f>
        <v>19.3416666666667</v>
      </c>
      <c r="K73" s="184" t="str">
        <f aca="false">IF(OR(C73&gt;100,D73="n/a",F73="n/a",G73="n/a",H73="n/a",I73="n/a",J73="n/a"),"X","")</f>
        <v/>
      </c>
      <c r="L73" s="258"/>
      <c r="M73" s="258"/>
      <c r="N73" s="3"/>
      <c r="O73" s="3"/>
      <c r="P73" s="3"/>
      <c r="R73" s="224"/>
    </row>
    <row r="74" customFormat="false" ht="12.75" hidden="false" customHeight="false" outlineLevel="0" collapsed="false">
      <c r="A74" s="194" t="s">
        <v>224</v>
      </c>
      <c r="B74" s="253" t="s">
        <v>224</v>
      </c>
      <c r="C74" s="259" t="n">
        <f aca="false">VLOOKUP($B74,'[1]4-Disponibilidade'!$A$8:$C$102,2,FALSE())</f>
        <v>100</v>
      </c>
      <c r="D74" s="234" t="n">
        <f aca="false">IF(AND(C74=0,E74=0),"n/a",E74/C74*100)</f>
        <v>500</v>
      </c>
      <c r="E74" s="234" t="n">
        <f aca="false">VLOOKUP($B74,'[1]4-Disponibilidade'!$A$8:$C$102,3,FALSE())</f>
        <v>500</v>
      </c>
      <c r="F74" s="198" t="n">
        <f aca="false">IF(ISNA(VLOOKUP($A74,'[1]4-Disponibilidade'!$A$8:$C$102,2,FALSE()))=TRUE(),"n/a",VLOOKUP($A74,'[1]4-Disponibilidade'!$A$8:$C$102,2,FALSE()))</f>
        <v>100</v>
      </c>
      <c r="G74" s="198" t="n">
        <f aca="false">IF(ISNA(VLOOKUP($A74,'[1]3-Produção'!$A$9:$C$103,3,FALSE()))=TRUE(),"n/a",VLOOKUP($A74,'[1]3-Produção'!$A$9:$C$103,3,FALSE()))</f>
        <v>402.0875</v>
      </c>
      <c r="H74" s="198" t="n">
        <f aca="false">IF(OR(F74="n/a",G74="n/a"),"n/a",G74-F74)</f>
        <v>302.0875</v>
      </c>
      <c r="I74" s="198" t="n">
        <f aca="false">IF(OR(G74="n/a",D74="n/a"),"n/a",D74-G74)</f>
        <v>97.9125</v>
      </c>
      <c r="J74" s="260" t="n">
        <f aca="false">IF(OR(G74="n/a",G74=0,E74="n/a",E74=0),"n/a",E74-G74)</f>
        <v>97.9125</v>
      </c>
      <c r="K74" s="184" t="str">
        <f aca="false">IF(OR(C74&gt;100,D74="n/a",F74="n/a",G74="n/a",H74="n/a",I74="n/a",J74="n/a"),"X","")</f>
        <v/>
      </c>
      <c r="L74" s="258"/>
      <c r="M74" s="258"/>
      <c r="N74" s="3"/>
      <c r="O74" s="3"/>
      <c r="P74" s="3"/>
      <c r="R74" s="224"/>
    </row>
    <row r="75" customFormat="false" ht="12.75" hidden="false" customHeight="false" outlineLevel="0" collapsed="false">
      <c r="A75" s="261" t="s">
        <v>225</v>
      </c>
      <c r="B75" s="262" t="s">
        <v>225</v>
      </c>
      <c r="C75" s="259" t="n">
        <f aca="false">VLOOKUP($B75,'[1]4-Disponibilidade'!$A$8:$C$102,2,FALSE())</f>
        <v>100</v>
      </c>
      <c r="D75" s="234" t="n">
        <f aca="false">IF(AND(C75=0,E75=0),"n/a",E75/C75*100)</f>
        <v>180</v>
      </c>
      <c r="E75" s="234" t="n">
        <f aca="false">VLOOKUP($B75,'[1]4-Disponibilidade'!$A$8:$C$102,3,FALSE())</f>
        <v>180</v>
      </c>
      <c r="F75" s="198" t="n">
        <f aca="false">IF(ISNA(VLOOKUP($A75,'[1]4-Disponibilidade'!$A$8:$C$102,2,FALSE()))=TRUE(),"n/a",VLOOKUP($A75,'[1]4-Disponibilidade'!$A$8:$C$102,2,FALSE()))</f>
        <v>100</v>
      </c>
      <c r="G75" s="198" t="n">
        <f aca="false">IF(ISNA(VLOOKUP($A75,'[1]3-Produção'!$A$9:$C$103,3,FALSE()))=TRUE(),"n/a",VLOOKUP($A75,'[1]3-Produção'!$A$9:$C$103,3,FALSE()))</f>
        <v>175.541666666667</v>
      </c>
      <c r="H75" s="198" t="n">
        <f aca="false">IF(OR(F75="n/a",G75="n/a"),"n/a",G75-F75)</f>
        <v>75.5416666666667</v>
      </c>
      <c r="I75" s="198" t="n">
        <f aca="false">IF(OR(G75="n/a",D75="n/a"),"n/a",D75-G75)</f>
        <v>4.45833333333334</v>
      </c>
      <c r="J75" s="260" t="n">
        <f aca="false">IF(OR(G75="n/a",G75=0,E75="n/a",E75=0),"n/a",E75-G75)</f>
        <v>4.45833333333334</v>
      </c>
      <c r="K75" s="184" t="str">
        <f aca="false">IF(OR(C75&gt;100,D75="n/a",F75="n/a",G75="n/a",H75="n/a",I75="n/a",J75="n/a"),"X","")</f>
        <v/>
      </c>
      <c r="L75" s="258"/>
      <c r="M75" s="258"/>
      <c r="N75" s="3"/>
      <c r="O75" s="3"/>
      <c r="P75" s="3"/>
      <c r="R75" s="224"/>
    </row>
    <row r="76" customFormat="false" ht="12.75" hidden="false" customHeight="false" outlineLevel="0" collapsed="false">
      <c r="A76" s="194" t="s">
        <v>226</v>
      </c>
      <c r="B76" s="253" t="s">
        <v>226</v>
      </c>
      <c r="C76" s="259" t="n">
        <f aca="false">VLOOKUP($B76,'[1]4-Disponibilidade'!$A$8:$C$102,2,FALSE())</f>
        <v>100</v>
      </c>
      <c r="D76" s="234" t="n">
        <f aca="false">IF(AND(C76=0,E76=0),"n/a",E76/C76*100)</f>
        <v>155</v>
      </c>
      <c r="E76" s="234" t="n">
        <f aca="false">VLOOKUP($B76,'[1]4-Disponibilidade'!$A$8:$C$102,3,FALSE())</f>
        <v>155</v>
      </c>
      <c r="F76" s="198" t="n">
        <f aca="false">IF(ISNA(VLOOKUP($A76,'[1]4-Disponibilidade'!$A$8:$C$102,2,FALSE()))=TRUE(),"n/a",VLOOKUP($A76,'[1]4-Disponibilidade'!$A$8:$C$102,2,FALSE()))</f>
        <v>100</v>
      </c>
      <c r="G76" s="198" t="n">
        <f aca="false">IF(ISNA(VLOOKUP($A76,'[1]3-Produção'!$A$9:$C$103,3,FALSE()))=TRUE(),"n/a",VLOOKUP($A76,'[1]3-Produção'!$A$9:$C$103,3,FALSE()))</f>
        <v>151.391666666667</v>
      </c>
      <c r="H76" s="198" t="n">
        <f aca="false">IF(OR(F76="n/a",G76="n/a"),"n/a",G76-F76)</f>
        <v>51.3916666666667</v>
      </c>
      <c r="I76" s="198" t="n">
        <f aca="false">IF(OR(G76="n/a",D76="n/a"),"n/a",D76-G76)</f>
        <v>3.60833333333332</v>
      </c>
      <c r="J76" s="260" t="n">
        <f aca="false">IF(OR(G76="n/a",G76=0,E76="n/a",E76=0),"n/a",E76-G76)</f>
        <v>3.60833333333332</v>
      </c>
      <c r="K76" s="184" t="str">
        <f aca="false">IF(OR(C76&gt;100,D76="n/a",F76="n/a",G76="n/a",H76="n/a",I76="n/a",J76="n/a"),"X","")</f>
        <v/>
      </c>
      <c r="L76" s="258"/>
      <c r="M76" s="258"/>
      <c r="N76" s="3"/>
      <c r="O76" s="3"/>
      <c r="P76" s="3"/>
      <c r="R76" s="224"/>
    </row>
    <row r="77" customFormat="false" ht="12.75" hidden="false" customHeight="false" outlineLevel="0" collapsed="false">
      <c r="A77" s="194" t="s">
        <v>227</v>
      </c>
      <c r="B77" s="253" t="s">
        <v>227</v>
      </c>
      <c r="C77" s="259" t="n">
        <f aca="false">VLOOKUP($B77,'[1]4-Disponibilidade'!$A$8:$C$102,2,FALSE())</f>
        <v>99.8209991455078</v>
      </c>
      <c r="D77" s="234" t="n">
        <f aca="false">IF(AND(C77=0,E77=0),"n/a",E77/C77*100)</f>
        <v>1676.0000544187</v>
      </c>
      <c r="E77" s="234" t="n">
        <f aca="false">VLOOKUP($B77,'[1]4-Disponibilidade'!$A$8:$C$102,3,FALSE())</f>
        <v>1673</v>
      </c>
      <c r="F77" s="198" t="n">
        <f aca="false">IF(ISNA(VLOOKUP($A77,'[1]4-Disponibilidade'!$A$8:$C$102,2,FALSE()))=TRUE(),"n/a",VLOOKUP($A77,'[1]4-Disponibilidade'!$A$8:$C$102,2,FALSE()))</f>
        <v>99.8209991455078</v>
      </c>
      <c r="G77" s="198" t="n">
        <f aca="false">IF(ISNA(VLOOKUP($A77,'[1]3-Produção'!$A$9:$C$103,3,FALSE()))=TRUE(),"n/a",VLOOKUP($A77,'[1]3-Produção'!$A$9:$C$103,3,FALSE()))</f>
        <v>1202.00833333333</v>
      </c>
      <c r="H77" s="198" t="n">
        <f aca="false">IF(OR(F77="n/a",G77="n/a"),"n/a",G77-F77)</f>
        <v>1102.18733418783</v>
      </c>
      <c r="I77" s="198" t="n">
        <f aca="false">IF(OR(G77="n/a",D77="n/a"),"n/a",D77-G77)</f>
        <v>473.991721085365</v>
      </c>
      <c r="J77" s="260" t="n">
        <f aca="false">IF(OR(G77="n/a",G77=0,E77="n/a",E77=0),"n/a",E77-G77)</f>
        <v>470.991666666666</v>
      </c>
      <c r="K77" s="184" t="str">
        <f aca="false">IF(OR(C77&gt;100,D77="n/a",F77="n/a",G77="n/a",H77="n/a",I77="n/a",J77="n/a"),"X","")</f>
        <v/>
      </c>
      <c r="L77" s="258"/>
      <c r="M77" s="258"/>
      <c r="N77" s="3"/>
      <c r="O77" s="3"/>
      <c r="P77" s="3"/>
      <c r="R77" s="224"/>
    </row>
    <row r="78" customFormat="false" ht="12.75" hidden="false" customHeight="false" outlineLevel="0" collapsed="false">
      <c r="A78" s="261" t="s">
        <v>228</v>
      </c>
      <c r="B78" s="262" t="s">
        <v>228</v>
      </c>
      <c r="C78" s="259" t="n">
        <f aca="false">VLOOKUP($B78,'[1]4-Disponibilidade'!$A$8:$C$102,2,FALSE())</f>
        <v>100</v>
      </c>
      <c r="D78" s="234" t="n">
        <f aca="false">IF(AND(C78=0,E78=0),"n/a",E78/C78*100)</f>
        <v>260</v>
      </c>
      <c r="E78" s="234" t="n">
        <f aca="false">VLOOKUP($B78,'[1]4-Disponibilidade'!$A$8:$C$102,3,FALSE())</f>
        <v>260</v>
      </c>
      <c r="F78" s="198" t="n">
        <f aca="false">IF(ISNA(VLOOKUP($A78,'[1]4-Disponibilidade'!$A$8:$C$102,2,FALSE()))=TRUE(),"n/a",VLOOKUP($A78,'[1]4-Disponibilidade'!$A$8:$C$102,2,FALSE()))</f>
        <v>100</v>
      </c>
      <c r="G78" s="198" t="n">
        <f aca="false">IF(ISNA(VLOOKUP($A78,'[1]3-Produção'!$A$9:$C$103,3,FALSE()))=TRUE(),"n/a",VLOOKUP($A78,'[1]3-Produção'!$A$9:$C$103,3,FALSE()))</f>
        <v>165.220833333333</v>
      </c>
      <c r="H78" s="198" t="n">
        <f aca="false">IF(OR(F78="n/a",G78="n/a"),"n/a",G78-F78)</f>
        <v>65.2208333333333</v>
      </c>
      <c r="I78" s="198" t="n">
        <f aca="false">IF(OR(G78="n/a",D78="n/a"),"n/a",D78-G78)</f>
        <v>94.7791666666667</v>
      </c>
      <c r="J78" s="260" t="n">
        <f aca="false">IF(OR(G78="n/a",G78=0,E78="n/a",E78=0),"n/a",E78-G78)</f>
        <v>94.7791666666667</v>
      </c>
      <c r="K78" s="184" t="str">
        <f aca="false">IF(OR(C78&gt;100,D78="n/a",F78="n/a",G78="n/a",H78="n/a",I78="n/a",J78="n/a"),"X","")</f>
        <v/>
      </c>
      <c r="L78" s="258"/>
      <c r="M78" s="258"/>
      <c r="N78" s="3"/>
      <c r="O78" s="3"/>
      <c r="P78" s="3"/>
      <c r="R78" s="224"/>
    </row>
    <row r="79" customFormat="false" ht="12.75" hidden="false" customHeight="false" outlineLevel="0" collapsed="false">
      <c r="A79" s="194" t="s">
        <v>229</v>
      </c>
      <c r="B79" s="262" t="s">
        <v>229</v>
      </c>
      <c r="C79" s="263" t="n">
        <f aca="false">VLOOKUP($B79,'[1]4-Disponibilidade'!$A$8:$C$102,2,FALSE())</f>
        <v>0</v>
      </c>
      <c r="D79" s="264" t="str">
        <f aca="false">IF(OR(C79=0,E79=0),"n/a",E79/C79*100)</f>
        <v>n/a</v>
      </c>
      <c r="E79" s="234" t="n">
        <f aca="false">VLOOKUP($B79,'[1]4-Disponibilidade'!$A$8:$C$102,3,FALSE())</f>
        <v>101</v>
      </c>
      <c r="F79" s="198" t="n">
        <f aca="false">IF(ISNA(VLOOKUP($B79,'[1]4-Disponibilidade'!$A$8:$C$102,2,FALSE()))=TRUE(),"n/a",VLOOKUP($B79,'[1]4-Disponibilidade'!$A$8:$C$102,2,FALSE()))</f>
        <v>0</v>
      </c>
      <c r="G79" s="198" t="n">
        <f aca="false">IF(ISNA(VLOOKUP($A79,'[1]3-Produção'!$A$9:$C$103,3,FALSE()))=TRUE(),"n/a",VLOOKUP($A79,'[1]3-Produção'!$A$9:$C$103,3,FALSE()))</f>
        <v>55.7416666666667</v>
      </c>
      <c r="H79" s="198" t="n">
        <f aca="false">IF(OR(F79="n/a",G79="n/a"),"n/a",G79-F79)</f>
        <v>55.7416666666667</v>
      </c>
      <c r="I79" s="198" t="str">
        <f aca="false">IF(OR(G79="n/a",D79="n/a"),"n/a",D79-G79)</f>
        <v>n/a</v>
      </c>
      <c r="J79" s="260" t="n">
        <f aca="false">IF(OR(G79="n/a",G79=0,E79="n/a",E79=0),"n/a",E79-G79)</f>
        <v>45.2583333333333</v>
      </c>
      <c r="K79" s="184" t="str">
        <f aca="false">IF(OR(C79&gt;100,D79="n/a",F79="n/a",G79="n/a",H79="n/a",I79="n/a",J79="n/a"),"X","")</f>
        <v>X</v>
      </c>
      <c r="L79" s="258"/>
      <c r="M79" s="258"/>
      <c r="N79" s="3"/>
      <c r="O79" s="3"/>
      <c r="P79" s="3"/>
      <c r="R79" s="224"/>
    </row>
    <row r="80" customFormat="false" ht="12.75" hidden="false" customHeight="false" outlineLevel="0" collapsed="false">
      <c r="A80" s="194" t="s">
        <v>230</v>
      </c>
      <c r="B80" s="253" t="s">
        <v>230</v>
      </c>
      <c r="C80" s="259" t="n">
        <f aca="false">VLOOKUP($B80,'[1]4-Disponibilidade'!$A$8:$C$102,2,FALSE())</f>
        <v>100</v>
      </c>
      <c r="D80" s="234" t="n">
        <f aca="false">IF(AND(C80=0,E80=0),"n/a",E80/C80*100)</f>
        <v>1240</v>
      </c>
      <c r="E80" s="234" t="n">
        <f aca="false">VLOOKUP($B80,'[1]4-Disponibilidade'!$A$8:$C$102,3,FALSE())</f>
        <v>1240</v>
      </c>
      <c r="F80" s="198" t="n">
        <f aca="false">IF(ISNA(VLOOKUP($A80,'[1]4-Disponibilidade'!$A$8:$C$102,2,FALSE()))=TRUE(),"n/a",VLOOKUP($A80,'[1]4-Disponibilidade'!$A$8:$C$102,2,FALSE()))</f>
        <v>100</v>
      </c>
      <c r="G80" s="198" t="n">
        <f aca="false">IF(ISNA(VLOOKUP($A80,'[1]3-Produção'!$A$9:$C$103,3,FALSE()))=TRUE(),"n/a",VLOOKUP($A80,'[1]3-Produção'!$A$9:$C$103,3,FALSE()))</f>
        <v>1058.03333333333</v>
      </c>
      <c r="H80" s="198" t="n">
        <f aca="false">IF(OR(F80="n/a",G80="n/a"),"n/a",G80-F80)</f>
        <v>958.033333333334</v>
      </c>
      <c r="I80" s="198" t="n">
        <f aca="false">IF(OR(G80="n/a",D80="n/a"),"n/a",D80-G80)</f>
        <v>181.966666666666</v>
      </c>
      <c r="J80" s="260" t="n">
        <f aca="false">IF(OR(G80="n/a",G80=0,E80="n/a",E80=0),"n/a",E80-G80)</f>
        <v>181.966666666666</v>
      </c>
      <c r="K80" s="184" t="str">
        <f aca="false">IF(OR(C80&gt;100,D80="n/a",F80="n/a",G80="n/a",H80="n/a",I80="n/a",J80="n/a"),"X","")</f>
        <v/>
      </c>
      <c r="L80" s="258"/>
      <c r="M80" s="258"/>
      <c r="N80" s="3"/>
      <c r="O80" s="3"/>
      <c r="P80" s="3"/>
      <c r="R80" s="224"/>
    </row>
    <row r="81" customFormat="false" ht="12.75" hidden="false" customHeight="false" outlineLevel="0" collapsed="false">
      <c r="A81" s="194" t="s">
        <v>231</v>
      </c>
      <c r="B81" s="253" t="s">
        <v>231</v>
      </c>
      <c r="C81" s="259" t="n">
        <f aca="false">VLOOKUP($B81,'[1]4-Disponibilidade'!$A$8:$C$102,2,FALSE())</f>
        <v>87.6984100341797</v>
      </c>
      <c r="D81" s="234" t="n">
        <f aca="false">IF(AND(C81=0,E81=0),"n/a",E81/C81*100)</f>
        <v>1260.00003827816</v>
      </c>
      <c r="E81" s="234" t="n">
        <f aca="false">VLOOKUP($B81,'[1]4-Disponibilidade'!$A$8:$C$102,3,FALSE())</f>
        <v>1105</v>
      </c>
      <c r="F81" s="198" t="n">
        <f aca="false">IF(ISNA(VLOOKUP($A81,'[1]4-Disponibilidade'!$A$8:$C$102,2,FALSE()))=TRUE(),"n/a",VLOOKUP($A81,'[1]4-Disponibilidade'!$A$8:$C$102,2,FALSE()))</f>
        <v>87.6984100341797</v>
      </c>
      <c r="G81" s="198" t="n">
        <f aca="false">IF(ISNA(VLOOKUP($A81,'[1]3-Produção'!$A$9:$C$103,3,FALSE()))=TRUE(),"n/a",VLOOKUP($A81,'[1]3-Produção'!$A$9:$C$103,3,FALSE()))</f>
        <v>928.225</v>
      </c>
      <c r="H81" s="198" t="n">
        <f aca="false">IF(OR(F81="n/a",G81="n/a"),"n/a",G81-F81)</f>
        <v>840.52658996582</v>
      </c>
      <c r="I81" s="198" t="n">
        <f aca="false">IF(OR(G81="n/a",D81="n/a"),"n/a",D81-G81)</f>
        <v>331.775038278158</v>
      </c>
      <c r="J81" s="260" t="n">
        <f aca="false">IF(OR(G81="n/a",G81=0,E81="n/a",E81=0),"n/a",E81-G81)</f>
        <v>176.775</v>
      </c>
      <c r="K81" s="184" t="str">
        <f aca="false">IF(OR(C81&gt;100,D81="n/a",F81="n/a",G81="n/a",H81="n/a",I81="n/a",J81="n/a"),"X","")</f>
        <v/>
      </c>
      <c r="L81" s="258"/>
      <c r="M81" s="258"/>
      <c r="N81" s="3"/>
      <c r="O81" s="3"/>
      <c r="P81" s="3"/>
      <c r="R81" s="224"/>
    </row>
    <row r="82" customFormat="false" ht="12.75" hidden="false" customHeight="false" outlineLevel="0" collapsed="false">
      <c r="A82" s="194" t="s">
        <v>232</v>
      </c>
      <c r="B82" s="265" t="s">
        <v>232</v>
      </c>
      <c r="C82" s="263" t="n">
        <f aca="false">VLOOKUP($B82,'[1]4-Disponibilidade'!$A$8:$C$102,2,FALSE())</f>
        <v>101.37931060791</v>
      </c>
      <c r="D82" s="264" t="n">
        <f aca="false">IF(OR(C82=0,E82=0),"n/a",E82/C82*100)</f>
        <v>1159.99999698976</v>
      </c>
      <c r="E82" s="234" t="n">
        <f aca="false">VLOOKUP($B82,'[1]4-Disponibilidade'!$A$8:$C$102,3,FALSE())</f>
        <v>1176</v>
      </c>
      <c r="F82" s="198" t="n">
        <f aca="false">IF(ISNA(VLOOKUP($A82,'[1]4-Disponibilidade'!$A$8:$C$102,2,FALSE()))=TRUE(),"n/a",VLOOKUP($A82,'[1]4-Disponibilidade'!$A$8:$C$102,2,FALSE()))</f>
        <v>101.37931060791</v>
      </c>
      <c r="G82" s="198" t="n">
        <f aca="false">IF(ISNA(VLOOKUP($A82,'[1]3-Produção'!$A$9:$C$103,3,FALSE()))=TRUE(),"n/a",VLOOKUP($A82,'[1]3-Produção'!$A$9:$C$103,3,FALSE()))</f>
        <v>1155.2</v>
      </c>
      <c r="H82" s="198" t="n">
        <f aca="false">IF(OR(F82="n/a",G82="n/a"),"n/a",G82-F82)</f>
        <v>1053.82068939209</v>
      </c>
      <c r="I82" s="198" t="n">
        <f aca="false">IF(OR(G82="n/a",D82="n/a"),"n/a",D82-G82)</f>
        <v>4.7999969897628</v>
      </c>
      <c r="J82" s="260" t="n">
        <f aca="false">IF(OR(G82="n/a",G82=0,E82="n/a",E82=0),"n/a",E82-G82)</f>
        <v>20.8</v>
      </c>
      <c r="K82" s="184" t="str">
        <f aca="false">IF(OR(C82&gt;100,D82="n/a",F82="n/a",G82="n/a",H82="n/a",I82="n/a",J82="n/a"),"X","")</f>
        <v>X</v>
      </c>
      <c r="R82" s="224"/>
    </row>
    <row r="83" customFormat="false" ht="12.75" hidden="false" customHeight="false" outlineLevel="0" collapsed="false">
      <c r="A83" s="194" t="s">
        <v>233</v>
      </c>
      <c r="B83" s="253" t="s">
        <v>233</v>
      </c>
      <c r="C83" s="259" t="n">
        <f aca="false">VLOOKUP($B83,'[1]4-Disponibilidade'!$A$8:$C$102,2,FALSE())</f>
        <v>100</v>
      </c>
      <c r="D83" s="234" t="n">
        <f aca="false">IF(AND(C83=0,E83=0),"n/a",E83/C83*100)</f>
        <v>226</v>
      </c>
      <c r="E83" s="234" t="n">
        <f aca="false">VLOOKUP($B83,'[1]4-Disponibilidade'!$A$8:$C$102,3,FALSE())</f>
        <v>226</v>
      </c>
      <c r="F83" s="198" t="n">
        <f aca="false">IF(ISNA(VLOOKUP($A83,'[1]4-Disponibilidade'!$A$8:$C$102,2,FALSE()))=TRUE(),"n/a",VLOOKUP($A83,'[1]4-Disponibilidade'!$A$8:$C$102,2,FALSE()))</f>
        <v>100</v>
      </c>
      <c r="G83" s="198" t="n">
        <f aca="false">IF(ISNA(VLOOKUP($A83,'[1]3-Produção'!$A$9:$C$103,3,FALSE()))=TRUE(),"n/a",VLOOKUP($A83,'[1]3-Produção'!$A$9:$C$103,3,FALSE()))</f>
        <v>101.591666666667</v>
      </c>
      <c r="H83" s="198" t="n">
        <f aca="false">IF(OR(F83="n/a",G83="n/a"),"n/a",G83-F83)</f>
        <v>1.59166666666668</v>
      </c>
      <c r="I83" s="198" t="n">
        <f aca="false">IF(OR(G83="n/a",D83="n/a"),"n/a",D83-G83)</f>
        <v>124.408333333333</v>
      </c>
      <c r="J83" s="260" t="n">
        <f aca="false">IF(OR(G83="n/a",G83=0,E83="n/a",E83=0),"n/a",E83-G83)</f>
        <v>124.408333333333</v>
      </c>
      <c r="K83" s="184" t="str">
        <f aca="false">IF(OR(C83&gt;100,D83="n/a",F83="n/a",G83="n/a",H83="n/a",I83="n/a",J83="n/a"),"X","")</f>
        <v/>
      </c>
      <c r="R83" s="224"/>
    </row>
    <row r="84" customFormat="false" ht="12.75" hidden="false" customHeight="false" outlineLevel="0" collapsed="false">
      <c r="A84" s="194" t="s">
        <v>234</v>
      </c>
      <c r="B84" s="265" t="s">
        <v>235</v>
      </c>
      <c r="C84" s="259" t="n">
        <f aca="false">VLOOKUP($B84,'[1]4-Disponibilidade'!$A$8:$C$102,2,FALSE())</f>
        <v>76.0589294433594</v>
      </c>
      <c r="D84" s="234" t="n">
        <f aca="false">IF(AND(C84=0,E84=0),"n/a",E84/C84*100)</f>
        <v>1086.00003450629</v>
      </c>
      <c r="E84" s="234" t="n">
        <f aca="false">VLOOKUP($B84,'[1]4-Disponibilidade'!$A$8:$C$102,3,FALSE())</f>
        <v>826</v>
      </c>
      <c r="F84" s="198" t="n">
        <f aca="false">IF(ISNA(VLOOKUP($B84,'[1]4-Disponibilidade'!$A$8:$C$102,2,FALSE()))=TRUE(),"n/a",VLOOKUP($B84,'[1]4-Disponibilidade'!$A$8:$C$102,2,FALSE()))</f>
        <v>76.0589294433594</v>
      </c>
      <c r="G84" s="198" t="n">
        <f aca="false">IF(ISNA(VLOOKUP($A84,'[1]3-Produção'!$A$9:$C$103,3,FALSE()))=TRUE(),"n/a",VLOOKUP($A84,'[1]3-Produção'!$A$9:$C$103,3,FALSE()))</f>
        <v>665.158333333333</v>
      </c>
      <c r="H84" s="198" t="n">
        <f aca="false">IF(OR(F84="n/a",G84="n/a"),"n/a",G84-F84)</f>
        <v>589.099403889974</v>
      </c>
      <c r="I84" s="198" t="n">
        <f aca="false">IF(OR(G84="n/a",D84="n/a"),"n/a",D84-G84)</f>
        <v>420.84170117296</v>
      </c>
      <c r="J84" s="260" t="n">
        <f aca="false">IF(OR(G84="n/a",G84=0,E84="n/a",E84=0),"n/a",E84-G84)</f>
        <v>160.841666666667</v>
      </c>
      <c r="K84" s="184" t="str">
        <f aca="false">IF(OR(C84&gt;100,D84="n/a",F84="n/a",G84="n/a",H84="n/a",I84="n/a",J84="n/a"),"X","")</f>
        <v/>
      </c>
      <c r="R84" s="224"/>
    </row>
    <row r="85" customFormat="false" ht="12.75" hidden="false" customHeight="false" outlineLevel="0" collapsed="false">
      <c r="A85" s="194" t="s">
        <v>236</v>
      </c>
      <c r="B85" s="253" t="s">
        <v>236</v>
      </c>
      <c r="C85" s="259" t="n">
        <f aca="false">VLOOKUP($B85,'[1]4-Disponibilidade'!$A$8:$C$102,2,FALSE())</f>
        <v>100</v>
      </c>
      <c r="D85" s="234" t="n">
        <f aca="false">IF(AND(C85=0,E85=0),"n/a",E85/C85*100)</f>
        <v>1420</v>
      </c>
      <c r="E85" s="234" t="n">
        <f aca="false">VLOOKUP($B85,'[1]4-Disponibilidade'!$A$8:$C$102,3,FALSE())</f>
        <v>1420</v>
      </c>
      <c r="F85" s="198" t="n">
        <f aca="false">IF(ISNA(VLOOKUP($A85,'[1]4-Disponibilidade'!$A$8:$C$102,2,FALSE()))=TRUE(),"n/a",VLOOKUP($A85,'[1]4-Disponibilidade'!$A$8:$C$102,2,FALSE()))</f>
        <v>100</v>
      </c>
      <c r="G85" s="198" t="n">
        <f aca="false">IF(ISNA(VLOOKUP($A85,'[1]3-Produção'!$A$9:$C$103,3,FALSE()))=TRUE(),"n/a",VLOOKUP($A85,'[1]3-Produção'!$A$9:$C$103,3,FALSE()))</f>
        <v>967.541666666667</v>
      </c>
      <c r="H85" s="198" t="n">
        <f aca="false">IF(OR(F85="n/a",G85="n/a"),"n/a",G85-F85)</f>
        <v>867.541666666667</v>
      </c>
      <c r="I85" s="198" t="n">
        <f aca="false">IF(OR(G85="n/a",D85="n/a"),"n/a",D85-G85)</f>
        <v>452.458333333334</v>
      </c>
      <c r="J85" s="260" t="n">
        <f aca="false">IF(OR(G85="n/a",G85=0,E85="n/a",E85=0),"n/a",E85-G85)</f>
        <v>452.458333333334</v>
      </c>
      <c r="K85" s="184" t="str">
        <f aca="false">IF(OR(C85&gt;100,D85="n/a",F85="n/a",G85="n/a",H85="n/a",I85="n/a",J85="n/a"),"X","")</f>
        <v/>
      </c>
    </row>
    <row r="86" customFormat="false" ht="12.75" hidden="false" customHeight="false" outlineLevel="0" collapsed="false">
      <c r="A86" s="194" t="s">
        <v>237</v>
      </c>
      <c r="B86" s="265" t="s">
        <v>238</v>
      </c>
      <c r="C86" s="259" t="n">
        <f aca="false">VLOOKUP($B86,'[1]4-Disponibilidade'!$A$8:$C$102,2,FALSE())</f>
        <v>90.0621109008789</v>
      </c>
      <c r="D86" s="264" t="n">
        <f aca="false">IF(AND(C86=0,E86=0),"n/a",E86/C86*100)</f>
        <v>32.2000003219078</v>
      </c>
      <c r="E86" s="234" t="n">
        <f aca="false">VLOOKUP($B86,'[1]4-Disponibilidade'!$A$8:$C$102,3,FALSE())</f>
        <v>29</v>
      </c>
      <c r="F86" s="198" t="n">
        <f aca="false">IF(ISNA(VLOOKUP($B86,'[1]4-Disponibilidade'!$A$8:$C$102,2,FALSE()))=TRUE(),"n/a",VLOOKUP($B86,'[1]4-Disponibilidade'!$A$8:$C$102,2,FALSE()))</f>
        <v>90.0621109008789</v>
      </c>
      <c r="G86" s="198" t="n">
        <f aca="false">IF(ISNA(VLOOKUP($A86,'[1]3-Produção'!$A$9:$C$103,3,FALSE()))=TRUE(),"n/a",VLOOKUP($A86,'[1]3-Produção'!$A$9:$C$103,3,FALSE()))</f>
        <v>31.4</v>
      </c>
      <c r="H86" s="198" t="n">
        <f aca="false">IF(OR(F86="n/a",G86="n/a"),"n/a",G86-F86)</f>
        <v>-58.6621109008789</v>
      </c>
      <c r="I86" s="198" t="n">
        <f aca="false">IF(OR(G86="n/a",D86="n/a"),"n/a",D86-G86)</f>
        <v>0.800000321907838</v>
      </c>
      <c r="J86" s="260" t="n">
        <f aca="false">IF(OR(G86="n/a",G86=0,E86="n/a",E86=0),"n/a",E86-G86)</f>
        <v>-2.4</v>
      </c>
      <c r="K86" s="184" t="str">
        <f aca="false">IF(OR(C86&gt;100,D86="n/a",F86="n/a",G86="n/a",H86="n/a",I86="n/a",J86="n/a"),"X","")</f>
        <v/>
      </c>
    </row>
    <row r="87" customFormat="false" ht="13.5" hidden="false" customHeight="false" outlineLevel="0" collapsed="false">
      <c r="A87" s="266" t="s">
        <v>239</v>
      </c>
      <c r="B87" s="267" t="s">
        <v>239</v>
      </c>
      <c r="C87" s="268" t="n">
        <f aca="false">VLOOKUP($B87,'[1]4-Disponibilidade'!$A$8:$C$102,2,FALSE())</f>
        <v>67.6864700317383</v>
      </c>
      <c r="D87" s="269" t="n">
        <f aca="false">IF(AND(C87=0,E87=0),"n/a",E87/C87*100)</f>
        <v>73.8700067776543</v>
      </c>
      <c r="E87" s="269" t="n">
        <f aca="false">VLOOKUP($B87,'[1]4-Disponibilidade'!$A$8:$C$102,3,FALSE())</f>
        <v>50</v>
      </c>
      <c r="F87" s="216" t="n">
        <f aca="false">IF(ISNA(VLOOKUP($A87,'[1]4-Disponibilidade'!$A$8:$C$102,2,FALSE()))=TRUE(),"n/a",VLOOKUP($A87,'[1]4-Disponibilidade'!$A$8:$C$102,2,FALSE()))</f>
        <v>67.6864700317383</v>
      </c>
      <c r="G87" s="216" t="n">
        <f aca="false">IF(ISNA(VLOOKUP($A87,'[1]3-Produção'!$A$9:$C$103,3,FALSE()))=TRUE(),"n/a",VLOOKUP($A87,'[1]3-Produção'!$A$9:$C$103,3,FALSE()))</f>
        <v>45.6541666666667</v>
      </c>
      <c r="H87" s="216" t="n">
        <f aca="false">IF(OR(F87="n/a",G87="n/a"),"n/a",G87-F87)</f>
        <v>-22.0323033650716</v>
      </c>
      <c r="I87" s="216" t="n">
        <f aca="false">IF(OR(G87="n/a",D87="n/a"),"n/a",D87-G87)</f>
        <v>28.2158401109876</v>
      </c>
      <c r="J87" s="270" t="n">
        <f aca="false">IF(OR(G87="n/a",G87=0,E87="n/a",E87=0),"n/a",E87-G87)</f>
        <v>4.34583333333333</v>
      </c>
      <c r="K87" s="184" t="str">
        <f aca="false">IF(OR(C87&gt;100,D87="n/a",F87="n/a",G87="n/a",H87="n/a",I87="n/a",J87="n/a"),"X","")</f>
        <v/>
      </c>
    </row>
    <row r="88" customFormat="false" ht="13.5" hidden="false" customHeight="false" outlineLevel="0" collapsed="false">
      <c r="A88" s="271" t="s">
        <v>221</v>
      </c>
      <c r="B88" s="272"/>
      <c r="C88" s="273" t="n">
        <f aca="false">SUMPRODUCT(C72:C87,E72:E87)/E88</f>
        <v>95.0563884493778</v>
      </c>
      <c r="D88" s="274" t="n">
        <f aca="false">SUM(D72:D87)</f>
        <v>9344.97012921523</v>
      </c>
      <c r="E88" s="274" t="n">
        <f aca="false">SUM(E72:E87)</f>
        <v>9010</v>
      </c>
      <c r="F88" s="275" t="n">
        <f aca="false">SUM(F72:F87)</f>
        <v>1408.83476257324</v>
      </c>
      <c r="G88" s="275" t="n">
        <f aca="false">SUM(G72:G87)</f>
        <v>7154.30416666667</v>
      </c>
      <c r="H88" s="275" t="n">
        <f aca="false">SUM(H72:H87)</f>
        <v>5745.46940409343</v>
      </c>
      <c r="I88" s="275" t="n">
        <f aca="false">SUM(I72:I87)</f>
        <v>2246.40762921523</v>
      </c>
      <c r="J88" s="276" t="n">
        <f aca="false">SUM(J72:J87)</f>
        <v>1855.69583333333</v>
      </c>
      <c r="K88" s="184" t="str">
        <f aca="false">IF(OR(C88&gt;100,D88="n/a",F88="n/a",G88="n/a",H88="n/a",I88="n/a",J88="n/a"),"X","")</f>
        <v/>
      </c>
    </row>
    <row r="89" customFormat="false" ht="13.5" hidden="false" customHeight="false" outlineLevel="0" collapsed="false">
      <c r="A89" s="277"/>
      <c r="B89" s="277"/>
      <c r="C89" s="108"/>
      <c r="D89" s="250"/>
      <c r="E89" s="250"/>
      <c r="F89" s="251"/>
      <c r="G89" s="251"/>
      <c r="H89" s="251"/>
      <c r="I89" s="251"/>
      <c r="J89" s="251"/>
      <c r="K89" s="184" t="str">
        <f aca="false">IF(OR(C89&gt;100,D89="n/a",F89="n/a",G89="n/a",H89="n/a",I89="n/a",J89="n/a"),"X","")</f>
        <v/>
      </c>
    </row>
    <row r="90" customFormat="false" ht="12.75" hidden="false" customHeight="false" outlineLevel="0" collapsed="false">
      <c r="A90" s="278" t="s">
        <v>240</v>
      </c>
      <c r="B90" s="253" t="s">
        <v>240</v>
      </c>
      <c r="C90" s="279" t="n">
        <f aca="false">VLOOKUP($B90,'[1]4-Disponibilidade'!$A$8:$C$102,2,FALSE())</f>
        <v>69.5652160644531</v>
      </c>
      <c r="D90" s="280" t="n">
        <f aca="false">IF(AND(C90=0,E90=0),"n/a",E90/C90*100)</f>
        <v>57.5000010967255</v>
      </c>
      <c r="E90" s="280" t="n">
        <f aca="false">VLOOKUP($B90,'[1]4-Disponibilidade'!$A$8:$C$102,3,FALSE())</f>
        <v>40</v>
      </c>
      <c r="F90" s="281" t="n">
        <f aca="false">IF(ISNA(VLOOKUP($A90,'[1]3-Produção'!$A$9:$C$103,2,FALSE()))=TRUE(),"n/a",VLOOKUP($A90,'[1]3-Produção'!$A$9:$C$103,2,FALSE()))</f>
        <v>41</v>
      </c>
      <c r="G90" s="281" t="n">
        <f aca="false">IF(ISNA(VLOOKUP($A90,'[1]3-Produção'!$A$9:$C$103,3,FALSE()))=TRUE(),"n/a",VLOOKUP($A90,'[1]3-Produção'!$A$9:$C$103,3,FALSE()))</f>
        <v>33.2208333333333</v>
      </c>
      <c r="H90" s="281" t="n">
        <f aca="false">IF(OR(F90="n/a",G90="n/a"),"n/a",G90-F90)</f>
        <v>-7.77916666666666</v>
      </c>
      <c r="I90" s="281" t="n">
        <f aca="false">IF(OR(G90="n/a",D90="n/a"),"n/a",D90-G90)</f>
        <v>24.2791677633921</v>
      </c>
      <c r="J90" s="282" t="n">
        <f aca="false">IF(OR(G90="n/a",G90=0,E90="n/a",E90=0),"n/a",E90-G90)</f>
        <v>6.77916666666666</v>
      </c>
      <c r="K90" s="184" t="str">
        <f aca="false">IF(OR(C90&gt;100,D90="n/a",F90="n/a",G90="n/a",H90="n/a",I90="n/a",J90="n/a"),"X","")</f>
        <v/>
      </c>
    </row>
    <row r="91" customFormat="false" ht="12.75" hidden="false" customHeight="false" outlineLevel="0" collapsed="false">
      <c r="A91" s="206" t="s">
        <v>241</v>
      </c>
      <c r="B91" s="265" t="s">
        <v>242</v>
      </c>
      <c r="C91" s="283" t="n">
        <f aca="false">VLOOKUP($B91,'[1]4-Disponibilidade'!$A$8:$C$102,2,FALSE())</f>
        <v>75</v>
      </c>
      <c r="D91" s="233" t="n">
        <f aca="false">IF(AND(C91=0,E91=0),"n/a",E91/C91*100)</f>
        <v>400</v>
      </c>
      <c r="E91" s="233" t="n">
        <f aca="false">VLOOKUP($B91,'[1]4-Disponibilidade'!$A$8:$C$102,3,FALSE())</f>
        <v>300</v>
      </c>
      <c r="F91" s="210" t="n">
        <f aca="false">IF(ISNA(VLOOKUP($A91,'[1]3-Produção'!$A$9:$C$103,2,FALSE()))=TRUE(),"n/a",VLOOKUP($A91,'[1]3-Produção'!$A$9:$C$103,2,FALSE()))</f>
        <v>161.333333333333</v>
      </c>
      <c r="G91" s="210" t="n">
        <f aca="false">IF(ISNA(VLOOKUP($A91,'[1]3-Produção'!$A$9:$C$103,3,FALSE()))=TRUE(),"n/a",VLOOKUP($A91,'[1]3-Produção'!$A$9:$C$103,3,FALSE()))</f>
        <v>165.629166666667</v>
      </c>
      <c r="H91" s="210" t="n">
        <f aca="false">IF(OR(F91="n/a",G91="n/a"),"n/a",G91-F91)</f>
        <v>4.29583333333329</v>
      </c>
      <c r="I91" s="210" t="n">
        <f aca="false">IF(OR(G91="n/a",D91="n/a"),"n/a",D91-G91)</f>
        <v>234.370833333333</v>
      </c>
      <c r="J91" s="284" t="n">
        <f aca="false">IF(OR(G91="n/a",G91=0,E91="n/a",E91=0),"n/a",E91-G91)</f>
        <v>134.370833333333</v>
      </c>
      <c r="K91" s="184" t="str">
        <f aca="false">IF(OR(C91&gt;100,D91="n/a",F91="n/a",G91="n/a",H91="n/a",I91="n/a",J91="n/a"),"X","")</f>
        <v/>
      </c>
    </row>
    <row r="92" customFormat="false" ht="12.75" hidden="false" customHeight="false" outlineLevel="0" collapsed="false">
      <c r="A92" s="206" t="s">
        <v>243</v>
      </c>
      <c r="B92" s="265" t="s">
        <v>244</v>
      </c>
      <c r="C92" s="283" t="n">
        <f aca="false">VLOOKUP($B92,'[1]4-Disponibilidade'!$A$8:$C$102,2,FALSE())</f>
        <v>100</v>
      </c>
      <c r="D92" s="233" t="n">
        <f aca="false">IF(AND(C92=0,E92=0),"n/a",E92/C92*100)</f>
        <v>225</v>
      </c>
      <c r="E92" s="233" t="n">
        <f aca="false">VLOOKUP($B92,'[1]4-Disponibilidade'!$A$8:$C$102,3,FALSE())</f>
        <v>225</v>
      </c>
      <c r="F92" s="210" t="n">
        <f aca="false">IF(ISNA(VLOOKUP($A92,'[1]3-Produção'!$A$9:$C$103,2,FALSE()))=TRUE(),"n/a",VLOOKUP($A92,'[1]3-Produção'!$A$9:$C$103,2,FALSE()))</f>
        <v>161</v>
      </c>
      <c r="G92" s="210" t="n">
        <f aca="false">IF(ISNA(VLOOKUP($A92,'[1]3-Produção'!$A$9:$C$103,3,FALSE()))=TRUE(),"n/a",VLOOKUP($A92,'[1]3-Produção'!$A$9:$C$103,3,FALSE()))</f>
        <v>161</v>
      </c>
      <c r="H92" s="210" t="n">
        <f aca="false">IF(OR(F92="n/a",G92="n/a"),"n/a",G92-F92)</f>
        <v>0</v>
      </c>
      <c r="I92" s="210" t="n">
        <f aca="false">IF(OR(G92="n/a",D92="n/a"),"n/a",D92-G92)</f>
        <v>64</v>
      </c>
      <c r="J92" s="284" t="n">
        <f aca="false">IF(OR(G92="n/a",G92=0,E92="n/a",E92=0),"n/a",E92-G92)</f>
        <v>64</v>
      </c>
      <c r="K92" s="184" t="str">
        <f aca="false">IF(OR(C92&gt;100,D92="n/a",F92="n/a",G92="n/a",H92="n/a",I92="n/a",J92="n/a"),"X","")</f>
        <v/>
      </c>
    </row>
    <row r="93" customFormat="false" ht="12.75" hidden="false" customHeight="false" outlineLevel="0" collapsed="false">
      <c r="A93" s="206" t="s">
        <v>245</v>
      </c>
      <c r="B93" s="265" t="s">
        <v>246</v>
      </c>
      <c r="C93" s="283" t="n">
        <f aca="false">VLOOKUP($B93,'[1]4-Disponibilidade'!$A$8:$C$102,2,FALSE())</f>
        <v>79</v>
      </c>
      <c r="D93" s="233" t="n">
        <f aca="false">IF(AND(C93=0,E93=0),"n/a",E93/C93*100)</f>
        <v>1500</v>
      </c>
      <c r="E93" s="233" t="n">
        <f aca="false">VLOOKUP($B93,'[1]4-Disponibilidade'!$A$8:$C$102,3,FALSE())</f>
        <v>1185</v>
      </c>
      <c r="F93" s="210" t="n">
        <f aca="false">IF(ISNA(VLOOKUP($A93,'[1]3-Produção'!$A$9:$C$103,2,FALSE()))=TRUE(),"n/a",VLOOKUP($A93,'[1]3-Produção'!$A$9:$C$103,2,FALSE()))</f>
        <v>945.833333333333</v>
      </c>
      <c r="G93" s="210" t="n">
        <f aca="false">IF(ISNA(VLOOKUP($A93,'[1]3-Produção'!$A$9:$C$103,3,FALSE()))=TRUE(),"n/a",VLOOKUP($A93,'[1]3-Produção'!$A$9:$C$103,3,FALSE()))</f>
        <v>943.479166666667</v>
      </c>
      <c r="H93" s="210" t="n">
        <f aca="false">IF(OR(F93="n/a",G93="n/a"),"n/a",G93-F93)</f>
        <v>-2.35416666666686</v>
      </c>
      <c r="I93" s="210" t="n">
        <f aca="false">IF(OR(G93="n/a",D93="n/a"),"n/a",D93-G93)</f>
        <v>556.520833333334</v>
      </c>
      <c r="J93" s="284" t="n">
        <f aca="false">IF(OR(G93="n/a",G93=0,E93="n/a",E93=0),"n/a",E93-G93)</f>
        <v>241.520833333333</v>
      </c>
      <c r="K93" s="184" t="str">
        <f aca="false">IF(OR(C93&gt;100,D93="n/a",F93="n/a",G93="n/a",H93="n/a",I93="n/a",J93="n/a"),"X","")</f>
        <v/>
      </c>
    </row>
    <row r="94" customFormat="false" ht="12.75" hidden="false" customHeight="false" outlineLevel="0" collapsed="false">
      <c r="A94" s="206" t="s">
        <v>79</v>
      </c>
      <c r="B94" s="253" t="s">
        <v>79</v>
      </c>
      <c r="C94" s="283" t="n">
        <f aca="false">VLOOKUP($B94,'[1]4-Disponibilidade'!$A$8:$C$102,2,FALSE())</f>
        <v>81.2380981445313</v>
      </c>
      <c r="D94" s="233" t="n">
        <f aca="false">IF(AND(C94=0,E94=0),"n/a",E94/C94*100)</f>
        <v>1049.9999624344</v>
      </c>
      <c r="E94" s="233" t="n">
        <f aca="false">VLOOKUP($B94,'[1]4-Disponibilidade'!$A$8:$C$102,3,FALSE())</f>
        <v>853</v>
      </c>
      <c r="F94" s="210" t="n">
        <f aca="false">IF(ISNA(VLOOKUP($A94,'[1]3-Produção'!$A$9:$C$103,2,FALSE()))=TRUE(),"n/a",VLOOKUP($A94,'[1]3-Produção'!$A$9:$C$103,2,FALSE()))</f>
        <v>451.666666666667</v>
      </c>
      <c r="G94" s="210" t="n">
        <f aca="false">IF(ISNA(VLOOKUP($A94,'[1]3-Produção'!$A$9:$C$103,3,FALSE()))=TRUE(),"n/a",VLOOKUP($A94,'[1]3-Produção'!$A$9:$C$103,3,FALSE()))</f>
        <v>453.616666666667</v>
      </c>
      <c r="H94" s="210" t="n">
        <f aca="false">IF(OR(F94="n/a",G94="n/a"),"n/a",G94-F94)</f>
        <v>1.94999999999993</v>
      </c>
      <c r="I94" s="210" t="n">
        <f aca="false">IF(OR(G94="n/a",D94="n/a"),"n/a",D94-G94)</f>
        <v>596.383295767734</v>
      </c>
      <c r="J94" s="284" t="n">
        <f aca="false">IF(OR(G94="n/a",G94=0,E94="n/a",E94=0),"n/a",E94-G94)</f>
        <v>399.383333333333</v>
      </c>
      <c r="K94" s="184" t="str">
        <f aca="false">IF(OR(C94&gt;100,D94="n/a",F94="n/a",G94="n/a",H94="n/a",I94="n/a",J94="n/a"),"X","")</f>
        <v/>
      </c>
    </row>
    <row r="95" customFormat="false" ht="12.75" hidden="false" customHeight="false" outlineLevel="0" collapsed="false">
      <c r="A95" s="206" t="s">
        <v>247</v>
      </c>
      <c r="B95" s="253" t="s">
        <v>247</v>
      </c>
      <c r="C95" s="283" t="n">
        <f aca="false">VLOOKUP($B95,'[1]4-Disponibilidade'!$A$8:$C$102,2,FALSE())</f>
        <v>66.6666641235352</v>
      </c>
      <c r="D95" s="233" t="n">
        <f aca="false">IF(AND(C95=0,E95=0),"n/a",E95/C95*100)</f>
        <v>180.000006866455</v>
      </c>
      <c r="E95" s="233" t="n">
        <f aca="false">VLOOKUP($B95,'[1]4-Disponibilidade'!$A$8:$C$102,3,FALSE())</f>
        <v>120</v>
      </c>
      <c r="F95" s="210" t="n">
        <f aca="false">IF(ISNA(VLOOKUP($A95,'[1]3-Produção'!$A$9:$C$103,2,FALSE()))=TRUE(),"n/a",VLOOKUP($A95,'[1]3-Produção'!$A$9:$C$103,2,FALSE()))</f>
        <v>120</v>
      </c>
      <c r="G95" s="210" t="n">
        <f aca="false">IF(ISNA(VLOOKUP($A95,'[1]3-Produção'!$A$9:$C$103,3,FALSE()))=TRUE(),"n/a",VLOOKUP($A95,'[1]3-Produção'!$A$9:$C$103,3,FALSE()))</f>
        <v>117.354166666667</v>
      </c>
      <c r="H95" s="210" t="n">
        <f aca="false">IF(OR(F95="n/a",G95="n/a"),"n/a",G95-F95)</f>
        <v>-2.64583333333333</v>
      </c>
      <c r="I95" s="210" t="n">
        <f aca="false">IF(OR(G95="n/a",D95="n/a"),"n/a",D95-G95)</f>
        <v>62.6458401997887</v>
      </c>
      <c r="J95" s="284" t="n">
        <f aca="false">IF(OR(G95="n/a",G95=0,E95="n/a",E95=0),"n/a",E95-G95)</f>
        <v>2.64583333333333</v>
      </c>
      <c r="K95" s="184" t="str">
        <f aca="false">IF(OR(C95&gt;100,D95="n/a",F95="n/a",G95="n/a",H95="n/a",I95="n/a",J95="n/a"),"X","")</f>
        <v/>
      </c>
    </row>
    <row r="96" customFormat="false" ht="12.75" hidden="false" customHeight="false" outlineLevel="0" collapsed="false">
      <c r="A96" s="206" t="s">
        <v>248</v>
      </c>
      <c r="B96" s="253" t="s">
        <v>248</v>
      </c>
      <c r="C96" s="283" t="n">
        <f aca="false">VLOOKUP($B96,'[1]4-Disponibilidade'!$A$8:$C$102,2,FALSE())</f>
        <v>49.8876419067383</v>
      </c>
      <c r="D96" s="233" t="n">
        <f aca="false">IF(AND(C96=0,E96=0),"n/a",E96/C96*100)</f>
        <v>444.999987000818</v>
      </c>
      <c r="E96" s="233" t="n">
        <f aca="false">VLOOKUP($B96,'[1]4-Disponibilidade'!$A$8:$C$102,3,FALSE())</f>
        <v>222</v>
      </c>
      <c r="F96" s="210" t="n">
        <f aca="false">IF(ISNA(VLOOKUP($A96,'[1]3-Produção'!$A$9:$C$103,2,FALSE()))=TRUE(),"n/a",VLOOKUP($A96,'[1]3-Produção'!$A$9:$C$103,2,FALSE()))</f>
        <v>210</v>
      </c>
      <c r="G96" s="210" t="n">
        <f aca="false">IF(ISNA(VLOOKUP($A96,'[1]3-Produção'!$A$9:$C$103,3,FALSE()))=TRUE(),"n/a",VLOOKUP($A96,'[1]3-Produção'!$A$9:$C$103,3,FALSE()))</f>
        <v>199.2125</v>
      </c>
      <c r="H96" s="210" t="n">
        <f aca="false">IF(OR(F96="n/a",G96="n/a"),"n/a",G96-F96)</f>
        <v>-10.7875</v>
      </c>
      <c r="I96" s="210" t="n">
        <f aca="false">IF(OR(G96="n/a",D96="n/a"),"n/a",D96-G96)</f>
        <v>245.787487000818</v>
      </c>
      <c r="J96" s="284" t="n">
        <f aca="false">IF(OR(G96="n/a",G96=0,E96="n/a",E96=0),"n/a",E96-G96)</f>
        <v>22.7875</v>
      </c>
      <c r="K96" s="184" t="str">
        <f aca="false">IF(OR(C96&gt;100,D96="n/a",F96="n/a",G96="n/a",H96="n/a",I96="n/a",J96="n/a"),"X","")</f>
        <v/>
      </c>
    </row>
    <row r="97" customFormat="false" ht="12.75" hidden="false" customHeight="false" outlineLevel="0" collapsed="false">
      <c r="A97" s="206" t="s">
        <v>249</v>
      </c>
      <c r="B97" s="253" t="s">
        <v>249</v>
      </c>
      <c r="C97" s="283" t="n">
        <f aca="false">VLOOKUP($B97,'[1]4-Disponibilidade'!$A$8:$C$102,2,FALSE())</f>
        <v>75</v>
      </c>
      <c r="D97" s="233" t="n">
        <f aca="false">IF(AND(C97=0,E97=0),"n/a",E97/C97*100)</f>
        <v>800</v>
      </c>
      <c r="E97" s="233" t="n">
        <f aca="false">VLOOKUP($B97,'[1]4-Disponibilidade'!$A$8:$C$102,3,FALSE())</f>
        <v>600</v>
      </c>
      <c r="F97" s="210" t="n">
        <f aca="false">IF(ISNA(VLOOKUP($A97,'[1]3-Produção'!$A$9:$C$103,2,FALSE()))=TRUE(),"n/a",VLOOKUP($A97,'[1]3-Produção'!$A$9:$C$103,2,FALSE()))</f>
        <v>351.25</v>
      </c>
      <c r="G97" s="210" t="n">
        <f aca="false">IF(ISNA(VLOOKUP($A97,'[1]3-Produção'!$A$9:$C$103,3,FALSE()))=TRUE(),"n/a",VLOOKUP($A97,'[1]3-Produção'!$A$9:$C$103,3,FALSE()))</f>
        <v>367.475</v>
      </c>
      <c r="H97" s="210" t="n">
        <f aca="false">IF(OR(F97="n/a",G97="n/a"),"n/a",G97-F97)</f>
        <v>16.225</v>
      </c>
      <c r="I97" s="210" t="n">
        <f aca="false">IF(OR(G97="n/a",D97="n/a"),"n/a",D97-G97)</f>
        <v>432.525</v>
      </c>
      <c r="J97" s="284" t="n">
        <f aca="false">IF(OR(G97="n/a",G97=0,E97="n/a",E97=0),"n/a",E97-G97)</f>
        <v>232.525</v>
      </c>
      <c r="K97" s="184" t="str">
        <f aca="false">IF(OR(C97&gt;100,D97="n/a",F97="n/a",G97="n/a",H97="n/a",I97="n/a",J97="n/a"),"X","")</f>
        <v/>
      </c>
    </row>
    <row r="98" customFormat="false" ht="12.75" hidden="false" customHeight="false" outlineLevel="0" collapsed="false">
      <c r="A98" s="206" t="s">
        <v>250</v>
      </c>
      <c r="B98" s="253" t="s">
        <v>250</v>
      </c>
      <c r="C98" s="283" t="n">
        <f aca="false">VLOOKUP($B98,'[1]4-Disponibilidade'!$A$8:$C$102,2,FALSE())</f>
        <v>83.3333358764648</v>
      </c>
      <c r="D98" s="233" t="n">
        <f aca="false">IF(AND(C98=0,E98=0),"n/a",E98/C98*100)</f>
        <v>2459.99992492676</v>
      </c>
      <c r="E98" s="233" t="n">
        <f aca="false">VLOOKUP($B98,'[1]4-Disponibilidade'!$A$8:$C$102,3,FALSE())</f>
        <v>2050</v>
      </c>
      <c r="F98" s="210" t="n">
        <f aca="false">IF(ISNA(VLOOKUP($A98,'[1]3-Produção'!$A$9:$C$103,2,FALSE()))=TRUE(),"n/a",VLOOKUP($A98,'[1]3-Produção'!$A$9:$C$103,2,FALSE()))</f>
        <v>1220.75</v>
      </c>
      <c r="G98" s="210" t="n">
        <f aca="false">IF(ISNA(VLOOKUP($A98,'[1]3-Produção'!$A$9:$C$103,3,FALSE()))=TRUE(),"n/a",VLOOKUP($A98,'[1]3-Produção'!$A$9:$C$103,3,FALSE()))</f>
        <v>1125.30833333333</v>
      </c>
      <c r="H98" s="210" t="n">
        <f aca="false">IF(OR(F98="n/a",G98="n/a"),"n/a",G98-F98)</f>
        <v>-95.4416666666666</v>
      </c>
      <c r="I98" s="210" t="n">
        <f aca="false">IF(OR(G98="n/a",D98="n/a"),"n/a",D98-G98)</f>
        <v>1334.69159159343</v>
      </c>
      <c r="J98" s="284" t="n">
        <f aca="false">IF(OR(G98="n/a",G98=0,E98="n/a",E98=0),"n/a",E98-G98)</f>
        <v>924.691666666667</v>
      </c>
      <c r="K98" s="184" t="str">
        <f aca="false">IF(OR(C98&gt;100,D98="n/a",F98="n/a",G98="n/a",H98="n/a",I98="n/a",J98="n/a"),"X","")</f>
        <v/>
      </c>
    </row>
    <row r="99" customFormat="false" ht="13.5" hidden="false" customHeight="false" outlineLevel="0" collapsed="false">
      <c r="A99" s="285" t="s">
        <v>251</v>
      </c>
      <c r="B99" s="286" t="s">
        <v>251</v>
      </c>
      <c r="C99" s="287" t="n">
        <f aca="false">VLOOKUP($B99,'[1]4-Disponibilidade'!$A$8:$C$102,2,FALSE())</f>
        <v>83.3333358764648</v>
      </c>
      <c r="D99" s="288" t="n">
        <f aca="false">IF(AND(C99=0,E99=0),"n/a",E99/C99*100)</f>
        <v>3161.99990350342</v>
      </c>
      <c r="E99" s="288" t="n">
        <f aca="false">VLOOKUP($B99,'[1]4-Disponibilidade'!$A$8:$C$102,3,FALSE())</f>
        <v>2635</v>
      </c>
      <c r="F99" s="289" t="n">
        <f aca="false">IF(ISNA(VLOOKUP($A99,'[1]3-Produção'!$A$9:$C$103,2,FALSE()))=TRUE(),"n/a",VLOOKUP($A99,'[1]3-Produção'!$A$9:$C$103,2,FALSE()))</f>
        <v>2268.75</v>
      </c>
      <c r="G99" s="289" t="n">
        <f aca="false">IF(ISNA(VLOOKUP($A99,'[1]3-Produção'!$A$9:$C$103,3,FALSE()))=TRUE(),"n/a",VLOOKUP($A99,'[1]3-Produção'!$A$9:$C$103,3,FALSE()))</f>
        <v>2243.8875</v>
      </c>
      <c r="H99" s="289" t="n">
        <f aca="false">IF(OR(F99="n/a",G99="n/a"),"n/a",G99-F99)</f>
        <v>-24.8625000000006</v>
      </c>
      <c r="I99" s="289" t="n">
        <f aca="false">IF(OR(G99="n/a",D99="n/a"),"n/a",D99-G99)</f>
        <v>918.112403503421</v>
      </c>
      <c r="J99" s="290" t="n">
        <f aca="false">IF(OR(G99="n/a",G99=0,E99="n/a",E99=0),"n/a",E99-G99)</f>
        <v>391.112500000001</v>
      </c>
      <c r="K99" s="184" t="str">
        <f aca="false">IF(OR(C99&gt;100,D99="n/a",F99="n/a",G99="n/a",H99="n/a",I99="n/a",J99="n/a"),"X","")</f>
        <v/>
      </c>
    </row>
    <row r="100" customFormat="false" ht="13.5" hidden="false" customHeight="false" outlineLevel="0" collapsed="false">
      <c r="A100" s="291" t="s">
        <v>221</v>
      </c>
      <c r="B100" s="292"/>
      <c r="C100" s="293" t="n">
        <f aca="false">SUMPRODUCT(C90:C99,E90:E99)/E100</f>
        <v>80.8244764446198</v>
      </c>
      <c r="D100" s="294" t="n">
        <f aca="false">SUM(D90:D99)</f>
        <v>10279.4997858286</v>
      </c>
      <c r="E100" s="294" t="n">
        <f aca="false">SUM(E90:E99)</f>
        <v>8230</v>
      </c>
      <c r="F100" s="295" t="n">
        <f aca="false">SUM(F90:F99)</f>
        <v>5931.58333333333</v>
      </c>
      <c r="G100" s="295" t="n">
        <f aca="false">SUM(G90:G99)</f>
        <v>5810.18333333333</v>
      </c>
      <c r="H100" s="295" t="n">
        <f aca="false">SUM(H90:H99)</f>
        <v>-121.400000000001</v>
      </c>
      <c r="I100" s="295" t="n">
        <f aca="false">SUM(I90:I99)</f>
        <v>4469.31645249525</v>
      </c>
      <c r="J100" s="296" t="n">
        <f aca="false">SUM(J90:J99)</f>
        <v>2419.81666666667</v>
      </c>
      <c r="K100" s="184" t="str">
        <f aca="false">IF(OR(C100&gt;100,D100="n/a",F100="n/a",G100="n/a",H100="n/a",I100="n/a",J100="n/a"),"X","")</f>
        <v/>
      </c>
    </row>
    <row r="101" customFormat="false" ht="13.5" hidden="false" customHeight="false" outlineLevel="0" collapsed="false">
      <c r="C101" s="108"/>
      <c r="K101" s="184" t="str">
        <f aca="false">IF(OR(C101&gt;100,D101="n/a",F101="n/a",G101="n/a",H101="n/a",I101="n/a",J101="n/a"),"X","")</f>
        <v/>
      </c>
    </row>
    <row r="102" customFormat="false" ht="12.75" hidden="false" customHeight="false" outlineLevel="0" collapsed="false">
      <c r="A102" s="297" t="s">
        <v>252</v>
      </c>
      <c r="B102" s="298" t="s">
        <v>86</v>
      </c>
      <c r="C102" s="299" t="n">
        <f aca="false">VLOOKUP($B102,'[1]4-Disponibilidade'!$A$8:$C$102,2,FALSE())</f>
        <v>88</v>
      </c>
      <c r="D102" s="299" t="n">
        <f aca="false">IF(AND(C102=0,E102=0),"n/a",E102/C102*100)</f>
        <v>4200</v>
      </c>
      <c r="E102" s="299" t="n">
        <f aca="false">VLOOKUP($B102,'[1]4-Disponibilidade'!$A$8:$C$102,3,FALSE())</f>
        <v>3696</v>
      </c>
      <c r="F102" s="300" t="n">
        <f aca="false">IF(ISNA(VLOOKUP($A102,'[1]3-Produção'!$A$9:$C$104,2,FALSE()))=TRUE(),"n/a",VLOOKUP($A102,'[1]3-Produção'!$A$9:$C$104,2,FALSE()))</f>
        <v>3500</v>
      </c>
      <c r="G102" s="300" t="n">
        <f aca="false">IF(ISNA(VLOOKUP($A102,'[1]3-Produção'!$A$9:$C$104,2,FALSE()))=TRUE(),"n/a",VLOOKUP($A102,'[1]3-Produção'!$A$9:$C$104,2,FALSE()))</f>
        <v>3500</v>
      </c>
      <c r="H102" s="300" t="n">
        <f aca="false">IF(OR(F102="n/a",G102="n/a"),"n/a",G102-F102)</f>
        <v>0</v>
      </c>
      <c r="I102" s="300" t="n">
        <f aca="false">IF(OR(G102="n/a",D102="n/a"),"n/a",D102-G102)</f>
        <v>700</v>
      </c>
      <c r="J102" s="301" t="n">
        <f aca="false">IF(OR(G102="n/a",G102=0,E102="n/a",E102=0),"n/a",E102-G102)</f>
        <v>196</v>
      </c>
      <c r="K102" s="184" t="str">
        <f aca="false">IF(OR(C102&gt;100,D102="n/a",F102="n/a",G102="n/a",H102="n/a",I102="n/a",J102="n/a"),"X","")</f>
        <v/>
      </c>
    </row>
    <row r="103" customFormat="false" ht="12.75" hidden="false" customHeight="false" outlineLevel="0" collapsed="false">
      <c r="A103" s="302" t="s">
        <v>253</v>
      </c>
      <c r="B103" s="303" t="s">
        <v>253</v>
      </c>
      <c r="C103" s="235" t="n">
        <f aca="false">VLOOKUP($B103,'[1]4-Disponibilidade'!$A$8:$C$102,2,FALSE())</f>
        <v>95</v>
      </c>
      <c r="D103" s="235" t="n">
        <f aca="false">IF(AND(C103=0,E103=0),"n/a",E103/C103*100)</f>
        <v>40</v>
      </c>
      <c r="E103" s="235" t="n">
        <f aca="false">VLOOKUP($B103,'[1]4-Disponibilidade'!$A$8:$C$102,3,FALSE())</f>
        <v>38</v>
      </c>
      <c r="F103" s="304" t="str">
        <f aca="false">IF(ISNA(VLOOKUP($A103,'[1]3-Produção'!$A$9:$C$104,2,FALSE()))=TRUE(),"n/a",VLOOKUP($A103,'[1]3-Produção'!$A$9:$C$104,2,FALSE()))</f>
        <v>n/a</v>
      </c>
      <c r="G103" s="304" t="str">
        <f aca="false">IF(ISNA(VLOOKUP($A103,'[1]3-Produção'!$A$9:$C$104,2,FALSE()))=TRUE(),"n/a",VLOOKUP($A103,'[1]3-Produção'!$A$9:$C$104,2,FALSE()))</f>
        <v>n/a</v>
      </c>
      <c r="H103" s="304" t="str">
        <f aca="false">IF(OR(F103="n/a",G103="n/a"),"n/a",G103-F103)</f>
        <v>n/a</v>
      </c>
      <c r="I103" s="304" t="str">
        <f aca="false">IF(OR(G103="n/a",D103="n/a"),"n/a",D103-G103)</f>
        <v>n/a</v>
      </c>
      <c r="J103" s="305" t="str">
        <f aca="false">IF(OR(G103="n/a",G103=0,E103="n/a",E103=0),"n/a",E103-G103)</f>
        <v>n/a</v>
      </c>
      <c r="K103" s="184" t="str">
        <f aca="false">IF(OR(C103&gt;100,D103="n/a",F103="n/a",G103="n/a",H103="n/a",I103="n/a",J103="n/a"),"X","")</f>
        <v>X</v>
      </c>
    </row>
    <row r="104" customFormat="false" ht="13.5" hidden="false" customHeight="false" outlineLevel="0" collapsed="false">
      <c r="A104" s="306" t="s">
        <v>254</v>
      </c>
      <c r="B104" s="307" t="s">
        <v>255</v>
      </c>
      <c r="C104" s="308" t="n">
        <f aca="false">VLOOKUP($B104,'[1]4-Disponibilidade'!$A$8:$C$102,2,FALSE())</f>
        <v>100</v>
      </c>
      <c r="D104" s="308" t="n">
        <f aca="false">IF(AND(C104=0,E104=0),"n/a",E104/C104*100)</f>
        <v>30</v>
      </c>
      <c r="E104" s="308" t="n">
        <f aca="false">VLOOKUP($B104,'[1]4-Disponibilidade'!$A$8:$C$102,3,FALSE())</f>
        <v>30</v>
      </c>
      <c r="F104" s="309" t="n">
        <f aca="false">IF(ISNA(VLOOKUP($A104,'[1]3-Produção'!$A$9:$C$104,2,FALSE()))=TRUE(),"n/a",VLOOKUP($A104,'[1]3-Produção'!$A$9:$C$104,2,FALSE()))</f>
        <v>30</v>
      </c>
      <c r="G104" s="309" t="n">
        <f aca="false">IF(ISNA(VLOOKUP($A104,'[1]3-Produção'!$A$9:$C$104,2,FALSE()))=TRUE(),"n/a",VLOOKUP($A104,'[1]3-Produção'!$A$9:$C$104,2,FALSE()))</f>
        <v>30</v>
      </c>
      <c r="H104" s="309" t="n">
        <f aca="false">IF(OR(F104="n/a",G104="n/a"),"n/a",G104-F104)</f>
        <v>0</v>
      </c>
      <c r="I104" s="309" t="n">
        <f aca="false">IF(OR(G104="n/a",D104="n/a"),"n/a",D104-G104)</f>
        <v>0</v>
      </c>
      <c r="J104" s="310" t="n">
        <f aca="false">IF(OR(G104="n/a",G104=0,E104="n/a",E104=0),"n/a",E104-G104)</f>
        <v>0</v>
      </c>
      <c r="K104" s="184" t="str">
        <f aca="false">IF(OR(C104&gt;100,D104="n/a",F104="n/a",G104="n/a",H104="n/a",I104="n/a",J104="n/a"),"X","")</f>
        <v/>
      </c>
    </row>
    <row r="105" customFormat="false" ht="13.5" hidden="false" customHeight="false" outlineLevel="0" collapsed="false">
      <c r="A105" s="311" t="s">
        <v>221</v>
      </c>
      <c r="B105" s="312"/>
      <c r="C105" s="313" t="n">
        <f aca="false">SUMPRODUCT(C102:C104,E102:E104)/E105</f>
        <v>88.1663124335813</v>
      </c>
      <c r="D105" s="313" t="n">
        <f aca="false">SUM(D102:D104)</f>
        <v>4270</v>
      </c>
      <c r="E105" s="313" t="n">
        <f aca="false">SUM(E102:E104)</f>
        <v>3764</v>
      </c>
      <c r="F105" s="314" t="n">
        <f aca="false">SUM(F102:F104)</f>
        <v>3530</v>
      </c>
      <c r="G105" s="314" t="n">
        <f aca="false">SUM(G102:G104)</f>
        <v>3530</v>
      </c>
      <c r="H105" s="314" t="n">
        <f aca="false">SUM(H102:H104)</f>
        <v>0</v>
      </c>
      <c r="I105" s="314" t="n">
        <f aca="false">SUM(I102:I104)</f>
        <v>700</v>
      </c>
      <c r="J105" s="315" t="n">
        <f aca="false">SUM(J102:J104)</f>
        <v>196</v>
      </c>
      <c r="K105" s="184" t="str">
        <f aca="false">IF(OR(C105&gt;100,D105="n/a",F105="n/a",G105="n/a",H105="n/a",I105="n/a",J105="n/a"),"X","")</f>
        <v/>
      </c>
    </row>
    <row r="106" customFormat="false" ht="13.5" hidden="false" customHeight="false" outlineLevel="0" collapsed="false">
      <c r="A106" s="249"/>
      <c r="B106" s="249"/>
      <c r="C106" s="108"/>
      <c r="D106" s="250"/>
      <c r="E106" s="250"/>
      <c r="F106" s="251"/>
      <c r="G106" s="251"/>
      <c r="H106" s="251"/>
      <c r="I106" s="251"/>
      <c r="J106" s="251"/>
      <c r="K106" s="184" t="str">
        <f aca="false">IF(OR(C106&gt;100,D106="n/a",F106="n/a",G106="n/a",H106="n/a",I106="n/a",J106="n/a"),"X","")</f>
        <v/>
      </c>
    </row>
    <row r="107" customFormat="false" ht="13.5" hidden="false" customHeight="false" outlineLevel="0" collapsed="false">
      <c r="A107" s="316" t="s">
        <v>104</v>
      </c>
      <c r="B107" s="219" t="s">
        <v>104</v>
      </c>
      <c r="C107" s="317" t="n">
        <f aca="false">(SUMPRODUCT(C5:C69,E5:E69)+SUMPRODUCT(C72:C87,E72:E87)+SUMPRODUCT(C90:C99,E90:E99)+SUMPRODUCT(C102:C104,E102:E104))/E107</f>
        <v>86.6033613144357</v>
      </c>
      <c r="D107" s="317" t="n">
        <f aca="false">D70+D88+D100+D105</f>
        <v>66217.9300099993</v>
      </c>
      <c r="E107" s="317" t="n">
        <f aca="false">E70+E88+E100+E105</f>
        <v>56340</v>
      </c>
      <c r="F107" s="318" t="n">
        <f aca="false">F70+F88+F100+F105</f>
        <v>35926.8305959066</v>
      </c>
      <c r="G107" s="318" t="n">
        <f aca="false">G70+G88+G100+G105</f>
        <v>42377.675</v>
      </c>
      <c r="H107" s="318" t="n">
        <f aca="false">H70+H88+H100+H105</f>
        <v>6450.84440409343</v>
      </c>
      <c r="I107" s="318" t="n">
        <f aca="false">I70+I88+I100+I105</f>
        <v>23855.996676666</v>
      </c>
      <c r="J107" s="319" t="n">
        <f aca="false">J70+J88+J100+J105</f>
        <v>13924.325</v>
      </c>
      <c r="K107" s="184" t="str">
        <f aca="false">IF(OR(C107&gt;100,D107="n/a",F107="n/a",G107="n/a",H107="n/a",I107="n/a",J107="n/a"),"X","")</f>
        <v/>
      </c>
    </row>
    <row r="108" customFormat="false" ht="12.75" hidden="false" customHeight="false" outlineLevel="0" collapsed="false">
      <c r="A108" s="226" t="s">
        <v>256</v>
      </c>
      <c r="G108" s="225"/>
    </row>
    <row r="109" customFormat="false" ht="12.75" hidden="false" customHeight="false" outlineLevel="0" collapsed="false">
      <c r="A109" s="226" t="s">
        <v>257</v>
      </c>
      <c r="I109" s="320"/>
      <c r="J109" s="320"/>
    </row>
    <row r="110" customFormat="false" ht="12.75" hidden="false" customHeight="false" outlineLevel="0" collapsed="false">
      <c r="A110" s="226"/>
      <c r="E110" s="320"/>
    </row>
    <row r="113" customFormat="false" ht="12.75" hidden="false" customHeight="false" outlineLevel="0" collapsed="false">
      <c r="A113" s="16"/>
      <c r="B113" s="3"/>
      <c r="H113" s="3"/>
    </row>
    <row r="114" customFormat="false" ht="12.75" hidden="false" customHeight="false" outlineLevel="0" collapsed="false">
      <c r="B114" s="3"/>
      <c r="H114" s="3"/>
    </row>
    <row r="115" customFormat="false" ht="12.75" hidden="false" customHeight="false" outlineLevel="0" collapsed="false">
      <c r="A115" s="321"/>
      <c r="B115" s="3"/>
      <c r="H115" s="3"/>
    </row>
    <row r="116" customFormat="false" ht="12.75" hidden="false" customHeight="false" outlineLevel="0" collapsed="false">
      <c r="A116" s="321"/>
      <c r="B116" s="3"/>
      <c r="C116" s="3"/>
      <c r="D116" s="3"/>
      <c r="E116" s="3"/>
      <c r="F116" s="3"/>
      <c r="G116" s="3"/>
      <c r="H116" s="3"/>
    </row>
    <row r="117" customFormat="false" ht="12.75" hidden="false" customHeight="false" outlineLevel="0" collapsed="false">
      <c r="A117" s="3"/>
      <c r="B117" s="3"/>
      <c r="C117" s="3"/>
      <c r="D117" s="3"/>
      <c r="E117" s="3"/>
      <c r="F117" s="3"/>
      <c r="G117" s="3"/>
      <c r="H117" s="3"/>
    </row>
  </sheetData>
  <printOptions headings="false" gridLines="false" gridLinesSet="true" horizontalCentered="true" verticalCentered="false"/>
  <pageMargins left="0.25" right="0.25" top="0.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4:X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4" customFormat="false" ht="12.75" hidden="false" customHeight="false" outlineLevel="0" collapsed="false">
      <c r="C34" s="322"/>
      <c r="D34" s="323" t="s">
        <v>258</v>
      </c>
      <c r="E34" s="323"/>
      <c r="F34" s="324" t="s">
        <v>259</v>
      </c>
      <c r="G34" s="324" t="s">
        <v>41</v>
      </c>
      <c r="H34" s="324" t="s">
        <v>260</v>
      </c>
      <c r="I34" s="325" t="s">
        <v>261</v>
      </c>
      <c r="J34" s="322"/>
      <c r="K34" s="322"/>
      <c r="L34" s="322"/>
      <c r="M34" s="322"/>
      <c r="N34" s="322"/>
      <c r="O34" s="322"/>
      <c r="P34" s="322"/>
      <c r="Q34" s="323" t="s">
        <v>262</v>
      </c>
      <c r="R34" s="323"/>
      <c r="S34" s="324" t="s">
        <v>259</v>
      </c>
      <c r="T34" s="324" t="s">
        <v>41</v>
      </c>
      <c r="U34" s="324" t="s">
        <v>260</v>
      </c>
      <c r="V34" s="325" t="s">
        <v>261</v>
      </c>
      <c r="W34" s="322"/>
      <c r="X34" s="322"/>
    </row>
    <row r="35" customFormat="false" ht="12.75" hidden="false" customHeight="false" outlineLevel="0" collapsed="false">
      <c r="C35" s="322"/>
      <c r="D35" s="323" t="s">
        <v>263</v>
      </c>
      <c r="E35" s="323"/>
      <c r="F35" s="326" t="n">
        <v>0.667</v>
      </c>
      <c r="G35" s="326" t="n">
        <v>0.63</v>
      </c>
      <c r="H35" s="326" t="n">
        <v>0.681</v>
      </c>
      <c r="I35" s="327" t="n">
        <v>160269</v>
      </c>
      <c r="J35" s="322"/>
      <c r="K35" s="322"/>
      <c r="L35" s="322"/>
      <c r="M35" s="322"/>
      <c r="N35" s="322"/>
      <c r="O35" s="322"/>
      <c r="P35" s="322"/>
      <c r="Q35" s="323" t="s">
        <v>263</v>
      </c>
      <c r="R35" s="323"/>
      <c r="S35" s="326" t="n">
        <v>0.131</v>
      </c>
      <c r="T35" s="326" t="n">
        <v>0.145</v>
      </c>
      <c r="U35" s="326" t="n">
        <v>0.213</v>
      </c>
      <c r="V35" s="327" t="n">
        <v>50192</v>
      </c>
      <c r="W35" s="322"/>
      <c r="X35" s="322"/>
    </row>
    <row r="71" customFormat="false" ht="12.75" hidden="false" customHeight="false" outlineLevel="0" collapsed="false">
      <c r="C71" s="322"/>
      <c r="D71" s="323" t="s">
        <v>264</v>
      </c>
      <c r="E71" s="323"/>
      <c r="F71" s="324" t="s">
        <v>259</v>
      </c>
      <c r="G71" s="324" t="s">
        <v>41</v>
      </c>
      <c r="H71" s="324" t="s">
        <v>260</v>
      </c>
      <c r="I71" s="325" t="s">
        <v>261</v>
      </c>
      <c r="J71" s="322"/>
      <c r="K71" s="322"/>
      <c r="L71" s="322"/>
      <c r="M71" s="322"/>
      <c r="N71" s="322"/>
      <c r="O71" s="322"/>
      <c r="P71" s="322"/>
      <c r="Q71" s="323" t="s">
        <v>265</v>
      </c>
      <c r="R71" s="323"/>
      <c r="S71" s="324" t="s">
        <v>259</v>
      </c>
      <c r="T71" s="324" t="s">
        <v>41</v>
      </c>
      <c r="U71" s="324" t="s">
        <v>260</v>
      </c>
      <c r="V71" s="325" t="s">
        <v>261</v>
      </c>
      <c r="W71" s="322"/>
    </row>
    <row r="72" customFormat="false" ht="12.75" hidden="false" customHeight="false" outlineLevel="0" collapsed="false">
      <c r="B72" s="3"/>
      <c r="C72" s="322"/>
      <c r="D72" s="323" t="s">
        <v>263</v>
      </c>
      <c r="E72" s="323"/>
      <c r="F72" s="326" t="n">
        <v>0.129</v>
      </c>
      <c r="G72" s="326" t="n">
        <v>0.162</v>
      </c>
      <c r="H72" s="326" t="n">
        <v>0.061</v>
      </c>
      <c r="I72" s="327" t="n">
        <v>14319</v>
      </c>
      <c r="J72" s="322"/>
      <c r="K72" s="322"/>
      <c r="L72" s="322"/>
      <c r="M72" s="322"/>
      <c r="N72" s="322"/>
      <c r="O72" s="328"/>
      <c r="P72" s="322"/>
      <c r="Q72" s="323" t="s">
        <v>263</v>
      </c>
      <c r="R72" s="323"/>
      <c r="S72" s="326" t="n">
        <v>0.073</v>
      </c>
      <c r="T72" s="326" t="n">
        <v>0.063</v>
      </c>
      <c r="U72" s="326" t="n">
        <v>0.045</v>
      </c>
      <c r="V72" s="327" t="n">
        <v>10692</v>
      </c>
      <c r="W72" s="329"/>
      <c r="X72" s="3"/>
    </row>
    <row r="74" customFormat="false" ht="12.75" hidden="false" customHeight="false" outlineLevel="0" collapsed="false">
      <c r="B74" s="330" t="s">
        <v>177</v>
      </c>
      <c r="C74" s="331"/>
      <c r="D74" s="331"/>
      <c r="E74" s="331"/>
      <c r="F74" s="331"/>
      <c r="G74" s="331"/>
      <c r="H74" s="331"/>
      <c r="I74" s="331"/>
      <c r="J74" s="331"/>
      <c r="K74" s="331"/>
      <c r="L74" s="331"/>
      <c r="M74" s="331"/>
      <c r="N74" s="331"/>
      <c r="O74" s="331"/>
      <c r="P74" s="331"/>
      <c r="Q74" s="331"/>
      <c r="R74" s="332"/>
      <c r="S74" s="331"/>
      <c r="T74" s="331"/>
      <c r="U74" s="332"/>
      <c r="V74" s="331"/>
      <c r="W74" s="331"/>
      <c r="X74" s="333"/>
    </row>
    <row r="75" customFormat="false" ht="12.75" hidden="false" customHeight="false" outlineLevel="0" collapsed="false">
      <c r="B75" s="334"/>
      <c r="C75" s="3" t="s">
        <v>266</v>
      </c>
      <c r="D75" s="3"/>
      <c r="E75" s="3"/>
      <c r="F75" s="3"/>
      <c r="G75" s="3"/>
      <c r="H75" s="3" t="s">
        <v>267</v>
      </c>
      <c r="I75" s="3"/>
      <c r="J75" s="3"/>
      <c r="K75" s="3"/>
      <c r="L75" s="3"/>
      <c r="M75" s="3"/>
      <c r="N75" s="3"/>
      <c r="O75" s="3" t="s">
        <v>268</v>
      </c>
      <c r="P75" s="3"/>
      <c r="Q75" s="3"/>
      <c r="R75" s="3"/>
      <c r="S75" s="3" t="s">
        <v>269</v>
      </c>
      <c r="T75" s="3"/>
      <c r="U75" s="3" t="s">
        <v>270</v>
      </c>
      <c r="V75" s="3"/>
      <c r="W75" s="335" t="s">
        <v>271</v>
      </c>
      <c r="X75" s="336"/>
    </row>
    <row r="76" customFormat="false" ht="12.75" hidden="false" customHeight="false" outlineLevel="0" collapsed="false">
      <c r="B76" s="337"/>
      <c r="C76" s="338"/>
      <c r="D76" s="338"/>
      <c r="E76" s="338"/>
      <c r="F76" s="338"/>
      <c r="G76" s="338"/>
      <c r="H76" s="338"/>
      <c r="I76" s="338"/>
      <c r="J76" s="338"/>
      <c r="K76" s="338"/>
      <c r="L76" s="338"/>
      <c r="M76" s="338"/>
      <c r="N76" s="338"/>
      <c r="O76" s="338"/>
      <c r="P76" s="338"/>
      <c r="Q76" s="338"/>
      <c r="R76" s="338"/>
      <c r="S76" s="338"/>
      <c r="T76" s="338"/>
      <c r="U76" s="338"/>
      <c r="V76" s="338"/>
      <c r="W76" s="338"/>
      <c r="X76" s="339"/>
    </row>
    <row r="84" customFormat="false" ht="12.75" hidden="false" customHeight="false" outlineLevel="0" collapsed="false">
      <c r="A84" s="340" t="s">
        <v>272</v>
      </c>
      <c r="B84" s="341"/>
      <c r="C84" s="341"/>
      <c r="D84" s="341"/>
      <c r="E84" s="341"/>
      <c r="F84" s="333"/>
    </row>
    <row r="85" customFormat="false" ht="12.75" hidden="false" customHeight="false" outlineLevel="0" collapsed="false">
      <c r="A85" s="342"/>
      <c r="B85" s="343" t="s">
        <v>259</v>
      </c>
      <c r="C85" s="343" t="s">
        <v>41</v>
      </c>
      <c r="D85" s="343" t="s">
        <v>260</v>
      </c>
      <c r="E85" s="344" t="s">
        <v>261</v>
      </c>
      <c r="F85" s="336"/>
      <c r="H85" s="225"/>
      <c r="I85" s="345"/>
    </row>
    <row r="86" customFormat="false" ht="12.75" hidden="false" customHeight="false" outlineLevel="0" collapsed="false">
      <c r="A86" s="346" t="s">
        <v>273</v>
      </c>
      <c r="B86" s="347" t="str">
        <f aca="false">IF(F35+F72+S35+S72=1,"Ok","Wrong")</f>
        <v>Ok</v>
      </c>
      <c r="C86" s="347" t="str">
        <f aca="false">IF(G35+G72+T35+T72=1,"Ok","Wrong")</f>
        <v>Ok</v>
      </c>
      <c r="D86" s="347" t="str">
        <f aca="false">IF(H35+H72+U35+U72=1,"Ok","Wrong")</f>
        <v>Ok</v>
      </c>
      <c r="E86" s="347" t="str">
        <f aca="false">IF(I35+I72+V35+V72=235472,"Ok","Wrong")</f>
        <v>Ok</v>
      </c>
      <c r="F86" s="339"/>
      <c r="H86" s="225"/>
      <c r="I86" s="345"/>
    </row>
    <row r="87" customFormat="false" ht="12.75" hidden="false" customHeight="false" outlineLevel="0" collapsed="false">
      <c r="H87" s="225"/>
      <c r="I87" s="345"/>
    </row>
    <row r="88" customFormat="false" ht="12.75" hidden="false" customHeight="false" outlineLevel="0" collapsed="false">
      <c r="H88" s="225"/>
      <c r="I88" s="345"/>
    </row>
    <row r="89" customFormat="false" ht="12.75" hidden="false" customHeight="false" outlineLevel="0" collapsed="false">
      <c r="H89" s="225"/>
    </row>
  </sheetData>
  <printOptions headings="false" gridLines="false" gridLinesSet="true" horizontalCentered="true" verticalCentered="false"/>
  <pageMargins left="0.25" right="0.25" top="0.5" bottom="0.25" header="0.511811023622047" footer="0.511811023622047"/>
  <pageSetup paperSize="1" scale="5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48" width="7.42"/>
    <col collapsed="false" customWidth="true" hidden="false" outlineLevel="0" max="13" min="2" style="348" width="8.56"/>
    <col collapsed="false" customWidth="false" hidden="false" outlineLevel="0" max="14" min="14" style="329" width="9.14"/>
    <col collapsed="false" customWidth="true" hidden="false" outlineLevel="0" max="15" min="15" style="329" width="8.41"/>
    <col collapsed="false" customWidth="true" hidden="false" outlineLevel="0" max="27" min="16" style="329" width="8.56"/>
    <col collapsed="false" customWidth="false" hidden="false" outlineLevel="0" max="257" min="28" style="329" width="9.14"/>
  </cols>
  <sheetData>
    <row r="1" customFormat="false" ht="13.5" hidden="false" customHeight="true" outlineLevel="0" collapsed="false">
      <c r="A1" s="349" t="s">
        <v>274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O1" s="349" t="s">
        <v>275</v>
      </c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</row>
    <row r="2" customFormat="false" ht="12.75" hidden="false" customHeight="true" outlineLevel="0" collapsed="false">
      <c r="A2" s="350"/>
      <c r="B2" s="351" t="s">
        <v>21</v>
      </c>
      <c r="C2" s="351"/>
      <c r="D2" s="351"/>
      <c r="E2" s="351" t="s">
        <v>71</v>
      </c>
      <c r="F2" s="351"/>
      <c r="G2" s="351"/>
      <c r="H2" s="351" t="s">
        <v>76</v>
      </c>
      <c r="I2" s="351"/>
      <c r="J2" s="351"/>
      <c r="K2" s="351" t="s">
        <v>276</v>
      </c>
      <c r="L2" s="351"/>
      <c r="M2" s="351"/>
      <c r="O2" s="350"/>
      <c r="P2" s="351" t="s">
        <v>21</v>
      </c>
      <c r="Q2" s="351"/>
      <c r="R2" s="351"/>
      <c r="S2" s="351" t="s">
        <v>71</v>
      </c>
      <c r="T2" s="351"/>
      <c r="U2" s="351"/>
      <c r="V2" s="351" t="s">
        <v>76</v>
      </c>
      <c r="W2" s="351"/>
      <c r="X2" s="351"/>
      <c r="Y2" s="351" t="s">
        <v>276</v>
      </c>
      <c r="Z2" s="351"/>
      <c r="AA2" s="351"/>
    </row>
    <row r="3" customFormat="false" ht="12.75" hidden="false" customHeight="false" outlineLevel="0" collapsed="false">
      <c r="A3" s="352"/>
      <c r="B3" s="353" t="s">
        <v>277</v>
      </c>
      <c r="C3" s="354" t="s">
        <v>278</v>
      </c>
      <c r="D3" s="355" t="n">
        <v>2000</v>
      </c>
      <c r="E3" s="353" t="s">
        <v>277</v>
      </c>
      <c r="F3" s="354" t="s">
        <v>278</v>
      </c>
      <c r="G3" s="355" t="n">
        <v>2000</v>
      </c>
      <c r="H3" s="353" t="s">
        <v>277</v>
      </c>
      <c r="I3" s="354" t="s">
        <v>278</v>
      </c>
      <c r="J3" s="355" t="n">
        <v>2000</v>
      </c>
      <c r="K3" s="353" t="s">
        <v>277</v>
      </c>
      <c r="L3" s="354" t="s">
        <v>278</v>
      </c>
      <c r="M3" s="355" t="n">
        <v>2000</v>
      </c>
      <c r="O3" s="352"/>
      <c r="P3" s="353" t="s">
        <v>277</v>
      </c>
      <c r="Q3" s="354" t="s">
        <v>278</v>
      </c>
      <c r="R3" s="355" t="n">
        <v>2000</v>
      </c>
      <c r="S3" s="353" t="s">
        <v>277</v>
      </c>
      <c r="T3" s="354" t="s">
        <v>278</v>
      </c>
      <c r="U3" s="355" t="n">
        <v>2000</v>
      </c>
      <c r="V3" s="353" t="s">
        <v>277</v>
      </c>
      <c r="W3" s="354" t="s">
        <v>278</v>
      </c>
      <c r="X3" s="355" t="n">
        <v>2000</v>
      </c>
      <c r="Y3" s="353" t="s">
        <v>277</v>
      </c>
      <c r="Z3" s="354" t="s">
        <v>278</v>
      </c>
      <c r="AA3" s="355" t="n">
        <v>2000</v>
      </c>
    </row>
    <row r="4" customFormat="false" ht="12" hidden="false" customHeight="false" outlineLevel="0" collapsed="false">
      <c r="A4" s="356" t="s">
        <v>27</v>
      </c>
      <c r="B4" s="357" t="n">
        <v>0.688</v>
      </c>
      <c r="C4" s="358" t="n">
        <v>0.568</v>
      </c>
      <c r="D4" s="359" t="n">
        <v>0.293</v>
      </c>
      <c r="E4" s="358" t="n">
        <v>0.978</v>
      </c>
      <c r="F4" s="358" t="n">
        <v>0.792</v>
      </c>
      <c r="G4" s="358" t="n">
        <v>0.475</v>
      </c>
      <c r="H4" s="357" t="n">
        <v>0.794</v>
      </c>
      <c r="I4" s="358" t="n">
        <v>0.444</v>
      </c>
      <c r="J4" s="359" t="n">
        <v>0.357</v>
      </c>
      <c r="K4" s="358" t="n">
        <v>0.961</v>
      </c>
      <c r="L4" s="358" t="n">
        <v>0.742</v>
      </c>
      <c r="M4" s="359" t="n">
        <v>0.755</v>
      </c>
      <c r="O4" s="356" t="s">
        <v>27</v>
      </c>
      <c r="P4" s="360" t="s">
        <v>279</v>
      </c>
      <c r="Q4" s="358" t="n">
        <f aca="false">C4-B4</f>
        <v>-0.12</v>
      </c>
      <c r="R4" s="359" t="n">
        <f aca="false">D4-C4</f>
        <v>-0.275</v>
      </c>
      <c r="S4" s="360" t="s">
        <v>279</v>
      </c>
      <c r="T4" s="358" t="n">
        <f aca="false">F4-E4</f>
        <v>-0.186</v>
      </c>
      <c r="U4" s="359" t="n">
        <f aca="false">G4-F4</f>
        <v>-0.317</v>
      </c>
      <c r="V4" s="360" t="s">
        <v>279</v>
      </c>
      <c r="W4" s="358" t="n">
        <f aca="false">I4-H4</f>
        <v>-0.35</v>
      </c>
      <c r="X4" s="359" t="n">
        <f aca="false">J4-I4</f>
        <v>-0.087</v>
      </c>
      <c r="Y4" s="360" t="s">
        <v>279</v>
      </c>
      <c r="Z4" s="358" t="n">
        <f aca="false">L4-K4</f>
        <v>-0.219</v>
      </c>
      <c r="AA4" s="359" t="n">
        <f aca="false">M4-L4</f>
        <v>0.013</v>
      </c>
    </row>
    <row r="5" customFormat="false" ht="12" hidden="false" customHeight="false" outlineLevel="0" collapsed="false">
      <c r="A5" s="361" t="s">
        <v>30</v>
      </c>
      <c r="B5" s="357" t="n">
        <v>0.79</v>
      </c>
      <c r="C5" s="358" t="n">
        <v>0.622</v>
      </c>
      <c r="D5" s="359" t="n">
        <v>0.45</v>
      </c>
      <c r="E5" s="358" t="n">
        <v>0.989</v>
      </c>
      <c r="F5" s="358" t="n">
        <v>0.844</v>
      </c>
      <c r="G5" s="358" t="n">
        <v>0.473</v>
      </c>
      <c r="H5" s="357" t="n">
        <v>0.857</v>
      </c>
      <c r="I5" s="358" t="n">
        <v>0.426</v>
      </c>
      <c r="J5" s="359" t="n">
        <v>0.541</v>
      </c>
      <c r="K5" s="358" t="n">
        <v>0.97</v>
      </c>
      <c r="L5" s="358" t="n">
        <v>0.802</v>
      </c>
      <c r="M5" s="359" t="n">
        <v>0.807</v>
      </c>
      <c r="O5" s="361" t="s">
        <v>30</v>
      </c>
      <c r="P5" s="360" t="s">
        <v>279</v>
      </c>
      <c r="Q5" s="358" t="n">
        <f aca="false">C5-B5</f>
        <v>-0.168</v>
      </c>
      <c r="R5" s="359" t="n">
        <f aca="false">D5-C5</f>
        <v>-0.172</v>
      </c>
      <c r="S5" s="360" t="s">
        <v>279</v>
      </c>
      <c r="T5" s="358" t="n">
        <f aca="false">F5-E5</f>
        <v>-0.145</v>
      </c>
      <c r="U5" s="359" t="n">
        <f aca="false">G5-F5</f>
        <v>-0.371</v>
      </c>
      <c r="V5" s="360" t="s">
        <v>279</v>
      </c>
      <c r="W5" s="358" t="n">
        <f aca="false">I5-H5</f>
        <v>-0.431</v>
      </c>
      <c r="X5" s="359" t="n">
        <f aca="false">J5-I5</f>
        <v>0.115</v>
      </c>
      <c r="Y5" s="360" t="s">
        <v>279</v>
      </c>
      <c r="Z5" s="358" t="n">
        <f aca="false">L5-K5</f>
        <v>-0.168</v>
      </c>
      <c r="AA5" s="359" t="n">
        <f aca="false">M5-L5</f>
        <v>0.005</v>
      </c>
    </row>
    <row r="6" customFormat="false" ht="12" hidden="false" customHeight="false" outlineLevel="0" collapsed="false">
      <c r="A6" s="361" t="s">
        <v>33</v>
      </c>
      <c r="B6" s="357" t="n">
        <v>0.831</v>
      </c>
      <c r="C6" s="358" t="n">
        <v>0.71</v>
      </c>
      <c r="D6" s="359" t="n">
        <v>0.585</v>
      </c>
      <c r="E6" s="358" t="n">
        <v>0.957</v>
      </c>
      <c r="F6" s="358" t="n">
        <v>0.749</v>
      </c>
      <c r="G6" s="358" t="n">
        <v>0.523</v>
      </c>
      <c r="H6" s="357" t="n">
        <v>0.816</v>
      </c>
      <c r="I6" s="358" t="n">
        <v>0.586</v>
      </c>
      <c r="J6" s="359" t="n">
        <v>0.66</v>
      </c>
      <c r="K6" s="358" t="n">
        <v>0.955</v>
      </c>
      <c r="L6" s="358" t="n">
        <v>0.81</v>
      </c>
      <c r="M6" s="359" t="n">
        <v>0.833</v>
      </c>
      <c r="O6" s="361" t="s">
        <v>33</v>
      </c>
      <c r="P6" s="360" t="s">
        <v>279</v>
      </c>
      <c r="Q6" s="358" t="n">
        <f aca="false">C6-B6</f>
        <v>-0.121</v>
      </c>
      <c r="R6" s="359" t="n">
        <f aca="false">D6-C6</f>
        <v>-0.125</v>
      </c>
      <c r="S6" s="360" t="s">
        <v>279</v>
      </c>
      <c r="T6" s="358" t="n">
        <f aca="false">F6-E6</f>
        <v>-0.208</v>
      </c>
      <c r="U6" s="359" t="n">
        <f aca="false">G6-F6</f>
        <v>-0.226</v>
      </c>
      <c r="V6" s="360" t="s">
        <v>279</v>
      </c>
      <c r="W6" s="358" t="n">
        <f aca="false">I6-H6</f>
        <v>-0.23</v>
      </c>
      <c r="X6" s="359" t="n">
        <f aca="false">J6-I6</f>
        <v>0.0740000000000001</v>
      </c>
      <c r="Y6" s="360" t="s">
        <v>279</v>
      </c>
      <c r="Z6" s="358" t="n">
        <f aca="false">L6-K6</f>
        <v>-0.145</v>
      </c>
      <c r="AA6" s="359" t="n">
        <f aca="false">M6-L6</f>
        <v>0.0229999999999999</v>
      </c>
    </row>
    <row r="7" customFormat="false" ht="12" hidden="false" customHeight="false" outlineLevel="0" collapsed="false">
      <c r="A7" s="361" t="s">
        <v>36</v>
      </c>
      <c r="B7" s="357" t="n">
        <v>0.818</v>
      </c>
      <c r="C7" s="358" t="n">
        <v>0.698</v>
      </c>
      <c r="D7" s="359" t="n">
        <v>0.594</v>
      </c>
      <c r="E7" s="358" t="n">
        <v>0.928</v>
      </c>
      <c r="F7" s="358" t="n">
        <v>0.727</v>
      </c>
      <c r="G7" s="358" t="n">
        <v>0.4</v>
      </c>
      <c r="H7" s="357" t="n">
        <v>0.841</v>
      </c>
      <c r="I7" s="358" t="n">
        <v>0.574</v>
      </c>
      <c r="J7" s="359" t="n">
        <v>0.712</v>
      </c>
      <c r="K7" s="358" t="n">
        <v>1.04</v>
      </c>
      <c r="L7" s="358" t="n">
        <v>0.832</v>
      </c>
      <c r="M7" s="359" t="n">
        <v>0.837</v>
      </c>
      <c r="O7" s="361" t="s">
        <v>36</v>
      </c>
      <c r="P7" s="360" t="s">
        <v>279</v>
      </c>
      <c r="Q7" s="358" t="n">
        <f aca="false">C7-B7</f>
        <v>-0.12</v>
      </c>
      <c r="R7" s="359" t="n">
        <f aca="false">D7-C7</f>
        <v>-0.104</v>
      </c>
      <c r="S7" s="360" t="s">
        <v>279</v>
      </c>
      <c r="T7" s="358" t="n">
        <f aca="false">F7-E7</f>
        <v>-0.201</v>
      </c>
      <c r="U7" s="359" t="n">
        <f aca="false">G7-F7</f>
        <v>-0.327</v>
      </c>
      <c r="V7" s="360" t="s">
        <v>279</v>
      </c>
      <c r="W7" s="358" t="n">
        <f aca="false">I7-H7</f>
        <v>-0.267</v>
      </c>
      <c r="X7" s="359" t="n">
        <f aca="false">J7-I7</f>
        <v>0.138</v>
      </c>
      <c r="Y7" s="360" t="s">
        <v>279</v>
      </c>
      <c r="Z7" s="358" t="n">
        <f aca="false">L7-K7</f>
        <v>-0.208</v>
      </c>
      <c r="AA7" s="359" t="n">
        <f aca="false">M7-L7</f>
        <v>0.005</v>
      </c>
    </row>
    <row r="8" customFormat="false" ht="12" hidden="false" customHeight="false" outlineLevel="0" collapsed="false">
      <c r="A8" s="361" t="s">
        <v>40</v>
      </c>
      <c r="B8" s="357" t="n">
        <v>0.802</v>
      </c>
      <c r="C8" s="358" t="n">
        <v>0.654</v>
      </c>
      <c r="D8" s="359" t="n">
        <v>0.541</v>
      </c>
      <c r="E8" s="358" t="n">
        <v>0.936</v>
      </c>
      <c r="F8" s="358" t="n">
        <v>0.608</v>
      </c>
      <c r="G8" s="358" t="n">
        <v>0.302</v>
      </c>
      <c r="H8" s="357" t="n">
        <v>0.786</v>
      </c>
      <c r="I8" s="358" t="n">
        <v>0.529</v>
      </c>
      <c r="J8" s="359" t="n">
        <v>0.673</v>
      </c>
      <c r="K8" s="358" t="n">
        <v>1.051</v>
      </c>
      <c r="L8" s="358" t="n">
        <v>0.837</v>
      </c>
      <c r="M8" s="359" t="n">
        <v>0.821</v>
      </c>
      <c r="O8" s="361" t="s">
        <v>40</v>
      </c>
      <c r="P8" s="360" t="s">
        <v>279</v>
      </c>
      <c r="Q8" s="358" t="n">
        <f aca="false">C8-B8</f>
        <v>-0.148</v>
      </c>
      <c r="R8" s="359" t="n">
        <f aca="false">D8-C8</f>
        <v>-0.113</v>
      </c>
      <c r="S8" s="360" t="s">
        <v>279</v>
      </c>
      <c r="T8" s="358" t="n">
        <f aca="false">F8-E8</f>
        <v>-0.328</v>
      </c>
      <c r="U8" s="359" t="n">
        <f aca="false">G8-F8</f>
        <v>-0.306</v>
      </c>
      <c r="V8" s="360" t="s">
        <v>279</v>
      </c>
      <c r="W8" s="358" t="n">
        <f aca="false">I8-H8</f>
        <v>-0.257</v>
      </c>
      <c r="X8" s="359" t="n">
        <f aca="false">J8-I8</f>
        <v>0.144</v>
      </c>
      <c r="Y8" s="360" t="s">
        <v>279</v>
      </c>
      <c r="Z8" s="358" t="n">
        <f aca="false">L8-K8</f>
        <v>-0.214</v>
      </c>
      <c r="AA8" s="359" t="n">
        <f aca="false">M8-L8</f>
        <v>-0.016</v>
      </c>
    </row>
    <row r="9" customFormat="false" ht="12" hidden="false" customHeight="false" outlineLevel="0" collapsed="false">
      <c r="A9" s="361" t="s">
        <v>43</v>
      </c>
      <c r="B9" s="357" t="n">
        <v>0.757</v>
      </c>
      <c r="C9" s="358" t="n">
        <v>0.601</v>
      </c>
      <c r="D9" s="359" t="n">
        <v>0.473</v>
      </c>
      <c r="E9" s="358" t="n">
        <v>0.851</v>
      </c>
      <c r="F9" s="358" t="n">
        <v>0.761</v>
      </c>
      <c r="G9" s="358" t="n">
        <v>0.41</v>
      </c>
      <c r="H9" s="357" t="n">
        <v>0.728</v>
      </c>
      <c r="I9" s="358" t="n">
        <v>0.464</v>
      </c>
      <c r="J9" s="359" t="n">
        <v>0.618</v>
      </c>
      <c r="K9" s="358" t="n">
        <v>0.968</v>
      </c>
      <c r="L9" s="358" t="n">
        <v>0.81</v>
      </c>
      <c r="M9" s="359" t="n">
        <v>0.811</v>
      </c>
      <c r="O9" s="361" t="s">
        <v>43</v>
      </c>
      <c r="P9" s="360" t="s">
        <v>279</v>
      </c>
      <c r="Q9" s="358" t="n">
        <f aca="false">C9-B9</f>
        <v>-0.156</v>
      </c>
      <c r="R9" s="359" t="n">
        <f aca="false">D9-C9</f>
        <v>-0.128</v>
      </c>
      <c r="S9" s="360" t="s">
        <v>279</v>
      </c>
      <c r="T9" s="358" t="n">
        <f aca="false">F9-E9</f>
        <v>-0.09</v>
      </c>
      <c r="U9" s="359" t="n">
        <f aca="false">G9-F9</f>
        <v>-0.351</v>
      </c>
      <c r="V9" s="360" t="s">
        <v>279</v>
      </c>
      <c r="W9" s="358" t="n">
        <f aca="false">I9-H9</f>
        <v>-0.264</v>
      </c>
      <c r="X9" s="359" t="n">
        <f aca="false">J9-I9</f>
        <v>0.154</v>
      </c>
      <c r="Y9" s="360" t="s">
        <v>279</v>
      </c>
      <c r="Z9" s="358" t="n">
        <f aca="false">L9-K9</f>
        <v>-0.158</v>
      </c>
      <c r="AA9" s="359" t="n">
        <f aca="false">M9-L9</f>
        <v>0.001</v>
      </c>
    </row>
    <row r="10" customFormat="false" ht="12" hidden="false" customHeight="false" outlineLevel="0" collapsed="false">
      <c r="A10" s="361" t="s">
        <v>46</v>
      </c>
      <c r="B10" s="357" t="n">
        <v>0.678</v>
      </c>
      <c r="C10" s="358" t="n">
        <v>0.542</v>
      </c>
      <c r="D10" s="359" t="n">
        <v>0.406</v>
      </c>
      <c r="E10" s="358" t="n">
        <v>0.959</v>
      </c>
      <c r="F10" s="358" t="n">
        <v>0.879</v>
      </c>
      <c r="G10" s="358" t="n">
        <v>0.441</v>
      </c>
      <c r="H10" s="357" t="n">
        <v>0.638</v>
      </c>
      <c r="I10" s="358" t="n">
        <v>0.396</v>
      </c>
      <c r="J10" s="359" t="n">
        <v>0.557</v>
      </c>
      <c r="K10" s="358" t="n">
        <v>0.819</v>
      </c>
      <c r="L10" s="358" t="n">
        <v>0.714</v>
      </c>
      <c r="M10" s="359" t="n">
        <v>0.755</v>
      </c>
      <c r="O10" s="361" t="s">
        <v>46</v>
      </c>
      <c r="P10" s="360" t="s">
        <v>279</v>
      </c>
      <c r="Q10" s="358" t="n">
        <f aca="false">C10-B10</f>
        <v>-0.136</v>
      </c>
      <c r="R10" s="359" t="n">
        <f aca="false">D10-C10</f>
        <v>-0.136</v>
      </c>
      <c r="S10" s="360" t="s">
        <v>279</v>
      </c>
      <c r="T10" s="358" t="n">
        <f aca="false">F10-E10</f>
        <v>-0.0800000000000001</v>
      </c>
      <c r="U10" s="359" t="n">
        <f aca="false">G10-F10</f>
        <v>-0.438</v>
      </c>
      <c r="V10" s="360" t="s">
        <v>279</v>
      </c>
      <c r="W10" s="358" t="n">
        <f aca="false">I10-H10</f>
        <v>-0.242</v>
      </c>
      <c r="X10" s="359" t="n">
        <f aca="false">J10-I10</f>
        <v>0.161</v>
      </c>
      <c r="Y10" s="360" t="s">
        <v>279</v>
      </c>
      <c r="Z10" s="358" t="n">
        <f aca="false">L10-K10</f>
        <v>-0.105</v>
      </c>
      <c r="AA10" s="359" t="n">
        <f aca="false">M10-L10</f>
        <v>0.041</v>
      </c>
    </row>
    <row r="11" customFormat="false" ht="12" hidden="false" customHeight="false" outlineLevel="0" collapsed="false">
      <c r="A11" s="361" t="s">
        <v>49</v>
      </c>
      <c r="B11" s="357" t="n">
        <v>0.605</v>
      </c>
      <c r="C11" s="358" t="n">
        <v>0.45</v>
      </c>
      <c r="D11" s="359" t="n">
        <v>0.318</v>
      </c>
      <c r="E11" s="358" t="n">
        <v>0.934</v>
      </c>
      <c r="F11" s="358" t="n">
        <v>0.705</v>
      </c>
      <c r="G11" s="358" t="n">
        <v>0.462</v>
      </c>
      <c r="H11" s="357" t="n">
        <v>0.551</v>
      </c>
      <c r="I11" s="358" t="n">
        <v>0.319</v>
      </c>
      <c r="J11" s="359" t="n">
        <v>0.47</v>
      </c>
      <c r="K11" s="358" t="n">
        <v>0.637</v>
      </c>
      <c r="L11" s="358" t="n">
        <v>0.585</v>
      </c>
      <c r="M11" s="359" t="n">
        <v>0.615</v>
      </c>
      <c r="O11" s="361" t="s">
        <v>49</v>
      </c>
      <c r="P11" s="360" t="s">
        <v>279</v>
      </c>
      <c r="Q11" s="358" t="n">
        <f aca="false">C11-B11</f>
        <v>-0.155</v>
      </c>
      <c r="R11" s="359" t="n">
        <f aca="false">D11-C11</f>
        <v>-0.132</v>
      </c>
      <c r="S11" s="360" t="s">
        <v>279</v>
      </c>
      <c r="T11" s="358" t="n">
        <f aca="false">F11-E11</f>
        <v>-0.229</v>
      </c>
      <c r="U11" s="359" t="n">
        <f aca="false">G11-F11</f>
        <v>-0.243</v>
      </c>
      <c r="V11" s="360" t="s">
        <v>279</v>
      </c>
      <c r="W11" s="358" t="n">
        <f aca="false">I11-H11</f>
        <v>-0.232</v>
      </c>
      <c r="X11" s="359" t="n">
        <f aca="false">J11-I11</f>
        <v>0.151</v>
      </c>
      <c r="Y11" s="360" t="s">
        <v>279</v>
      </c>
      <c r="Z11" s="358" t="n">
        <f aca="false">L11-K11</f>
        <v>-0.052</v>
      </c>
      <c r="AA11" s="359" t="n">
        <f aca="false">M11-L11</f>
        <v>0.03</v>
      </c>
    </row>
    <row r="12" customFormat="false" ht="12" hidden="false" customHeight="false" outlineLevel="0" collapsed="false">
      <c r="A12" s="361" t="s">
        <v>53</v>
      </c>
      <c r="B12" s="357" t="n">
        <v>0.525</v>
      </c>
      <c r="C12" s="358" t="n">
        <v>0.367</v>
      </c>
      <c r="D12" s="359" t="n">
        <v>0.307</v>
      </c>
      <c r="E12" s="358" t="n">
        <v>0.936</v>
      </c>
      <c r="F12" s="358" t="n">
        <v>0.616</v>
      </c>
      <c r="G12" s="358" t="n">
        <v>0.867</v>
      </c>
      <c r="H12" s="357" t="n">
        <v>0.442</v>
      </c>
      <c r="I12" s="358" t="n">
        <v>0.252</v>
      </c>
      <c r="J12" s="359" t="n">
        <v>0.393</v>
      </c>
      <c r="K12" s="358" t="n">
        <v>0.448</v>
      </c>
      <c r="L12" s="358" t="n">
        <v>0.438</v>
      </c>
      <c r="M12" s="359" t="n">
        <v>0.45</v>
      </c>
      <c r="O12" s="361" t="s">
        <v>53</v>
      </c>
      <c r="P12" s="360" t="s">
        <v>279</v>
      </c>
      <c r="Q12" s="358" t="n">
        <f aca="false">C12-B12</f>
        <v>-0.158</v>
      </c>
      <c r="R12" s="359" t="n">
        <f aca="false">D12-C12</f>
        <v>-0.0600000000000001</v>
      </c>
      <c r="S12" s="360" t="s">
        <v>279</v>
      </c>
      <c r="T12" s="358" t="n">
        <f aca="false">F12-E12</f>
        <v>-0.32</v>
      </c>
      <c r="U12" s="359" t="n">
        <f aca="false">G12-F12</f>
        <v>0.251</v>
      </c>
      <c r="V12" s="360" t="s">
        <v>279</v>
      </c>
      <c r="W12" s="358" t="n">
        <f aca="false">I12-H12</f>
        <v>-0.19</v>
      </c>
      <c r="X12" s="359" t="n">
        <f aca="false">J12-I12</f>
        <v>0.141</v>
      </c>
      <c r="Y12" s="360" t="s">
        <v>279</v>
      </c>
      <c r="Z12" s="358" t="n">
        <f aca="false">L12-K12</f>
        <v>-0.00999999999999995</v>
      </c>
      <c r="AA12" s="359" t="n">
        <f aca="false">M12-L12</f>
        <v>0.012</v>
      </c>
    </row>
    <row r="13" customFormat="false" ht="12" hidden="false" customHeight="false" outlineLevel="0" collapsed="false">
      <c r="A13" s="361" t="s">
        <v>55</v>
      </c>
      <c r="B13" s="357" t="n">
        <v>0.478</v>
      </c>
      <c r="C13" s="358" t="n">
        <v>0.264</v>
      </c>
      <c r="D13" s="359" t="n">
        <v>0.23</v>
      </c>
      <c r="E13" s="358" t="n">
        <v>0.975</v>
      </c>
      <c r="F13" s="358" t="n">
        <v>0.792</v>
      </c>
      <c r="G13" s="358" t="n">
        <v>0.962</v>
      </c>
      <c r="H13" s="357" t="n">
        <v>0.344</v>
      </c>
      <c r="I13" s="358" t="n">
        <v>0.17</v>
      </c>
      <c r="J13" s="359" t="n">
        <v>0.289</v>
      </c>
      <c r="K13" s="358" t="n">
        <v>0.274</v>
      </c>
      <c r="L13" s="358" t="n">
        <v>0.287</v>
      </c>
      <c r="M13" s="359" t="n">
        <v>0.321</v>
      </c>
      <c r="O13" s="361" t="s">
        <v>55</v>
      </c>
      <c r="P13" s="360" t="s">
        <v>279</v>
      </c>
      <c r="Q13" s="358" t="n">
        <f aca="false">C13-B13</f>
        <v>-0.214</v>
      </c>
      <c r="R13" s="359" t="n">
        <f aca="false">D13-C13</f>
        <v>-0.034</v>
      </c>
      <c r="S13" s="360" t="s">
        <v>279</v>
      </c>
      <c r="T13" s="358" t="n">
        <f aca="false">F13-E13</f>
        <v>-0.183</v>
      </c>
      <c r="U13" s="359" t="n">
        <f aca="false">G13-F13</f>
        <v>0.17</v>
      </c>
      <c r="V13" s="360" t="s">
        <v>279</v>
      </c>
      <c r="W13" s="358" t="n">
        <f aca="false">I13-H13</f>
        <v>-0.174</v>
      </c>
      <c r="X13" s="359" t="n">
        <f aca="false">J13-I13</f>
        <v>0.119</v>
      </c>
      <c r="Y13" s="360" t="s">
        <v>279</v>
      </c>
      <c r="Z13" s="358" t="n">
        <f aca="false">L13-K13</f>
        <v>0.013</v>
      </c>
      <c r="AA13" s="359" t="n">
        <f aca="false">M13-L13</f>
        <v>0.034</v>
      </c>
    </row>
    <row r="14" customFormat="false" ht="12" hidden="false" customHeight="false" outlineLevel="0" collapsed="false">
      <c r="A14" s="361" t="s">
        <v>58</v>
      </c>
      <c r="B14" s="357" t="n">
        <v>0.435</v>
      </c>
      <c r="C14" s="358" t="n">
        <v>0.197</v>
      </c>
      <c r="D14" s="359" t="n">
        <v>0.2209</v>
      </c>
      <c r="E14" s="358" t="n">
        <v>0.879</v>
      </c>
      <c r="F14" s="358" t="n">
        <v>0.662</v>
      </c>
      <c r="G14" s="358" t="n">
        <v>0.929</v>
      </c>
      <c r="H14" s="357" t="n">
        <v>0.337</v>
      </c>
      <c r="I14" s="358" t="n">
        <v>0.159</v>
      </c>
      <c r="J14" s="359" t="n">
        <v>0.2754</v>
      </c>
      <c r="K14" s="358" t="n">
        <v>0.274</v>
      </c>
      <c r="L14" s="358" t="n">
        <v>0.24</v>
      </c>
      <c r="M14" s="359" t="n">
        <v>0.2902</v>
      </c>
      <c r="O14" s="361" t="s">
        <v>58</v>
      </c>
      <c r="P14" s="360" t="s">
        <v>279</v>
      </c>
      <c r="Q14" s="358" t="n">
        <f aca="false">C14-B14</f>
        <v>-0.238</v>
      </c>
      <c r="R14" s="359" t="n">
        <f aca="false">D14-C14</f>
        <v>0.0239</v>
      </c>
      <c r="S14" s="360" t="s">
        <v>279</v>
      </c>
      <c r="T14" s="358" t="n">
        <f aca="false">F14-E14</f>
        <v>-0.217</v>
      </c>
      <c r="U14" s="359" t="n">
        <f aca="false">G14-F14</f>
        <v>0.267</v>
      </c>
      <c r="V14" s="360" t="s">
        <v>279</v>
      </c>
      <c r="W14" s="358" t="n">
        <f aca="false">I14-H14</f>
        <v>-0.178</v>
      </c>
      <c r="X14" s="359" t="n">
        <f aca="false">J14-I14</f>
        <v>0.1164</v>
      </c>
      <c r="Y14" s="360" t="s">
        <v>279</v>
      </c>
      <c r="Z14" s="358" t="n">
        <f aca="false">L14-K14</f>
        <v>-0.034</v>
      </c>
      <c r="AA14" s="359" t="n">
        <f aca="false">M14-L14</f>
        <v>0.0502</v>
      </c>
    </row>
    <row r="15" customFormat="false" ht="12.75" hidden="false" customHeight="false" outlineLevel="0" collapsed="false">
      <c r="A15" s="362" t="s">
        <v>61</v>
      </c>
      <c r="B15" s="363" t="n">
        <v>0.463</v>
      </c>
      <c r="C15" s="364" t="n">
        <v>0.181</v>
      </c>
      <c r="D15" s="365" t="n">
        <f aca="false">28.52/100</f>
        <v>0.2852</v>
      </c>
      <c r="E15" s="364" t="n">
        <v>0.825</v>
      </c>
      <c r="F15" s="364" t="n">
        <v>0.529</v>
      </c>
      <c r="G15" s="364" t="n">
        <f aca="false">89.37/100</f>
        <v>0.8937</v>
      </c>
      <c r="H15" s="363" t="n">
        <v>0.391</v>
      </c>
      <c r="I15" s="364" t="n">
        <v>0.218</v>
      </c>
      <c r="J15" s="365" t="n">
        <f aca="false">36.81/100</f>
        <v>0.3681</v>
      </c>
      <c r="K15" s="364" t="n">
        <v>0.458</v>
      </c>
      <c r="L15" s="364" t="n">
        <v>0.457</v>
      </c>
      <c r="M15" s="365" t="n">
        <f aca="false">59.33/100</f>
        <v>0.5933</v>
      </c>
      <c r="O15" s="362" t="s">
        <v>61</v>
      </c>
      <c r="P15" s="366" t="s">
        <v>279</v>
      </c>
      <c r="Q15" s="364" t="n">
        <f aca="false">C15-B15</f>
        <v>-0.282</v>
      </c>
      <c r="R15" s="365" t="n">
        <f aca="false">D15-C15</f>
        <v>0.1042</v>
      </c>
      <c r="S15" s="366" t="s">
        <v>279</v>
      </c>
      <c r="T15" s="364" t="n">
        <f aca="false">F15-E15</f>
        <v>-0.296</v>
      </c>
      <c r="U15" s="365" t="n">
        <f aca="false">G15-F15</f>
        <v>0.3647</v>
      </c>
      <c r="V15" s="366" t="s">
        <v>279</v>
      </c>
      <c r="W15" s="364" t="n">
        <f aca="false">I15-H15</f>
        <v>-0.173</v>
      </c>
      <c r="X15" s="365" t="n">
        <f aca="false">J15-I15</f>
        <v>0.1501</v>
      </c>
      <c r="Y15" s="366" t="s">
        <v>279</v>
      </c>
      <c r="Z15" s="364" t="n">
        <f aca="false">L15-K15</f>
        <v>-0.000999999999999945</v>
      </c>
      <c r="AA15" s="365" t="n">
        <f aca="false">M15-L15</f>
        <v>0.1363</v>
      </c>
    </row>
    <row r="16" customFormat="false" ht="12" hidden="false" customHeight="false" outlineLevel="0" collapsed="false">
      <c r="O16" s="348"/>
      <c r="P16" s="348"/>
      <c r="Q16" s="348"/>
      <c r="R16" s="348"/>
      <c r="S16" s="348"/>
      <c r="T16" s="348"/>
      <c r="U16" s="348"/>
      <c r="V16" s="348"/>
      <c r="W16" s="348"/>
      <c r="X16" s="348"/>
      <c r="Y16" s="348"/>
      <c r="Z16" s="348"/>
      <c r="AA16" s="348"/>
    </row>
    <row r="17" customFormat="false" ht="12" hidden="false" customHeight="false" outlineLevel="0" collapsed="false">
      <c r="O17" s="348"/>
      <c r="P17" s="348"/>
      <c r="Q17" s="348"/>
      <c r="R17" s="348"/>
      <c r="S17" s="348"/>
      <c r="T17" s="348"/>
      <c r="U17" s="348"/>
      <c r="V17" s="348"/>
      <c r="W17" s="348"/>
      <c r="X17" s="348"/>
      <c r="Y17" s="348"/>
      <c r="Z17" s="348"/>
      <c r="AA17" s="348"/>
    </row>
    <row r="18" customFormat="false" ht="12.75" hidden="false" customHeight="false" outlineLevel="0" collapsed="false">
      <c r="O18" s="348"/>
      <c r="P18" s="348"/>
      <c r="Q18" s="348"/>
      <c r="R18" s="348"/>
      <c r="S18" s="348"/>
      <c r="T18" s="348"/>
      <c r="U18" s="348"/>
      <c r="V18" s="348"/>
      <c r="W18" s="348"/>
      <c r="X18" s="348"/>
      <c r="Y18" s="348"/>
      <c r="Z18" s="348"/>
      <c r="AA18" s="348"/>
    </row>
    <row r="19" customFormat="false" ht="13.5" hidden="false" customHeight="true" outlineLevel="0" collapsed="false">
      <c r="A19" s="367" t="s">
        <v>280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7"/>
      <c r="L19" s="367"/>
      <c r="M19" s="367"/>
      <c r="O19" s="367" t="s">
        <v>281</v>
      </c>
      <c r="P19" s="367"/>
      <c r="Q19" s="367"/>
      <c r="R19" s="367"/>
      <c r="S19" s="367"/>
      <c r="T19" s="367"/>
      <c r="U19" s="367"/>
      <c r="V19" s="367"/>
      <c r="W19" s="367"/>
      <c r="X19" s="367"/>
      <c r="Y19" s="367"/>
      <c r="Z19" s="367"/>
      <c r="AA19" s="367"/>
    </row>
    <row r="20" customFormat="false" ht="12.75" hidden="false" customHeight="true" outlineLevel="0" collapsed="false">
      <c r="A20" s="350"/>
      <c r="B20" s="351" t="s">
        <v>21</v>
      </c>
      <c r="C20" s="351"/>
      <c r="D20" s="351"/>
      <c r="E20" s="351" t="s">
        <v>71</v>
      </c>
      <c r="F20" s="351"/>
      <c r="G20" s="351"/>
      <c r="H20" s="351" t="s">
        <v>76</v>
      </c>
      <c r="I20" s="351"/>
      <c r="J20" s="351"/>
      <c r="K20" s="351" t="s">
        <v>276</v>
      </c>
      <c r="L20" s="351"/>
      <c r="M20" s="351"/>
      <c r="O20" s="350"/>
      <c r="P20" s="351" t="s">
        <v>21</v>
      </c>
      <c r="Q20" s="351"/>
      <c r="R20" s="351"/>
      <c r="S20" s="351" t="s">
        <v>71</v>
      </c>
      <c r="T20" s="351"/>
      <c r="U20" s="351"/>
      <c r="V20" s="351" t="s">
        <v>76</v>
      </c>
      <c r="W20" s="351"/>
      <c r="X20" s="351"/>
      <c r="Y20" s="351" t="s">
        <v>276</v>
      </c>
      <c r="Z20" s="351"/>
      <c r="AA20" s="351"/>
    </row>
    <row r="21" customFormat="false" ht="12.75" hidden="false" customHeight="false" outlineLevel="0" collapsed="false">
      <c r="A21" s="352"/>
      <c r="B21" s="353" t="s">
        <v>277</v>
      </c>
      <c r="C21" s="354" t="s">
        <v>278</v>
      </c>
      <c r="D21" s="355" t="n">
        <v>2000</v>
      </c>
      <c r="E21" s="353" t="s">
        <v>277</v>
      </c>
      <c r="F21" s="354" t="s">
        <v>278</v>
      </c>
      <c r="G21" s="355" t="n">
        <v>2000</v>
      </c>
      <c r="H21" s="353" t="s">
        <v>277</v>
      </c>
      <c r="I21" s="354" t="s">
        <v>278</v>
      </c>
      <c r="J21" s="355" t="n">
        <v>2000</v>
      </c>
      <c r="K21" s="353" t="s">
        <v>277</v>
      </c>
      <c r="L21" s="354" t="s">
        <v>278</v>
      </c>
      <c r="M21" s="355" t="n">
        <v>2000</v>
      </c>
      <c r="O21" s="352"/>
      <c r="P21" s="353" t="s">
        <v>277</v>
      </c>
      <c r="Q21" s="354" t="s">
        <v>278</v>
      </c>
      <c r="R21" s="355" t="n">
        <v>2000</v>
      </c>
      <c r="S21" s="353" t="s">
        <v>277</v>
      </c>
      <c r="T21" s="354" t="s">
        <v>278</v>
      </c>
      <c r="U21" s="355" t="n">
        <v>2000</v>
      </c>
      <c r="V21" s="353" t="s">
        <v>277</v>
      </c>
      <c r="W21" s="354" t="s">
        <v>278</v>
      </c>
      <c r="X21" s="355" t="n">
        <v>2000</v>
      </c>
      <c r="Y21" s="353" t="s">
        <v>277</v>
      </c>
      <c r="Z21" s="354" t="s">
        <v>278</v>
      </c>
      <c r="AA21" s="355" t="n">
        <v>2000</v>
      </c>
    </row>
    <row r="22" customFormat="false" ht="12" hidden="false" customHeight="false" outlineLevel="0" collapsed="false">
      <c r="A22" s="356" t="s">
        <v>27</v>
      </c>
      <c r="B22" s="368" t="n">
        <v>0.78440334214097</v>
      </c>
      <c r="C22" s="358" t="n">
        <v>1.11</v>
      </c>
      <c r="D22" s="359" t="n">
        <v>0.97</v>
      </c>
      <c r="E22" s="368" t="n">
        <v>2.44415329184409</v>
      </c>
      <c r="F22" s="358" t="n">
        <v>0.96</v>
      </c>
      <c r="G22" s="359" t="n">
        <v>0.82</v>
      </c>
      <c r="H22" s="368" t="n">
        <v>0.673769771528998</v>
      </c>
      <c r="I22" s="358" t="n">
        <v>0.69</v>
      </c>
      <c r="J22" s="359" t="n">
        <v>0.89</v>
      </c>
      <c r="K22" s="368" t="n">
        <v>0.643612903225806</v>
      </c>
      <c r="L22" s="358" t="n">
        <v>0.79</v>
      </c>
      <c r="M22" s="359" t="n">
        <v>1.42</v>
      </c>
      <c r="O22" s="356" t="s">
        <v>27</v>
      </c>
      <c r="P22" s="360" t="s">
        <v>279</v>
      </c>
      <c r="Q22" s="358" t="n">
        <f aca="false">C22-B22</f>
        <v>0.32559665785903</v>
      </c>
      <c r="R22" s="359" t="n">
        <f aca="false">D22-C22</f>
        <v>-0.14</v>
      </c>
      <c r="S22" s="360" t="s">
        <v>279</v>
      </c>
      <c r="T22" s="358" t="n">
        <f aca="false">F22-E22</f>
        <v>-1.48415329184409</v>
      </c>
      <c r="U22" s="359" t="n">
        <f aca="false">G22-F22</f>
        <v>-0.14</v>
      </c>
      <c r="V22" s="360" t="s">
        <v>279</v>
      </c>
      <c r="W22" s="358" t="n">
        <f aca="false">I22-H22</f>
        <v>0.0162302284710016</v>
      </c>
      <c r="X22" s="359" t="n">
        <f aca="false">J22-I22</f>
        <v>0.2</v>
      </c>
      <c r="Y22" s="360" t="s">
        <v>279</v>
      </c>
      <c r="Z22" s="358" t="n">
        <f aca="false">L22-K22</f>
        <v>0.146387096774194</v>
      </c>
      <c r="AA22" s="359" t="n">
        <f aca="false">M22-L22</f>
        <v>0.63</v>
      </c>
    </row>
    <row r="23" customFormat="false" ht="12" hidden="false" customHeight="false" outlineLevel="0" collapsed="false">
      <c r="A23" s="361" t="s">
        <v>30</v>
      </c>
      <c r="B23" s="368" t="n">
        <v>0.959140804987126</v>
      </c>
      <c r="C23" s="358" t="n">
        <v>0.88</v>
      </c>
      <c r="D23" s="359" t="n">
        <v>1.15</v>
      </c>
      <c r="E23" s="368" t="n">
        <v>2.36773813034503</v>
      </c>
      <c r="F23" s="358" t="n">
        <v>1.41</v>
      </c>
      <c r="G23" s="359" t="n">
        <v>1.08</v>
      </c>
      <c r="H23" s="368" t="n">
        <v>0.641442907512883</v>
      </c>
      <c r="I23" s="358" t="n">
        <v>0.34</v>
      </c>
      <c r="J23" s="359" t="n">
        <v>1.1</v>
      </c>
      <c r="K23" s="368" t="n">
        <v>0.660127606894582</v>
      </c>
      <c r="L23" s="358" t="n">
        <v>0.56</v>
      </c>
      <c r="M23" s="359" t="n">
        <v>1.17</v>
      </c>
      <c r="O23" s="361" t="s">
        <v>30</v>
      </c>
      <c r="P23" s="360" t="s">
        <v>279</v>
      </c>
      <c r="Q23" s="358" t="n">
        <f aca="false">C23-B23</f>
        <v>-0.0791408049871256</v>
      </c>
      <c r="R23" s="359" t="n">
        <f aca="false">D23-C23</f>
        <v>0.27</v>
      </c>
      <c r="S23" s="360" t="s">
        <v>279</v>
      </c>
      <c r="T23" s="358" t="n">
        <f aca="false">F23-E23</f>
        <v>-0.957738130345031</v>
      </c>
      <c r="U23" s="359" t="n">
        <f aca="false">G23-F23</f>
        <v>-0.33</v>
      </c>
      <c r="V23" s="360" t="s">
        <v>279</v>
      </c>
      <c r="W23" s="358" t="n">
        <f aca="false">I23-H23</f>
        <v>-0.301442907512883</v>
      </c>
      <c r="X23" s="359" t="n">
        <f aca="false">J23-I23</f>
        <v>0.76</v>
      </c>
      <c r="Y23" s="360" t="s">
        <v>279</v>
      </c>
      <c r="Z23" s="358" t="n">
        <f aca="false">L23-K23</f>
        <v>-0.100127606894581</v>
      </c>
      <c r="AA23" s="359" t="n">
        <f aca="false">M23-L23</f>
        <v>0.61</v>
      </c>
    </row>
    <row r="24" customFormat="false" ht="12" hidden="false" customHeight="false" outlineLevel="0" collapsed="false">
      <c r="A24" s="361" t="s">
        <v>33</v>
      </c>
      <c r="B24" s="368" t="n">
        <v>0.986443376201773</v>
      </c>
      <c r="C24" s="358" t="n">
        <v>1.09</v>
      </c>
      <c r="D24" s="359" t="n">
        <v>1.09</v>
      </c>
      <c r="E24" s="368" t="n">
        <v>2.52205882352941</v>
      </c>
      <c r="F24" s="358" t="n">
        <v>1.03</v>
      </c>
      <c r="G24" s="359" t="n">
        <v>1.25</v>
      </c>
      <c r="H24" s="368" t="n">
        <v>0.728522336769759</v>
      </c>
      <c r="I24" s="358" t="n">
        <v>0.89</v>
      </c>
      <c r="J24" s="359" t="n">
        <v>0.91</v>
      </c>
      <c r="K24" s="368" t="n">
        <v>0.777896029471961</v>
      </c>
      <c r="L24" s="358" t="n">
        <v>0.79</v>
      </c>
      <c r="M24" s="359" t="n">
        <v>1.27</v>
      </c>
      <c r="O24" s="361" t="s">
        <v>33</v>
      </c>
      <c r="P24" s="360" t="s">
        <v>279</v>
      </c>
      <c r="Q24" s="358" t="n">
        <f aca="false">C24-B24</f>
        <v>0.103556623798227</v>
      </c>
      <c r="R24" s="359" t="n">
        <f aca="false">D24-C24</f>
        <v>0</v>
      </c>
      <c r="S24" s="360" t="s">
        <v>279</v>
      </c>
      <c r="T24" s="358" t="n">
        <f aca="false">F24-E24</f>
        <v>-1.49205882352941</v>
      </c>
      <c r="U24" s="359" t="n">
        <f aca="false">G24-F24</f>
        <v>0.22</v>
      </c>
      <c r="V24" s="360" t="s">
        <v>279</v>
      </c>
      <c r="W24" s="358" t="n">
        <f aca="false">I24-H24</f>
        <v>0.161477663230241</v>
      </c>
      <c r="X24" s="359" t="n">
        <f aca="false">J24-I24</f>
        <v>0.02</v>
      </c>
      <c r="Y24" s="360" t="s">
        <v>279</v>
      </c>
      <c r="Z24" s="358" t="n">
        <f aca="false">L24-K24</f>
        <v>0.0121039705280394</v>
      </c>
      <c r="AA24" s="359" t="n">
        <f aca="false">M24-L24</f>
        <v>0.48</v>
      </c>
    </row>
    <row r="25" customFormat="false" ht="12" hidden="false" customHeight="false" outlineLevel="0" collapsed="false">
      <c r="A25" s="361" t="s">
        <v>36</v>
      </c>
      <c r="B25" s="368" t="n">
        <v>1.16359447696233</v>
      </c>
      <c r="C25" s="358" t="n">
        <v>0.81</v>
      </c>
      <c r="D25" s="359" t="n">
        <v>0.85</v>
      </c>
      <c r="E25" s="368" t="n">
        <v>5.54572163055454</v>
      </c>
      <c r="F25" s="358" t="n">
        <v>1.33</v>
      </c>
      <c r="G25" s="359" t="n">
        <v>0.63</v>
      </c>
      <c r="H25" s="368" t="n">
        <v>0.472920353982301</v>
      </c>
      <c r="I25" s="358" t="n">
        <v>0.59</v>
      </c>
      <c r="J25" s="359" t="n">
        <v>0.9</v>
      </c>
      <c r="K25" s="368" t="n">
        <v>0.549645390070922</v>
      </c>
      <c r="L25" s="358" t="n">
        <v>0.65</v>
      </c>
      <c r="M25" s="359" t="n">
        <v>1.11</v>
      </c>
      <c r="O25" s="361" t="s">
        <v>36</v>
      </c>
      <c r="P25" s="360" t="s">
        <v>279</v>
      </c>
      <c r="Q25" s="358" t="n">
        <f aca="false">C25-B25</f>
        <v>-0.353594476962329</v>
      </c>
      <c r="R25" s="359" t="n">
        <f aca="false">D25-C25</f>
        <v>0.0399999999999999</v>
      </c>
      <c r="S25" s="360" t="s">
        <v>279</v>
      </c>
      <c r="T25" s="358" t="n">
        <f aca="false">F25-E25</f>
        <v>-4.21572163055454</v>
      </c>
      <c r="U25" s="359" t="n">
        <f aca="false">G25-F25</f>
        <v>-0.7</v>
      </c>
      <c r="V25" s="360" t="s">
        <v>279</v>
      </c>
      <c r="W25" s="358" t="n">
        <f aca="false">I25-H25</f>
        <v>0.117079646017699</v>
      </c>
      <c r="X25" s="359" t="n">
        <f aca="false">J25-I25</f>
        <v>0.31</v>
      </c>
      <c r="Y25" s="360" t="s">
        <v>279</v>
      </c>
      <c r="Z25" s="358" t="n">
        <f aca="false">L25-K25</f>
        <v>0.100354609929078</v>
      </c>
      <c r="AA25" s="359" t="n">
        <f aca="false">M25-L25</f>
        <v>0.46</v>
      </c>
    </row>
    <row r="26" customFormat="false" ht="12" hidden="false" customHeight="false" outlineLevel="0" collapsed="false">
      <c r="A26" s="361" t="s">
        <v>40</v>
      </c>
      <c r="B26" s="368" t="n">
        <v>1.19799235644139</v>
      </c>
      <c r="C26" s="358" t="n">
        <v>0.85</v>
      </c>
      <c r="D26" s="359" t="n">
        <v>0.74</v>
      </c>
      <c r="E26" s="368" t="n">
        <v>2.59505031275496</v>
      </c>
      <c r="F26" s="358" t="n">
        <v>0.56</v>
      </c>
      <c r="G26" s="359" t="n">
        <v>0.55</v>
      </c>
      <c r="H26" s="368" t="n">
        <v>0.564022219057114</v>
      </c>
      <c r="I26" s="358" t="n">
        <v>0.56</v>
      </c>
      <c r="J26" s="359" t="n">
        <v>0.73</v>
      </c>
      <c r="K26" s="368" t="n">
        <v>0.45353586928772</v>
      </c>
      <c r="L26" s="358" t="n">
        <v>0.82</v>
      </c>
      <c r="M26" s="359" t="n">
        <v>1.16</v>
      </c>
      <c r="O26" s="361" t="s">
        <v>40</v>
      </c>
      <c r="P26" s="360" t="s">
        <v>279</v>
      </c>
      <c r="Q26" s="358" t="n">
        <f aca="false">C26-B26</f>
        <v>-0.347992356441391</v>
      </c>
      <c r="R26" s="359" t="n">
        <f aca="false">D26-C26</f>
        <v>-0.11</v>
      </c>
      <c r="S26" s="360" t="s">
        <v>279</v>
      </c>
      <c r="T26" s="358" t="n">
        <f aca="false">F26-E26</f>
        <v>-2.03505031275496</v>
      </c>
      <c r="U26" s="359" t="n">
        <f aca="false">G26-F26</f>
        <v>-0.01</v>
      </c>
      <c r="V26" s="360" t="s">
        <v>279</v>
      </c>
      <c r="W26" s="358" t="n">
        <f aca="false">I26-H26</f>
        <v>-0.00402221905711431</v>
      </c>
      <c r="X26" s="359" t="n">
        <f aca="false">J26-I26</f>
        <v>0.17</v>
      </c>
      <c r="Y26" s="360" t="s">
        <v>279</v>
      </c>
      <c r="Z26" s="358" t="n">
        <f aca="false">L26-K26</f>
        <v>0.36646413071228</v>
      </c>
      <c r="AA26" s="359" t="n">
        <f aca="false">M26-L26</f>
        <v>0.34</v>
      </c>
    </row>
    <row r="27" customFormat="false" ht="12" hidden="false" customHeight="false" outlineLevel="0" collapsed="false">
      <c r="A27" s="361" t="s">
        <v>43</v>
      </c>
      <c r="B27" s="368" t="n">
        <v>1.07298626098858</v>
      </c>
      <c r="C27" s="358" t="n">
        <v>0.92</v>
      </c>
      <c r="D27" s="359" t="n">
        <v>0.77</v>
      </c>
      <c r="E27" s="368" t="n">
        <v>0.74217857958438</v>
      </c>
      <c r="F27" s="358" t="n">
        <v>1.17</v>
      </c>
      <c r="G27" s="359" t="n">
        <v>0.55</v>
      </c>
      <c r="H27" s="368" t="n">
        <v>0.744605809128631</v>
      </c>
      <c r="I27" s="358" t="n">
        <v>0.64</v>
      </c>
      <c r="J27" s="359" t="n">
        <v>0.76</v>
      </c>
      <c r="K27" s="368" t="n">
        <v>0.419003115264798</v>
      </c>
      <c r="L27" s="358" t="n">
        <v>0.63</v>
      </c>
      <c r="M27" s="359" t="n">
        <v>0.83</v>
      </c>
      <c r="O27" s="361" t="s">
        <v>43</v>
      </c>
      <c r="P27" s="360" t="s">
        <v>279</v>
      </c>
      <c r="Q27" s="358" t="n">
        <f aca="false">C27-B27</f>
        <v>-0.152986260988577</v>
      </c>
      <c r="R27" s="359" t="n">
        <f aca="false">D27-C27</f>
        <v>-0.15</v>
      </c>
      <c r="S27" s="360" t="s">
        <v>279</v>
      </c>
      <c r="T27" s="358" t="n">
        <f aca="false">F27-E27</f>
        <v>0.42782142041562</v>
      </c>
      <c r="U27" s="359" t="n">
        <f aca="false">G27-F27</f>
        <v>-0.62</v>
      </c>
      <c r="V27" s="360" t="s">
        <v>279</v>
      </c>
      <c r="W27" s="358" t="n">
        <f aca="false">I27-H27</f>
        <v>-0.104605809128631</v>
      </c>
      <c r="X27" s="359" t="n">
        <f aca="false">J27-I27</f>
        <v>0.12</v>
      </c>
      <c r="Y27" s="360" t="s">
        <v>279</v>
      </c>
      <c r="Z27" s="358" t="n">
        <f aca="false">L27-K27</f>
        <v>0.210996884735203</v>
      </c>
      <c r="AA27" s="359" t="n">
        <f aca="false">M27-L27</f>
        <v>0.2</v>
      </c>
    </row>
    <row r="28" customFormat="false" ht="12" hidden="false" customHeight="false" outlineLevel="0" collapsed="false">
      <c r="A28" s="361" t="s">
        <v>46</v>
      </c>
      <c r="B28" s="368" t="n">
        <v>0.9929195661714</v>
      </c>
      <c r="C28" s="358" t="n">
        <v>1.07</v>
      </c>
      <c r="D28" s="359" t="n">
        <v>0.86</v>
      </c>
      <c r="E28" s="368" t="n">
        <v>1.3745995423341</v>
      </c>
      <c r="F28" s="358" t="n">
        <v>2.04</v>
      </c>
      <c r="G28" s="359" t="n">
        <v>0.92</v>
      </c>
      <c r="H28" s="368" t="n">
        <v>0.744542032622334</v>
      </c>
      <c r="I28" s="358" t="n">
        <v>0.72</v>
      </c>
      <c r="J28" s="359" t="n">
        <v>0.78</v>
      </c>
      <c r="K28" s="368" t="n">
        <v>0.607285650821857</v>
      </c>
      <c r="L28" s="358" t="n">
        <v>0.68</v>
      </c>
      <c r="M28" s="359" t="n">
        <v>0.89</v>
      </c>
      <c r="O28" s="361" t="s">
        <v>46</v>
      </c>
      <c r="P28" s="360" t="s">
        <v>279</v>
      </c>
      <c r="Q28" s="358" t="n">
        <f aca="false">C28-B28</f>
        <v>0.0770804338286003</v>
      </c>
      <c r="R28" s="359" t="n">
        <f aca="false">D28-C28</f>
        <v>-0.21</v>
      </c>
      <c r="S28" s="360" t="s">
        <v>279</v>
      </c>
      <c r="T28" s="358" t="n">
        <f aca="false">F28-E28</f>
        <v>0.665400457665904</v>
      </c>
      <c r="U28" s="359" t="n">
        <f aca="false">G28-F28</f>
        <v>-1.12</v>
      </c>
      <c r="V28" s="360" t="s">
        <v>279</v>
      </c>
      <c r="W28" s="358" t="n">
        <f aca="false">I28-H28</f>
        <v>-0.0245420326223338</v>
      </c>
      <c r="X28" s="359" t="n">
        <f aca="false">J28-I28</f>
        <v>0.0600000000000001</v>
      </c>
      <c r="Y28" s="360" t="s">
        <v>279</v>
      </c>
      <c r="Z28" s="358" t="n">
        <f aca="false">L28-K28</f>
        <v>0.0727143491781431</v>
      </c>
      <c r="AA28" s="359" t="n">
        <f aca="false">M28-L28</f>
        <v>0.21</v>
      </c>
    </row>
    <row r="29" customFormat="false" ht="12" hidden="false" customHeight="false" outlineLevel="0" collapsed="false">
      <c r="A29" s="361" t="s">
        <v>49</v>
      </c>
      <c r="B29" s="368" t="n">
        <v>1.33482658959538</v>
      </c>
      <c r="C29" s="358" t="n">
        <v>0.83</v>
      </c>
      <c r="D29" s="359" t="n">
        <v>0.97</v>
      </c>
      <c r="E29" s="368" t="n">
        <v>2.82061473237944</v>
      </c>
      <c r="F29" s="358" t="n">
        <v>0.42</v>
      </c>
      <c r="G29" s="359" t="n">
        <v>0.67</v>
      </c>
      <c r="H29" s="368" t="n">
        <v>0.795081967213115</v>
      </c>
      <c r="I29" s="358" t="n">
        <v>0.63</v>
      </c>
      <c r="J29" s="359" t="n">
        <v>0.73</v>
      </c>
      <c r="K29" s="368" t="n">
        <v>0.595328282828283</v>
      </c>
      <c r="L29" s="358" t="n">
        <v>0.73</v>
      </c>
      <c r="M29" s="359" t="n">
        <v>0.97</v>
      </c>
      <c r="O29" s="361" t="s">
        <v>49</v>
      </c>
      <c r="P29" s="360" t="s">
        <v>279</v>
      </c>
      <c r="Q29" s="358" t="n">
        <f aca="false">C29-B29</f>
        <v>-0.504826589595376</v>
      </c>
      <c r="R29" s="359" t="n">
        <f aca="false">D29-C29</f>
        <v>0.14</v>
      </c>
      <c r="S29" s="360" t="s">
        <v>279</v>
      </c>
      <c r="T29" s="358" t="n">
        <f aca="false">F29-E29</f>
        <v>-2.40061473237944</v>
      </c>
      <c r="U29" s="359" t="n">
        <f aca="false">G29-F29</f>
        <v>0.25</v>
      </c>
      <c r="V29" s="360" t="s">
        <v>279</v>
      </c>
      <c r="W29" s="358" t="n">
        <f aca="false">I29-H29</f>
        <v>-0.165081967213115</v>
      </c>
      <c r="X29" s="359" t="n">
        <f aca="false">J29-I29</f>
        <v>0.1</v>
      </c>
      <c r="Y29" s="360" t="s">
        <v>279</v>
      </c>
      <c r="Z29" s="358" t="n">
        <f aca="false">L29-K29</f>
        <v>0.134671717171717</v>
      </c>
      <c r="AA29" s="359" t="n">
        <f aca="false">M29-L29</f>
        <v>0.24</v>
      </c>
    </row>
    <row r="30" customFormat="false" ht="12" hidden="false" customHeight="false" outlineLevel="0" collapsed="false">
      <c r="A30" s="361" t="s">
        <v>53</v>
      </c>
      <c r="B30" s="368" t="n">
        <v>1.37901591895803</v>
      </c>
      <c r="C30" s="358" t="n">
        <v>0.96</v>
      </c>
      <c r="D30" s="359" t="n">
        <v>0.95</v>
      </c>
      <c r="E30" s="368" t="n">
        <v>2.41201814058957</v>
      </c>
      <c r="F30" s="358" t="n">
        <v>0.47</v>
      </c>
      <c r="G30" s="359" t="n">
        <v>2.1</v>
      </c>
      <c r="H30" s="368" t="n">
        <v>0.81163251817581</v>
      </c>
      <c r="I30" s="358" t="n">
        <v>0.6</v>
      </c>
      <c r="J30" s="359" t="n">
        <v>0.83</v>
      </c>
      <c r="K30" s="368" t="n">
        <v>0.639676113360324</v>
      </c>
      <c r="L30" s="358" t="n">
        <v>0.72</v>
      </c>
      <c r="M30" s="359" t="n">
        <v>0.88</v>
      </c>
      <c r="O30" s="361" t="s">
        <v>53</v>
      </c>
      <c r="P30" s="360" t="s">
        <v>279</v>
      </c>
      <c r="Q30" s="358" t="n">
        <f aca="false">C30-B30</f>
        <v>-0.419015918958032</v>
      </c>
      <c r="R30" s="359" t="n">
        <f aca="false">D30-C30</f>
        <v>-0.01</v>
      </c>
      <c r="S30" s="360" t="s">
        <v>279</v>
      </c>
      <c r="T30" s="358" t="n">
        <f aca="false">F30-E30</f>
        <v>-1.94201814058957</v>
      </c>
      <c r="U30" s="359" t="n">
        <f aca="false">G30-F30</f>
        <v>1.63</v>
      </c>
      <c r="V30" s="360" t="s">
        <v>279</v>
      </c>
      <c r="W30" s="358" t="n">
        <f aca="false">I30-H30</f>
        <v>-0.21163251817581</v>
      </c>
      <c r="X30" s="359" t="n">
        <f aca="false">J30-I30</f>
        <v>0.23</v>
      </c>
      <c r="Y30" s="360" t="s">
        <v>279</v>
      </c>
      <c r="Z30" s="358" t="n">
        <f aca="false">L30-K30</f>
        <v>0.0803238866396761</v>
      </c>
      <c r="AA30" s="359" t="n">
        <f aca="false">M30-L30</f>
        <v>0.16</v>
      </c>
    </row>
    <row r="31" customFormat="false" ht="12" hidden="false" customHeight="false" outlineLevel="0" collapsed="false">
      <c r="A31" s="361" t="s">
        <v>55</v>
      </c>
      <c r="B31" s="368" t="n">
        <v>1.77025888019266</v>
      </c>
      <c r="C31" s="358" t="n">
        <v>0.61</v>
      </c>
      <c r="D31" s="359" t="n">
        <v>0.92</v>
      </c>
      <c r="E31" s="368" t="n">
        <v>2.92143703118831</v>
      </c>
      <c r="F31" s="358" t="n">
        <v>1.16</v>
      </c>
      <c r="G31" s="359" t="n">
        <v>1.84</v>
      </c>
      <c r="H31" s="368" t="n">
        <v>0.68044890726521</v>
      </c>
      <c r="I31" s="358" t="n">
        <v>0.57</v>
      </c>
      <c r="J31" s="359" t="n">
        <v>0.69</v>
      </c>
      <c r="K31" s="368" t="n">
        <v>0.664254703328509</v>
      </c>
      <c r="L31" s="358" t="n">
        <v>0.8</v>
      </c>
      <c r="M31" s="359" t="n">
        <v>0.88</v>
      </c>
      <c r="O31" s="361" t="s">
        <v>55</v>
      </c>
      <c r="P31" s="360" t="s">
        <v>279</v>
      </c>
      <c r="Q31" s="358" t="n">
        <f aca="false">C31-B31</f>
        <v>-1.16025888019266</v>
      </c>
      <c r="R31" s="359" t="n">
        <f aca="false">D31-C31</f>
        <v>0.31</v>
      </c>
      <c r="S31" s="360" t="s">
        <v>279</v>
      </c>
      <c r="T31" s="358" t="n">
        <f aca="false">F31-E31</f>
        <v>-1.76143703118831</v>
      </c>
      <c r="U31" s="359" t="n">
        <f aca="false">G31-F31</f>
        <v>0.68</v>
      </c>
      <c r="V31" s="360" t="s">
        <v>279</v>
      </c>
      <c r="W31" s="358" t="n">
        <f aca="false">I31-H31</f>
        <v>-0.11044890726521</v>
      </c>
      <c r="X31" s="359" t="n">
        <f aca="false">J31-I31</f>
        <v>0.12</v>
      </c>
      <c r="Y31" s="360" t="s">
        <v>279</v>
      </c>
      <c r="Z31" s="358" t="n">
        <f aca="false">L31-K31</f>
        <v>0.135745296671491</v>
      </c>
      <c r="AA31" s="359" t="n">
        <f aca="false">M31-L31</f>
        <v>0.08</v>
      </c>
    </row>
    <row r="32" customFormat="false" ht="12" hidden="false" customHeight="false" outlineLevel="0" collapsed="false">
      <c r="A32" s="361" t="s">
        <v>58</v>
      </c>
      <c r="B32" s="368" t="n">
        <v>1.00769897026273</v>
      </c>
      <c r="C32" s="358" t="n">
        <v>0.7</v>
      </c>
      <c r="D32" s="359" t="n">
        <v>1.09</v>
      </c>
      <c r="E32" s="368" t="n">
        <v>0.965013843443242</v>
      </c>
      <c r="F32" s="358" t="n">
        <v>0.58</v>
      </c>
      <c r="G32" s="359" t="n">
        <v>0.85</v>
      </c>
      <c r="H32" s="368" t="n">
        <v>1.07600732600733</v>
      </c>
      <c r="I32" s="358" t="n">
        <v>0.75</v>
      </c>
      <c r="J32" s="359" t="n">
        <v>0.9</v>
      </c>
      <c r="K32" s="368" t="n">
        <v>0.761674008810573</v>
      </c>
      <c r="L32" s="358" t="n">
        <v>0.93</v>
      </c>
      <c r="M32" s="359" t="n">
        <v>1.08</v>
      </c>
      <c r="O32" s="361" t="s">
        <v>58</v>
      </c>
      <c r="P32" s="360" t="s">
        <v>279</v>
      </c>
      <c r="Q32" s="358" t="n">
        <f aca="false">C32-B32</f>
        <v>-0.307698970262727</v>
      </c>
      <c r="R32" s="359" t="n">
        <f aca="false">D32-C32</f>
        <v>0.39</v>
      </c>
      <c r="S32" s="360" t="s">
        <v>279</v>
      </c>
      <c r="T32" s="358" t="n">
        <f aca="false">F32-E32</f>
        <v>-0.385013843443242</v>
      </c>
      <c r="U32" s="359" t="n">
        <f aca="false">G32-F32</f>
        <v>0.27</v>
      </c>
      <c r="V32" s="360" t="s">
        <v>279</v>
      </c>
      <c r="W32" s="358" t="n">
        <f aca="false">I32-H32</f>
        <v>-0.326007326007326</v>
      </c>
      <c r="X32" s="359" t="n">
        <f aca="false">J32-I32</f>
        <v>0.15</v>
      </c>
      <c r="Y32" s="360" t="s">
        <v>279</v>
      </c>
      <c r="Z32" s="358" t="n">
        <f aca="false">L32-K32</f>
        <v>0.168325991189427</v>
      </c>
      <c r="AA32" s="359" t="n">
        <f aca="false">M32-L32</f>
        <v>0.15</v>
      </c>
    </row>
    <row r="33" customFormat="false" ht="12.75" hidden="false" customHeight="false" outlineLevel="0" collapsed="false">
      <c r="A33" s="362" t="s">
        <v>61</v>
      </c>
      <c r="B33" s="369" t="n">
        <v>0.981144238517325</v>
      </c>
      <c r="C33" s="364" t="n">
        <v>0.68</v>
      </c>
      <c r="D33" s="365" t="n">
        <v>1.07</v>
      </c>
      <c r="E33" s="369" t="n">
        <v>0.984779299847793</v>
      </c>
      <c r="F33" s="364" t="n">
        <v>0.59</v>
      </c>
      <c r="G33" s="365" t="n">
        <v>0.78</v>
      </c>
      <c r="H33" s="369" t="n">
        <v>0.919115388553292</v>
      </c>
      <c r="I33" s="364" t="n">
        <v>0.92</v>
      </c>
      <c r="J33" s="365" t="n">
        <v>1.07</v>
      </c>
      <c r="K33" s="369" t="n">
        <v>0.844238170704098</v>
      </c>
      <c r="L33" s="364" t="n">
        <v>1.17</v>
      </c>
      <c r="M33" s="365" t="n">
        <v>1.35</v>
      </c>
      <c r="O33" s="362" t="s">
        <v>61</v>
      </c>
      <c r="P33" s="366" t="s">
        <v>279</v>
      </c>
      <c r="Q33" s="364" t="n">
        <f aca="false">C33-B33</f>
        <v>-0.301144238517325</v>
      </c>
      <c r="R33" s="365" t="n">
        <f aca="false">D33-C33</f>
        <v>0.39</v>
      </c>
      <c r="S33" s="366" t="s">
        <v>279</v>
      </c>
      <c r="T33" s="364" t="n">
        <f aca="false">F33-E33</f>
        <v>-0.394779299847793</v>
      </c>
      <c r="U33" s="365" t="n">
        <f aca="false">G33-F33</f>
        <v>0.19</v>
      </c>
      <c r="V33" s="366" t="s">
        <v>279</v>
      </c>
      <c r="W33" s="364" t="n">
        <f aca="false">I33-H33</f>
        <v>0.000884611446708372</v>
      </c>
      <c r="X33" s="365" t="n">
        <f aca="false">J33-I33</f>
        <v>0.15</v>
      </c>
      <c r="Y33" s="366" t="s">
        <v>279</v>
      </c>
      <c r="Z33" s="364" t="n">
        <f aca="false">L33-K33</f>
        <v>0.325761829295902</v>
      </c>
      <c r="AA33" s="365" t="n">
        <f aca="false">M33-L33</f>
        <v>0.18</v>
      </c>
    </row>
    <row r="34" customFormat="false" ht="12" hidden="false" customHeight="false" outlineLevel="0" collapsed="false">
      <c r="O34" s="348"/>
      <c r="P34" s="348"/>
      <c r="Q34" s="348"/>
      <c r="R34" s="348"/>
      <c r="S34" s="348"/>
      <c r="T34" s="348"/>
      <c r="U34" s="348"/>
      <c r="V34" s="348"/>
      <c r="W34" s="348"/>
      <c r="X34" s="348"/>
      <c r="Y34" s="348"/>
      <c r="Z34" s="348"/>
      <c r="AA34" s="348"/>
    </row>
    <row r="35" customFormat="false" ht="12" hidden="false" customHeight="false" outlineLevel="0" collapsed="false">
      <c r="O35" s="348"/>
      <c r="P35" s="348"/>
      <c r="Q35" s="348"/>
      <c r="R35" s="348"/>
      <c r="S35" s="348"/>
      <c r="T35" s="348"/>
      <c r="U35" s="348"/>
      <c r="V35" s="348"/>
      <c r="W35" s="348"/>
      <c r="X35" s="348"/>
      <c r="Y35" s="348"/>
      <c r="Z35" s="348"/>
      <c r="AA35" s="348"/>
    </row>
    <row r="36" customFormat="false" ht="12" hidden="false" customHeight="false" outlineLevel="0" collapsed="false">
      <c r="O36" s="348"/>
      <c r="P36" s="348"/>
      <c r="Q36" s="348"/>
      <c r="R36" s="348"/>
      <c r="S36" s="348"/>
      <c r="T36" s="348"/>
      <c r="U36" s="348"/>
      <c r="V36" s="348"/>
      <c r="W36" s="348"/>
      <c r="X36" s="348"/>
      <c r="Y36" s="348"/>
      <c r="Z36" s="348"/>
      <c r="AA36" s="348"/>
    </row>
    <row r="37" customFormat="false" ht="12" hidden="false" customHeight="false" outlineLevel="0" collapsed="false">
      <c r="O37" s="348"/>
      <c r="P37" s="348"/>
      <c r="Q37" s="348"/>
      <c r="R37" s="348"/>
      <c r="S37" s="348"/>
      <c r="T37" s="348"/>
      <c r="U37" s="348"/>
      <c r="V37" s="348"/>
      <c r="W37" s="348"/>
      <c r="X37" s="348"/>
      <c r="Y37" s="348"/>
      <c r="Z37" s="348"/>
      <c r="AA37" s="348"/>
    </row>
  </sheetData>
  <mergeCells count="20">
    <mergeCell ref="A1:M1"/>
    <mergeCell ref="O1:AA1"/>
    <mergeCell ref="B2:D2"/>
    <mergeCell ref="E2:G2"/>
    <mergeCell ref="H2:J2"/>
    <mergeCell ref="K2:M2"/>
    <mergeCell ref="P2:R2"/>
    <mergeCell ref="S2:U2"/>
    <mergeCell ref="V2:X2"/>
    <mergeCell ref="Y2:AA2"/>
    <mergeCell ref="A19:M19"/>
    <mergeCell ref="O19:AA19"/>
    <mergeCell ref="B20:D20"/>
    <mergeCell ref="E20:G20"/>
    <mergeCell ref="H20:J20"/>
    <mergeCell ref="K20:M20"/>
    <mergeCell ref="P20:R20"/>
    <mergeCell ref="S20:U20"/>
    <mergeCell ref="V20:X20"/>
    <mergeCell ref="Y20:AA20"/>
  </mergeCells>
  <conditionalFormatting sqref="C22:D33 F22:G33 I22:J33 L22:M33 Q22:R33 T22:U33 W22:X33 Z22:AA33 Q4:R15 T4:U15 W4:X15 Z4:AA15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5" right="0.5" top="0.5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B5" activeCellId="0" sqref="B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70" width="9.41"/>
    <col collapsed="false" customWidth="true" hidden="false" outlineLevel="0" max="2" min="2" style="370" width="10.85"/>
    <col collapsed="false" customWidth="false" hidden="false" outlineLevel="0" max="3" min="3" style="370" width="9.14"/>
    <col collapsed="false" customWidth="false" hidden="false" outlineLevel="0" max="4" min="4" style="371" width="9.14"/>
    <col collapsed="false" customWidth="false" hidden="false" outlineLevel="0" max="9" min="5" style="370" width="9.14"/>
    <col collapsed="false" customWidth="false" hidden="false" outlineLevel="0" max="10" min="10" style="371" width="9.14"/>
    <col collapsed="false" customWidth="true" hidden="false" outlineLevel="0" max="11" min="11" style="370" width="9.56"/>
    <col collapsed="false" customWidth="false" hidden="false" outlineLevel="0" max="15" min="12" style="370" width="9.14"/>
    <col collapsed="false" customWidth="false" hidden="false" outlineLevel="0" max="18" min="16" style="371" width="9.14"/>
    <col collapsed="false" customWidth="false" hidden="false" outlineLevel="0" max="26" min="19" style="370" width="9.14"/>
    <col collapsed="false" customWidth="true" hidden="false" outlineLevel="0" max="27" min="27" style="370" width="10.13"/>
    <col collapsed="false" customWidth="true" hidden="false" outlineLevel="0" max="28" min="28" style="370" width="10.56"/>
    <col collapsed="false" customWidth="true" hidden="false" outlineLevel="0" max="30" min="29" style="370" width="12.14"/>
    <col collapsed="false" customWidth="true" hidden="false" outlineLevel="0" max="31" min="31" style="370" width="10.56"/>
    <col collapsed="false" customWidth="false" hidden="false" outlineLevel="0" max="257" min="32" style="370" width="9.14"/>
  </cols>
  <sheetData>
    <row r="1" customFormat="false" ht="12.75" hidden="false" customHeight="false" outlineLevel="0" collapsed="false">
      <c r="B1" s="372" t="s">
        <v>21</v>
      </c>
      <c r="C1" s="372"/>
      <c r="D1" s="372"/>
      <c r="E1" s="372"/>
      <c r="F1" s="372"/>
      <c r="G1" s="372"/>
      <c r="H1" s="372" t="s">
        <v>71</v>
      </c>
      <c r="I1" s="372"/>
      <c r="J1" s="372"/>
      <c r="K1" s="372"/>
      <c r="L1" s="372"/>
      <c r="M1" s="372"/>
      <c r="N1" s="372" t="s">
        <v>76</v>
      </c>
      <c r="O1" s="372"/>
      <c r="P1" s="372"/>
      <c r="Q1" s="372"/>
      <c r="R1" s="372"/>
      <c r="S1" s="372"/>
      <c r="T1" s="372" t="s">
        <v>276</v>
      </c>
      <c r="U1" s="372"/>
      <c r="V1" s="372"/>
      <c r="W1" s="372"/>
      <c r="X1" s="372"/>
      <c r="Y1" s="372"/>
    </row>
    <row r="2" customFormat="false" ht="13.5" hidden="false" customHeight="false" outlineLevel="0" collapsed="false">
      <c r="B2" s="373" t="s">
        <v>282</v>
      </c>
      <c r="C2" s="374" t="s">
        <v>283</v>
      </c>
      <c r="D2" s="375" t="s">
        <v>260</v>
      </c>
      <c r="E2" s="374" t="s">
        <v>284</v>
      </c>
      <c r="F2" s="374" t="s">
        <v>285</v>
      </c>
      <c r="G2" s="376" t="s">
        <v>286</v>
      </c>
      <c r="H2" s="373" t="s">
        <v>282</v>
      </c>
      <c r="I2" s="374" t="s">
        <v>283</v>
      </c>
      <c r="J2" s="375" t="s">
        <v>260</v>
      </c>
      <c r="K2" s="374" t="s">
        <v>284</v>
      </c>
      <c r="L2" s="374" t="s">
        <v>285</v>
      </c>
      <c r="M2" s="376" t="s">
        <v>286</v>
      </c>
      <c r="N2" s="373" t="s">
        <v>282</v>
      </c>
      <c r="O2" s="374" t="s">
        <v>283</v>
      </c>
      <c r="P2" s="375" t="s">
        <v>260</v>
      </c>
      <c r="Q2" s="374" t="s">
        <v>284</v>
      </c>
      <c r="R2" s="374" t="s">
        <v>285</v>
      </c>
      <c r="S2" s="376" t="s">
        <v>286</v>
      </c>
      <c r="T2" s="373" t="s">
        <v>282</v>
      </c>
      <c r="U2" s="374" t="s">
        <v>283</v>
      </c>
      <c r="V2" s="375" t="s">
        <v>260</v>
      </c>
      <c r="W2" s="374" t="s">
        <v>284</v>
      </c>
      <c r="X2" s="374" t="s">
        <v>285</v>
      </c>
      <c r="Y2" s="376" t="s">
        <v>286</v>
      </c>
    </row>
    <row r="3" customFormat="false" ht="12.75" hidden="true" customHeight="false" outlineLevel="0" collapsed="false">
      <c r="A3" s="377" t="n">
        <v>36100</v>
      </c>
      <c r="B3" s="370" t="n">
        <v>20887</v>
      </c>
      <c r="C3" s="378" t="n">
        <v>1.01</v>
      </c>
      <c r="D3" s="371" t="n">
        <v>0.432</v>
      </c>
      <c r="I3" s="378"/>
      <c r="N3" s="370" t="n">
        <v>5895</v>
      </c>
      <c r="O3" s="378" t="n">
        <v>1.08</v>
      </c>
      <c r="P3" s="371" t="n">
        <v>0.337</v>
      </c>
      <c r="U3" s="378"/>
      <c r="V3" s="371"/>
    </row>
    <row r="4" customFormat="false" ht="12.75" hidden="true" customHeight="false" outlineLevel="0" collapsed="false">
      <c r="A4" s="377" t="n">
        <v>36130</v>
      </c>
      <c r="B4" s="370" t="n">
        <v>30440</v>
      </c>
      <c r="C4" s="378" t="n">
        <v>0.93</v>
      </c>
      <c r="D4" s="371" t="n">
        <v>0.463</v>
      </c>
      <c r="I4" s="378"/>
      <c r="N4" s="370" t="n">
        <v>8977</v>
      </c>
      <c r="O4" s="378" t="n">
        <v>0.92</v>
      </c>
      <c r="P4" s="371" t="n">
        <v>0.391</v>
      </c>
      <c r="U4" s="378"/>
      <c r="V4" s="371"/>
    </row>
    <row r="5" customFormat="false" ht="12.75" hidden="false" customHeight="false" outlineLevel="0" collapsed="false">
      <c r="A5" s="377" t="n">
        <v>36161</v>
      </c>
      <c r="B5" s="379" t="n">
        <v>49147</v>
      </c>
      <c r="C5" s="378" t="n">
        <v>1.11</v>
      </c>
      <c r="D5" s="371" t="n">
        <v>0.568</v>
      </c>
      <c r="E5" s="370" t="n">
        <v>56.21</v>
      </c>
      <c r="F5" s="370" t="n">
        <f aca="false">E5</f>
        <v>56.21</v>
      </c>
      <c r="G5" s="370" t="n">
        <f aca="false">E5</f>
        <v>56.21</v>
      </c>
      <c r="H5" s="379" t="n">
        <v>2937</v>
      </c>
      <c r="I5" s="378" t="n">
        <v>0.96</v>
      </c>
      <c r="J5" s="371" t="n">
        <v>0.792</v>
      </c>
      <c r="K5" s="370" t="n">
        <v>56.21</v>
      </c>
      <c r="L5" s="370" t="n">
        <f aca="false">K5</f>
        <v>56.21</v>
      </c>
      <c r="M5" s="370" t="n">
        <f aca="false">K5</f>
        <v>56.21</v>
      </c>
      <c r="N5" s="379" t="n">
        <v>9393</v>
      </c>
      <c r="O5" s="378" t="n">
        <v>0.69</v>
      </c>
      <c r="P5" s="371" t="n">
        <v>0.444</v>
      </c>
      <c r="Q5" s="370" t="n">
        <v>39.49</v>
      </c>
      <c r="R5" s="370" t="n">
        <f aca="false">Q5</f>
        <v>39.49</v>
      </c>
      <c r="S5" s="370" t="n">
        <f aca="false">Q5</f>
        <v>39.49</v>
      </c>
      <c r="T5" s="379" t="n">
        <v>6138</v>
      </c>
      <c r="U5" s="378" t="n">
        <v>0.79</v>
      </c>
      <c r="V5" s="371" t="n">
        <v>0.742</v>
      </c>
      <c r="W5" s="370" t="n">
        <v>39.49</v>
      </c>
      <c r="X5" s="370" t="n">
        <f aca="false">W5</f>
        <v>39.49</v>
      </c>
      <c r="Y5" s="370" t="n">
        <f aca="false">W5</f>
        <v>39.49</v>
      </c>
    </row>
    <row r="6" customFormat="false" ht="12.75" hidden="false" customHeight="false" outlineLevel="0" collapsed="false">
      <c r="A6" s="377" t="n">
        <v>36192</v>
      </c>
      <c r="B6" s="379" t="n">
        <v>41601</v>
      </c>
      <c r="C6" s="378" t="n">
        <v>0.88</v>
      </c>
      <c r="D6" s="371" t="n">
        <v>0.622</v>
      </c>
      <c r="E6" s="370" t="n">
        <v>50.05</v>
      </c>
      <c r="F6" s="370" t="n">
        <f aca="false">E6</f>
        <v>50.05</v>
      </c>
      <c r="G6" s="370" t="n">
        <f aca="false">E6</f>
        <v>50.05</v>
      </c>
      <c r="H6" s="379" t="n">
        <v>4771</v>
      </c>
      <c r="I6" s="378" t="n">
        <v>1.41</v>
      </c>
      <c r="J6" s="371" t="n">
        <v>0.844</v>
      </c>
      <c r="K6" s="370" t="n">
        <v>50.05</v>
      </c>
      <c r="L6" s="370" t="n">
        <f aca="false">K6</f>
        <v>50.05</v>
      </c>
      <c r="M6" s="370" t="n">
        <f aca="false">K6</f>
        <v>50.05</v>
      </c>
      <c r="N6" s="379" t="n">
        <v>4989</v>
      </c>
      <c r="O6" s="378" t="n">
        <v>0.34</v>
      </c>
      <c r="P6" s="371" t="n">
        <v>0.426</v>
      </c>
      <c r="Q6" s="370" t="n">
        <v>26.07</v>
      </c>
      <c r="R6" s="370" t="n">
        <f aca="false">Q6</f>
        <v>26.07</v>
      </c>
      <c r="S6" s="370" t="n">
        <f aca="false">Q6</f>
        <v>26.07</v>
      </c>
      <c r="T6" s="379" t="n">
        <v>5882</v>
      </c>
      <c r="U6" s="378" t="n">
        <v>0.56</v>
      </c>
      <c r="V6" s="371" t="n">
        <v>0.802</v>
      </c>
      <c r="W6" s="370" t="n">
        <v>26.07</v>
      </c>
      <c r="X6" s="370" t="n">
        <f aca="false">W6</f>
        <v>26.07</v>
      </c>
      <c r="Y6" s="370" t="n">
        <f aca="false">W6</f>
        <v>26.07</v>
      </c>
    </row>
    <row r="7" customFormat="false" ht="12.75" hidden="false" customHeight="false" outlineLevel="0" collapsed="false">
      <c r="A7" s="377" t="n">
        <v>36220</v>
      </c>
      <c r="B7" s="379" t="n">
        <v>48054</v>
      </c>
      <c r="C7" s="378" t="n">
        <v>1.09</v>
      </c>
      <c r="D7" s="371" t="n">
        <v>0.71</v>
      </c>
      <c r="E7" s="370" t="n">
        <v>46.78</v>
      </c>
      <c r="F7" s="370" t="n">
        <f aca="false">E7</f>
        <v>46.78</v>
      </c>
      <c r="G7" s="370" t="n">
        <f aca="false">E7</f>
        <v>46.78</v>
      </c>
      <c r="H7" s="379" t="n">
        <v>3215</v>
      </c>
      <c r="I7" s="378" t="n">
        <v>1.03</v>
      </c>
      <c r="J7" s="371" t="n">
        <v>0.749</v>
      </c>
      <c r="K7" s="370" t="n">
        <v>46.78</v>
      </c>
      <c r="L7" s="370" t="n">
        <f aca="false">K7</f>
        <v>46.78</v>
      </c>
      <c r="M7" s="370" t="n">
        <f aca="false">K7</f>
        <v>46.78</v>
      </c>
      <c r="N7" s="379" t="n">
        <v>12559</v>
      </c>
      <c r="O7" s="378" t="n">
        <v>0.89</v>
      </c>
      <c r="P7" s="371" t="n">
        <v>0.586</v>
      </c>
      <c r="Q7" s="370" t="n">
        <v>28.48</v>
      </c>
      <c r="R7" s="370" t="n">
        <f aca="false">Q7</f>
        <v>28.48</v>
      </c>
      <c r="S7" s="370" t="n">
        <f aca="false">Q7</f>
        <v>28.48</v>
      </c>
      <c r="T7" s="379" t="n">
        <v>9633</v>
      </c>
      <c r="U7" s="378" t="n">
        <v>0.79</v>
      </c>
      <c r="V7" s="371" t="n">
        <v>0.81</v>
      </c>
      <c r="W7" s="370" t="n">
        <v>28.48</v>
      </c>
      <c r="X7" s="370" t="n">
        <f aca="false">W7</f>
        <v>28.48</v>
      </c>
      <c r="Y7" s="370" t="n">
        <f aca="false">W7</f>
        <v>28.48</v>
      </c>
    </row>
    <row r="8" customFormat="false" ht="12.75" hidden="false" customHeight="false" outlineLevel="0" collapsed="false">
      <c r="A8" s="377" t="n">
        <v>36251</v>
      </c>
      <c r="B8" s="379" t="n">
        <v>26652</v>
      </c>
      <c r="C8" s="378" t="n">
        <v>0.81</v>
      </c>
      <c r="D8" s="371" t="n">
        <v>0.698</v>
      </c>
      <c r="E8" s="370" t="n">
        <v>43.89</v>
      </c>
      <c r="F8" s="370" t="n">
        <f aca="false">E8</f>
        <v>43.89</v>
      </c>
      <c r="G8" s="370" t="n">
        <f aca="false">E8</f>
        <v>43.89</v>
      </c>
      <c r="H8" s="379" t="n">
        <v>3615</v>
      </c>
      <c r="I8" s="378" t="n">
        <v>1.33</v>
      </c>
      <c r="J8" s="371" t="n">
        <v>0.727</v>
      </c>
      <c r="K8" s="370" t="n">
        <v>43.89</v>
      </c>
      <c r="L8" s="370" t="n">
        <f aca="false">K8</f>
        <v>43.89</v>
      </c>
      <c r="M8" s="370" t="n">
        <f aca="false">K8</f>
        <v>43.89</v>
      </c>
      <c r="N8" s="379" t="n">
        <v>6592</v>
      </c>
      <c r="O8" s="378" t="n">
        <v>0.59</v>
      </c>
      <c r="P8" s="371" t="n">
        <v>0.574</v>
      </c>
      <c r="Q8" s="370" t="n">
        <v>26.91</v>
      </c>
      <c r="R8" s="370" t="n">
        <f aca="false">Q8</f>
        <v>26.91</v>
      </c>
      <c r="S8" s="370" t="n">
        <f aca="false">Q8</f>
        <v>26.91</v>
      </c>
      <c r="T8" s="379" t="n">
        <v>7834</v>
      </c>
      <c r="U8" s="378" t="n">
        <v>0.65</v>
      </c>
      <c r="V8" s="371" t="n">
        <v>0.832</v>
      </c>
      <c r="W8" s="370" t="n">
        <v>26.91</v>
      </c>
      <c r="X8" s="370" t="n">
        <f aca="false">W8</f>
        <v>26.91</v>
      </c>
      <c r="Y8" s="370" t="n">
        <f aca="false">W8</f>
        <v>26.91</v>
      </c>
    </row>
    <row r="9" customFormat="false" ht="12.75" hidden="false" customHeight="false" outlineLevel="0" collapsed="false">
      <c r="A9" s="377" t="n">
        <v>36281</v>
      </c>
      <c r="B9" s="379" t="n">
        <v>20671</v>
      </c>
      <c r="C9" s="378" t="n">
        <v>0.85</v>
      </c>
      <c r="D9" s="371" t="n">
        <v>0.654</v>
      </c>
      <c r="E9" s="370" t="n">
        <v>48.63</v>
      </c>
      <c r="F9" s="370" t="n">
        <f aca="false">E9</f>
        <v>48.63</v>
      </c>
      <c r="G9" s="370" t="n">
        <f aca="false">E9</f>
        <v>48.63</v>
      </c>
      <c r="H9" s="379" t="n">
        <v>2055</v>
      </c>
      <c r="I9" s="378" t="n">
        <v>0.56</v>
      </c>
      <c r="J9" s="371" t="n">
        <v>0.608</v>
      </c>
      <c r="K9" s="370" t="n">
        <v>48.63</v>
      </c>
      <c r="L9" s="370" t="n">
        <f aca="false">K9</f>
        <v>48.63</v>
      </c>
      <c r="M9" s="370" t="n">
        <f aca="false">K9</f>
        <v>48.63</v>
      </c>
      <c r="N9" s="379" t="n">
        <v>3859</v>
      </c>
      <c r="O9" s="378" t="n">
        <v>0.56</v>
      </c>
      <c r="P9" s="371" t="n">
        <v>0.529</v>
      </c>
      <c r="Q9" s="370" t="n">
        <v>30.95</v>
      </c>
      <c r="R9" s="370" t="n">
        <f aca="false">Q9</f>
        <v>30.95</v>
      </c>
      <c r="S9" s="370" t="n">
        <f aca="false">Q9</f>
        <v>30.95</v>
      </c>
      <c r="T9" s="379" t="n">
        <v>6424</v>
      </c>
      <c r="U9" s="378" t="n">
        <v>0.82</v>
      </c>
      <c r="V9" s="371" t="n">
        <v>0.837</v>
      </c>
      <c r="W9" s="370" t="n">
        <v>30.95</v>
      </c>
      <c r="X9" s="370" t="n">
        <f aca="false">W9</f>
        <v>30.95</v>
      </c>
      <c r="Y9" s="370" t="n">
        <f aca="false">W9</f>
        <v>30.95</v>
      </c>
    </row>
    <row r="10" customFormat="false" ht="12.75" hidden="false" customHeight="false" outlineLevel="0" collapsed="false">
      <c r="A10" s="377" t="n">
        <v>36312</v>
      </c>
      <c r="B10" s="379" t="n">
        <v>19246</v>
      </c>
      <c r="C10" s="378" t="n">
        <v>0.92</v>
      </c>
      <c r="D10" s="371" t="n">
        <v>0.601</v>
      </c>
      <c r="E10" s="370" t="n">
        <v>49.99</v>
      </c>
      <c r="F10" s="370" t="n">
        <f aca="false">E10</f>
        <v>49.99</v>
      </c>
      <c r="G10" s="370" t="n">
        <f aca="false">E10</f>
        <v>49.99</v>
      </c>
      <c r="H10" s="379" t="n">
        <v>5102</v>
      </c>
      <c r="I10" s="378" t="n">
        <v>1.17</v>
      </c>
      <c r="J10" s="371" t="n">
        <v>0.761</v>
      </c>
      <c r="K10" s="370" t="n">
        <v>49.99</v>
      </c>
      <c r="L10" s="370" t="n">
        <f aca="false">K10</f>
        <v>49.99</v>
      </c>
      <c r="M10" s="370" t="n">
        <f aca="false">K10</f>
        <v>49.99</v>
      </c>
      <c r="N10" s="379" t="n">
        <v>3037</v>
      </c>
      <c r="O10" s="378" t="n">
        <v>0.64</v>
      </c>
      <c r="P10" s="371" t="n">
        <v>0.464</v>
      </c>
      <c r="Q10" s="370" t="n">
        <v>45.24</v>
      </c>
      <c r="R10" s="370" t="n">
        <f aca="false">Q10</f>
        <v>45.24</v>
      </c>
      <c r="S10" s="370" t="n">
        <f aca="false">Q10</f>
        <v>45.24</v>
      </c>
      <c r="T10" s="379" t="n">
        <v>2409</v>
      </c>
      <c r="U10" s="378" t="n">
        <v>0.63</v>
      </c>
      <c r="V10" s="371" t="n">
        <v>0.81</v>
      </c>
      <c r="W10" s="370" t="n">
        <v>45.24</v>
      </c>
      <c r="X10" s="370" t="n">
        <f aca="false">W10</f>
        <v>45.24</v>
      </c>
      <c r="Y10" s="370" t="n">
        <f aca="false">W10</f>
        <v>45.24</v>
      </c>
    </row>
    <row r="11" customFormat="false" ht="12.75" hidden="false" customHeight="false" outlineLevel="0" collapsed="false">
      <c r="A11" s="377" t="n">
        <v>36342</v>
      </c>
      <c r="B11" s="379" t="n">
        <v>18391</v>
      </c>
      <c r="C11" s="378" t="n">
        <v>1.07</v>
      </c>
      <c r="D11" s="371" t="n">
        <v>0.542</v>
      </c>
      <c r="E11" s="370" t="n">
        <v>61.72</v>
      </c>
      <c r="F11" s="370" t="n">
        <f aca="false">E11</f>
        <v>61.72</v>
      </c>
      <c r="G11" s="370" t="n">
        <f aca="false">E11</f>
        <v>61.72</v>
      </c>
      <c r="H11" s="379" t="n">
        <v>8920</v>
      </c>
      <c r="I11" s="378" t="n">
        <v>2.04</v>
      </c>
      <c r="J11" s="371" t="n">
        <v>0.879</v>
      </c>
      <c r="K11" s="370" t="n">
        <v>61.72</v>
      </c>
      <c r="L11" s="370" t="n">
        <f aca="false">K11</f>
        <v>61.72</v>
      </c>
      <c r="M11" s="370" t="n">
        <f aca="false">K11</f>
        <v>61.72</v>
      </c>
      <c r="N11" s="379" t="n">
        <v>2856</v>
      </c>
      <c r="O11" s="378" t="n">
        <v>0.72</v>
      </c>
      <c r="P11" s="371" t="n">
        <v>0.396</v>
      </c>
      <c r="Q11" s="370" t="n">
        <v>38.02</v>
      </c>
      <c r="R11" s="370" t="n">
        <f aca="false">Q11</f>
        <v>38.02</v>
      </c>
      <c r="S11" s="370" t="n">
        <f aca="false">Q11</f>
        <v>38.02</v>
      </c>
      <c r="T11" s="379" t="n">
        <v>1527</v>
      </c>
      <c r="U11" s="378" t="n">
        <v>0.68</v>
      </c>
      <c r="V11" s="371" t="n">
        <v>0.714</v>
      </c>
      <c r="W11" s="370" t="n">
        <v>38.02</v>
      </c>
      <c r="X11" s="370" t="n">
        <f aca="false">W11</f>
        <v>38.02</v>
      </c>
      <c r="Y11" s="370" t="n">
        <f aca="false">W11</f>
        <v>38.02</v>
      </c>
    </row>
    <row r="12" customFormat="false" ht="12.75" hidden="false" customHeight="false" outlineLevel="0" collapsed="false">
      <c r="A12" s="377" t="n">
        <v>36373</v>
      </c>
      <c r="B12" s="379" t="n">
        <v>11889</v>
      </c>
      <c r="C12" s="378" t="n">
        <v>0.83</v>
      </c>
      <c r="D12" s="371" t="n">
        <v>0.45</v>
      </c>
      <c r="E12" s="370" t="n">
        <v>49.62</v>
      </c>
      <c r="F12" s="370" t="n">
        <f aca="false">E12</f>
        <v>49.62</v>
      </c>
      <c r="G12" s="370" t="n">
        <f aca="false">E12</f>
        <v>49.62</v>
      </c>
      <c r="H12" s="379" t="n">
        <v>1869</v>
      </c>
      <c r="I12" s="378" t="n">
        <v>0.42</v>
      </c>
      <c r="J12" s="371" t="n">
        <v>0.705</v>
      </c>
      <c r="K12" s="370" t="n">
        <v>49.62</v>
      </c>
      <c r="L12" s="370" t="n">
        <f aca="false">K12</f>
        <v>49.62</v>
      </c>
      <c r="M12" s="370" t="n">
        <f aca="false">K12</f>
        <v>49.62</v>
      </c>
      <c r="N12" s="379" t="n">
        <v>2128</v>
      </c>
      <c r="O12" s="378" t="n">
        <v>0.63</v>
      </c>
      <c r="P12" s="371" t="n">
        <v>0.319</v>
      </c>
      <c r="Q12" s="370" t="n">
        <v>52.05</v>
      </c>
      <c r="R12" s="370" t="n">
        <f aca="false">Q12</f>
        <v>52.05</v>
      </c>
      <c r="S12" s="370" t="n">
        <f aca="false">Q12</f>
        <v>52.05</v>
      </c>
      <c r="T12" s="379" t="n">
        <v>1265</v>
      </c>
      <c r="U12" s="378" t="n">
        <v>0.73</v>
      </c>
      <c r="V12" s="371" t="n">
        <v>0.585</v>
      </c>
      <c r="W12" s="370" t="n">
        <v>52.05</v>
      </c>
      <c r="X12" s="370" t="n">
        <f aca="false">W12</f>
        <v>52.05</v>
      </c>
      <c r="Y12" s="370" t="n">
        <f aca="false">W12</f>
        <v>52.05</v>
      </c>
    </row>
    <row r="13" customFormat="false" ht="12.75" hidden="false" customHeight="false" outlineLevel="0" collapsed="false">
      <c r="A13" s="377" t="n">
        <v>36404</v>
      </c>
      <c r="B13" s="379" t="n">
        <v>13771</v>
      </c>
      <c r="C13" s="378" t="n">
        <v>0.96</v>
      </c>
      <c r="D13" s="371" t="n">
        <v>0.367</v>
      </c>
      <c r="E13" s="370" t="n">
        <v>72.97</v>
      </c>
      <c r="F13" s="370" t="n">
        <f aca="false">E13</f>
        <v>72.97</v>
      </c>
      <c r="G13" s="370" t="n">
        <f aca="false">E13</f>
        <v>72.97</v>
      </c>
      <c r="H13" s="379" t="n">
        <v>2385</v>
      </c>
      <c r="I13" s="378" t="n">
        <v>0.47</v>
      </c>
      <c r="J13" s="371" t="n">
        <v>0.616</v>
      </c>
      <c r="K13" s="370" t="n">
        <v>72.97</v>
      </c>
      <c r="L13" s="370" t="n">
        <f aca="false">K13</f>
        <v>72.97</v>
      </c>
      <c r="M13" s="370" t="n">
        <f aca="false">K13</f>
        <v>72.97</v>
      </c>
      <c r="N13" s="379" t="n">
        <v>1794</v>
      </c>
      <c r="O13" s="378" t="n">
        <v>0.6</v>
      </c>
      <c r="P13" s="371" t="n">
        <v>0.252</v>
      </c>
      <c r="Q13" s="370" t="n">
        <v>71.47</v>
      </c>
      <c r="R13" s="370" t="n">
        <f aca="false">Q13</f>
        <v>71.47</v>
      </c>
      <c r="S13" s="370" t="n">
        <f aca="false">Q13</f>
        <v>71.47</v>
      </c>
      <c r="T13" s="379" t="n">
        <v>975</v>
      </c>
      <c r="U13" s="378" t="n">
        <v>0.72</v>
      </c>
      <c r="V13" s="371" t="n">
        <v>0.438</v>
      </c>
      <c r="W13" s="370" t="n">
        <v>71.47</v>
      </c>
      <c r="X13" s="370" t="n">
        <f aca="false">W13</f>
        <v>71.47</v>
      </c>
      <c r="Y13" s="370" t="n">
        <f aca="false">W13</f>
        <v>71.47</v>
      </c>
    </row>
    <row r="14" customFormat="false" ht="12.75" hidden="false" customHeight="false" outlineLevel="0" collapsed="false">
      <c r="A14" s="377" t="n">
        <v>36434</v>
      </c>
      <c r="B14" s="379" t="n">
        <v>10561</v>
      </c>
      <c r="C14" s="378" t="n">
        <v>0.61</v>
      </c>
      <c r="D14" s="371" t="n">
        <v>0.264</v>
      </c>
      <c r="E14" s="370" t="n">
        <v>91.94</v>
      </c>
      <c r="F14" s="370" t="n">
        <f aca="false">E14</f>
        <v>91.94</v>
      </c>
      <c r="G14" s="370" t="n">
        <f aca="false">E14</f>
        <v>91.94</v>
      </c>
      <c r="H14" s="379" t="n">
        <v>6932</v>
      </c>
      <c r="I14" s="378" t="n">
        <v>1.16</v>
      </c>
      <c r="J14" s="371" t="n">
        <v>0.792</v>
      </c>
      <c r="K14" s="370" t="n">
        <v>91.94</v>
      </c>
      <c r="L14" s="370" t="n">
        <f aca="false">K14</f>
        <v>91.94</v>
      </c>
      <c r="M14" s="370" t="n">
        <f aca="false">K14</f>
        <v>91.94</v>
      </c>
      <c r="N14" s="379" t="n">
        <v>1915</v>
      </c>
      <c r="O14" s="378" t="n">
        <v>0.57</v>
      </c>
      <c r="P14" s="371" t="n">
        <v>0.17</v>
      </c>
      <c r="Q14" s="370" t="n">
        <v>90.75</v>
      </c>
      <c r="R14" s="370" t="n">
        <f aca="false">Q14</f>
        <v>90.75</v>
      </c>
      <c r="S14" s="370" t="n">
        <f aca="false">Q14</f>
        <v>90.75</v>
      </c>
      <c r="T14" s="379" t="n">
        <v>1211</v>
      </c>
      <c r="U14" s="378" t="n">
        <v>0.8</v>
      </c>
      <c r="V14" s="371" t="n">
        <v>0.287</v>
      </c>
      <c r="W14" s="370" t="n">
        <v>90.75</v>
      </c>
      <c r="X14" s="370" t="n">
        <f aca="false">W14</f>
        <v>90.75</v>
      </c>
      <c r="Y14" s="370" t="n">
        <f aca="false">W14</f>
        <v>90.75</v>
      </c>
    </row>
    <row r="15" customFormat="false" ht="12.75" hidden="false" customHeight="false" outlineLevel="0" collapsed="false">
      <c r="A15" s="377" t="n">
        <v>36465</v>
      </c>
      <c r="B15" s="379" t="n">
        <v>15333</v>
      </c>
      <c r="C15" s="378" t="n">
        <v>0.7</v>
      </c>
      <c r="D15" s="371" t="n">
        <v>0.197</v>
      </c>
      <c r="E15" s="380" t="n">
        <v>155.51</v>
      </c>
      <c r="F15" s="380" t="n">
        <f aca="false">E15</f>
        <v>155.51</v>
      </c>
      <c r="G15" s="370" t="n">
        <f aca="false">E15</f>
        <v>155.51</v>
      </c>
      <c r="H15" s="379" t="n">
        <v>2686</v>
      </c>
      <c r="I15" s="378" t="n">
        <v>0.58</v>
      </c>
      <c r="J15" s="371" t="n">
        <v>0.662</v>
      </c>
      <c r="K15" s="380" t="n">
        <v>155.51</v>
      </c>
      <c r="L15" s="370" t="n">
        <f aca="false">K15</f>
        <v>155.51</v>
      </c>
      <c r="M15" s="370" t="n">
        <f aca="false">K15</f>
        <v>155.51</v>
      </c>
      <c r="N15" s="379" t="n">
        <v>4093</v>
      </c>
      <c r="O15" s="378" t="n">
        <v>0.75</v>
      </c>
      <c r="P15" s="371" t="n">
        <v>0.159</v>
      </c>
      <c r="Q15" s="380" t="n">
        <v>161.1</v>
      </c>
      <c r="R15" s="370" t="n">
        <f aca="false">Q15</f>
        <v>161.1</v>
      </c>
      <c r="S15" s="370" t="n">
        <f aca="false">Q15</f>
        <v>161.1</v>
      </c>
      <c r="T15" s="379" t="n">
        <v>2320</v>
      </c>
      <c r="U15" s="378" t="n">
        <v>0.93</v>
      </c>
      <c r="V15" s="371" t="n">
        <v>0.24</v>
      </c>
      <c r="W15" s="380" t="n">
        <v>161.1</v>
      </c>
      <c r="X15" s="370" t="n">
        <f aca="false">W15</f>
        <v>161.1</v>
      </c>
      <c r="Y15" s="370" t="n">
        <f aca="false">W15</f>
        <v>161.1</v>
      </c>
    </row>
    <row r="16" customFormat="false" ht="12.75" hidden="false" customHeight="false" outlineLevel="0" collapsed="false">
      <c r="A16" s="377" t="n">
        <v>36495</v>
      </c>
      <c r="B16" s="379" t="n">
        <v>22287</v>
      </c>
      <c r="C16" s="378" t="n">
        <v>0.68</v>
      </c>
      <c r="D16" s="371" t="n">
        <v>0.181</v>
      </c>
      <c r="E16" s="370" t="n">
        <v>213.93</v>
      </c>
      <c r="F16" s="370" t="n">
        <f aca="false">E16</f>
        <v>213.93</v>
      </c>
      <c r="G16" s="370" t="n">
        <f aca="false">E16</f>
        <v>213.93</v>
      </c>
      <c r="H16" s="379" t="n">
        <v>2227</v>
      </c>
      <c r="I16" s="378" t="n">
        <v>0.59</v>
      </c>
      <c r="J16" s="371" t="n">
        <v>0.529</v>
      </c>
      <c r="K16" s="370" t="n">
        <v>213.93</v>
      </c>
      <c r="L16" s="370" t="n">
        <f aca="false">K16</f>
        <v>213.93</v>
      </c>
      <c r="M16" s="370" t="n">
        <f aca="false">K16</f>
        <v>213.93</v>
      </c>
      <c r="N16" s="379" t="n">
        <v>8977</v>
      </c>
      <c r="O16" s="378" t="n">
        <v>0.92</v>
      </c>
      <c r="P16" s="371" t="n">
        <v>0.218</v>
      </c>
      <c r="Q16" s="370" t="n">
        <v>211.22</v>
      </c>
      <c r="R16" s="370" t="n">
        <f aca="false">Q16</f>
        <v>211.22</v>
      </c>
      <c r="S16" s="370" t="n">
        <f aca="false">Q16</f>
        <v>211.22</v>
      </c>
      <c r="T16" s="379" t="n">
        <v>5641</v>
      </c>
      <c r="U16" s="378" t="n">
        <v>1.17</v>
      </c>
      <c r="V16" s="371" t="n">
        <v>0.457</v>
      </c>
      <c r="W16" s="370" t="n">
        <v>211.22</v>
      </c>
      <c r="X16" s="370" t="n">
        <f aca="false">W16</f>
        <v>211.22</v>
      </c>
      <c r="Y16" s="370" t="n">
        <f aca="false">W16</f>
        <v>211.22</v>
      </c>
    </row>
    <row r="17" customFormat="false" ht="12.75" hidden="false" customHeight="false" outlineLevel="0" collapsed="false">
      <c r="A17" s="377" t="n">
        <v>36526</v>
      </c>
      <c r="B17" s="379" t="n">
        <v>43025</v>
      </c>
      <c r="C17" s="378" t="n">
        <v>0.97</v>
      </c>
      <c r="D17" s="371" t="n">
        <v>0.293</v>
      </c>
      <c r="E17" s="370" t="n">
        <v>285.5</v>
      </c>
      <c r="F17" s="370" t="n">
        <f aca="false">E17</f>
        <v>285.5</v>
      </c>
      <c r="G17" s="370" t="n">
        <f aca="false">E17</f>
        <v>285.5</v>
      </c>
      <c r="H17" s="379" t="n">
        <v>3076</v>
      </c>
      <c r="I17" s="378" t="n">
        <v>0.82</v>
      </c>
      <c r="J17" s="371" t="n">
        <v>0.475</v>
      </c>
      <c r="K17" s="370" t="n">
        <v>285.5</v>
      </c>
      <c r="L17" s="370" t="n">
        <f aca="false">K17</f>
        <v>285.5</v>
      </c>
      <c r="M17" s="370" t="n">
        <f aca="false">K17</f>
        <v>285.5</v>
      </c>
      <c r="N17" s="379" t="n">
        <v>12148</v>
      </c>
      <c r="O17" s="378" t="n">
        <v>0.89</v>
      </c>
      <c r="P17" s="371" t="n">
        <v>0.357</v>
      </c>
      <c r="Q17" s="370" t="n">
        <v>187.58</v>
      </c>
      <c r="R17" s="370" t="n">
        <f aca="false">Q17</f>
        <v>187.58</v>
      </c>
      <c r="S17" s="370" t="n">
        <f aca="false">Q17</f>
        <v>187.58</v>
      </c>
      <c r="T17" s="379" t="n">
        <v>12057</v>
      </c>
      <c r="U17" s="378" t="n">
        <v>1.42</v>
      </c>
      <c r="V17" s="371" t="n">
        <v>0.755</v>
      </c>
      <c r="W17" s="370" t="n">
        <v>187.58</v>
      </c>
      <c r="X17" s="370" t="n">
        <f aca="false">W17</f>
        <v>187.58</v>
      </c>
      <c r="Y17" s="370" t="n">
        <f aca="false">W17</f>
        <v>187.58</v>
      </c>
    </row>
    <row r="18" customFormat="false" ht="12.75" hidden="false" customHeight="false" outlineLevel="0" collapsed="false">
      <c r="A18" s="377" t="n">
        <v>36557</v>
      </c>
      <c r="B18" s="379" t="n">
        <v>53942</v>
      </c>
      <c r="C18" s="378" t="n">
        <v>1.15</v>
      </c>
      <c r="D18" s="371" t="n">
        <v>0.45</v>
      </c>
      <c r="E18" s="370" t="n">
        <v>190.88</v>
      </c>
      <c r="F18" s="370" t="n">
        <f aca="false">E18</f>
        <v>190.88</v>
      </c>
      <c r="G18" s="370" t="n">
        <f aca="false">E18</f>
        <v>190.88</v>
      </c>
      <c r="H18" s="379" t="n">
        <v>4419</v>
      </c>
      <c r="I18" s="378" t="n">
        <v>1.08</v>
      </c>
      <c r="J18" s="371" t="n">
        <v>0.473</v>
      </c>
      <c r="K18" s="370" t="n">
        <v>190.88</v>
      </c>
      <c r="L18" s="370" t="n">
        <f aca="false">K18</f>
        <v>190.88</v>
      </c>
      <c r="M18" s="370" t="n">
        <f aca="false">K18</f>
        <v>190.88</v>
      </c>
      <c r="N18" s="379" t="n">
        <v>15942</v>
      </c>
      <c r="O18" s="378" t="n">
        <v>1.1</v>
      </c>
      <c r="P18" s="371" t="n">
        <v>0.541</v>
      </c>
      <c r="Q18" s="370" t="n">
        <v>158.55</v>
      </c>
      <c r="R18" s="370" t="n">
        <f aca="false">Q18</f>
        <v>158.55</v>
      </c>
      <c r="S18" s="370" t="n">
        <f aca="false">Q18</f>
        <v>158.55</v>
      </c>
      <c r="T18" s="379" t="n">
        <v>13406</v>
      </c>
      <c r="U18" s="378" t="n">
        <v>1.17</v>
      </c>
      <c r="V18" s="371" t="n">
        <v>0.807</v>
      </c>
      <c r="W18" s="370" t="n">
        <v>158.55</v>
      </c>
      <c r="X18" s="370" t="n">
        <f aca="false">W18</f>
        <v>158.55</v>
      </c>
      <c r="Y18" s="370" t="n">
        <f aca="false">W18</f>
        <v>158.55</v>
      </c>
    </row>
    <row r="19" customFormat="false" ht="12.75" hidden="false" customHeight="false" outlineLevel="0" collapsed="false">
      <c r="A19" s="377" t="n">
        <v>36586</v>
      </c>
      <c r="B19" s="379" t="n">
        <v>47730</v>
      </c>
      <c r="C19" s="378" t="n">
        <v>1.09</v>
      </c>
      <c r="D19" s="371" t="n">
        <v>0.585</v>
      </c>
      <c r="E19" s="370" t="n">
        <v>86.56</v>
      </c>
      <c r="F19" s="370" t="n">
        <f aca="false">E19</f>
        <v>86.56</v>
      </c>
      <c r="G19" s="370" t="n">
        <f aca="false">E19</f>
        <v>86.56</v>
      </c>
      <c r="H19" s="379" t="n">
        <v>4685</v>
      </c>
      <c r="I19" s="378" t="n">
        <v>1.25</v>
      </c>
      <c r="J19" s="371" t="n">
        <v>0.523</v>
      </c>
      <c r="K19" s="370" t="n">
        <v>86.56</v>
      </c>
      <c r="L19" s="370" t="n">
        <f aca="false">K19</f>
        <v>86.56</v>
      </c>
      <c r="M19" s="370" t="n">
        <f aca="false">K19</f>
        <v>86.56</v>
      </c>
      <c r="N19" s="379" t="n">
        <v>12727</v>
      </c>
      <c r="O19" s="378" t="n">
        <v>0.91</v>
      </c>
      <c r="P19" s="371" t="n">
        <v>0.66</v>
      </c>
      <c r="Q19" s="370" t="n">
        <v>63.93</v>
      </c>
      <c r="R19" s="370" t="n">
        <f aca="false">Q19</f>
        <v>63.93</v>
      </c>
      <c r="S19" s="370" t="n">
        <f aca="false">Q19</f>
        <v>63.93</v>
      </c>
      <c r="T19" s="379" t="n">
        <v>16985</v>
      </c>
      <c r="U19" s="378" t="n">
        <v>1.27</v>
      </c>
      <c r="V19" s="371" t="n">
        <v>0.833</v>
      </c>
      <c r="W19" s="370" t="n">
        <v>63.93</v>
      </c>
      <c r="X19" s="370" t="n">
        <f aca="false">W19</f>
        <v>63.93</v>
      </c>
      <c r="Y19" s="370" t="n">
        <f aca="false">W19</f>
        <v>63.93</v>
      </c>
    </row>
    <row r="20" customFormat="false" ht="12.75" hidden="false" customHeight="false" outlineLevel="0" collapsed="false">
      <c r="A20" s="377" t="n">
        <v>36617</v>
      </c>
      <c r="B20" s="379" t="n">
        <v>28030</v>
      </c>
      <c r="C20" s="378" t="n">
        <v>0.85</v>
      </c>
      <c r="D20" s="371" t="n">
        <v>0.594</v>
      </c>
      <c r="E20" s="370" t="n">
        <v>56.67</v>
      </c>
      <c r="F20" s="370" t="n">
        <f aca="false">E20</f>
        <v>56.67</v>
      </c>
      <c r="G20" s="370" t="n">
        <f aca="false">E20</f>
        <v>56.67</v>
      </c>
      <c r="H20" s="379" t="n">
        <v>2040</v>
      </c>
      <c r="I20" s="378" t="n">
        <v>0.63</v>
      </c>
      <c r="J20" s="371" t="n">
        <v>0.4</v>
      </c>
      <c r="K20" s="370" t="n">
        <v>56.67</v>
      </c>
      <c r="L20" s="370" t="n">
        <f aca="false">K20</f>
        <v>56.67</v>
      </c>
      <c r="M20" s="370" t="n">
        <f aca="false">K20</f>
        <v>56.67</v>
      </c>
      <c r="N20" s="379" t="n">
        <v>9993</v>
      </c>
      <c r="O20" s="378" t="n">
        <v>0.9</v>
      </c>
      <c r="P20" s="371" t="n">
        <v>0.712</v>
      </c>
      <c r="Q20" s="370" t="n">
        <v>33.3</v>
      </c>
      <c r="R20" s="370" t="n">
        <f aca="false">Q20</f>
        <v>33.3</v>
      </c>
      <c r="S20" s="370" t="n">
        <f aca="false">Q20</f>
        <v>33.3</v>
      </c>
      <c r="T20" s="379" t="n">
        <v>14787</v>
      </c>
      <c r="U20" s="378" t="n">
        <v>1.11</v>
      </c>
      <c r="V20" s="371" t="n">
        <v>0.837</v>
      </c>
      <c r="W20" s="370" t="n">
        <v>33.3</v>
      </c>
      <c r="X20" s="370" t="n">
        <f aca="false">W20</f>
        <v>33.3</v>
      </c>
      <c r="Y20" s="370" t="n">
        <f aca="false">W20</f>
        <v>33.3</v>
      </c>
      <c r="AB20" s="370" t="s">
        <v>259</v>
      </c>
      <c r="AC20" s="370" t="s">
        <v>41</v>
      </c>
      <c r="AD20" s="370" t="s">
        <v>260</v>
      </c>
      <c r="AE20" s="370" t="s">
        <v>287</v>
      </c>
    </row>
    <row r="21" customFormat="false" ht="12.75" hidden="false" customHeight="false" outlineLevel="0" collapsed="false">
      <c r="A21" s="377" t="n">
        <v>36647</v>
      </c>
      <c r="B21" s="379" t="n">
        <v>18146</v>
      </c>
      <c r="C21" s="378" t="n">
        <v>0.74</v>
      </c>
      <c r="D21" s="371" t="n">
        <v>0.541</v>
      </c>
      <c r="E21" s="370" t="n">
        <v>86.08</v>
      </c>
      <c r="F21" s="370" t="n">
        <f aca="false">E21</f>
        <v>86.08</v>
      </c>
      <c r="G21" s="370" t="n">
        <f aca="false">E21</f>
        <v>86.08</v>
      </c>
      <c r="H21" s="379" t="n">
        <v>2330</v>
      </c>
      <c r="I21" s="378" t="n">
        <v>0.55</v>
      </c>
      <c r="J21" s="371" t="n">
        <v>0.302</v>
      </c>
      <c r="K21" s="370" t="n">
        <v>86.08</v>
      </c>
      <c r="L21" s="370" t="n">
        <f aca="false">K21</f>
        <v>86.08</v>
      </c>
      <c r="M21" s="370" t="n">
        <f aca="false">K21</f>
        <v>86.08</v>
      </c>
      <c r="N21" s="379" t="n">
        <v>5088</v>
      </c>
      <c r="O21" s="381" t="n">
        <v>0.73</v>
      </c>
      <c r="P21" s="371" t="n">
        <v>0.673</v>
      </c>
      <c r="Q21" s="370" t="n">
        <v>47.84</v>
      </c>
      <c r="R21" s="370" t="n">
        <f aca="false">Q21</f>
        <v>47.84</v>
      </c>
      <c r="S21" s="370" t="n">
        <f aca="false">Q21</f>
        <v>47.84</v>
      </c>
      <c r="T21" s="379" t="n">
        <v>10046</v>
      </c>
      <c r="U21" s="381" t="n">
        <v>1.16</v>
      </c>
      <c r="V21" s="371" t="n">
        <v>0.821</v>
      </c>
      <c r="W21" s="370" t="n">
        <v>47.84</v>
      </c>
      <c r="X21" s="370" t="n">
        <f aca="false">W21</f>
        <v>47.84</v>
      </c>
      <c r="Y21" s="370" t="n">
        <f aca="false">W21</f>
        <v>47.84</v>
      </c>
      <c r="AA21" s="321" t="s">
        <v>276</v>
      </c>
      <c r="AB21" s="371" t="n">
        <v>0.073</v>
      </c>
      <c r="AC21" s="371" t="n">
        <v>0.063</v>
      </c>
      <c r="AD21" s="382" t="n">
        <f aca="false">AE21/$AE$25</f>
        <v>0.045406672555548</v>
      </c>
      <c r="AE21" s="383" t="n">
        <v>10692</v>
      </c>
    </row>
    <row r="22" customFormat="false" ht="12.75" hidden="false" customHeight="false" outlineLevel="0" collapsed="false">
      <c r="A22" s="377" t="n">
        <v>36678</v>
      </c>
      <c r="B22" s="379" t="n">
        <v>15987</v>
      </c>
      <c r="C22" s="378" t="n">
        <v>0.77</v>
      </c>
      <c r="D22" s="371" t="n">
        <v>0.473</v>
      </c>
      <c r="E22" s="370" t="n">
        <v>137.16</v>
      </c>
      <c r="F22" s="370" t="n">
        <f aca="false">E22</f>
        <v>137.16</v>
      </c>
      <c r="G22" s="370" t="n">
        <f aca="false">E22</f>
        <v>137.16</v>
      </c>
      <c r="H22" s="379" t="n">
        <v>2812</v>
      </c>
      <c r="I22" s="378" t="n">
        <v>0.55</v>
      </c>
      <c r="J22" s="371" t="n">
        <v>0.41</v>
      </c>
      <c r="K22" s="370" t="n">
        <v>137.16</v>
      </c>
      <c r="L22" s="370" t="n">
        <f aca="false">K22</f>
        <v>137.16</v>
      </c>
      <c r="M22" s="370" t="n">
        <f aca="false">K22</f>
        <v>137.16</v>
      </c>
      <c r="N22" s="379" t="n">
        <v>3607</v>
      </c>
      <c r="O22" s="381" t="n">
        <v>0.76</v>
      </c>
      <c r="P22" s="371" t="n">
        <v>0.618</v>
      </c>
      <c r="Q22" s="370" t="n">
        <v>69.51</v>
      </c>
      <c r="R22" s="370" t="n">
        <f aca="false">Q22</f>
        <v>69.51</v>
      </c>
      <c r="S22" s="370" t="n">
        <f aca="false">Q22</f>
        <v>69.51</v>
      </c>
      <c r="T22" s="379" t="n">
        <v>3539</v>
      </c>
      <c r="U22" s="381" t="n">
        <v>0.83</v>
      </c>
      <c r="V22" s="371" t="n">
        <v>0.811</v>
      </c>
      <c r="W22" s="370" t="n">
        <v>69.51</v>
      </c>
      <c r="X22" s="370" t="n">
        <f aca="false">W22</f>
        <v>69.51</v>
      </c>
      <c r="Y22" s="370" t="n">
        <f aca="false">W22</f>
        <v>69.51</v>
      </c>
      <c r="AA22" s="321" t="s">
        <v>76</v>
      </c>
      <c r="AB22" s="371" t="n">
        <v>0.131</v>
      </c>
      <c r="AC22" s="371" t="n">
        <v>0.145</v>
      </c>
      <c r="AD22" s="382" t="n">
        <f aca="false">AE22/$AE$25</f>
        <v>0.213154854929673</v>
      </c>
      <c r="AE22" s="383" t="n">
        <v>50192</v>
      </c>
    </row>
    <row r="23" customFormat="false" ht="12.75" hidden="false" customHeight="false" outlineLevel="0" collapsed="false">
      <c r="A23" s="377" t="n">
        <v>36708</v>
      </c>
      <c r="B23" s="379" t="n">
        <v>15295</v>
      </c>
      <c r="C23" s="381" t="n">
        <v>0.86</v>
      </c>
      <c r="D23" s="371" t="n">
        <v>0.406</v>
      </c>
      <c r="E23" s="370" t="n">
        <v>145.73</v>
      </c>
      <c r="F23" s="370" t="n">
        <f aca="false">E23</f>
        <v>145.73</v>
      </c>
      <c r="G23" s="370" t="n">
        <f aca="false">E23</f>
        <v>145.73</v>
      </c>
      <c r="H23" s="379" t="n">
        <v>4736</v>
      </c>
      <c r="I23" s="381" t="n">
        <v>0.92</v>
      </c>
      <c r="J23" s="371" t="n">
        <v>0.441</v>
      </c>
      <c r="K23" s="370" t="n">
        <v>145.73</v>
      </c>
      <c r="L23" s="370" t="n">
        <f aca="false">K23</f>
        <v>145.73</v>
      </c>
      <c r="M23" s="370" t="n">
        <f aca="false">K23</f>
        <v>145.73</v>
      </c>
      <c r="N23" s="379" t="n">
        <v>2925</v>
      </c>
      <c r="O23" s="381" t="n">
        <v>0.78</v>
      </c>
      <c r="P23" s="371" t="n">
        <v>0.557</v>
      </c>
      <c r="Q23" s="370" t="n">
        <v>99.53</v>
      </c>
      <c r="R23" s="370" t="n">
        <f aca="false">Q23</f>
        <v>99.53</v>
      </c>
      <c r="S23" s="370" t="n">
        <f aca="false">Q23</f>
        <v>99.53</v>
      </c>
      <c r="T23" s="379" t="n">
        <v>2190</v>
      </c>
      <c r="U23" s="381" t="n">
        <v>0.89</v>
      </c>
      <c r="V23" s="371" t="n">
        <v>0.755</v>
      </c>
      <c r="W23" s="370" t="n">
        <v>99.53</v>
      </c>
      <c r="X23" s="370" t="n">
        <f aca="false">W23</f>
        <v>99.53</v>
      </c>
      <c r="Y23" s="370" t="n">
        <f aca="false">W23</f>
        <v>99.53</v>
      </c>
      <c r="AA23" s="321" t="s">
        <v>71</v>
      </c>
      <c r="AB23" s="371" t="n">
        <v>0.129</v>
      </c>
      <c r="AC23" s="371" t="n">
        <v>0.162</v>
      </c>
      <c r="AD23" s="382" t="n">
        <f aca="false">AE23/$AE$25</f>
        <v>0.0608097778079772</v>
      </c>
      <c r="AE23" s="383" t="n">
        <v>14319</v>
      </c>
    </row>
    <row r="24" customFormat="false" ht="12.75" hidden="false" customHeight="false" outlineLevel="0" collapsed="false">
      <c r="A24" s="377" t="n">
        <v>36739</v>
      </c>
      <c r="B24" s="379" t="n">
        <v>14714</v>
      </c>
      <c r="C24" s="381" t="n">
        <v>0.97</v>
      </c>
      <c r="D24" s="371" t="n">
        <v>0.318</v>
      </c>
      <c r="E24" s="370" t="n">
        <v>129.8</v>
      </c>
      <c r="F24" s="370" t="n">
        <f aca="false">E24</f>
        <v>129.8</v>
      </c>
      <c r="G24" s="370" t="n">
        <f aca="false">E24</f>
        <v>129.8</v>
      </c>
      <c r="H24" s="379" t="n">
        <v>2903</v>
      </c>
      <c r="I24" s="381" t="n">
        <v>0.67</v>
      </c>
      <c r="J24" s="371" t="n">
        <v>0.462</v>
      </c>
      <c r="K24" s="370" t="n">
        <v>129.8</v>
      </c>
      <c r="L24" s="370" t="n">
        <f aca="false">K24</f>
        <v>129.8</v>
      </c>
      <c r="M24" s="370" t="n">
        <f aca="false">K24</f>
        <v>129.8</v>
      </c>
      <c r="N24" s="379" t="n">
        <v>2498</v>
      </c>
      <c r="O24" s="381" t="n">
        <v>0.73</v>
      </c>
      <c r="P24" s="371" t="n">
        <v>0.47</v>
      </c>
      <c r="Q24" s="370" t="n">
        <v>89.72</v>
      </c>
      <c r="R24" s="370" t="n">
        <f aca="false">Q24</f>
        <v>89.72</v>
      </c>
      <c r="S24" s="370" t="n">
        <f aca="false">Q24</f>
        <v>89.72</v>
      </c>
      <c r="T24" s="379" t="n">
        <v>1677</v>
      </c>
      <c r="U24" s="378" t="n">
        <v>0.97</v>
      </c>
      <c r="V24" s="371" t="n">
        <v>0.615</v>
      </c>
      <c r="W24" s="370" t="n">
        <v>89.72</v>
      </c>
      <c r="X24" s="370" t="n">
        <f aca="false">W24</f>
        <v>89.72</v>
      </c>
      <c r="Y24" s="370" t="n">
        <f aca="false">W24</f>
        <v>89.72</v>
      </c>
      <c r="AA24" s="321" t="s">
        <v>21</v>
      </c>
      <c r="AB24" s="371" t="n">
        <f aca="false">0.429+0.198+0.04</f>
        <v>0.667</v>
      </c>
      <c r="AC24" s="371" t="n">
        <v>0.63</v>
      </c>
      <c r="AD24" s="382" t="n">
        <f aca="false">AE24/$AE$25</f>
        <v>0.680628694706802</v>
      </c>
      <c r="AE24" s="383" t="n">
        <v>160269</v>
      </c>
    </row>
    <row r="25" customFormat="false" ht="12.75" hidden="false" customHeight="false" outlineLevel="0" collapsed="false">
      <c r="A25" s="377" t="n">
        <v>36770</v>
      </c>
      <c r="B25" s="379" t="n">
        <v>16482</v>
      </c>
      <c r="C25" s="381" t="n">
        <v>0.95</v>
      </c>
      <c r="D25" s="371" t="n">
        <v>0.307</v>
      </c>
      <c r="E25" s="370" t="n">
        <v>156.11</v>
      </c>
      <c r="F25" s="370" t="n">
        <v>156.11</v>
      </c>
      <c r="G25" s="370" t="n">
        <v>156.11</v>
      </c>
      <c r="H25" s="384" t="n">
        <v>12561</v>
      </c>
      <c r="I25" s="381" t="n">
        <v>2.1</v>
      </c>
      <c r="J25" s="371" t="n">
        <v>0.867</v>
      </c>
      <c r="K25" s="370" t="n">
        <v>175.99</v>
      </c>
      <c r="L25" s="370" t="n">
        <v>175.99</v>
      </c>
      <c r="M25" s="370" t="n">
        <v>156.11</v>
      </c>
      <c r="N25" s="379" t="n">
        <v>2791</v>
      </c>
      <c r="O25" s="381" t="n">
        <v>0.83</v>
      </c>
      <c r="P25" s="371" t="n">
        <v>0.393</v>
      </c>
      <c r="Q25" s="370" t="n">
        <v>101.49</v>
      </c>
      <c r="R25" s="370" t="n">
        <v>101.49</v>
      </c>
      <c r="S25" s="370" t="n">
        <v>101.49</v>
      </c>
      <c r="T25" s="379" t="n">
        <v>1333</v>
      </c>
      <c r="U25" s="378" t="n">
        <v>0.88</v>
      </c>
      <c r="V25" s="371" t="n">
        <v>0.45</v>
      </c>
      <c r="W25" s="370" t="n">
        <v>101.49</v>
      </c>
      <c r="X25" s="370" t="n">
        <v>101.49</v>
      </c>
      <c r="Y25" s="370" t="n">
        <v>66.06</v>
      </c>
      <c r="AA25" s="370" t="s">
        <v>102</v>
      </c>
      <c r="AB25" s="371" t="n">
        <f aca="false">SUM(AB21:AB24)</f>
        <v>1</v>
      </c>
      <c r="AC25" s="371" t="n">
        <f aca="false">SUM(AC21:AC24)</f>
        <v>1</v>
      </c>
      <c r="AD25" s="382" t="n">
        <f aca="false">SUM(AD21:AD24)</f>
        <v>1</v>
      </c>
      <c r="AE25" s="383" t="n">
        <f aca="false">SUM(AE21:AE24)</f>
        <v>235472</v>
      </c>
    </row>
    <row r="26" customFormat="false" ht="12.75" hidden="false" customHeight="false" outlineLevel="0" collapsed="false">
      <c r="A26" s="377" t="n">
        <v>36800</v>
      </c>
      <c r="B26" s="379" t="n">
        <v>15963</v>
      </c>
      <c r="C26" s="381" t="n">
        <v>0.92</v>
      </c>
      <c r="D26" s="371" t="n">
        <v>0.23</v>
      </c>
      <c r="E26" s="370" t="n">
        <v>93.02</v>
      </c>
      <c r="F26" s="370" t="n">
        <v>93.02</v>
      </c>
      <c r="G26" s="370" t="n">
        <v>93.02</v>
      </c>
      <c r="H26" s="379" t="n">
        <v>13578</v>
      </c>
      <c r="I26" s="381" t="n">
        <v>1.84</v>
      </c>
      <c r="J26" s="371" t="n">
        <v>0.962</v>
      </c>
      <c r="K26" s="370" t="n">
        <v>93.02</v>
      </c>
      <c r="L26" s="370" t="n">
        <v>93.02</v>
      </c>
      <c r="M26" s="370" t="n">
        <v>27.45</v>
      </c>
      <c r="N26" s="379" t="n">
        <v>2308</v>
      </c>
      <c r="O26" s="381" t="n">
        <v>0.69</v>
      </c>
      <c r="P26" s="371" t="n">
        <v>0.289</v>
      </c>
      <c r="Q26" s="370" t="n">
        <v>76.07</v>
      </c>
      <c r="R26" s="370" t="n">
        <v>76.07</v>
      </c>
      <c r="S26" s="370" t="n">
        <v>76.07</v>
      </c>
      <c r="T26" s="379" t="n">
        <v>1336</v>
      </c>
      <c r="U26" s="378" t="n">
        <v>0.88</v>
      </c>
      <c r="V26" s="371" t="n">
        <v>0.321</v>
      </c>
      <c r="W26" s="370" t="n">
        <v>76.07</v>
      </c>
      <c r="X26" s="370" t="n">
        <v>76.07</v>
      </c>
      <c r="Y26" s="370" t="n">
        <v>76.07</v>
      </c>
    </row>
    <row r="27" customFormat="false" ht="12.75" hidden="false" customHeight="false" outlineLevel="0" collapsed="false">
      <c r="A27" s="377" t="n">
        <v>36831</v>
      </c>
      <c r="B27" s="379" t="n">
        <v>23973</v>
      </c>
      <c r="C27" s="381" t="n">
        <v>1.09</v>
      </c>
      <c r="D27" s="371" t="n">
        <v>0.2209</v>
      </c>
      <c r="E27" s="370" t="n">
        <v>149.7</v>
      </c>
      <c r="F27" s="370" t="n">
        <v>149.7</v>
      </c>
      <c r="G27" s="370" t="n">
        <v>149.7</v>
      </c>
      <c r="H27" s="379" t="n">
        <v>4701</v>
      </c>
      <c r="I27" s="381" t="n">
        <v>0.85</v>
      </c>
      <c r="J27" s="371" t="n">
        <v>0.929</v>
      </c>
      <c r="K27" s="370" t="n">
        <v>149.7</v>
      </c>
      <c r="L27" s="370" t="n">
        <v>149.7</v>
      </c>
      <c r="M27" s="370" t="n">
        <v>147.15</v>
      </c>
      <c r="N27" s="379" t="n">
        <v>4889</v>
      </c>
      <c r="O27" s="381" t="n">
        <v>0.9</v>
      </c>
      <c r="P27" s="371" t="n">
        <v>0.2754</v>
      </c>
      <c r="Q27" s="370" t="n">
        <v>127.3</v>
      </c>
      <c r="R27" s="370" t="n">
        <v>127.3</v>
      </c>
      <c r="S27" s="370" t="n">
        <v>127.3</v>
      </c>
      <c r="T27" s="379" t="n">
        <v>2693</v>
      </c>
      <c r="U27" s="378" t="n">
        <v>1.08</v>
      </c>
      <c r="V27" s="371" t="n">
        <v>0.2902</v>
      </c>
      <c r="W27" s="370" t="n">
        <v>149.7</v>
      </c>
      <c r="X27" s="370" t="n">
        <v>127.3</v>
      </c>
      <c r="Y27" s="370" t="n">
        <v>127.3</v>
      </c>
    </row>
    <row r="28" customFormat="false" ht="12.75" hidden="false" customHeight="false" outlineLevel="0" collapsed="false">
      <c r="A28" s="377" t="n">
        <v>36861</v>
      </c>
      <c r="B28" s="379" t="n">
        <v>35177</v>
      </c>
      <c r="C28" s="381" t="n">
        <v>1.07</v>
      </c>
      <c r="D28" s="371" t="n">
        <v>0.285</v>
      </c>
      <c r="E28" s="370" t="n">
        <v>103.54</v>
      </c>
      <c r="F28" s="370" t="n">
        <v>103.54</v>
      </c>
      <c r="G28" s="370" t="n">
        <v>103.54</v>
      </c>
      <c r="H28" s="379" t="n">
        <v>3495</v>
      </c>
      <c r="I28" s="381" t="n">
        <v>0.78</v>
      </c>
      <c r="J28" s="371" t="n">
        <v>0.894</v>
      </c>
      <c r="K28" s="370" t="n">
        <v>103.54</v>
      </c>
      <c r="L28" s="370" t="n">
        <v>103.54</v>
      </c>
      <c r="M28" s="370" t="n">
        <v>101.77</v>
      </c>
      <c r="N28" s="379" t="n">
        <v>10389</v>
      </c>
      <c r="O28" s="381" t="n">
        <v>1.07</v>
      </c>
      <c r="P28" s="371" t="n">
        <v>0.368</v>
      </c>
      <c r="Q28" s="370" t="n">
        <v>72.16</v>
      </c>
      <c r="R28" s="370" t="n">
        <v>72.16</v>
      </c>
      <c r="S28" s="370" t="n">
        <v>72.16</v>
      </c>
      <c r="T28" s="379" t="n">
        <v>6510</v>
      </c>
      <c r="U28" s="378" t="n">
        <v>1.35</v>
      </c>
      <c r="V28" s="371" t="n">
        <v>0.593</v>
      </c>
      <c r="W28" s="370" t="n">
        <v>103.54</v>
      </c>
      <c r="X28" s="370" t="n">
        <v>103.54</v>
      </c>
      <c r="Y28" s="370" t="n">
        <v>103.54</v>
      </c>
    </row>
    <row r="29" customFormat="false" ht="12.75" hidden="false" customHeight="false" outlineLevel="0" collapsed="false">
      <c r="A29" s="377" t="n">
        <v>36892</v>
      </c>
      <c r="B29" s="385"/>
      <c r="C29" s="385"/>
      <c r="E29" s="370" t="n">
        <v>56.92</v>
      </c>
      <c r="F29" s="370" t="n">
        <v>56.92</v>
      </c>
      <c r="G29" s="370" t="n">
        <v>56.92</v>
      </c>
      <c r="K29" s="370" t="n">
        <v>56.92</v>
      </c>
      <c r="L29" s="370" t="n">
        <v>56.92</v>
      </c>
      <c r="M29" s="370" t="n">
        <v>56.92</v>
      </c>
      <c r="Q29" s="370" t="n">
        <v>33.87</v>
      </c>
      <c r="R29" s="370" t="n">
        <v>33.87</v>
      </c>
      <c r="S29" s="370" t="n">
        <v>33.87</v>
      </c>
      <c r="W29" s="370" t="n">
        <v>33.87</v>
      </c>
      <c r="X29" s="370" t="n">
        <v>33.87</v>
      </c>
      <c r="Y29" s="370" t="n">
        <v>33.87</v>
      </c>
    </row>
    <row r="33" customFormat="false" ht="12.75" hidden="false" customHeight="false" outlineLevel="0" collapsed="false">
      <c r="B33" s="386" t="s">
        <v>268</v>
      </c>
      <c r="C33" s="386"/>
      <c r="D33" s="386"/>
      <c r="E33" s="386"/>
      <c r="F33" s="386"/>
      <c r="G33" s="386"/>
      <c r="H33" s="386"/>
      <c r="I33" s="386"/>
    </row>
    <row r="34" customFormat="false" ht="12.75" hidden="false" customHeight="false" outlineLevel="0" collapsed="false">
      <c r="A34" s="385"/>
      <c r="B34" s="386" t="s">
        <v>21</v>
      </c>
      <c r="C34" s="386"/>
      <c r="D34" s="386" t="s">
        <v>71</v>
      </c>
      <c r="E34" s="386"/>
      <c r="F34" s="386" t="s">
        <v>76</v>
      </c>
      <c r="G34" s="386"/>
      <c r="H34" s="386" t="s">
        <v>276</v>
      </c>
      <c r="I34" s="386"/>
    </row>
    <row r="35" customFormat="false" ht="12.75" hidden="false" customHeight="false" outlineLevel="0" collapsed="false">
      <c r="A35" s="387"/>
      <c r="B35" s="388" t="s">
        <v>278</v>
      </c>
      <c r="C35" s="388" t="n">
        <v>2000</v>
      </c>
      <c r="D35" s="388" t="s">
        <v>278</v>
      </c>
      <c r="E35" s="388" t="n">
        <v>2000</v>
      </c>
      <c r="F35" s="388" t="s">
        <v>278</v>
      </c>
      <c r="G35" s="388" t="n">
        <v>2000</v>
      </c>
      <c r="H35" s="388" t="s">
        <v>278</v>
      </c>
      <c r="I35" s="388" t="n">
        <v>2000</v>
      </c>
    </row>
    <row r="36" customFormat="false" ht="12.75" hidden="false" customHeight="false" outlineLevel="0" collapsed="false">
      <c r="A36" s="154" t="s">
        <v>27</v>
      </c>
      <c r="B36" s="389" t="n">
        <v>0.568</v>
      </c>
      <c r="C36" s="389" t="n">
        <v>0.293</v>
      </c>
      <c r="D36" s="389" t="n">
        <v>0.792</v>
      </c>
      <c r="E36" s="389" t="n">
        <v>0.475</v>
      </c>
      <c r="F36" s="389" t="n">
        <v>0.444</v>
      </c>
      <c r="G36" s="389" t="n">
        <v>0.357</v>
      </c>
      <c r="H36" s="389" t="n">
        <v>0.742</v>
      </c>
      <c r="I36" s="389" t="n">
        <v>0.755</v>
      </c>
    </row>
    <row r="37" customFormat="false" ht="12.75" hidden="false" customHeight="false" outlineLevel="0" collapsed="false">
      <c r="A37" s="154" t="s">
        <v>30</v>
      </c>
      <c r="B37" s="389" t="n">
        <v>0.622</v>
      </c>
      <c r="C37" s="389" t="n">
        <v>0.45</v>
      </c>
      <c r="D37" s="389" t="n">
        <v>0.844</v>
      </c>
      <c r="E37" s="389" t="n">
        <v>0.473</v>
      </c>
      <c r="F37" s="389" t="n">
        <v>0.426</v>
      </c>
      <c r="G37" s="389" t="n">
        <v>0.541</v>
      </c>
      <c r="H37" s="389" t="n">
        <v>0.802</v>
      </c>
      <c r="I37" s="389" t="n">
        <v>0.807</v>
      </c>
    </row>
    <row r="38" customFormat="false" ht="12.75" hidden="false" customHeight="false" outlineLevel="0" collapsed="false">
      <c r="A38" s="154" t="s">
        <v>33</v>
      </c>
      <c r="B38" s="389" t="n">
        <v>0.71</v>
      </c>
      <c r="C38" s="389" t="n">
        <v>0.585</v>
      </c>
      <c r="D38" s="389" t="n">
        <v>0.749</v>
      </c>
      <c r="E38" s="389" t="n">
        <v>0.523</v>
      </c>
      <c r="F38" s="389" t="n">
        <v>0.586</v>
      </c>
      <c r="G38" s="389" t="n">
        <v>0.66</v>
      </c>
      <c r="H38" s="389" t="n">
        <v>0.81</v>
      </c>
      <c r="I38" s="389" t="n">
        <v>0.833</v>
      </c>
    </row>
    <row r="39" customFormat="false" ht="12.75" hidden="false" customHeight="false" outlineLevel="0" collapsed="false">
      <c r="A39" s="154" t="s">
        <v>36</v>
      </c>
      <c r="B39" s="389" t="n">
        <v>0.698</v>
      </c>
      <c r="C39" s="389" t="n">
        <v>0.594</v>
      </c>
      <c r="D39" s="389" t="n">
        <v>0.727</v>
      </c>
      <c r="E39" s="389" t="n">
        <v>0.4</v>
      </c>
      <c r="F39" s="389" t="n">
        <v>0.574</v>
      </c>
      <c r="G39" s="389" t="n">
        <v>0.712</v>
      </c>
      <c r="H39" s="389" t="n">
        <v>0.832</v>
      </c>
      <c r="I39" s="389" t="n">
        <v>0.837</v>
      </c>
    </row>
    <row r="40" customFormat="false" ht="12.75" hidden="false" customHeight="false" outlineLevel="0" collapsed="false">
      <c r="A40" s="154" t="s">
        <v>40</v>
      </c>
      <c r="B40" s="389" t="n">
        <v>0.654</v>
      </c>
      <c r="C40" s="389" t="n">
        <v>0.541</v>
      </c>
      <c r="D40" s="389" t="n">
        <v>0.608</v>
      </c>
      <c r="E40" s="389" t="n">
        <v>0.302</v>
      </c>
      <c r="F40" s="389" t="n">
        <v>0.529</v>
      </c>
      <c r="G40" s="389" t="n">
        <v>0.673</v>
      </c>
      <c r="H40" s="389" t="n">
        <v>0.837</v>
      </c>
      <c r="I40" s="389" t="n">
        <v>0.821</v>
      </c>
    </row>
    <row r="41" customFormat="false" ht="12.75" hidden="false" customHeight="false" outlineLevel="0" collapsed="false">
      <c r="A41" s="154" t="s">
        <v>43</v>
      </c>
      <c r="B41" s="389" t="n">
        <v>0.601</v>
      </c>
      <c r="C41" s="389" t="n">
        <v>0.473</v>
      </c>
      <c r="D41" s="389" t="n">
        <v>0.761</v>
      </c>
      <c r="E41" s="389" t="n">
        <v>0.41</v>
      </c>
      <c r="F41" s="389" t="n">
        <v>0.464</v>
      </c>
      <c r="G41" s="389" t="n">
        <v>0.618</v>
      </c>
      <c r="H41" s="389" t="n">
        <v>0.81</v>
      </c>
      <c r="I41" s="389" t="n">
        <v>0.811</v>
      </c>
    </row>
    <row r="42" customFormat="false" ht="12.75" hidden="false" customHeight="false" outlineLevel="0" collapsed="false">
      <c r="A42" s="154" t="s">
        <v>46</v>
      </c>
      <c r="B42" s="389" t="n">
        <v>0.542</v>
      </c>
      <c r="C42" s="389" t="n">
        <v>0.406</v>
      </c>
      <c r="D42" s="389" t="n">
        <v>0.879</v>
      </c>
      <c r="E42" s="389" t="n">
        <v>0.441</v>
      </c>
      <c r="F42" s="389" t="n">
        <v>0.396</v>
      </c>
      <c r="G42" s="389" t="n">
        <v>0.557</v>
      </c>
      <c r="H42" s="389" t="n">
        <v>0.714</v>
      </c>
      <c r="I42" s="389" t="n">
        <v>0.755</v>
      </c>
    </row>
    <row r="43" customFormat="false" ht="12.75" hidden="false" customHeight="false" outlineLevel="0" collapsed="false">
      <c r="A43" s="154" t="s">
        <v>49</v>
      </c>
      <c r="B43" s="389" t="n">
        <v>0.45</v>
      </c>
      <c r="C43" s="389" t="n">
        <v>0.318</v>
      </c>
      <c r="D43" s="389" t="n">
        <v>0.705</v>
      </c>
      <c r="E43" s="389" t="n">
        <v>0.462</v>
      </c>
      <c r="F43" s="389" t="n">
        <v>0.319</v>
      </c>
      <c r="G43" s="389" t="n">
        <v>0.47</v>
      </c>
      <c r="H43" s="389" t="n">
        <v>0.585</v>
      </c>
      <c r="I43" s="389" t="n">
        <v>0.615</v>
      </c>
    </row>
    <row r="44" customFormat="false" ht="12.75" hidden="false" customHeight="false" outlineLevel="0" collapsed="false">
      <c r="A44" s="154" t="s">
        <v>53</v>
      </c>
      <c r="B44" s="389" t="n">
        <v>0.367</v>
      </c>
      <c r="C44" s="389" t="n">
        <v>0.307</v>
      </c>
      <c r="D44" s="389" t="n">
        <v>0.616</v>
      </c>
      <c r="E44" s="389" t="n">
        <v>0.867</v>
      </c>
      <c r="F44" s="389" t="n">
        <v>0.252</v>
      </c>
      <c r="G44" s="389" t="n">
        <v>0.393</v>
      </c>
      <c r="H44" s="389" t="n">
        <v>0.438</v>
      </c>
      <c r="I44" s="389" t="n">
        <v>0.45</v>
      </c>
    </row>
    <row r="45" customFormat="false" ht="12.75" hidden="false" customHeight="false" outlineLevel="0" collapsed="false">
      <c r="A45" s="154" t="s">
        <v>55</v>
      </c>
      <c r="B45" s="389" t="n">
        <v>0.264</v>
      </c>
      <c r="C45" s="371" t="n">
        <v>0.23</v>
      </c>
      <c r="D45" s="389" t="n">
        <v>0.792</v>
      </c>
      <c r="E45" s="371" t="n">
        <v>0.962</v>
      </c>
      <c r="F45" s="389" t="n">
        <v>0.17</v>
      </c>
      <c r="G45" s="371" t="n">
        <v>0.289</v>
      </c>
      <c r="H45" s="389" t="n">
        <v>0.287</v>
      </c>
      <c r="I45" s="371" t="n">
        <v>0.321</v>
      </c>
    </row>
    <row r="46" customFormat="false" ht="12.75" hidden="false" customHeight="false" outlineLevel="0" collapsed="false">
      <c r="A46" s="154" t="s">
        <v>58</v>
      </c>
      <c r="B46" s="389" t="n">
        <v>0.197</v>
      </c>
      <c r="C46" s="371" t="n">
        <v>0.2209</v>
      </c>
      <c r="D46" s="389" t="n">
        <v>0.662</v>
      </c>
      <c r="E46" s="371" t="n">
        <v>0.929</v>
      </c>
      <c r="F46" s="389" t="n">
        <v>0.159</v>
      </c>
      <c r="G46" s="371" t="n">
        <v>0.2754</v>
      </c>
      <c r="H46" s="389" t="n">
        <v>0.24</v>
      </c>
      <c r="I46" s="371" t="n">
        <v>0.2902</v>
      </c>
    </row>
    <row r="47" customFormat="false" ht="12.75" hidden="false" customHeight="false" outlineLevel="0" collapsed="false">
      <c r="A47" s="154" t="s">
        <v>61</v>
      </c>
      <c r="B47" s="389" t="n">
        <v>0.181</v>
      </c>
      <c r="C47" s="371" t="n">
        <f aca="false">28.52/100</f>
        <v>0.2852</v>
      </c>
      <c r="D47" s="389" t="n">
        <v>0.529</v>
      </c>
      <c r="E47" s="371" t="n">
        <f aca="false">89.37/100</f>
        <v>0.8937</v>
      </c>
      <c r="F47" s="389" t="n">
        <v>0.218</v>
      </c>
      <c r="G47" s="371" t="n">
        <f aca="false">36.81/100</f>
        <v>0.3681</v>
      </c>
      <c r="H47" s="389" t="n">
        <v>0.457</v>
      </c>
      <c r="I47" s="371" t="n">
        <f aca="false">59.33/100</f>
        <v>0.5933</v>
      </c>
    </row>
    <row r="48" customFormat="false" ht="12.75" hidden="false" customHeight="false" outlineLevel="0" collapsed="false">
      <c r="C48" s="390" t="n">
        <f aca="false">C47-B47</f>
        <v>0.1042</v>
      </c>
      <c r="E48" s="390" t="n">
        <f aca="false">E47-D47</f>
        <v>0.3647</v>
      </c>
      <c r="G48" s="390" t="n">
        <f aca="false">G47-F47</f>
        <v>0.1501</v>
      </c>
      <c r="I48" s="390" t="n">
        <f aca="false">I47-H47</f>
        <v>0.1363</v>
      </c>
    </row>
    <row r="49" customFormat="false" ht="12.75" hidden="false" customHeight="false" outlineLevel="0" collapsed="false">
      <c r="D49" s="371" t="s">
        <v>43</v>
      </c>
      <c r="E49" s="370" t="s">
        <v>46</v>
      </c>
      <c r="F49" s="370" t="s">
        <v>49</v>
      </c>
      <c r="G49" s="370" t="s">
        <v>53</v>
      </c>
      <c r="H49" s="370" t="s">
        <v>55</v>
      </c>
    </row>
    <row r="50" customFormat="false" ht="12.75" hidden="false" customHeight="false" outlineLevel="0" collapsed="false">
      <c r="C50" s="370" t="s">
        <v>288</v>
      </c>
      <c r="D50" s="391" t="n">
        <f aca="false">C41*100</f>
        <v>47.3</v>
      </c>
      <c r="E50" s="391" t="n">
        <f aca="false">C42*100</f>
        <v>40.6</v>
      </c>
      <c r="F50" s="391" t="n">
        <f aca="false">C43*100</f>
        <v>31.8</v>
      </c>
      <c r="G50" s="391" t="n">
        <f aca="false">C44*100</f>
        <v>30.7</v>
      </c>
      <c r="H50" s="391" t="n">
        <f aca="false">C45*100</f>
        <v>23</v>
      </c>
    </row>
    <row r="51" customFormat="false" ht="12.75" hidden="false" customHeight="false" outlineLevel="0" collapsed="false">
      <c r="C51" s="370" t="s">
        <v>103</v>
      </c>
      <c r="D51" s="391" t="n">
        <f aca="false">E41*100</f>
        <v>41</v>
      </c>
      <c r="E51" s="391" t="n">
        <f aca="false">E42*100</f>
        <v>44.1</v>
      </c>
      <c r="F51" s="391" t="n">
        <f aca="false">E43*100</f>
        <v>46.2</v>
      </c>
      <c r="G51" s="391" t="n">
        <f aca="false">E44*100</f>
        <v>86.7</v>
      </c>
      <c r="H51" s="391" t="n">
        <f aca="false">E45*100</f>
        <v>96.2</v>
      </c>
    </row>
    <row r="52" customFormat="false" ht="12.75" hidden="false" customHeight="false" outlineLevel="0" collapsed="false">
      <c r="C52" s="370" t="s">
        <v>108</v>
      </c>
      <c r="D52" s="391" t="n">
        <f aca="false">G41*100</f>
        <v>61.8</v>
      </c>
      <c r="E52" s="391" t="n">
        <f aca="false">G42*100</f>
        <v>55.7</v>
      </c>
      <c r="F52" s="391" t="n">
        <f aca="false">G43*100</f>
        <v>47</v>
      </c>
      <c r="G52" s="391" t="n">
        <f aca="false">G44*100</f>
        <v>39.3</v>
      </c>
      <c r="H52" s="391" t="n">
        <f aca="false">G45*100</f>
        <v>28.9</v>
      </c>
    </row>
    <row r="53" customFormat="false" ht="12.75" hidden="false" customHeight="false" outlineLevel="0" collapsed="false">
      <c r="C53" s="370" t="s">
        <v>107</v>
      </c>
      <c r="D53" s="391" t="n">
        <f aca="false">I41*100</f>
        <v>81.1</v>
      </c>
      <c r="E53" s="391" t="n">
        <f aca="false">I42*100</f>
        <v>75.5</v>
      </c>
      <c r="F53" s="391" t="n">
        <f aca="false">I43*100</f>
        <v>61.5</v>
      </c>
      <c r="G53" s="391" t="n">
        <f aca="false">I44*100</f>
        <v>45</v>
      </c>
      <c r="H53" s="391" t="n">
        <f aca="false">I45*100</f>
        <v>32.1</v>
      </c>
    </row>
  </sheetData>
  <mergeCells count="9">
    <mergeCell ref="B1:G1"/>
    <mergeCell ref="H1:M1"/>
    <mergeCell ref="N1:S1"/>
    <mergeCell ref="T1:Y1"/>
    <mergeCell ref="B33:I33"/>
    <mergeCell ref="B34:C34"/>
    <mergeCell ref="D34:E34"/>
    <mergeCell ref="F34:G34"/>
    <mergeCell ref="H34:I3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2000-08-01T16:38:21Z</dcterms:created>
  <dc:creator>Guy Ishikawa</dc:creator>
  <dc:description/>
  <dc:language>en-US</dc:language>
  <cp:lastModifiedBy>Guy Ishikawa</cp:lastModifiedBy>
  <cp:lastPrinted>2001-01-19T15:56:27Z</cp:lastPrinted>
  <cp:revision>0</cp:revision>
  <dc:subject/>
  <dc:title>ESA Intranet</dc:title>
</cp:coreProperties>
</file>