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charts/chart1.xml" ContentType="application/vnd.openxmlformats-officedocument.drawingml.chart+xml"/>
  <Override PartName="/xl/charts/chart2.xml" ContentType="application/vnd.openxmlformats-officedocument.drawingml.chart+xml"/>
  <Override PartName="/xl/sharedStrings.xml" ContentType="application/vnd.openxmlformats-officedocument.spreadsheetml.sharedStrings+xml"/>
  <Override PartName="/xl/ctrlProps/ctrlProps2.xml" ContentType="application/vnd.ms-excel.controlproperties+xml"/>
  <Override PartName="/xl/ctrlProps/ctrlProps3.xml" ContentType="application/vnd.ms-excel.controlproperties+xml"/>
  <Override PartName="/xl/ctrlProps/ctrlProps5.xml" ContentType="application/vnd.ms-excel.controlproperties+xml"/>
  <Override PartName="/xl/ctrlProps/ctrlProps7.xml" ContentType="application/vnd.ms-excel.controlproperties+xml"/>
  <Override PartName="/xl/ctrlProps/ctrlProps9.xml" ContentType="application/vnd.ms-excel.controlproperties+xml"/>
  <Override PartName="/xl/comments1.xml" ContentType="application/vnd.openxmlformats-officedocument.spreadsheetml.comments+xml"/>
  <Override PartName="/xl/drawings/_rels/drawing8.xml.rels" ContentType="application/vnd.openxmlformats-package.relationships+xml"/>
  <Override PartName="/xl/drawings/_rels/drawing6.xml.rels" ContentType="application/vnd.openxmlformats-package.relationships+xml"/>
  <Override PartName="/xl/drawings/_rels/drawing4.xml.rels" ContentType="application/vnd.openxmlformats-package.relationships+xml"/>
  <Override PartName="/xl/drawings/_rels/drawing1.xml.rels" ContentType="application/vnd.openxmlformats-package.relationship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4.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8.xml" ContentType="application/vnd.openxmlformats-officedocument.drawing+xml"/>
  <Override PartName="/xl/drawings/vmlDrawing4.vml" ContentType="application/vnd.openxmlformats-officedocument.vmlDrawing"/>
  <Override PartName="/xl/_rels/workbook.xml.rels" ContentType="application/vnd.openxmlformats-package.relationships+xml"/>
  <Override PartName="/xl/media/image1.wmf" ContentType="image/x-wmf"/>
  <Override PartName="/xl/media/image2.wmf" ContentType="image/x-wmf"/>
  <Override PartName="/xl/comments4.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Map" sheetId="1" state="visible" r:id="rId3"/>
    <sheet name="HPL MAP" sheetId="2" state="visible" r:id="rId4"/>
    <sheet name="Summary" sheetId="3" state="visible" r:id="rId5"/>
    <sheet name="System Detail" sheetId="4" state="visible" r:id="rId6"/>
  </sheets>
  <externalReferences>
    <externalReference r:id="rId7"/>
  </externalReferences>
  <definedNames>
    <definedName function="false" hidden="false" localSheetId="1" name="_xlnm.Print_Area" vbProcedure="false">'HPL MAP'!$A$1:$M$36</definedName>
    <definedName function="false" hidden="false" localSheetId="0" name="_xlnm.Print_Area" vbProcedure="false">Map!$A$1:$M$37</definedName>
    <definedName function="false" hidden="false" localSheetId="3" name="_xlnm.Print_Titles" vbProcedure="false">'System Detail'!$A:$H,'System Detail'!$1:$4</definedName>
    <definedName function="false" hidden="false" name="act11159" vbProcedure="false">'System Detail'!$I$251</definedName>
    <definedName function="false" hidden="false" name="act16058" vbProcedure="false">'System Detail'!$I$126</definedName>
    <definedName function="false" hidden="false" name="act16058hpl" vbProcedure="false">'System Detail'!$N$126</definedName>
    <definedName function="false" hidden="false" name="act16066" vbProcedure="false">'System Detail'!$I$31</definedName>
    <definedName function="false" hidden="false" name="act16069" vbProcedure="false">'System Detail'!$I$50</definedName>
    <definedName function="false" hidden="false" name="act16069hpl" vbProcedure="false">'System Detail'!$N$50</definedName>
    <definedName function="false" hidden="false" name="act16088" vbProcedure="false">'System Detail'!$I$114</definedName>
    <definedName function="false" hidden="false" name="act16127" vbProcedure="false">'System Detail'!$I$28</definedName>
    <definedName function="false" hidden="false" name="act16130" vbProcedure="false">'System Detail'!$I$37</definedName>
    <definedName function="false" hidden="false" name="act16151" vbProcedure="false">'System Detail'!$I$90</definedName>
    <definedName function="false" hidden="false" name="act16151hpl" vbProcedure="false">'System Detail'!$N$90</definedName>
    <definedName function="false" hidden="false" name="act16168" vbProcedure="false">'System Detail'!$I$187</definedName>
    <definedName function="false" hidden="false" name="act16168hpl" vbProcedure="false">'System Detail'!$N$187</definedName>
    <definedName function="false" hidden="false" name="act16179" vbProcedure="false">'System Detail'!$I$221</definedName>
    <definedName function="false" hidden="false" name="act16210" vbProcedure="false">'System Detail'!$I$67</definedName>
    <definedName function="false" hidden="false" name="act16210hpl" vbProcedure="false">'System Detail'!$N$67</definedName>
    <definedName function="false" hidden="false" name="act16222" vbProcedure="false">'System Detail'!$I$49</definedName>
    <definedName function="false" hidden="false" name="act16222hpl" vbProcedure="false">'System Detail'!$N$49</definedName>
    <definedName function="false" hidden="false" name="act16244" vbProcedure="false">'System Detail'!$I$36</definedName>
    <definedName function="false" hidden="false" name="act16244hpl" vbProcedure="false">'System Detail'!$N$36</definedName>
    <definedName function="false" hidden="false" name="act16247" vbProcedure="false">'System Detail'!$I$97</definedName>
    <definedName function="false" hidden="false" name="act16247hpl" vbProcedure="false">'System Detail'!$N$97</definedName>
    <definedName function="false" hidden="false" name="act16273" vbProcedure="false">'System Detail'!$I$113</definedName>
    <definedName function="false" hidden="false" name="act16273hpl" vbProcedure="false">'System Detail'!$N$113</definedName>
    <definedName function="false" hidden="false" name="act16290" vbProcedure="false">'System Detail'!$I$71</definedName>
    <definedName function="false" hidden="false" name="act16290hpl" vbProcedure="false">'System Detail'!$N$71</definedName>
    <definedName function="false" hidden="false" name="act16296" vbProcedure="false">'System Detail'!$I$119</definedName>
    <definedName function="false" hidden="false" name="act16296hpl" vbProcedure="false">'System Detail'!$N$119</definedName>
    <definedName function="false" hidden="false" name="act16297" vbProcedure="false">'System Detail'!$I$179</definedName>
    <definedName function="false" hidden="false" name="act16335" vbProcedure="false">'System Detail'!$I$196</definedName>
    <definedName function="false" hidden="false" name="act16335hpl" vbProcedure="false">'System Detail'!$N$196</definedName>
    <definedName function="false" hidden="false" name="act16338" vbProcedure="false">'System Detail'!$I$252</definedName>
    <definedName function="false" hidden="false" name="act16347" vbProcedure="false">'System Detail'!$I$12</definedName>
    <definedName function="false" hidden="false" name="act16354" vbProcedure="false">'System Detail'!$I$91</definedName>
    <definedName function="false" hidden="false" name="act16355" vbProcedure="false">'System Detail'!$I$167</definedName>
    <definedName function="false" hidden="false" name="act26006" vbProcedure="false">'System Detail'!$I$164</definedName>
    <definedName function="false" hidden="false" name="act26018" vbProcedure="false">'System Detail'!$I$118</definedName>
    <definedName function="false" hidden="false" name="act26018hpl" vbProcedure="false">'System Detail'!$N$118</definedName>
    <definedName function="false" hidden="false" name="act26021" vbProcedure="false">'System Detail'!$I$193</definedName>
    <definedName function="false" hidden="false" name="act26021hpl" vbProcedure="false">'System Detail'!$N$193</definedName>
    <definedName function="false" hidden="false" name="act26026" vbProcedure="false">'System Detail'!$I$173</definedName>
    <definedName function="false" hidden="false" name="act26026hpl" vbProcedure="false">'System Detail'!$N$173</definedName>
    <definedName function="false" hidden="false" name="act26073" vbProcedure="false">'System Detail'!$I$81</definedName>
    <definedName function="false" hidden="false" name="act26073hpl" vbProcedure="false">'System Detail'!$N$81</definedName>
    <definedName function="false" hidden="false" name="act26081" vbProcedure="false">'System Detail'!$I$33</definedName>
    <definedName function="false" hidden="false" name="act26084" vbProcedure="false">'System Detail'!$I$168</definedName>
    <definedName function="false" hidden="false" name="act26084hpl" vbProcedure="false">'System Detail'!$N$168</definedName>
    <definedName function="false" hidden="false" name="act26091" vbProcedure="false">'System Detail'!$I$30</definedName>
    <definedName function="false" hidden="false" name="act26106" vbProcedure="false">'System Detail'!$I$169</definedName>
    <definedName function="false" hidden="false" name="act26126" vbProcedure="false">'System Detail'!$I$203</definedName>
    <definedName function="false" hidden="false" name="act26126hpl" vbProcedure="false">'System Detail'!$N$203</definedName>
    <definedName function="false" hidden="false" name="act26150" vbProcedure="false">'System Detail'!$I$129</definedName>
    <definedName function="false" hidden="false" name="act26160" vbProcedure="false">'System Detail'!$I$106</definedName>
    <definedName function="false" hidden="false" name="act26160hpl" vbProcedure="false">'System Detail'!$N$106</definedName>
    <definedName function="false" hidden="false" name="act26167" vbProcedure="false">'System Detail'!$I$210</definedName>
    <definedName function="false" hidden="false" name="act26169" vbProcedure="false">'System Detail'!$I$211</definedName>
    <definedName function="false" hidden="false" name="act26184" vbProcedure="false">'System Detail'!$I$77</definedName>
    <definedName function="false" hidden="false" name="act26191" vbProcedure="false">'System Detail'!$I$59</definedName>
    <definedName function="false" hidden="false" name="act26205" vbProcedure="false">'System Detail'!$I$35</definedName>
    <definedName function="false" hidden="false" name="act402C" vbProcedure="false">'System Detail'!$I$13</definedName>
    <definedName function="false" hidden="false" name="act56015" vbProcedure="false">'System Detail'!$I$253</definedName>
    <definedName function="false" hidden="false" name="act56032" vbProcedure="false">'System Detail'!$I$254</definedName>
    <definedName function="false" hidden="false" name="act6148" vbProcedure="false">'System Detail'!$I$250</definedName>
    <definedName function="false" hidden="false" name="act802" vbProcedure="false">'System Detail'!$L$51</definedName>
    <definedName function="false" hidden="false" name="act802cig" vbProcedure="false">'System Detail'!$V$51</definedName>
    <definedName function="false" hidden="false" name="act802hpl" vbProcedure="false">'System Detail'!$Q$51</definedName>
    <definedName function="false" hidden="false" name="act804" vbProcedure="false">'System Detail'!$L$64</definedName>
    <definedName function="false" hidden="false" name="act804cig" vbProcedure="false">'System Detail'!$V$64</definedName>
    <definedName function="false" hidden="false" name="act804hpl" vbProcedure="false">'System Detail'!$Q$64</definedName>
    <definedName function="false" hidden="false" name="act806" vbProcedure="false">'System Detail'!$L$73</definedName>
    <definedName function="false" hidden="false" name="act806cig" vbProcedure="false">'System Detail'!$V$73</definedName>
    <definedName function="false" hidden="false" name="act806hpl" vbProcedure="false">'System Detail'!$Q$73</definedName>
    <definedName function="false" hidden="false" name="act809" vbProcedure="false">'System Detail'!$L$98</definedName>
    <definedName function="false" hidden="false" name="act809cig" vbProcedure="false">'System Detail'!$V$98</definedName>
    <definedName function="false" hidden="false" name="act809hpl" vbProcedure="false">'System Detail'!$Q$98</definedName>
    <definedName function="false" hidden="false" name="act812" vbProcedure="false">'System Detail'!$L$116</definedName>
    <definedName function="false" hidden="false" name="act812cig" vbProcedure="false">'System Detail'!$V$116</definedName>
    <definedName function="false" hidden="false" name="act812hpl" vbProcedure="false">'System Detail'!$Q$116</definedName>
    <definedName function="false" hidden="false" name="act813" vbProcedure="false">'System Detail'!$L$121</definedName>
    <definedName function="false" hidden="false" name="act813cig" vbProcedure="false">'System Detail'!$V$121</definedName>
    <definedName function="false" hidden="false" name="act813hpl" vbProcedure="false">'System Detail'!$Q$121</definedName>
    <definedName function="false" hidden="false" name="act814" vbProcedure="false">'System Detail'!$L$126</definedName>
    <definedName function="false" hidden="false" name="act8141a" vbProcedure="false">'System Detail'!$L$164</definedName>
    <definedName function="false" hidden="false" name="act8141acig" vbProcedure="false">'System Detail'!$V$164</definedName>
    <definedName function="false" hidden="false" name="act8141ahpl" vbProcedure="false">'System Detail'!$Q$164</definedName>
    <definedName function="false" hidden="false" name="act814cig" vbProcedure="false">'System Detail'!$V$126</definedName>
    <definedName function="false" hidden="false" name="act814hpl" vbProcedure="false">'System Detail'!$Q$126</definedName>
    <definedName function="false" hidden="false" name="act816" vbProcedure="false">'System Detail'!$L$178</definedName>
    <definedName function="false" hidden="false" name="act816cig" vbProcedure="false">'System Detail'!$V$178</definedName>
    <definedName function="false" hidden="false" name="act816hpl" vbProcedure="false">'System Detail'!$Q$178</definedName>
    <definedName function="false" hidden="false" name="act820" vbProcedure="false">'System Detail'!$L$223</definedName>
    <definedName function="false" hidden="false" name="act820cig" vbProcedure="false">'System Detail'!$V$223</definedName>
    <definedName function="false" hidden="false" name="act820hpl" vbProcedure="false">'System Detail'!$Q$223</definedName>
    <definedName function="false" hidden="false" name="actcedar" vbProcedure="false">Map!$B$52</definedName>
    <definedName function="false" hidden="false" name="actflow" vbProcedure="false">'System Detail'!$I$5:$I$254</definedName>
    <definedName function="false" hidden="false" name="acthoest" vbProcedure="false">Map!$B$44</definedName>
    <definedName function="false" hidden="false" name="actHPLAD" vbProcedure="false">Map!$B$46</definedName>
    <definedName function="false" hidden="false" name="actHPLADhpl" vbProcedure="false">'HPL MAP'!$B$43</definedName>
    <definedName function="false" hidden="false" name="actHPLGreg" vbProcedure="false">Map!$B$48</definedName>
    <definedName function="false" hidden="false" name="actHPLGreghpl" vbProcedure="false">'HPL MAP'!$B$45</definedName>
    <definedName function="false" hidden="false" name="actKR" vbProcedure="false">'System Detail'!$L$14</definedName>
    <definedName function="false" hidden="false" name="actkrcig" vbProcedure="false">'System Detail'!$V$14</definedName>
    <definedName function="false" hidden="false" name="actkrhpl" vbProcedure="false">'System Detail'!$Q$14</definedName>
    <definedName function="false" hidden="false" name="actMB" vbProcedure="false">Map!$B$39</definedName>
    <definedName function="false" hidden="false" name="actMBhpl" vbProcedure="false">'HPL MAP'!$B$38</definedName>
    <definedName function="false" hidden="false" name="actSCTTL" vbProcedure="false">Map!$B$56</definedName>
    <definedName function="false" hidden="false" name="actSCTTLhpl" vbProcedure="false">'HPL MAP'!$B$49</definedName>
    <definedName function="false" hidden="false" name="actSeahawk" vbProcedure="false">Map!$B$50</definedName>
    <definedName function="false" hidden="false" name="actST" vbProcedure="false">'System Detail'!$L$31</definedName>
    <definedName function="false" hidden="false" name="actSTcig" vbProcedure="false">'System Detail'!$V$31</definedName>
    <definedName function="false" hidden="false" name="actSThpl" vbProcedure="false">'System Detail'!$Q$31</definedName>
    <definedName function="false" hidden="false" name="ActTGPAD" vbProcedure="false">Map!$B$42</definedName>
    <definedName function="false" hidden="false" name="actTGPADhpl" vbProcedure="false">'HPL MAP'!$B$41</definedName>
    <definedName function="false" hidden="false" name="actTGPSAB" vbProcedure="false">Map!$B$54</definedName>
    <definedName function="false" hidden="false" name="actTGPSABhpl" vbProcedure="false">'HPL MAP'!$B$47</definedName>
    <definedName function="false" hidden="false" name="ActualsOk" vbProcedure="false">[1]Extracts!$S$1</definedName>
    <definedName function="false" hidden="false" name="autoupdateflag" vbProcedure="false">[1]Extracts!$R$3</definedName>
    <definedName function="false" hidden="false" name="avail4021A" vbProcedure="false">'System Detail'!$I$294</definedName>
    <definedName function="false" hidden="false" name="avail4022A" vbProcedure="false">'System Detail'!$I$296</definedName>
    <definedName function="false" hidden="false" name="avail8041A" vbProcedure="false">'System Detail'!$I$298</definedName>
    <definedName function="false" hidden="false" name="avail8042A" vbProcedure="false">'System Detail'!$I$300</definedName>
    <definedName function="false" hidden="false" name="avail8061A" vbProcedure="false">'System Detail'!$I$302</definedName>
    <definedName function="false" hidden="false" name="avail8062A" vbProcedure="false">'System Detail'!$I$304</definedName>
    <definedName function="false" hidden="false" name="avail8063A" vbProcedure="false">'System Detail'!$I$306</definedName>
    <definedName function="false" hidden="false" name="avail8091A" vbProcedure="false">#REF!</definedName>
    <definedName function="false" hidden="false" name="avail8091B" vbProcedure="false">'System Detail'!$I$312</definedName>
    <definedName function="false" hidden="false" name="avail8092A" vbProcedure="false">'System Detail'!$I$308</definedName>
    <definedName function="false" hidden="false" name="avail8093A" vbProcedure="false">'System Detail'!$I$310</definedName>
    <definedName function="false" hidden="false" name="avail8121A" vbProcedure="false">'System Detail'!$I$314</definedName>
    <definedName function="false" hidden="false" name="avail8122A" vbProcedure="false">'System Detail'!$I$316</definedName>
    <definedName function="false" hidden="false" name="avail8123A" vbProcedure="false">'System Detail'!$I$318</definedName>
    <definedName function="false" hidden="false" name="BTU" vbProcedure="false">[1]Extracts!$L$7:$M$389</definedName>
    <definedName function="false" hidden="false" name="BTUDefault" vbProcedure="false">1.025</definedName>
    <definedName function="false" hidden="false" name="CheckMeters" vbProcedure="false">'System Detail'!$D$246:$D$249</definedName>
    <definedName function="false" hidden="false" name="Cigsch" vbProcedure="false">[1]Cigsch!$A$1:$C$236</definedName>
    <definedName function="false" hidden="false" name="comErrorRange" vbProcedure="false">'System Detail'!$H$4:$H$223</definedName>
    <definedName function="false" hidden="false" name="critbtu" vbProcedure="false">[1]Extracts!$L$1:$L$2</definedName>
    <definedName function="false" hidden="false" name="critcomm" vbProcedure="false">[1]Extracts!$W$7:$W$8</definedName>
    <definedName function="false" hidden="false" name="critfuel" vbProcedure="false">[1]Extracts!$U$7:$V$8</definedName>
    <definedName function="false" hidden="false" name="critmisc" vbProcedure="false">[1]Extracts!$O$1:$O$4</definedName>
    <definedName function="false" hidden="false" name="critspotdata" vbProcedure="false">[1]Extracts!$A$1:$A$2</definedName>
    <definedName function="false" hidden="false" name="crittotalvolume" vbProcedure="false">[1]Extracts!$F$1:$F$2</definedName>
    <definedName function="false" hidden="false" name="critttldel" vbProcedure="false">[1]Extracts!$S$7:$T$8</definedName>
    <definedName function="false" hidden="false" name="critttlrec" vbProcedure="false">[1]Extracts!$R$7:$R$8</definedName>
    <definedName function="false" hidden="false" name="currentsetting" vbProcedure="false">'System Detail'!$I$2</definedName>
    <definedName function="false" hidden="false" name="datawinflow" vbProcedure="false">'[1]Winflow data'!$A$2:$D$237</definedName>
    <definedName function="false" hidden="false" name="datetext" vbProcedure="false">'System Detail'!$D$1</definedName>
    <definedName function="false" hidden="false" name="delcig" vbProcedure="false">'System Detail'!$S$231</definedName>
    <definedName function="false" hidden="false" name="delcigsch" vbProcedure="false">'System Detail'!$T$231</definedName>
    <definedName function="false" hidden="false" name="delhpl" vbProcedure="false">'System Detail'!$N$231</definedName>
    <definedName function="false" hidden="false" name="delhplsch" vbProcedure="false">'System Detail'!$O$231</definedName>
    <definedName function="false" hidden="false" name="delttl" vbProcedure="false">'System Detail'!$I$231</definedName>
    <definedName function="false" hidden="false" name="delttlsch" vbProcedure="false">'System Detail'!$J$231</definedName>
    <definedName function="false" hidden="false" name="errordata" vbProcedure="false">[1]Extracts!$A$7:$D$396</definedName>
    <definedName function="false" hidden="false" name="errorflags" vbProcedure="false">[1]Extracts!$S$1:$S$3</definedName>
    <definedName function="false" hidden="false" name="errorrange" vbProcedure="false">'System Detail'!$H$5:$H$319</definedName>
    <definedName function="false" hidden="false" name="finalData" vbProcedure="false">'System Detail'!$B$5:$B$223,'System Detail'!$B$230,'System Detail'!$B$233,'System Detail'!$B$235:$B$318,'System Detail'!$G$5:$I$223,'System Detail'!$G$230:$I$230,'System Detail'!$G$233:$I$233,'System Detail'!$G$235:$I$318</definedName>
    <definedName function="false" hidden="false" name="finaldatatest" vbProcedure="false">'System Detail'!$B$5:$B$26,'System Detail'!$B$28:$B$223,'System Detail'!$B$236:$B$318,'System Detail'!$G$5:$I$26,'System Detail'!$G$28:$I$223,'System Detail'!$G$236:$I$318</definedName>
    <definedName function="false" hidden="false" name="flowDate" vbProcedure="false">'System Detail'!$D$2</definedName>
    <definedName function="false" hidden="false" name="Fuel" vbProcedure="false">'System Detail'!$I$230</definedName>
    <definedName function="false" hidden="false" name="graph" vbProcedure="false">Summary!$B$19</definedName>
    <definedName function="false" hidden="false" name="LAUF" vbProcedure="false">'System Detail'!$I$234</definedName>
    <definedName function="false" hidden="false" name="LP802" vbProcedure="false">'[1]AS Line Pack (MCF)'!$K$4</definedName>
    <definedName function="false" hidden="false" name="LP802b" vbProcedure="false">Summary!$C$8</definedName>
    <definedName function="false" hidden="false" name="LP804" vbProcedure="false">'[1]AS Line Pack (MCF)'!$K$5</definedName>
    <definedName function="false" hidden="false" name="LP804b" vbProcedure="false">Summary!$C$9</definedName>
    <definedName function="false" hidden="false" name="LP806" vbProcedure="false">'[1]AS Line Pack (MCF)'!$K$6</definedName>
    <definedName function="false" hidden="false" name="LP806b" vbProcedure="false">Summary!$C$10</definedName>
    <definedName function="false" hidden="false" name="LP809" vbProcedure="false">'[1]AS Line Pack (MCF)'!$K$7</definedName>
    <definedName function="false" hidden="false" name="LP809b" vbProcedure="false">Summary!$C$11</definedName>
    <definedName function="false" hidden="false" name="LP812" vbProcedure="false">'[1]AS Line Pack (MCF)'!$K$8</definedName>
    <definedName function="false" hidden="false" name="LP812b" vbProcedure="false">Summary!$C$12</definedName>
    <definedName function="false" hidden="false" name="LP8141A" vbProcedure="false">'[1]AS Line Pack (MCF)'!$K$9</definedName>
    <definedName function="false" hidden="false" name="LP8141Ab" vbProcedure="false">Summary!$C$14</definedName>
    <definedName function="false" hidden="false" name="LP820" vbProcedure="false">'[1]AS Line Pack (MCF)'!$K$10</definedName>
    <definedName function="false" hidden="false" name="LPack" vbProcedure="false">Summary!$C$16</definedName>
    <definedName function="false" hidden="false" name="LPChange" vbProcedure="false">Summary!$D$16</definedName>
    <definedName function="false" hidden="false" name="LPSabine" vbProcedure="false">'[1]AS Line Pack (MCF)'!$K$11</definedName>
    <definedName function="false" hidden="false" name="LPsabineb" vbProcedure="false">Summary!$C$15</definedName>
    <definedName function="false" hidden="false" name="MAPHPL" vbProcedure="false">'HPL MAP'!$A$1:$M$36</definedName>
    <definedName function="false" hidden="false" name="masterlist" vbProcedure="false">'System Detail'!$A$4:$Y$318</definedName>
    <definedName function="false" hidden="false" name="MBBAL" vbProcedure="false">Map!$B$38</definedName>
    <definedName function="false" hidden="false" name="meterdata" vbProcedure="false">'System Detail'!$B$4:$Y$223</definedName>
    <definedName function="false" hidden="false" name="meterdataAS" vbProcedure="false">'System Detail'!$B$27:$Y$223</definedName>
    <definedName function="false" hidden="false" name="misc" vbProcedure="false">[1]Extracts!$O$7:$P$78</definedName>
    <definedName function="false" hidden="false" name="NewData" vbProcedure="false">[1]cig_out!$A$1:$H$1233</definedName>
    <definedName function="false" hidden="false" name="nomsok" vbProcedure="false">[1]Extracts!$S$2</definedName>
    <definedName function="false" hidden="false" name="PD26114" vbProcedure="false">'System Detail'!$I$270</definedName>
    <definedName function="false" hidden="false" name="PD26153" vbProcedure="false">'System Detail'!$I$271</definedName>
    <definedName function="false" hidden="false" name="PD26156" vbProcedure="false">'System Detail'!$I$275</definedName>
    <definedName function="false" hidden="false" name="PD26157" vbProcedure="false">'System Detail'!$I$274</definedName>
    <definedName function="false" hidden="false" name="PD26164" vbProcedure="false">'System Detail'!$I$272</definedName>
    <definedName function="false" hidden="false" name="PD26167" vbProcedure="false">'System Detail'!$I$273</definedName>
    <definedName function="false" hidden="false" name="PD56015" vbProcedure="false">'System Detail'!$I$277</definedName>
    <definedName function="false" hidden="false" name="PD6148" vbProcedure="false">'System Detail'!$I$276</definedName>
    <definedName function="false" hidden="false" name="PD802" vbProcedure="false">'System Detail'!$I$280</definedName>
    <definedName function="false" hidden="false" name="PD804" vbProcedure="false">'System Detail'!$I$282</definedName>
    <definedName function="false" hidden="false" name="PD806" vbProcedure="false">'System Detail'!$I$284</definedName>
    <definedName function="false" hidden="false" name="PD809" vbProcedure="false">'System Detail'!$I$286</definedName>
    <definedName function="false" hidden="false" name="PD812" vbProcedure="false">'System Detail'!$I$288</definedName>
    <definedName function="false" hidden="false" name="PD8121A" vbProcedure="false">'System Detail'!$I$291</definedName>
    <definedName function="false" hidden="false" name="PD813" vbProcedure="false">'System Detail'!$I$289</definedName>
    <definedName function="false" hidden="false" name="PDAD" vbProcedure="false">'System Detail'!$I$269</definedName>
    <definedName function="false" hidden="false" name="PDBLESS" vbProcedure="false">'System Detail'!$I$268</definedName>
    <definedName function="false" hidden="false" name="POLLHOUR" vbProcedure="false">TIME(HOUR(readingtime),MINUTE(readingtime),0)</definedName>
    <definedName function="false" hidden="false" name="readingtime" vbProcedure="false">'System Detail'!$D$3</definedName>
    <definedName function="false" hidden="false" name="PollHourRange" vbProcedure="false">[1]Extracts!$G$1</definedName>
    <definedName function="false" hidden="false" name="POLLHOURSFLOWED" vbProcedure="false">'System Detail'!$D$3-'System Detail'!$D$2</definedName>
    <definedName function="false" hidden="false" name="POLLHOURSTOTAL" vbProcedure="false">1</definedName>
    <definedName function="false" hidden="false" name="pomsdata" vbProcedure="false">'[1]Poms Data'!$B$1:$B$9</definedName>
    <definedName function="false" hidden="false" name="pomsok" vbProcedure="false">[1]Extracts!$S$3</definedName>
    <definedName function="false" hidden="false" name="printdetail" vbProcedure="false">[1]Extracts!$R$2</definedName>
    <definedName function="false" hidden="false" name="printhplmap" vbProcedure="false">[1]Extracts!$T$1</definedName>
    <definedName function="false" hidden="false" name="printmap" vbProcedure="false">[1]Extracts!$R$1</definedName>
    <definedName function="false" hidden="false" name="printsummary" vbProcedure="false">[1]Extracts!$T$2</definedName>
    <definedName function="false" hidden="false" name="projectedvolume" vbProcedure="false">[1]Extracts!$I$7:$J$396</definedName>
    <definedName function="false" hidden="false" name="PS16297" vbProcedure="false">'System Detail'!$I$266</definedName>
    <definedName function="false" hidden="false" name="PS800" vbProcedure="false">'System Detail'!$I$278</definedName>
    <definedName function="false" hidden="false" name="PS802" vbProcedure="false">'System Detail'!$I$279</definedName>
    <definedName function="false" hidden="false" name="PS804" vbProcedure="false">'System Detail'!$I$281</definedName>
    <definedName function="false" hidden="false" name="PS806" vbProcedure="false">'System Detail'!$I$283</definedName>
    <definedName function="false" hidden="false" name="PS809" vbProcedure="false">'System Detail'!$I$285</definedName>
    <definedName function="false" hidden="false" name="PS812" vbProcedure="false">'System Detail'!$I$287</definedName>
    <definedName function="false" hidden="false" name="PS8121A" vbProcedure="false">'System Detail'!$I$290</definedName>
    <definedName function="false" hidden="false" name="PSBLESS" vbProcedure="false">'System Detail'!$I$267</definedName>
    <definedName function="false" hidden="false" name="PSLomax" vbProcedure="false">'System Detail'!$I$292</definedName>
    <definedName function="false" hidden="false" name="reccig" vbProcedure="false">'System Detail'!$S$227</definedName>
    <definedName function="false" hidden="false" name="reccigsch" vbProcedure="false">'System Detail'!$T$227</definedName>
    <definedName function="false" hidden="false" name="rechpl" vbProcedure="false">'System Detail'!$N$227</definedName>
    <definedName function="false" hidden="false" name="rechplsch" vbProcedure="false">'System Detail'!$O$227</definedName>
    <definedName function="false" hidden="false" name="recttl" vbProcedure="false">'System Detail'!$I$227</definedName>
    <definedName function="false" hidden="false" name="recttlsch" vbProcedure="false">'System Detail'!$J$227</definedName>
    <definedName function="false" hidden="false" name="rngCmdBarLeft" vbProcedure="false">[1]Extracts!$C$1</definedName>
    <definedName function="false" hidden="false" name="rngCmdBarTop" vbProcedure="false">[1]Extracts!$C$2</definedName>
    <definedName function="false" hidden="false" name="rngPomsData" vbProcedure="false">'[1]Poms Data'!$A$1:$B$14</definedName>
    <definedName function="false" hidden="false" name="Run4021A" vbProcedure="false">'System Detail'!$I$293</definedName>
    <definedName function="false" hidden="false" name="Run4022A" vbProcedure="false">'System Detail'!$I$295</definedName>
    <definedName function="false" hidden="false" name="Run8041A" vbProcedure="false">'System Detail'!$I$297</definedName>
    <definedName function="false" hidden="false" name="run8042A" vbProcedure="false">'System Detail'!$I$299</definedName>
    <definedName function="false" hidden="false" name="run8061A" vbProcedure="false">'System Detail'!$I$301</definedName>
    <definedName function="false" hidden="false" name="run8062A" vbProcedure="false">'System Detail'!$I$303</definedName>
    <definedName function="false" hidden="false" name="run8063A" vbProcedure="false">'System Detail'!$I$305</definedName>
    <definedName function="false" hidden="false" name="run8091A" vbProcedure="false">#REF!</definedName>
    <definedName function="false" hidden="false" name="run8091B" vbProcedure="false">'System Detail'!$I$311</definedName>
    <definedName function="false" hidden="false" name="run8092A" vbProcedure="false">'System Detail'!$I$307</definedName>
    <definedName function="false" hidden="false" name="run8093A" vbProcedure="false">'System Detail'!$I$309</definedName>
    <definedName function="false" hidden="false" name="run8121A" vbProcedure="false">'System Detail'!$I$313</definedName>
    <definedName function="false" hidden="false" name="run8122A" vbProcedure="false">'System Detail'!$I$315</definedName>
    <definedName function="false" hidden="false" name="run8123A" vbProcedure="false">'System Detail'!$I$317</definedName>
    <definedName function="false" hidden="false" name="savedailydata" vbProcedure="false">[1]Extracts!$R$4</definedName>
    <definedName function="false" hidden="false" name="sch11159" vbProcedure="false">'System Detail'!$J$251</definedName>
    <definedName function="false" hidden="false" name="sch16058" vbProcedure="false">'System Detail'!$J$126</definedName>
    <definedName function="false" hidden="false" name="sch16058hpl" vbProcedure="false">'System Detail'!$O$126</definedName>
    <definedName function="false" hidden="false" name="sch16066" vbProcedure="false">'System Detail'!$J$31</definedName>
    <definedName function="false" hidden="false" name="sch16069" vbProcedure="false">'System Detail'!$J$50</definedName>
    <definedName function="false" hidden="false" name="sch16069hpl" vbProcedure="false">'System Detail'!$O$50</definedName>
    <definedName function="false" hidden="false" name="sch16088" vbProcedure="false">'System Detail'!$J$114</definedName>
    <definedName function="false" hidden="false" name="sch16127" vbProcedure="false">'System Detail'!$J$28</definedName>
    <definedName function="false" hidden="false" name="sch16130" vbProcedure="false">'System Detail'!$J$37</definedName>
    <definedName function="false" hidden="false" name="sch16151" vbProcedure="false">'System Detail'!$J$90</definedName>
    <definedName function="false" hidden="false" name="sch16151hpl" vbProcedure="false">'System Detail'!$O$90</definedName>
    <definedName function="false" hidden="false" name="sch16168" vbProcedure="false">'System Detail'!$J$187</definedName>
    <definedName function="false" hidden="false" name="sch16168hpl" vbProcedure="false">'System Detail'!$O$187</definedName>
    <definedName function="false" hidden="false" name="sch16210" vbProcedure="false">'System Detail'!$J$67</definedName>
    <definedName function="false" hidden="false" name="sch16210hpl" vbProcedure="false">'System Detail'!$O$67</definedName>
    <definedName function="false" hidden="false" name="sch16222" vbProcedure="false">'System Detail'!$J$49</definedName>
    <definedName function="false" hidden="false" name="sch16222hpl" vbProcedure="false">'System Detail'!$O$49</definedName>
    <definedName function="false" hidden="false" name="sch16244" vbProcedure="false">'System Detail'!$J$36</definedName>
    <definedName function="false" hidden="false" name="sch16244hpl" vbProcedure="false">'System Detail'!$O$36</definedName>
    <definedName function="false" hidden="false" name="sch16247" vbProcedure="false">'System Detail'!$J$97</definedName>
    <definedName function="false" hidden="false" name="sch16247hpl" vbProcedure="false">'System Detail'!$O$97</definedName>
    <definedName function="false" hidden="false" name="sch16273" vbProcedure="false">'System Detail'!$J$113</definedName>
    <definedName function="false" hidden="false" name="sch16273hpl" vbProcedure="false">'System Detail'!$O$113</definedName>
    <definedName function="false" hidden="false" name="sch16290" vbProcedure="false">'System Detail'!$J$71</definedName>
    <definedName function="false" hidden="false" name="sch16290hpl" vbProcedure="false">'System Detail'!$O$71</definedName>
    <definedName function="false" hidden="false" name="sch16296" vbProcedure="false">'System Detail'!$J$119</definedName>
    <definedName function="false" hidden="false" name="sch16296hpl" vbProcedure="false">'System Detail'!$O$119</definedName>
    <definedName function="false" hidden="false" name="sch16335" vbProcedure="false">'System Detail'!$J$196</definedName>
    <definedName function="false" hidden="false" name="sch16335hpl" vbProcedure="false">'System Detail'!$O$196</definedName>
    <definedName function="false" hidden="false" name="sch16347" vbProcedure="false">'System Detail'!$J$12</definedName>
    <definedName function="false" hidden="false" name="sch16354" vbProcedure="false">'System Detail'!$J$91</definedName>
    <definedName function="false" hidden="false" name="sch16355" vbProcedure="false">'System Detail'!$J$167</definedName>
    <definedName function="false" hidden="false" name="sch26018" vbProcedure="false">'System Detail'!$J$118</definedName>
    <definedName function="false" hidden="false" name="sch26018hpl" vbProcedure="false">'System Detail'!$O$118</definedName>
    <definedName function="false" hidden="false" name="sch26021" vbProcedure="false">'System Detail'!$J$193</definedName>
    <definedName function="false" hidden="false" name="sch26021hpl" vbProcedure="false">'System Detail'!$O$193</definedName>
    <definedName function="false" hidden="false" name="sch26026" vbProcedure="false">'System Detail'!$J$173</definedName>
    <definedName function="false" hidden="false" name="sch26026hpl" vbProcedure="false">'System Detail'!$O$173</definedName>
    <definedName function="false" hidden="false" name="sch26073" vbProcedure="false">'System Detail'!$J$81</definedName>
    <definedName function="false" hidden="false" name="sch26073hpl" vbProcedure="false">'System Detail'!$O$81</definedName>
    <definedName function="false" hidden="false" name="sch26084" vbProcedure="false">'System Detail'!$J$168</definedName>
    <definedName function="false" hidden="false" name="sch26084hpl" vbProcedure="false">'System Detail'!$O$168</definedName>
    <definedName function="false" hidden="false" name="sch26106" vbProcedure="false">'System Detail'!$J$169</definedName>
    <definedName function="false" hidden="false" name="sch26126" vbProcedure="false">'System Detail'!$J$203</definedName>
    <definedName function="false" hidden="false" name="sch26126hpl" vbProcedure="false">'System Detail'!$O$203</definedName>
    <definedName function="false" hidden="false" name="sch26150" vbProcedure="false">'System Detail'!$J$129</definedName>
    <definedName function="false" hidden="false" name="sch26160" vbProcedure="false">'System Detail'!$J$106</definedName>
    <definedName function="false" hidden="false" name="sch26160hpl" vbProcedure="false">'System Detail'!$O$106</definedName>
    <definedName function="false" hidden="false" name="sch26167" vbProcedure="false">'System Detail'!$J$210</definedName>
    <definedName function="false" hidden="false" name="sch26169" vbProcedure="false">'System Detail'!$J$211</definedName>
    <definedName function="false" hidden="false" name="sch26184" vbProcedure="false">'System Detail'!$J$77</definedName>
    <definedName function="false" hidden="false" name="sch6148" vbProcedure="false">'System Detail'!$J$250</definedName>
    <definedName function="false" hidden="false" name="sch802" vbProcedure="false">'System Detail'!$M$51</definedName>
    <definedName function="false" hidden="false" name="sch802cig" vbProcedure="false">'System Detail'!$W$51</definedName>
    <definedName function="false" hidden="false" name="sch802hpl" vbProcedure="false">'System Detail'!$R$51</definedName>
    <definedName function="false" hidden="false" name="sch804" vbProcedure="false">'System Detail'!$M$64</definedName>
    <definedName function="false" hidden="false" name="sch804cig" vbProcedure="false">'System Detail'!$W$64</definedName>
    <definedName function="false" hidden="false" name="sch804hpl" vbProcedure="false">'System Detail'!$R$64</definedName>
    <definedName function="false" hidden="false" name="sch806" vbProcedure="false">'System Detail'!$M$73</definedName>
    <definedName function="false" hidden="false" name="sch806cig" vbProcedure="false">'System Detail'!$W$73</definedName>
    <definedName function="false" hidden="false" name="sch806hpl" vbProcedure="false">'System Detail'!$R$73</definedName>
    <definedName function="false" hidden="false" name="sch809" vbProcedure="false">'System Detail'!$M$98</definedName>
    <definedName function="false" hidden="false" name="sch809cig" vbProcedure="false">'System Detail'!$W$98</definedName>
    <definedName function="false" hidden="false" name="sch809hpl" vbProcedure="false">'System Detail'!$R$98</definedName>
    <definedName function="false" hidden="false" name="sch812" vbProcedure="false">'System Detail'!$M$116</definedName>
    <definedName function="false" hidden="false" name="sch812cig" vbProcedure="false">'System Detail'!$W$116</definedName>
    <definedName function="false" hidden="false" name="sch812hpl" vbProcedure="false">'System Detail'!$R$116</definedName>
    <definedName function="false" hidden="false" name="sch813" vbProcedure="false">'System Detail'!$M$121</definedName>
    <definedName function="false" hidden="false" name="sch813cig" vbProcedure="false">'System Detail'!$W$121</definedName>
    <definedName function="false" hidden="false" name="sch813hpl" vbProcedure="false">'System Detail'!$R$121</definedName>
    <definedName function="false" hidden="false" name="sch814" vbProcedure="false">'System Detail'!$M$126</definedName>
    <definedName function="false" hidden="false" name="sch8141a" vbProcedure="false">'System Detail'!$M$164</definedName>
    <definedName function="false" hidden="false" name="sch8141acig" vbProcedure="false">'System Detail'!$W$164</definedName>
    <definedName function="false" hidden="false" name="sch8141ahpl" vbProcedure="false">'System Detail'!$R$164</definedName>
    <definedName function="false" hidden="false" name="sch814cig" vbProcedure="false">'System Detail'!$W$126</definedName>
    <definedName function="false" hidden="false" name="sch814hpl" vbProcedure="false">'System Detail'!$R$126</definedName>
    <definedName function="false" hidden="false" name="sch816" vbProcedure="false">'System Detail'!$M$178</definedName>
    <definedName function="false" hidden="false" name="sch816cig" vbProcedure="false">'System Detail'!$W$178</definedName>
    <definedName function="false" hidden="false" name="sch816hpl" vbProcedure="false">'System Detail'!$R$178</definedName>
    <definedName function="false" hidden="false" name="sch820" vbProcedure="false">'System Detail'!$M$223</definedName>
    <definedName function="false" hidden="false" name="sch820cig" vbProcedure="false">'System Detail'!$W$223</definedName>
    <definedName function="false" hidden="false" name="sch820hpl" vbProcedure="false">'System Detail'!$R$223</definedName>
    <definedName function="false" hidden="false" name="schcedar" vbProcedure="false">Map!$B$51</definedName>
    <definedName function="false" hidden="false" name="schhoest" vbProcedure="false">Map!$B$43</definedName>
    <definedName function="false" hidden="false" name="schHPLAD" vbProcedure="false">Map!$B$45</definedName>
    <definedName function="false" hidden="false" name="schHPLADhpl" vbProcedure="false">'HPL MAP'!$B$42</definedName>
    <definedName function="false" hidden="false" name="schHPLGreg" vbProcedure="false">Map!$B$47</definedName>
    <definedName function="false" hidden="false" name="schHPLGreghpl" vbProcedure="false">'HPL MAP'!$B$44</definedName>
    <definedName function="false" hidden="false" name="schKR" vbProcedure="false">'System Detail'!$M$14</definedName>
    <definedName function="false" hidden="false" name="schkrcig" vbProcedure="false">'System Detail'!$W$14</definedName>
    <definedName function="false" hidden="false" name="schkrhpl" vbProcedure="false">'System Detail'!$R$14</definedName>
    <definedName function="false" hidden="false" name="schMB" vbProcedure="false">Map!$B$40</definedName>
    <definedName function="false" hidden="false" name="schMBhpl" vbProcedure="false">'HPL MAP'!$B$39</definedName>
    <definedName function="false" hidden="false" name="schSCTTL" vbProcedure="false">Map!$B$55</definedName>
    <definedName function="false" hidden="false" name="schSCTTLhpl" vbProcedure="false">'HPL MAP'!$B$48</definedName>
    <definedName function="false" hidden="false" name="schSeahawk" vbProcedure="false">Map!$B$49</definedName>
    <definedName function="false" hidden="false" name="schST" vbProcedure="false">'System Detail'!$M$31</definedName>
    <definedName function="false" hidden="false" name="schSTcig" vbProcedure="false">'System Detail'!$W$31</definedName>
    <definedName function="false" hidden="false" name="schSThpl" vbProcedure="false">'System Detail'!$R$31</definedName>
    <definedName function="false" hidden="false" name="SchTGPAD" vbProcedure="false">Map!$B$41</definedName>
    <definedName function="false" hidden="false" name="schTGPADhpl" vbProcedure="false">'HPL MAP'!$B$40</definedName>
    <definedName function="false" hidden="false" name="schTGPSAB" vbProcedure="false">Map!$B$53</definedName>
    <definedName function="false" hidden="false" name="schTGPSABhpl" vbProcedure="false">'HPL MAP'!$B$46</definedName>
    <definedName function="false" hidden="false" name="spotdata" vbProcedure="false">[1]Extracts!$A$7:$D$396</definedName>
    <definedName function="false" hidden="false" name="startedUpdate" vbProcedure="false">[1]Extracts!$W$1</definedName>
    <definedName function="false" hidden="false" name="switchview" vbProcedure="false">[1]Extracts!$U$1</definedName>
    <definedName function="false" hidden="false" name="switchviewaccum" vbProcedure="false">[1]Extracts!$U$2</definedName>
    <definedName function="false" hidden="false" name="switchviewproject" vbProcedure="false">[1]Extracts!$U$4</definedName>
    <definedName function="false" hidden="false" name="switchviewspot" vbProcedure="false">[1]Extracts!$U$3</definedName>
    <definedName function="false" hidden="false" name="tablewinflowlookup" vbProcedure="false">'System Detail'!$B$4:$J$314</definedName>
    <definedName function="false" hidden="false" name="TD804" vbProcedure="false">'System Detail'!$I$257</definedName>
    <definedName function="false" hidden="false" name="TD806" vbProcedure="false">'System Detail'!$I$259</definedName>
    <definedName function="false" hidden="false" name="TD809" vbProcedure="false">'System Detail'!$I$261</definedName>
    <definedName function="false" hidden="false" name="TG16088" vbProcedure="false">'System Detail'!$I$262</definedName>
    <definedName function="false" hidden="false" name="TG16179" vbProcedure="false">'System Detail'!$I$265</definedName>
    <definedName function="false" hidden="false" name="TG16340" vbProcedure="false">'System Detail'!$I$256</definedName>
    <definedName function="false" hidden="false" name="TG26006" vbProcedure="false">'System Detail'!$I$263</definedName>
    <definedName function="false" hidden="false" name="TG26083" vbProcedure="false">'System Detail'!$I$255</definedName>
    <definedName function="false" hidden="false" name="TG26157" vbProcedure="false">'System Detail'!$I$264</definedName>
    <definedName function="false" hidden="false" name="totalvolume" vbProcedure="false">[1]Extracts!$F$7:$G$396</definedName>
    <definedName function="false" hidden="false" name="TS806" vbProcedure="false">'System Detail'!$I$258</definedName>
    <definedName function="false" hidden="false" name="TS809" vbProcedure="false">'System Detail'!$I$260</definedName>
    <definedName function="false" hidden="false" name="TTLCHK800South" vbProcedure="false">'System Detail'!$I$246</definedName>
    <definedName function="false" hidden="false" name="TTLCHK804" vbProcedure="false">'System Detail'!$I$249</definedName>
    <definedName function="false" hidden="false" name="TTLCHK812" vbProcedure="false">'System Detail'!$I$247</definedName>
    <definedName function="false" hidden="false" name="TTLCHK816" vbProcedure="false">'System Detail'!$I$248</definedName>
    <definedName function="false" hidden="false" name="uafcig" vbProcedure="false">reccig/recttl</definedName>
    <definedName function="false" hidden="false" name="uafhpl" vbProcedure="false">rechpl/recttl</definedName>
    <definedName function="false" hidden="false" localSheetId="0" name="MAP" vbProcedure="false">Map!$A$1:$M$36</definedName>
    <definedName function="false" hidden="false" localSheetId="3" name="Excel_BuiltIn__FilterDatabase" vbProcedure="false">'System Detail'!$A$4:$Y$314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F10" authorId="0">
      <text>
        <r>
          <rPr>
            <b val="true"/>
            <sz val="8"/>
            <color rgb="FF000000"/>
            <rFont val="Tahoma"/>
            <family val="0"/>
          </rPr>
          <t xml:space="preserve">A series unit will do 60-80 design.  A Parallel unit will do 110-140 design.  We can free flow 20-120 with 740 DT press.
</t>
        </r>
      </text>
      <mc:AlternateContent>
        <mc:Choice Requires="v2">
          <commentPr autoFill="true" autoScale="false" colHidden="false" locked="false" rowHidden="false" textHAlign="justify" textVAlign="top">
            <anchor moveWithCells="false" sizeWithCells="false">
              <xdr:from>
                <xdr:col>6</xdr:col>
                <xdr:colOff>8</xdr:colOff>
                <xdr:row>8</xdr:row>
                <xdr:rowOff>12</xdr:rowOff>
              </xdr:from>
              <xdr:to>
                <xdr:col>7</xdr:col>
                <xdr:colOff>70</xdr:colOff>
                <xdr:row>13</xdr:row>
                <xdr:rowOff>19</xdr:rowOff>
              </xdr:to>
            </anchor>
          </commentPr>
        </mc:Choice>
        <mc:Fallback/>
      </mc:AlternateContent>
    </comment>
    <comment ref="F27" authorId="0">
      <text>
        <r>
          <rPr>
            <b val="true"/>
            <sz val="8"/>
            <color rgb="FF000000"/>
            <rFont val="Tahoma"/>
            <family val="0"/>
          </rPr>
          <t xml:space="preserve">MAOP at 802 is 936 lbs.  Theoretical capacity is 364 mmbtu
</t>
        </r>
      </text>
      <mc:AlternateContent>
        <mc:Choice Requires="v2">
          <commentPr autoFill="true" autoScale="false" colHidden="false" locked="false" rowHidden="false" textHAlign="justify" textVAlign="top">
            <anchor moveWithCells="false" sizeWithCells="false">
              <xdr:from>
                <xdr:col>5</xdr:col>
                <xdr:colOff>63</xdr:colOff>
                <xdr:row>25</xdr:row>
                <xdr:rowOff>7</xdr:rowOff>
              </xdr:from>
              <xdr:to>
                <xdr:col>7</xdr:col>
                <xdr:colOff>46</xdr:colOff>
                <xdr:row>29</xdr:row>
                <xdr:rowOff>3</xdr:rowOff>
              </xdr:to>
            </anchor>
          </commentPr>
        </mc:Choice>
        <mc:Fallback/>
      </mc:AlternateContent>
    </comment>
    <comment ref="G26" authorId="0">
      <text>
        <r>
          <rPr>
            <b val="true"/>
            <sz val="8"/>
            <color rgb="FF000000"/>
            <rFont val="Tahoma"/>
            <family val="0"/>
          </rPr>
          <t xml:space="preserve">Theoretical capacity at 804 is 400 mmbtu
</t>
        </r>
      </text>
      <mc:AlternateContent>
        <mc:Choice Requires="v2">
          <commentPr autoFill="true" autoScale="false" colHidden="false" locked="false" rowHidden="false" textHAlign="justify" textVAlign="top">
            <anchor moveWithCells="false" sizeWithCells="false">
              <xdr:from>
                <xdr:col>7</xdr:col>
                <xdr:colOff>8</xdr:colOff>
                <xdr:row>24</xdr:row>
                <xdr:rowOff>9</xdr:rowOff>
              </xdr:from>
              <xdr:to>
                <xdr:col>8</xdr:col>
                <xdr:colOff>70</xdr:colOff>
                <xdr:row>26</xdr:row>
                <xdr:rowOff>13</xdr:rowOff>
              </xdr:to>
            </anchor>
          </commentPr>
        </mc:Choice>
        <mc:Fallback/>
      </mc:AlternateContent>
    </comment>
    <comment ref="H24" authorId="0">
      <text>
        <r>
          <rPr>
            <b val="true"/>
            <sz val="8"/>
            <color rgb="FF000000"/>
            <rFont val="Tahoma"/>
            <family val="0"/>
          </rPr>
          <t xml:space="preserve">Theoretical Capacity at 806 is currently 415 mmbtu  MAOP upstream to 802 is 936 lbs.  Robert Shimek Mngr 512-552-9601 cell 512-550-9651.  Hollie Ragle is @ 806
</t>
        </r>
      </text>
      <mc:AlternateContent>
        <mc:Choice Requires="v2">
          <commentPr autoFill="true" autoScale="false" colHidden="false" locked="false" rowHidden="false" textHAlign="justify" textVAlign="top">
            <anchor moveWithCells="false" sizeWithCells="false">
              <xdr:from>
                <xdr:col>7</xdr:col>
                <xdr:colOff>63</xdr:colOff>
                <xdr:row>22</xdr:row>
                <xdr:rowOff>7</xdr:rowOff>
              </xdr:from>
              <xdr:to>
                <xdr:col>9</xdr:col>
                <xdr:colOff>46</xdr:colOff>
                <xdr:row>29</xdr:row>
                <xdr:rowOff>17</xdr:rowOff>
              </xdr:to>
            </anchor>
          </commentPr>
        </mc:Choice>
        <mc:Fallback/>
      </mc:AlternateContent>
    </comment>
    <comment ref="J17" authorId="0">
      <text>
        <r>
          <rPr>
            <b val="true"/>
            <sz val="8"/>
            <color rgb="FF000000"/>
            <rFont val="Tahoma"/>
            <family val="0"/>
          </rPr>
          <t xml:space="preserve">J.R. Logan 281-331-4693 ext 2022 cell 713-542-2328.  
</t>
        </r>
      </text>
      <mc:AlternateContent>
        <mc:Choice Requires="v2">
          <commentPr autoFill="true" autoScale="false" colHidden="false" locked="false" rowHidden="false" textHAlign="justify" textVAlign="top">
            <anchor moveWithCells="false" sizeWithCells="false">
              <xdr:from>
                <xdr:col>10</xdr:col>
                <xdr:colOff>8</xdr:colOff>
                <xdr:row>15</xdr:row>
                <xdr:rowOff>9</xdr:rowOff>
              </xdr:from>
              <xdr:to>
                <xdr:col>11</xdr:col>
                <xdr:colOff>70</xdr:colOff>
                <xdr:row>18</xdr:row>
                <xdr:rowOff>1</xdr:rowOff>
              </xdr:to>
            </anchor>
          </commentPr>
        </mc:Choice>
        <mc:Fallback/>
      </mc:AlternateContent>
    </comment>
    <comment ref="J21" authorId="0">
      <text>
        <r>
          <rPr>
            <b val="true"/>
            <sz val="8"/>
            <color rgb="FF000000"/>
            <rFont val="Tahoma"/>
            <family val="0"/>
          </rPr>
          <t xml:space="preserve">Theoretical Capacity at station 809 is currently 528 mmbtu
</t>
        </r>
      </text>
      <mc:AlternateContent>
        <mc:Choice Requires="v2">
          <commentPr autoFill="true" autoScale="false" colHidden="false" locked="false" rowHidden="false" textHAlign="justify" textVAlign="top">
            <anchor moveWithCells="false" sizeWithCells="false">
              <xdr:from>
                <xdr:col>9</xdr:col>
                <xdr:colOff>63</xdr:colOff>
                <xdr:row>19</xdr:row>
                <xdr:rowOff>7</xdr:rowOff>
              </xdr:from>
              <xdr:to>
                <xdr:col>11</xdr:col>
                <xdr:colOff>46</xdr:colOff>
                <xdr:row>22</xdr:row>
                <xdr:rowOff>7</xdr:rowOff>
              </xdr:to>
            </anchor>
          </commentPr>
        </mc:Choice>
        <mc:Fallback/>
      </mc:AlternateContent>
    </comment>
    <comment ref="K16" authorId="0">
      <text>
        <r>
          <rPr>
            <b val="true"/>
            <sz val="8"/>
            <color rgb="FF000000"/>
            <rFont val="Tahoma"/>
            <family val="0"/>
          </rPr>
          <t xml:space="preserve">Theoretical Capacity at Station 813 is currently 595 mmbtu.  MAOP out of 813 through the Channel is 715.
</t>
        </r>
      </text>
      <mc:AlternateContent>
        <mc:Choice Requires="v2">
          <commentPr autoFill="true" autoScale="false" colHidden="false" locked="false" rowHidden="false" textHAlign="justify" textVAlign="top">
            <anchor moveWithCells="false" sizeWithCells="false">
              <xdr:from>
                <xdr:col>11</xdr:col>
                <xdr:colOff>8</xdr:colOff>
                <xdr:row>14</xdr:row>
                <xdr:rowOff>7</xdr:rowOff>
              </xdr:from>
              <xdr:to>
                <xdr:col>12</xdr:col>
                <xdr:colOff>70</xdr:colOff>
                <xdr:row>18</xdr:row>
                <xdr:rowOff>20</xdr:rowOff>
              </xdr:to>
            </anchor>
          </commentPr>
        </mc:Choice>
        <mc:Fallback/>
      </mc:AlternateContent>
    </comment>
    <comment ref="L12" authorId="0">
      <text>
        <r>
          <rPr>
            <b val="true"/>
            <sz val="8"/>
            <color rgb="FF000000"/>
            <rFont val="Tahoma"/>
            <family val="0"/>
          </rPr>
          <t xml:space="preserve">Sta 816
Robert Cornell 409-389-2255 cell 713-824-9926
</t>
        </r>
      </text>
      <mc:AlternateContent>
        <mc:Choice Requires="v2">
          <commentPr autoFill="true" autoScale="false" colHidden="false" locked="false" rowHidden="false" textHAlign="justify" textVAlign="top">
            <anchor moveWithCells="false" sizeWithCells="false">
              <xdr:from>
                <xdr:col>12</xdr:col>
                <xdr:colOff>8</xdr:colOff>
                <xdr:row>10</xdr:row>
                <xdr:rowOff>9</xdr:rowOff>
              </xdr:from>
              <xdr:to>
                <xdr:col>13</xdr:col>
                <xdr:colOff>70</xdr:colOff>
                <xdr:row>13</xdr:row>
                <xdr:rowOff>9</xdr:rowOff>
              </xdr:to>
            </anchor>
          </commentPr>
        </mc:Choice>
        <mc:Fallback/>
      </mc:AlternateContent>
    </comment>
    <comment ref="L13" authorId="0">
      <text>
        <r>
          <rPr>
            <b val="true"/>
            <sz val="8"/>
            <color rgb="FF000000"/>
            <rFont val="Tahoma"/>
            <family val="0"/>
          </rPr>
          <t xml:space="preserve">The suction pressure shown here is at Lomax.  This represents the line pressure into the Ship Channel.  Minimum pressure is conisdered to be 535
</t>
        </r>
      </text>
      <mc:AlternateContent>
        <mc:Choice Requires="v2">
          <commentPr autoFill="true" autoScale="false" colHidden="false" locked="false" rowHidden="false" textHAlign="justify" textVAlign="top">
            <anchor moveWithCells="false" sizeWithCells="false">
              <xdr:from>
                <xdr:col>11</xdr:col>
                <xdr:colOff>63</xdr:colOff>
                <xdr:row>11</xdr:row>
                <xdr:rowOff>7</xdr:rowOff>
              </xdr:from>
              <xdr:to>
                <xdr:col>13</xdr:col>
                <xdr:colOff>46</xdr:colOff>
                <xdr:row>17</xdr:row>
                <xdr:rowOff>15</xdr:rowOff>
              </xdr:to>
            </anchor>
          </commentPr>
        </mc:Choice>
        <mc:Fallback/>
      </mc:AlternateContent>
    </comment>
    <comment ref="L15" authorId="0">
      <text>
        <r>
          <rPr>
            <b val="true"/>
            <sz val="8"/>
            <color rgb="FF000000"/>
            <rFont val="Tahoma"/>
            <family val="0"/>
          </rPr>
          <t xml:space="preserve">Theoretical Capacity at 814 is currently 630 mmbtu.
</t>
        </r>
      </text>
      <mc:AlternateContent>
        <mc:Choice Requires="v2">
          <commentPr autoFill="true" autoScale="false" colHidden="false" locked="false" rowHidden="false" textHAlign="justify" textVAlign="top">
            <anchor moveWithCells="false" sizeWithCells="false">
              <xdr:from>
                <xdr:col>11</xdr:col>
                <xdr:colOff>63</xdr:colOff>
                <xdr:row>13</xdr:row>
                <xdr:rowOff>7</xdr:rowOff>
              </xdr:from>
              <xdr:to>
                <xdr:col>13</xdr:col>
                <xdr:colOff>46</xdr:colOff>
                <xdr:row>16</xdr:row>
                <xdr:rowOff>11</xdr:rowOff>
              </xdr:to>
            </anchor>
          </commentPr>
        </mc:Choice>
        <mc:Fallback/>
      </mc:AlternateContent>
    </comment>
  </commentList>
</comments>
</file>

<file path=xl/comments4.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12" authorId="0">
      <text>
        <r>
          <rPr>
            <b val="true"/>
            <sz val="8"/>
            <color rgb="FF000000"/>
            <rFont val="Tahoma"/>
            <family val="0"/>
          </rPr>
          <t xml:space="preserve">Use 20837 for set-
point changes!
</t>
        </r>
      </text>
      <mc:AlternateContent>
        <mc:Choice Requires="v2">
          <commentPr autoFill="true" autoScale="false" colHidden="false" locked="false" rowHidden="false" textHAlign="justify" textVAlign="top">
            <anchor moveWithCells="false" sizeWithCells="false">
              <xdr:from>
                <xdr:col>2</xdr:col>
                <xdr:colOff>37</xdr:colOff>
                <xdr:row>10</xdr:row>
                <xdr:rowOff>7</xdr:rowOff>
              </xdr:from>
              <xdr:to>
                <xdr:col>3</xdr:col>
                <xdr:colOff>94</xdr:colOff>
                <xdr:row>14</xdr:row>
                <xdr:rowOff>12</xdr:rowOff>
              </xdr:to>
            </anchor>
          </commentPr>
        </mc:Choice>
        <mc:Fallback/>
      </mc:AlternateContent>
    </comment>
    <comment ref="D28" authorId="0">
      <text>
        <r>
          <rPr>
            <b val="true"/>
            <sz val="8"/>
            <color rgb="FF000000"/>
            <rFont val="Tahoma"/>
            <family val="0"/>
          </rPr>
          <t xml:space="preserve"> Mark 888-204-1781.</t>
        </r>
      </text>
      <mc:AlternateContent>
        <mc:Choice Requires="v2">
          <commentPr autoFill="true" autoScale="false" colHidden="false" locked="false" rowHidden="false" textHAlign="justify" textVAlign="top">
            <anchor moveWithCells="false" sizeWithCells="false">
              <xdr:from>
                <xdr:col>5</xdr:col>
                <xdr:colOff>4</xdr:colOff>
                <xdr:row>27</xdr:row>
                <xdr:rowOff>15</xdr:rowOff>
              </xdr:from>
              <xdr:to>
                <xdr:col>8</xdr:col>
                <xdr:colOff>9</xdr:colOff>
                <xdr:row>29</xdr:row>
                <xdr:rowOff>15</xdr:rowOff>
              </xdr:to>
            </anchor>
          </commentPr>
        </mc:Choice>
        <mc:Fallback/>
      </mc:AlternateContent>
    </comment>
    <comment ref="D30" authorId="0">
      <text>
        <r>
          <rPr>
            <b val="true"/>
            <sz val="8"/>
            <color rgb="FF000000"/>
            <rFont val="Tahoma"/>
            <family val="0"/>
          </rPr>
          <t xml:space="preserve">Jullie Morris Scheduler 972-443-4494.
</t>
        </r>
      </text>
      <mc:AlternateContent>
        <mc:Choice Requires="v2">
          <commentPr autoFill="true" autoScale="false" colHidden="false" locked="false" rowHidden="false" textHAlign="justify" textVAlign="top">
            <anchor moveWithCells="false" sizeWithCells="false">
              <xdr:from>
                <xdr:col>5</xdr:col>
                <xdr:colOff>4</xdr:colOff>
                <xdr:row>29</xdr:row>
                <xdr:rowOff>12</xdr:rowOff>
              </xdr:from>
              <xdr:to>
                <xdr:col>8</xdr:col>
                <xdr:colOff>12</xdr:colOff>
                <xdr:row>32</xdr:row>
                <xdr:rowOff>6</xdr:rowOff>
              </xdr:to>
            </anchor>
          </commentPr>
        </mc:Choice>
        <mc:Fallback/>
      </mc:AlternateContent>
    </comment>
    <comment ref="D31" authorId="0">
      <text>
        <r>
          <rPr>
            <b val="true"/>
            <sz val="8"/>
            <color rgb="FF000000"/>
            <rFont val="Tahoma"/>
            <family val="0"/>
          </rPr>
          <t xml:space="preserve">512-584-3521 ext 310.  Operator Lee Durbin.</t>
        </r>
      </text>
      <mc:AlternateContent>
        <mc:Choice Requires="v2">
          <commentPr autoFill="true" autoScale="false" colHidden="false" locked="false" rowHidden="false" textHAlign="justify" textVAlign="top">
            <anchor moveWithCells="false" sizeWithCells="false">
              <xdr:from>
                <xdr:col>5</xdr:col>
                <xdr:colOff>4</xdr:colOff>
                <xdr:row>30</xdr:row>
                <xdr:rowOff>12</xdr:rowOff>
              </xdr:from>
              <xdr:to>
                <xdr:col>8</xdr:col>
                <xdr:colOff>3</xdr:colOff>
                <xdr:row>33</xdr:row>
                <xdr:rowOff>11</xdr:rowOff>
              </xdr:to>
            </anchor>
          </commentPr>
        </mc:Choice>
        <mc:Fallback/>
      </mc:AlternateContent>
    </comment>
    <comment ref="D32" authorId="0">
      <text>
        <r>
          <rPr>
            <b val="true"/>
            <sz val="8"/>
            <color rgb="FF000000"/>
            <rFont val="Tahoma"/>
            <family val="0"/>
          </rPr>
          <t xml:space="preserve">We pick up TGP meter 20679 for readings.  16281 is not available.
</t>
        </r>
      </text>
      <mc:AlternateContent>
        <mc:Choice Requires="v2">
          <commentPr autoFill="true" autoScale="false" colHidden="false" locked="false" rowHidden="false" textHAlign="justify" textVAlign="top">
            <anchor moveWithCells="false" sizeWithCells="false">
              <xdr:from>
                <xdr:col>4</xdr:col>
                <xdr:colOff>21</xdr:colOff>
                <xdr:row>32</xdr:row>
                <xdr:rowOff>1</xdr:rowOff>
              </xdr:from>
              <xdr:to>
                <xdr:col>7</xdr:col>
                <xdr:colOff>18</xdr:colOff>
                <xdr:row>36</xdr:row>
                <xdr:rowOff>5</xdr:rowOff>
              </xdr:to>
            </anchor>
          </commentPr>
        </mc:Choice>
        <mc:Fallback/>
      </mc:AlternateContent>
    </comment>
    <comment ref="D34" authorId="0">
      <text>
        <r>
          <rPr>
            <b val="true"/>
            <sz val="8"/>
            <color rgb="FF000000"/>
            <rFont val="Tahoma"/>
            <family val="0"/>
          </rPr>
          <t xml:space="preserve">HPL's Gas Control 1-800-392-1965, 713-853-6444.  Systems Controller is Gary Hanks 713-853-6449.  Scheduling:  Charlotte Hawkins 713-853-5251
</t>
        </r>
      </text>
      <mc:AlternateContent>
        <mc:Choice Requires="v2">
          <commentPr autoFill="true" autoScale="false" colHidden="false" locked="false" rowHidden="false" textHAlign="justify" textVAlign="top">
            <anchor moveWithCells="false" sizeWithCells="false">
              <xdr:from>
                <xdr:col>5</xdr:col>
                <xdr:colOff>4</xdr:colOff>
                <xdr:row>32</xdr:row>
                <xdr:rowOff>9</xdr:rowOff>
              </xdr:from>
              <xdr:to>
                <xdr:col>8</xdr:col>
                <xdr:colOff>6</xdr:colOff>
                <xdr:row>40</xdr:row>
                <xdr:rowOff>9</xdr:rowOff>
              </xdr:to>
            </anchor>
          </commentPr>
        </mc:Choice>
        <mc:Fallback/>
      </mc:AlternateContent>
    </comment>
    <comment ref="D36" authorId="0">
      <text>
        <r>
          <rPr>
            <b val="true"/>
            <sz val="8"/>
            <color rgb="FF000000"/>
            <rFont val="Tahoma"/>
            <family val="0"/>
          </rPr>
          <t xml:space="preserve">Control Romm 956-712-6645. Javier is a controller
*Israel Garza a controller (very cooperative). 
Randy Ball is over the scheduling dept. 281-293-1121
Lance Leatherwood is a scheduler/marketer 281-293-4685
</t>
        </r>
      </text>
      <mc:AlternateContent>
        <mc:Choice Requires="v2">
          <commentPr autoFill="true" autoScale="false" colHidden="false" locked="false" rowHidden="false" textHAlign="justify" textVAlign="top">
            <anchor moveWithCells="false" sizeWithCells="false">
              <xdr:from>
                <xdr:col>5</xdr:col>
                <xdr:colOff>10</xdr:colOff>
                <xdr:row>35</xdr:row>
                <xdr:rowOff>4</xdr:rowOff>
              </xdr:from>
              <xdr:to>
                <xdr:col>8</xdr:col>
                <xdr:colOff>8</xdr:colOff>
                <xdr:row>47</xdr:row>
                <xdr:rowOff>5</xdr:rowOff>
              </xdr:to>
            </anchor>
          </commentPr>
        </mc:Choice>
        <mc:Fallback/>
      </mc:AlternateContent>
    </comment>
    <comment ref="D37" authorId="0">
      <text>
        <r>
          <rPr>
            <b val="true"/>
            <sz val="8"/>
            <color rgb="FF000000"/>
            <rFont val="Tahoma"/>
            <family val="0"/>
          </rPr>
          <t xml:space="preserve">800-292-7816 System Controllers are Ernie Ochoa &amp; Mike
Scheduler is Loraine Ibrom at 800-292-7816 ext 4314</t>
        </r>
      </text>
      <mc:AlternateContent>
        <mc:Choice Requires="v2">
          <commentPr autoFill="true" autoScale="false" colHidden="false" locked="false" rowHidden="false" textHAlign="justify" textVAlign="top">
            <anchor moveWithCells="false" sizeWithCells="false">
              <xdr:from>
                <xdr:col>5</xdr:col>
                <xdr:colOff>4</xdr:colOff>
                <xdr:row>36</xdr:row>
                <xdr:rowOff>15</xdr:rowOff>
              </xdr:from>
              <xdr:to>
                <xdr:col>8</xdr:col>
                <xdr:colOff>8</xdr:colOff>
                <xdr:row>43</xdr:row>
                <xdr:rowOff>12</xdr:rowOff>
              </xdr:to>
            </anchor>
          </commentPr>
        </mc:Choice>
        <mc:Fallback/>
      </mc:AlternateContent>
    </comment>
    <comment ref="D77" authorId="0">
      <text>
        <r>
          <rPr>
            <b val="true"/>
            <sz val="8"/>
            <color rgb="FF000000"/>
            <rFont val="Tahoma"/>
            <family val="0"/>
          </rPr>
          <t xml:space="preserve">Larry Carl 512-987-8922 is the buyer for Point Comfort plant
They have 6 GE F7's
supplied by HPL, Channel, Velero, Delhi, Texas Energy, and Gulf Coast
they swing to us on pressure control.
</t>
        </r>
      </text>
      <mc:AlternateContent>
        <mc:Choice Requires="v2">
          <commentPr autoFill="true" autoScale="false" colHidden="false" locked="false" rowHidden="false" textHAlign="justify" textVAlign="top">
            <anchor moveWithCells="false" sizeWithCells="false">
              <xdr:from>
                <xdr:col>5</xdr:col>
                <xdr:colOff>4</xdr:colOff>
                <xdr:row>76</xdr:row>
                <xdr:rowOff>15</xdr:rowOff>
              </xdr:from>
              <xdr:to>
                <xdr:col>8</xdr:col>
                <xdr:colOff>1</xdr:colOff>
                <xdr:row>89</xdr:row>
                <xdr:rowOff>3</xdr:rowOff>
              </xdr:to>
            </anchor>
          </commentPr>
        </mc:Choice>
        <mc:Fallback/>
      </mc:AlternateContent>
    </comment>
    <comment ref="D95" authorId="0">
      <text>
        <r>
          <rPr>
            <b val="true"/>
            <sz val="8"/>
            <color rgb="FF000000"/>
            <rFont val="Tahoma"/>
            <family val="0"/>
          </rPr>
          <t xml:space="preserve">Jullie Morris Scheduler 972-443-4494.
</t>
        </r>
      </text>
      <mc:AlternateContent>
        <mc:Choice Requires="v2">
          <commentPr autoFill="true" autoScale="false" colHidden="false" locked="false" rowHidden="false" textHAlign="justify" textVAlign="top">
            <anchor moveWithCells="false" sizeWithCells="false">
              <xdr:from>
                <xdr:col>5</xdr:col>
                <xdr:colOff>4</xdr:colOff>
                <xdr:row>95</xdr:row>
                <xdr:rowOff>1</xdr:rowOff>
              </xdr:from>
              <xdr:to>
                <xdr:col>7</xdr:col>
                <xdr:colOff>59</xdr:colOff>
                <xdr:row>99</xdr:row>
                <xdr:rowOff>8</xdr:rowOff>
              </xdr:to>
            </anchor>
          </commentPr>
        </mc:Choice>
        <mc:Fallback/>
      </mc:AlternateContent>
    </comment>
    <comment ref="D97" authorId="0">
      <text>
        <r>
          <rPr>
            <b val="true"/>
            <sz val="8"/>
            <color rgb="FF000000"/>
            <rFont val="Tahoma"/>
            <family val="0"/>
          </rPr>
          <t xml:space="preserve">Jim Kelly 713-215-2924  and Paula Stevens 713-215-4041 handle scheduling for the Markham delivery.
Rich Truxell is the lead controller
Transco Markham is operated by Williams Field Services</t>
        </r>
      </text>
      <mc:AlternateContent>
        <mc:Choice Requires="v2">
          <commentPr autoFill="true" autoScale="false" colHidden="false" locked="false" rowHidden="false" textHAlign="justify" textVAlign="top">
            <anchor moveWithCells="false" sizeWithCells="false">
              <xdr:from>
                <xdr:col>5</xdr:col>
                <xdr:colOff>4</xdr:colOff>
                <xdr:row>97</xdr:row>
                <xdr:rowOff>1</xdr:rowOff>
              </xdr:from>
              <xdr:to>
                <xdr:col>8</xdr:col>
                <xdr:colOff>6</xdr:colOff>
                <xdr:row>107</xdr:row>
                <xdr:rowOff>15</xdr:rowOff>
              </xdr:to>
            </anchor>
          </commentPr>
        </mc:Choice>
        <mc:Fallback/>
      </mc:AlternateContent>
    </comment>
    <comment ref="D114" authorId="0">
      <text>
        <r>
          <rPr>
            <b val="true"/>
            <sz val="8"/>
            <color rgb="FF000000"/>
            <rFont val="Tahoma"/>
            <family val="0"/>
          </rPr>
          <t xml:space="preserve">J.R. Logan is over Sta 812.  281-331-4693 ext 2022 cell 713-542-2328.  Larry Jaquet is the lead over this location; cell 713-828-6312, pager 713-648-6832. Dows Control Room 713-978-3070,  Micki Carringone Lead 713-978-3046
Much of our supply from Dow comes via Oasis Pipeline.  John Lopez works for Oasis 713-758-9850.
</t>
        </r>
      </text>
      <mc:AlternateContent>
        <mc:Choice Requires="v2">
          <commentPr autoFill="true" autoScale="false" colHidden="false" locked="false" rowHidden="false" textHAlign="justify" textVAlign="top">
            <anchor moveWithCells="false" sizeWithCells="false">
              <xdr:from>
                <xdr:col>5</xdr:col>
                <xdr:colOff>4</xdr:colOff>
                <xdr:row>114</xdr:row>
                <xdr:rowOff>2</xdr:rowOff>
              </xdr:from>
              <xdr:to>
                <xdr:col>8</xdr:col>
                <xdr:colOff>8</xdr:colOff>
                <xdr:row>133</xdr:row>
                <xdr:rowOff>2</xdr:rowOff>
              </xdr:to>
            </anchor>
          </commentPr>
        </mc:Choice>
        <mc:Fallback/>
      </mc:AlternateContent>
    </comment>
    <comment ref="D123" authorId="0">
      <text>
        <r>
          <rPr>
            <b val="true"/>
            <sz val="8"/>
            <color rgb="FF000000"/>
            <rFont val="Tahoma"/>
            <family val="0"/>
          </rPr>
          <t xml:space="preserve">Exxon Mobil Gas Control 713-656-1702, Caroll Nichols</t>
        </r>
      </text>
      <mc:AlternateContent>
        <mc:Choice Requires="v2">
          <commentPr autoFill="true" autoScale="false" colHidden="false" locked="false" rowHidden="false" textHAlign="justify" textVAlign="top">
            <anchor moveWithCells="false" sizeWithCells="false">
              <xdr:from>
                <xdr:col>4</xdr:col>
                <xdr:colOff>21</xdr:colOff>
                <xdr:row>123</xdr:row>
                <xdr:rowOff>2</xdr:rowOff>
              </xdr:from>
              <xdr:to>
                <xdr:col>7</xdr:col>
                <xdr:colOff>18</xdr:colOff>
                <xdr:row>127</xdr:row>
                <xdr:rowOff>5</xdr:rowOff>
              </xdr:to>
            </anchor>
          </commentPr>
        </mc:Choice>
        <mc:Fallback/>
      </mc:AlternateContent>
    </comment>
    <comment ref="D135" authorId="0">
      <text>
        <r>
          <rPr>
            <b val="true"/>
            <sz val="8"/>
            <color rgb="FF000000"/>
            <rFont val="Tahoma"/>
            <family val="0"/>
          </rPr>
          <t xml:space="preserve">Jullie Morris Scheduler 972-443-4494.
</t>
        </r>
      </text>
      <mc:AlternateContent>
        <mc:Choice Requires="v2">
          <commentPr autoFill="true" autoScale="false" colHidden="false" locked="false" rowHidden="false" textHAlign="justify" textVAlign="top">
            <anchor moveWithCells="false" sizeWithCells="false">
              <xdr:from>
                <xdr:col>5</xdr:col>
                <xdr:colOff>4</xdr:colOff>
                <xdr:row>135</xdr:row>
                <xdr:rowOff>2</xdr:rowOff>
              </xdr:from>
              <xdr:to>
                <xdr:col>8</xdr:col>
                <xdr:colOff>6</xdr:colOff>
                <xdr:row>139</xdr:row>
                <xdr:rowOff>5</xdr:rowOff>
              </xdr:to>
            </anchor>
          </commentPr>
        </mc:Choice>
        <mc:Fallback/>
      </mc:AlternateContent>
    </comment>
    <comment ref="D143" authorId="0">
      <text>
        <r>
          <rPr>
            <b val="true"/>
            <sz val="8"/>
            <color rgb="FF000000"/>
            <rFont val="Tahoma"/>
            <family val="0"/>
          </rPr>
          <t xml:space="preserve">713-767-4288.  Ed Hass is Plt Mngr 713-767-4272.  Operator is Robert Crosby.  Sara Goerner is scheduler w/NGC 713-767-8459
</t>
        </r>
      </text>
      <mc:AlternateContent>
        <mc:Choice Requires="v2">
          <commentPr autoFill="true" autoScale="false" colHidden="false" locked="false" rowHidden="false" textHAlign="justify" textVAlign="top">
            <anchor moveWithCells="false" sizeWithCells="false">
              <xdr:from>
                <xdr:col>5</xdr:col>
                <xdr:colOff>4</xdr:colOff>
                <xdr:row>142</xdr:row>
                <xdr:rowOff>13</xdr:rowOff>
              </xdr:from>
              <xdr:to>
                <xdr:col>8</xdr:col>
                <xdr:colOff>6</xdr:colOff>
                <xdr:row>150</xdr:row>
                <xdr:rowOff>5</xdr:rowOff>
              </xdr:to>
            </anchor>
          </commentPr>
        </mc:Choice>
        <mc:Fallback/>
      </mc:AlternateContent>
    </comment>
    <comment ref="D147" authorId="0">
      <text>
        <r>
          <rPr>
            <b val="true"/>
            <sz val="8"/>
            <color rgb="FF000000"/>
            <rFont val="Tahoma"/>
            <family val="0"/>
          </rPr>
          <t xml:space="preserve">Pressure Control point
</t>
        </r>
      </text>
      <mc:AlternateContent>
        <mc:Choice Requires="v2">
          <commentPr autoFill="true" autoScale="false" colHidden="false" locked="false" rowHidden="false" textHAlign="justify" textVAlign="top">
            <anchor moveWithCells="false" sizeWithCells="false">
              <xdr:from>
                <xdr:col>4</xdr:col>
                <xdr:colOff>21</xdr:colOff>
                <xdr:row>147</xdr:row>
                <xdr:rowOff>2</xdr:rowOff>
              </xdr:from>
              <xdr:to>
                <xdr:col>7</xdr:col>
                <xdr:colOff>18</xdr:colOff>
                <xdr:row>149</xdr:row>
                <xdr:rowOff>2</xdr:rowOff>
              </xdr:to>
            </anchor>
          </commentPr>
        </mc:Choice>
        <mc:Fallback/>
      </mc:AlternateContent>
    </comment>
    <comment ref="D169" authorId="0">
      <text>
        <r>
          <rPr>
            <b val="true"/>
            <sz val="8"/>
            <color rgb="FF000000"/>
            <rFont val="Tahoma"/>
            <family val="0"/>
          </rPr>
          <t xml:space="preserve">Current EPEM contracted volumes are:  May-Oct 70mm/d, Hourly Swint 40-100, Daily Swing +/- 5% of 70mm,  Instantaneous rate should not exceed 100mm.
Nov-Apr
25mm/d.  Hourly Swing: 0-32mm, Daily +/- 5%.</t>
        </r>
      </text>
      <mc:AlternateContent>
        <mc:Choice Requires="v2">
          <commentPr autoFill="true" autoScale="false" colHidden="false" locked="false" rowHidden="false" textHAlign="justify" textVAlign="top">
            <anchor moveWithCells="false" sizeWithCells="false">
              <xdr:from>
                <xdr:col>5</xdr:col>
                <xdr:colOff>4</xdr:colOff>
                <xdr:row>168</xdr:row>
                <xdr:rowOff>13</xdr:rowOff>
              </xdr:from>
              <xdr:to>
                <xdr:col>8</xdr:col>
                <xdr:colOff>8</xdr:colOff>
                <xdr:row>181</xdr:row>
                <xdr:rowOff>6</xdr:rowOff>
              </xdr:to>
            </anchor>
          </commentPr>
        </mc:Choice>
        <mc:Fallback/>
      </mc:AlternateContent>
    </comment>
    <comment ref="D179" authorId="0">
      <text>
        <r>
          <rPr>
            <b val="true"/>
            <sz val="8"/>
            <color rgb="FF000000"/>
            <rFont val="Tahoma"/>
            <family val="0"/>
          </rPr>
          <t xml:space="preserve">David Lowe 281-597-6766
Rose Litvik 281-597-6785
Plant 409-336-8762
We have firm capacity to withdraw up to 75mm.  60mm at our meter and the remainder at TETCO or NGPL.  We are charged 1.6 cents per m over firm.  Per David Lowe.  We have firm capacity to inject up to 35mm per day.  Our total storage capacity in Moss Bluff is 500mm.  EPEM also has storage in Moss Bluff seperate from ours.</t>
        </r>
      </text>
      <mc:AlternateContent>
        <mc:Choice Requires="v2">
          <commentPr autoFill="true" autoScale="false" colHidden="false" locked="false" rowHidden="false" textHAlign="justify" textVAlign="top">
            <anchor moveWithCells="false" sizeWithCells="false">
              <xdr:from>
                <xdr:col>3</xdr:col>
                <xdr:colOff>62</xdr:colOff>
                <xdr:row>179</xdr:row>
                <xdr:rowOff>13</xdr:rowOff>
              </xdr:from>
              <xdr:to>
                <xdr:col>4</xdr:col>
                <xdr:colOff>1</xdr:colOff>
                <xdr:row>199</xdr:row>
                <xdr:rowOff>2</xdr:rowOff>
              </xdr:to>
            </anchor>
          </commentPr>
        </mc:Choice>
        <mc:Fallback/>
      </mc:AlternateContent>
    </comment>
    <comment ref="E6" authorId="0">
      <text>
        <r>
          <rPr>
            <b val="true"/>
            <sz val="8"/>
            <color rgb="FF000000"/>
            <rFont val="Tahoma"/>
            <family val="0"/>
          </rPr>
          <t xml:space="preserve">Measured by EXXON.  Ref: CCB-9135-3085.  Peggy 713-680-7390
</t>
        </r>
      </text>
      <mc:AlternateContent>
        <mc:Choice Requires="v2">
          <commentPr autoFill="true" autoScale="false" colHidden="false" locked="false" rowHidden="false" textHAlign="justify" textVAlign="top">
            <anchor moveWithCells="false" sizeWithCells="false">
              <xdr:from>
                <xdr:col>5</xdr:col>
                <xdr:colOff>3</xdr:colOff>
                <xdr:row>4</xdr:row>
                <xdr:rowOff>16</xdr:rowOff>
              </xdr:from>
              <xdr:to>
                <xdr:col>8</xdr:col>
                <xdr:colOff>27</xdr:colOff>
                <xdr:row>7</xdr:row>
                <xdr:rowOff>13</xdr:rowOff>
              </xdr:to>
            </anchor>
          </commentPr>
        </mc:Choice>
        <mc:Fallback/>
      </mc:AlternateContent>
    </comment>
    <comment ref="E7" authorId="0">
      <text>
        <r>
          <rPr>
            <b val="true"/>
            <sz val="8"/>
            <color rgb="FF000000"/>
            <rFont val="Tahoma"/>
            <family val="0"/>
          </rPr>
          <t xml:space="preserve">Measured by South Texas.  Ref:  166310.  Ricky Rudolph 512-242-3126
</t>
        </r>
      </text>
      <mc:AlternateContent>
        <mc:Choice Requires="v2">
          <commentPr autoFill="true" autoScale="false" colHidden="false" locked="false" rowHidden="false" textHAlign="justify" textVAlign="top">
            <anchor moveWithCells="false" sizeWithCells="false">
              <xdr:from>
                <xdr:col>3</xdr:col>
                <xdr:colOff>3</xdr:colOff>
                <xdr:row>5</xdr:row>
                <xdr:rowOff>7</xdr:rowOff>
              </xdr:from>
              <xdr:to>
                <xdr:col>4</xdr:col>
                <xdr:colOff>-24</xdr:colOff>
                <xdr:row>8</xdr:row>
                <xdr:rowOff>7</xdr:rowOff>
              </xdr:to>
            </anchor>
          </commentPr>
        </mc:Choice>
        <mc:Fallback/>
      </mc:AlternateContent>
    </comment>
    <comment ref="E8" authorId="0">
      <text>
        <r>
          <rPr>
            <b val="true"/>
            <sz val="8"/>
            <color rgb="FF000000"/>
            <rFont val="Tahoma"/>
            <family val="0"/>
          </rPr>
          <t xml:space="preserve">Measured by Victoria.  Ref:  52-924-3007 EXXON.  Joyce Britterly 512-575-4528
</t>
        </r>
      </text>
      <mc:AlternateContent>
        <mc:Choice Requires="v2">
          <commentPr autoFill="true" autoScale="false" colHidden="false" locked="false" rowHidden="false" textHAlign="justify" textVAlign="top">
            <anchor moveWithCells="false" sizeWithCells="false">
              <xdr:from>
                <xdr:col>3</xdr:col>
                <xdr:colOff>3</xdr:colOff>
                <xdr:row>6</xdr:row>
                <xdr:rowOff>7</xdr:rowOff>
              </xdr:from>
              <xdr:to>
                <xdr:col>4</xdr:col>
                <xdr:colOff>-20</xdr:colOff>
                <xdr:row>10</xdr:row>
                <xdr:rowOff>12</xdr:rowOff>
              </xdr:to>
            </anchor>
          </commentPr>
        </mc:Choice>
        <mc:Fallback/>
      </mc:AlternateContent>
    </comment>
    <comment ref="E10" authorId="0">
      <text>
        <r>
          <rPr>
            <b val="true"/>
            <sz val="8"/>
            <color rgb="FF000000"/>
            <rFont val="Tahoma"/>
            <family val="0"/>
          </rPr>
          <t xml:space="preserve">Measured by Coastal Flow Meas.  Ref 267RS001,  Regina 713-477-1956, Fax 713-475-9643
</t>
        </r>
      </text>
      <mc:AlternateContent>
        <mc:Choice Requires="v2">
          <commentPr autoFill="true" autoScale="false" colHidden="false" locked="false" rowHidden="false" textHAlign="justify" textVAlign="top">
            <anchor moveWithCells="false" sizeWithCells="false">
              <xdr:from>
                <xdr:col>3</xdr:col>
                <xdr:colOff>3</xdr:colOff>
                <xdr:row>8</xdr:row>
                <xdr:rowOff>7</xdr:rowOff>
              </xdr:from>
              <xdr:to>
                <xdr:col>4</xdr:col>
                <xdr:colOff>-3</xdr:colOff>
                <xdr:row>12</xdr:row>
                <xdr:rowOff>12</xdr:rowOff>
              </xdr:to>
            </anchor>
          </commentPr>
        </mc:Choice>
        <mc:Fallback/>
      </mc:AlternateContent>
    </comment>
    <comment ref="E13" authorId="0">
      <text>
        <r>
          <rPr>
            <b val="true"/>
            <sz val="8"/>
            <color rgb="FF000000"/>
            <rFont val="Tahoma"/>
            <family val="0"/>
          </rPr>
          <t xml:space="preserve">Measured by Duke Energy.  Ref 38250-2145.  Mary Odgen 303-605-1705, Belinda (Super) 303-605-1790
</t>
        </r>
      </text>
      <mc:AlternateContent>
        <mc:Choice Requires="v2">
          <commentPr autoFill="true" autoScale="false" colHidden="false" locked="false" rowHidden="false" textHAlign="justify" textVAlign="top">
            <anchor moveWithCells="false" sizeWithCells="false">
              <xdr:from>
                <xdr:col>3</xdr:col>
                <xdr:colOff>3</xdr:colOff>
                <xdr:row>11</xdr:row>
                <xdr:rowOff>7</xdr:rowOff>
              </xdr:from>
              <xdr:to>
                <xdr:col>4</xdr:col>
                <xdr:colOff>-25</xdr:colOff>
                <xdr:row>16</xdr:row>
                <xdr:rowOff>15</xdr:rowOff>
              </xdr:to>
            </anchor>
          </commentPr>
        </mc:Choice>
        <mc:Fallback/>
      </mc:AlternateContent>
    </comment>
    <comment ref="E28" authorId="0">
      <text>
        <r>
          <rPr>
            <b val="true"/>
            <sz val="8"/>
            <color rgb="FF000000"/>
            <rFont val="Tahoma"/>
            <family val="0"/>
          </rPr>
          <t xml:space="preserve">Measured by Duke Energy.  Ref 38250-2153.  Mary Odgen 303-605-1705, Belinda (Super) 303-605-1790
</t>
        </r>
      </text>
      <mc:AlternateContent>
        <mc:Choice Requires="v2">
          <commentPr autoFill="true" autoScale="false" colHidden="false" locked="false" rowHidden="false" textHAlign="justify" textVAlign="top">
            <anchor moveWithCells="false" sizeWithCells="false">
              <xdr:from>
                <xdr:col>3</xdr:col>
                <xdr:colOff>3</xdr:colOff>
                <xdr:row>27</xdr:row>
                <xdr:rowOff>15</xdr:rowOff>
              </xdr:from>
              <xdr:to>
                <xdr:col>4</xdr:col>
                <xdr:colOff>10</xdr:colOff>
                <xdr:row>31</xdr:row>
                <xdr:rowOff>9</xdr:rowOff>
              </xdr:to>
            </anchor>
          </commentPr>
        </mc:Choice>
        <mc:Fallback/>
      </mc:AlternateContent>
    </comment>
    <comment ref="E31" authorId="0">
      <text>
        <r>
          <rPr>
            <b val="true"/>
            <sz val="8"/>
            <color rgb="FF000000"/>
            <rFont val="Tahoma"/>
            <family val="0"/>
          </rPr>
          <t xml:space="preserve">Measured by Union Pacific.  Ref:  51-0260-4001.  Betty Shelton 817-255-6409
</t>
        </r>
      </text>
      <mc:AlternateContent>
        <mc:Choice Requires="v2">
          <commentPr autoFill="true" autoScale="false" colHidden="false" locked="false" rowHidden="false" textHAlign="justify" textVAlign="top">
            <anchor moveWithCells="false" sizeWithCells="false">
              <xdr:from>
                <xdr:col>3</xdr:col>
                <xdr:colOff>3</xdr:colOff>
                <xdr:row>30</xdr:row>
                <xdr:rowOff>12</xdr:rowOff>
              </xdr:from>
              <xdr:to>
                <xdr:col>4</xdr:col>
                <xdr:colOff>-30</xdr:colOff>
                <xdr:row>35</xdr:row>
                <xdr:rowOff>5</xdr:rowOff>
              </xdr:to>
            </anchor>
          </commentPr>
        </mc:Choice>
        <mc:Fallback/>
      </mc:AlternateContent>
    </comment>
    <comment ref="E36" authorId="0">
      <text>
        <r>
          <rPr>
            <b val="true"/>
            <sz val="8"/>
            <color rgb="FF000000"/>
            <rFont val="Tahoma"/>
            <family val="0"/>
          </rPr>
          <t xml:space="preserve">Measured by Coastal Flow Meas.  Ref 196-12-008,009.  Phyllis 713-477-1956</t>
        </r>
      </text>
      <mc:AlternateContent>
        <mc:Choice Requires="v2">
          <commentPr autoFill="true" autoScale="false" colHidden="false" locked="false" rowHidden="false" textHAlign="justify" textVAlign="top">
            <anchor moveWithCells="false" sizeWithCells="false">
              <xdr:from>
                <xdr:col>3</xdr:col>
                <xdr:colOff>3</xdr:colOff>
                <xdr:row>35</xdr:row>
                <xdr:rowOff>13</xdr:rowOff>
              </xdr:from>
              <xdr:to>
                <xdr:col>4</xdr:col>
                <xdr:colOff>-1</xdr:colOff>
                <xdr:row>38</xdr:row>
                <xdr:rowOff>9</xdr:rowOff>
              </xdr:to>
            </anchor>
          </commentPr>
        </mc:Choice>
        <mc:Fallback/>
      </mc:AlternateContent>
    </comment>
    <comment ref="E37" authorId="0">
      <text>
        <r>
          <rPr>
            <b val="true"/>
            <sz val="8"/>
            <color rgb="FF000000"/>
            <rFont val="Tahoma"/>
            <family val="0"/>
          </rPr>
          <t xml:space="preserve">Measured by PG&amp;E Gas Transmission.  Ref:  444023.  Michael Williams 210-528-4059
</t>
        </r>
      </text>
      <mc:AlternateContent>
        <mc:Choice Requires="v2">
          <commentPr autoFill="true" autoScale="false" colHidden="false" locked="false" rowHidden="false" textHAlign="justify" textVAlign="top">
            <anchor moveWithCells="false" sizeWithCells="false">
              <xdr:from>
                <xdr:col>3</xdr:col>
                <xdr:colOff>3</xdr:colOff>
                <xdr:row>36</xdr:row>
                <xdr:rowOff>15</xdr:rowOff>
              </xdr:from>
              <xdr:to>
                <xdr:col>4</xdr:col>
                <xdr:colOff>-42</xdr:colOff>
                <xdr:row>41</xdr:row>
                <xdr:rowOff>15</xdr:rowOff>
              </xdr:to>
            </anchor>
          </commentPr>
        </mc:Choice>
        <mc:Fallback/>
      </mc:AlternateContent>
    </comment>
    <comment ref="E38" authorId="0">
      <text>
        <r>
          <rPr>
            <b val="true"/>
            <sz val="8"/>
            <color rgb="FF000000"/>
            <rFont val="Tahoma"/>
            <family val="0"/>
          </rPr>
          <t xml:space="preserve">Measured by TEJAS.  Ref:  30-3151-00 Jay Avery.  Renell Hanson 713-230-6236.
</t>
        </r>
      </text>
      <mc:AlternateContent>
        <mc:Choice Requires="v2">
          <commentPr autoFill="true" autoScale="false" colHidden="false" locked="false" rowHidden="false" textHAlign="justify" textVAlign="top">
            <anchor moveWithCells="false" sizeWithCells="false">
              <xdr:from>
                <xdr:col>3</xdr:col>
                <xdr:colOff>3</xdr:colOff>
                <xdr:row>37</xdr:row>
                <xdr:rowOff>15</xdr:rowOff>
              </xdr:from>
              <xdr:to>
                <xdr:col>4</xdr:col>
                <xdr:colOff>-60</xdr:colOff>
                <xdr:row>43</xdr:row>
                <xdr:rowOff>2</xdr:rowOff>
              </xdr:to>
            </anchor>
          </commentPr>
        </mc:Choice>
        <mc:Fallback/>
      </mc:AlternateContent>
    </comment>
    <comment ref="E39" authorId="0">
      <text>
        <r>
          <rPr>
            <b val="true"/>
            <sz val="8"/>
            <color rgb="FF000000"/>
            <rFont val="Tahoma"/>
            <family val="0"/>
          </rPr>
          <t xml:space="preserve">Measured by TEJAS.  Ref:  30-3151-00 Jay Avery.  Renell Hanson 713-230-6236.
</t>
        </r>
      </text>
      <mc:AlternateContent>
        <mc:Choice Requires="v2">
          <commentPr autoFill="true" autoScale="false" colHidden="false" locked="false" rowHidden="false" textHAlign="justify" textVAlign="top">
            <anchor moveWithCells="false" sizeWithCells="false">
              <xdr:from>
                <xdr:col>5</xdr:col>
                <xdr:colOff>26</xdr:colOff>
                <xdr:row>38</xdr:row>
                <xdr:rowOff>15</xdr:rowOff>
              </xdr:from>
              <xdr:to>
                <xdr:col>8</xdr:col>
                <xdr:colOff>23</xdr:colOff>
                <xdr:row>44</xdr:row>
                <xdr:rowOff>5</xdr:rowOff>
              </xdr:to>
            </anchor>
          </commentPr>
        </mc:Choice>
        <mc:Fallback/>
      </mc:AlternateContent>
    </comment>
    <comment ref="E40" authorId="0">
      <text>
        <r>
          <rPr>
            <b val="true"/>
            <sz val="8"/>
            <color rgb="FF000000"/>
            <rFont val="Tahoma"/>
            <family val="0"/>
          </rPr>
          <t xml:space="preserve">Measured by Bryancy Bromley.  Ref 133004.  J.L. Davis, Pat Ferrero 512-241-3705, Gary Stain 915-694-6000
</t>
        </r>
      </text>
      <mc:AlternateContent>
        <mc:Choice Requires="v2">
          <commentPr autoFill="true" autoScale="false" colHidden="false" locked="false" rowHidden="false" textHAlign="justify" textVAlign="top">
            <anchor moveWithCells="false" sizeWithCells="false">
              <xdr:from>
                <xdr:col>3</xdr:col>
                <xdr:colOff>3</xdr:colOff>
                <xdr:row>39</xdr:row>
                <xdr:rowOff>15</xdr:rowOff>
              </xdr:from>
              <xdr:to>
                <xdr:col>4</xdr:col>
                <xdr:colOff>-51</xdr:colOff>
                <xdr:row>46</xdr:row>
                <xdr:rowOff>2</xdr:rowOff>
              </xdr:to>
            </anchor>
          </commentPr>
        </mc:Choice>
        <mc:Fallback/>
      </mc:AlternateContent>
    </comment>
    <comment ref="E42" authorId="0">
      <text>
        <r>
          <rPr>
            <b val="true"/>
            <sz val="8"/>
            <color rgb="FF000000"/>
            <rFont val="Tahoma"/>
            <family val="0"/>
          </rPr>
          <t xml:space="preserve">Measured by Natural Gas Meas.  Ref:  0462-61005-00.  Joe Haveka 512-884-2901, 713-209-2453
</t>
        </r>
      </text>
      <mc:AlternateContent>
        <mc:Choice Requires="v2">
          <commentPr autoFill="true" autoScale="false" colHidden="false" locked="false" rowHidden="false" textHAlign="justify" textVAlign="top">
            <anchor moveWithCells="false" sizeWithCells="false">
              <xdr:from>
                <xdr:col>5</xdr:col>
                <xdr:colOff>26</xdr:colOff>
                <xdr:row>42</xdr:row>
                <xdr:rowOff>1</xdr:rowOff>
              </xdr:from>
              <xdr:to>
                <xdr:col>8</xdr:col>
                <xdr:colOff>51</xdr:colOff>
                <xdr:row>47</xdr:row>
                <xdr:rowOff>7</xdr:rowOff>
              </xdr:to>
            </anchor>
          </commentPr>
        </mc:Choice>
        <mc:Fallback/>
      </mc:AlternateContent>
    </comment>
    <comment ref="E43" authorId="0">
      <text>
        <r>
          <rPr>
            <b val="true"/>
            <sz val="8"/>
            <color rgb="FF000000"/>
            <rFont val="Tahoma"/>
            <family val="0"/>
          </rPr>
          <t xml:space="preserve">Measured by Natural Gas Meas.  Ref:  0462-61005-00.  Joe Haveka 512-884-2901, 713-209-2453
</t>
        </r>
      </text>
      <mc:AlternateContent>
        <mc:Choice Requires="v2">
          <commentPr autoFill="true" autoScale="false" colHidden="false" locked="false" rowHidden="false" textHAlign="justify" textVAlign="top">
            <anchor moveWithCells="false" sizeWithCells="false">
              <xdr:from>
                <xdr:col>3</xdr:col>
                <xdr:colOff>3</xdr:colOff>
                <xdr:row>42</xdr:row>
                <xdr:rowOff>15</xdr:rowOff>
              </xdr:from>
              <xdr:to>
                <xdr:col>4</xdr:col>
                <xdr:colOff>-42</xdr:colOff>
                <xdr:row>48</xdr:row>
                <xdr:rowOff>5</xdr:rowOff>
              </xdr:to>
            </anchor>
          </commentPr>
        </mc:Choice>
        <mc:Fallback/>
      </mc:AlternateContent>
    </comment>
    <comment ref="E53" authorId="0">
      <text>
        <r>
          <rPr>
            <b val="true"/>
            <sz val="8"/>
            <color rgb="FF000000"/>
            <rFont val="Tahoma"/>
            <family val="0"/>
          </rPr>
          <t xml:space="preserve">Measured by Abraxas.  Ref 38020-3004.  Tommy Pscencik 512-364-1173
</t>
        </r>
      </text>
      <mc:AlternateContent>
        <mc:Choice Requires="v2">
          <commentPr autoFill="true" autoScale="false" colHidden="false" locked="false" rowHidden="false" textHAlign="justify" textVAlign="top">
            <anchor moveWithCells="false" sizeWithCells="false">
              <xdr:from>
                <xdr:col>3</xdr:col>
                <xdr:colOff>3</xdr:colOff>
                <xdr:row>53</xdr:row>
                <xdr:rowOff>2</xdr:rowOff>
              </xdr:from>
              <xdr:to>
                <xdr:col>4</xdr:col>
                <xdr:colOff>-31</xdr:colOff>
                <xdr:row>57</xdr:row>
                <xdr:rowOff>12</xdr:rowOff>
              </xdr:to>
            </anchor>
          </commentPr>
        </mc:Choice>
        <mc:Fallback/>
      </mc:AlternateContent>
    </comment>
    <comment ref="E54" authorId="0">
      <text>
        <r>
          <rPr>
            <b val="true"/>
            <sz val="8"/>
            <color rgb="FF000000"/>
            <rFont val="Tahoma"/>
            <family val="0"/>
          </rPr>
          <t xml:space="preserve">Measured by Natural Gas Meas.  REF: 0462-61006-00.  Joe Haveka 512-884-2901, 713-209-2453
</t>
        </r>
      </text>
      <mc:AlternateContent>
        <mc:Choice Requires="v2">
          <commentPr autoFill="true" autoScale="false" colHidden="false" locked="false" rowHidden="false" textHAlign="justify" textVAlign="top">
            <anchor moveWithCells="false" sizeWithCells="false">
              <xdr:from>
                <xdr:col>3</xdr:col>
                <xdr:colOff>3</xdr:colOff>
                <xdr:row>53</xdr:row>
                <xdr:rowOff>15</xdr:rowOff>
              </xdr:from>
              <xdr:to>
                <xdr:col>4</xdr:col>
                <xdr:colOff>-42</xdr:colOff>
                <xdr:row>59</xdr:row>
                <xdr:rowOff>9</xdr:rowOff>
              </xdr:to>
            </anchor>
          </commentPr>
        </mc:Choice>
        <mc:Fallback/>
      </mc:AlternateContent>
    </comment>
    <comment ref="E62" authorId="0">
      <text>
        <r>
          <rPr>
            <b val="true"/>
            <sz val="8"/>
            <color rgb="FF000000"/>
            <rFont val="Tahoma"/>
            <family val="0"/>
          </rPr>
          <t xml:space="preserve">Measured by Copano Field Svcs.  Ref 700-050.  Carolyn 713-621-9547, Fax 713-621-9345, Jerry 713-621-9547
</t>
        </r>
      </text>
      <mc:AlternateContent>
        <mc:Choice Requires="v2">
          <commentPr autoFill="true" autoScale="false" colHidden="false" locked="false" rowHidden="false" textHAlign="justify" textVAlign="top">
            <anchor moveWithCells="false" sizeWithCells="false">
              <xdr:from>
                <xdr:col>3</xdr:col>
                <xdr:colOff>3</xdr:colOff>
                <xdr:row>62</xdr:row>
                <xdr:rowOff>1</xdr:rowOff>
              </xdr:from>
              <xdr:to>
                <xdr:col>4</xdr:col>
                <xdr:colOff>-42</xdr:colOff>
                <xdr:row>67</xdr:row>
                <xdr:rowOff>15</xdr:rowOff>
              </xdr:to>
            </anchor>
          </commentPr>
        </mc:Choice>
        <mc:Fallback/>
      </mc:AlternateContent>
    </comment>
    <comment ref="E63" authorId="0">
      <text>
        <r>
          <rPr>
            <b val="true"/>
            <sz val="8"/>
            <color rgb="FF000000"/>
            <rFont val="Tahoma"/>
            <family val="0"/>
          </rPr>
          <t xml:space="preserve">Measured by Copano Field Svcs.  Ref 700-070.  Carolyn 713-621-9547, Fax 713-621-9345, Jerry 713-621-9547
</t>
        </r>
      </text>
      <mc:AlternateContent>
        <mc:Choice Requires="v2">
          <commentPr autoFill="true" autoScale="false" colHidden="false" locked="false" rowHidden="false" textHAlign="justify" textVAlign="top">
            <anchor moveWithCells="false" sizeWithCells="false">
              <xdr:from>
                <xdr:col>3</xdr:col>
                <xdr:colOff>3</xdr:colOff>
                <xdr:row>63</xdr:row>
                <xdr:rowOff>1</xdr:rowOff>
              </xdr:from>
              <xdr:to>
                <xdr:col>4</xdr:col>
                <xdr:colOff>-24</xdr:colOff>
                <xdr:row>68</xdr:row>
                <xdr:rowOff>15</xdr:rowOff>
              </xdr:to>
            </anchor>
          </commentPr>
        </mc:Choice>
        <mc:Fallback/>
      </mc:AlternateContent>
    </comment>
    <comment ref="E71" authorId="0">
      <text>
        <r>
          <rPr>
            <b val="true"/>
            <sz val="8"/>
            <color rgb="FF000000"/>
            <rFont val="Tahoma"/>
            <family val="0"/>
          </rPr>
          <t xml:space="preserve">Measured by EPFS.  REF MILSP-TCIG 1 TOMCT.  TPC get volumes from EZ</t>
        </r>
      </text>
      <mc:AlternateContent>
        <mc:Choice Requires="v2">
          <commentPr autoFill="true" autoScale="false" colHidden="false" locked="false" rowHidden="false" textHAlign="justify" textVAlign="top">
            <anchor moveWithCells="false" sizeWithCells="false">
              <xdr:from>
                <xdr:col>3</xdr:col>
                <xdr:colOff>3</xdr:colOff>
                <xdr:row>71</xdr:row>
                <xdr:rowOff>1</xdr:rowOff>
              </xdr:from>
              <xdr:to>
                <xdr:col>4</xdr:col>
                <xdr:colOff>-46</xdr:colOff>
                <xdr:row>75</xdr:row>
                <xdr:rowOff>2</xdr:rowOff>
              </xdr:to>
            </anchor>
          </commentPr>
        </mc:Choice>
        <mc:Fallback/>
      </mc:AlternateContent>
    </comment>
    <comment ref="E74" authorId="0">
      <text>
        <r>
          <rPr>
            <b val="true"/>
            <sz val="8"/>
            <color rgb="FF000000"/>
            <rFont val="Tahoma"/>
            <family val="0"/>
          </rPr>
          <t xml:space="preserve">Measured by South Texas.  Ref:  ES-02.  Patsy Griffin 512-242-3126
</t>
        </r>
      </text>
      <mc:AlternateContent>
        <mc:Choice Requires="v2">
          <commentPr autoFill="true" autoScale="false" colHidden="false" locked="false" rowHidden="false" textHAlign="justify" textVAlign="top">
            <anchor moveWithCells="false" sizeWithCells="false">
              <xdr:from>
                <xdr:col>3</xdr:col>
                <xdr:colOff>3</xdr:colOff>
                <xdr:row>74</xdr:row>
                <xdr:rowOff>4</xdr:rowOff>
              </xdr:from>
              <xdr:to>
                <xdr:col>4</xdr:col>
                <xdr:colOff>-51</xdr:colOff>
                <xdr:row>78</xdr:row>
                <xdr:rowOff>2</xdr:rowOff>
              </xdr:to>
            </anchor>
          </commentPr>
        </mc:Choice>
        <mc:Fallback/>
      </mc:AlternateContent>
    </comment>
    <comment ref="E84" authorId="0">
      <text>
        <r>
          <rPr>
            <sz val="8"/>
            <color rgb="FF000000"/>
            <rFont val="Tahoma"/>
            <family val="0"/>
          </rPr>
          <t xml:space="preserve">Measured by Victoria.  Ref:  0351-01-3201-001 PI Energy, Joyce Britterly 512-575-4528
</t>
        </r>
      </text>
      <mc:AlternateContent>
        <mc:Choice Requires="v2">
          <commentPr autoFill="true" autoScale="false" colHidden="false" locked="false" rowHidden="false" textHAlign="justify" textVAlign="top">
            <anchor moveWithCells="false" sizeWithCells="false">
              <xdr:from>
                <xdr:col>3</xdr:col>
                <xdr:colOff>3</xdr:colOff>
                <xdr:row>83</xdr:row>
                <xdr:rowOff>15</xdr:rowOff>
              </xdr:from>
              <xdr:to>
                <xdr:col>4</xdr:col>
                <xdr:colOff>-11</xdr:colOff>
                <xdr:row>86</xdr:row>
                <xdr:rowOff>12</xdr:rowOff>
              </xdr:to>
            </anchor>
          </commentPr>
        </mc:Choice>
        <mc:Fallback/>
      </mc:AlternateContent>
    </comment>
    <comment ref="E88" authorId="0">
      <text>
        <r>
          <rPr>
            <b val="true"/>
            <sz val="8"/>
            <color rgb="FF000000"/>
            <rFont val="Tahoma"/>
            <family val="0"/>
          </rPr>
          <t xml:space="preserve">Measure by Arrow Measurement.  Ref 2-2029 Station 5650.  Genie 918-749-7772
</t>
        </r>
      </text>
      <mc:AlternateContent>
        <mc:Choice Requires="v2">
          <commentPr autoFill="true" autoScale="false" colHidden="false" locked="false" rowHidden="false" textHAlign="justify" textVAlign="top">
            <anchor moveWithCells="false" sizeWithCells="false">
              <xdr:from>
                <xdr:col>3</xdr:col>
                <xdr:colOff>3</xdr:colOff>
                <xdr:row>87</xdr:row>
                <xdr:rowOff>13</xdr:rowOff>
              </xdr:from>
              <xdr:to>
                <xdr:col>4</xdr:col>
                <xdr:colOff>-6</xdr:colOff>
                <xdr:row>92</xdr:row>
                <xdr:rowOff>9</xdr:rowOff>
              </xdr:to>
            </anchor>
          </commentPr>
        </mc:Choice>
        <mc:Fallback/>
      </mc:AlternateContent>
    </comment>
    <comment ref="E97" authorId="0">
      <text>
        <r>
          <rPr>
            <b val="true"/>
            <sz val="8"/>
            <color rgb="FF000000"/>
            <rFont val="Tahoma"/>
            <family val="0"/>
          </rPr>
          <t xml:space="preserve">Measured by TRANSCO.  Ref 4407.  800-248-0404, Ann Cox 713-215-4325, Bob Manz 713-215-2667
</t>
        </r>
      </text>
      <mc:AlternateContent>
        <mc:Choice Requires="v2">
          <commentPr autoFill="true" autoScale="false" colHidden="false" locked="false" rowHidden="false" textHAlign="justify" textVAlign="top">
            <anchor moveWithCells="false" sizeWithCells="false">
              <xdr:from>
                <xdr:col>3</xdr:col>
                <xdr:colOff>3</xdr:colOff>
                <xdr:row>97</xdr:row>
                <xdr:rowOff>1</xdr:rowOff>
              </xdr:from>
              <xdr:to>
                <xdr:col>4</xdr:col>
                <xdr:colOff>-22</xdr:colOff>
                <xdr:row>101</xdr:row>
                <xdr:rowOff>2</xdr:rowOff>
              </xdr:to>
            </anchor>
          </commentPr>
        </mc:Choice>
        <mc:Fallback/>
      </mc:AlternateContent>
    </comment>
    <comment ref="E102" authorId="0">
      <text>
        <r>
          <rPr>
            <b val="true"/>
            <sz val="8"/>
            <color rgb="FF000000"/>
            <rFont val="Tahoma"/>
            <family val="0"/>
          </rPr>
          <t xml:space="preserve">Measured by HILCORP ENERGY.  Felton Reubin 713-209-2453
</t>
        </r>
      </text>
      <mc:AlternateContent>
        <mc:Choice Requires="v2">
          <commentPr autoFill="true" autoScale="false" colHidden="false" locked="false" rowHidden="false" textHAlign="justify" textVAlign="top">
            <anchor moveWithCells="false" sizeWithCells="false">
              <xdr:from>
                <xdr:col>3</xdr:col>
                <xdr:colOff>3</xdr:colOff>
                <xdr:row>101</xdr:row>
                <xdr:rowOff>14</xdr:rowOff>
              </xdr:from>
              <xdr:to>
                <xdr:col>4</xdr:col>
                <xdr:colOff>-51</xdr:colOff>
                <xdr:row>106</xdr:row>
                <xdr:rowOff>9</xdr:rowOff>
              </xdr:to>
            </anchor>
          </commentPr>
        </mc:Choice>
        <mc:Fallback/>
      </mc:AlternateContent>
    </comment>
    <comment ref="E116" authorId="0">
      <text>
        <r>
          <rPr>
            <b val="true"/>
            <sz val="8"/>
            <color rgb="FF000000"/>
            <rFont val="Tahoma"/>
            <family val="0"/>
          </rPr>
          <t xml:space="preserve">Measured by Natural Gas Measurement.  REF:  Experanz Arcola Dehy, 0462-61004-00.  Joe Haveka 512-884-2901, 713-209-2453</t>
        </r>
      </text>
      <mc:AlternateContent>
        <mc:Choice Requires="v2">
          <commentPr autoFill="true" autoScale="false" colHidden="false" locked="false" rowHidden="false" textHAlign="justify" textVAlign="top">
            <anchor moveWithCells="false" sizeWithCells="false">
              <xdr:from>
                <xdr:col>3</xdr:col>
                <xdr:colOff>3</xdr:colOff>
                <xdr:row>115</xdr:row>
                <xdr:rowOff>15</xdr:rowOff>
              </xdr:from>
              <xdr:to>
                <xdr:col>4</xdr:col>
                <xdr:colOff>-6</xdr:colOff>
                <xdr:row>120</xdr:row>
                <xdr:rowOff>12</xdr:rowOff>
              </xdr:to>
            </anchor>
          </commentPr>
        </mc:Choice>
        <mc:Fallback/>
      </mc:AlternateContent>
    </comment>
    <comment ref="E145" authorId="0">
      <text>
        <r>
          <rPr>
            <b val="true"/>
            <sz val="8"/>
            <color rgb="FF000000"/>
            <rFont val="Tahoma"/>
            <family val="0"/>
          </rPr>
          <t xml:space="preserve">Measured by KN ENERGY. REF 35065.  Sarah Ford 303-763-3631, Leann Leger 303-763-3696
</t>
        </r>
      </text>
      <mc:AlternateContent>
        <mc:Choice Requires="v2">
          <commentPr autoFill="true" autoScale="false" colHidden="false" locked="false" rowHidden="false" textHAlign="justify" textVAlign="top">
            <anchor moveWithCells="false" sizeWithCells="false">
              <xdr:from>
                <xdr:col>3</xdr:col>
                <xdr:colOff>3</xdr:colOff>
                <xdr:row>144</xdr:row>
                <xdr:rowOff>13</xdr:rowOff>
              </xdr:from>
              <xdr:to>
                <xdr:col>4</xdr:col>
                <xdr:colOff>-1</xdr:colOff>
                <xdr:row>148</xdr:row>
                <xdr:rowOff>9</xdr:rowOff>
              </xdr:to>
            </anchor>
          </commentPr>
        </mc:Choice>
        <mc:Fallback/>
      </mc:AlternateContent>
    </comment>
    <comment ref="E153" authorId="0">
      <text>
        <r>
          <rPr>
            <b val="true"/>
            <sz val="8"/>
            <color rgb="FF000000"/>
            <rFont val="Tahoma"/>
            <family val="0"/>
          </rPr>
          <t xml:space="preserve">Measured by Covenant Energy Corp.  Wayne Brinton 713-652-1261, pager 713-260-2953
</t>
        </r>
      </text>
      <mc:AlternateContent>
        <mc:Choice Requires="v2">
          <commentPr autoFill="true" autoScale="false" colHidden="false" locked="false" rowHidden="false" textHAlign="justify" textVAlign="top">
            <anchor moveWithCells="false" sizeWithCells="false">
              <xdr:from>
                <xdr:col>3</xdr:col>
                <xdr:colOff>3</xdr:colOff>
                <xdr:row>152</xdr:row>
                <xdr:rowOff>13</xdr:rowOff>
              </xdr:from>
              <xdr:to>
                <xdr:col>4</xdr:col>
                <xdr:colOff>-40</xdr:colOff>
                <xdr:row>156</xdr:row>
                <xdr:rowOff>10</xdr:rowOff>
              </xdr:to>
            </anchor>
          </commentPr>
        </mc:Choice>
        <mc:Fallback/>
      </mc:AlternateContent>
    </comment>
    <comment ref="E178" authorId="0">
      <text>
        <r>
          <rPr>
            <b val="true"/>
            <sz val="8"/>
            <color rgb="FF000000"/>
            <rFont val="Tahoma"/>
            <family val="0"/>
          </rPr>
          <t xml:space="preserve">Measured by Southern Flow Co. Houston.  Ref:  9575-01-1382-012.  Teresa 713-527-9591
</t>
        </r>
      </text>
      <mc:AlternateContent>
        <mc:Choice Requires="v2">
          <commentPr autoFill="true" autoScale="false" colHidden="false" locked="false" rowHidden="false" textHAlign="justify" textVAlign="top">
            <anchor moveWithCells="false" sizeWithCells="false">
              <xdr:from>
                <xdr:col>3</xdr:col>
                <xdr:colOff>3</xdr:colOff>
                <xdr:row>178</xdr:row>
                <xdr:rowOff>2</xdr:rowOff>
              </xdr:from>
              <xdr:to>
                <xdr:col>4</xdr:col>
                <xdr:colOff>-39</xdr:colOff>
                <xdr:row>181</xdr:row>
                <xdr:rowOff>11</xdr:rowOff>
              </xdr:to>
            </anchor>
          </commentPr>
        </mc:Choice>
        <mc:Fallback/>
      </mc:AlternateContent>
    </comment>
    <comment ref="E179" authorId="0">
      <text>
        <r>
          <rPr>
            <b val="true"/>
            <sz val="8"/>
            <color rgb="FF000000"/>
            <rFont val="Tahoma"/>
            <family val="0"/>
          </rPr>
          <t xml:space="preserve">Measured by MARKET HUB PARTNERS.  David Loe 281-597-6770, Fax 281-597-6799, Monty Mayfield (meas tech) 409-336-8761
</t>
        </r>
      </text>
      <mc:AlternateContent>
        <mc:Choice Requires="v2">
          <commentPr autoFill="true" autoScale="false" colHidden="false" locked="false" rowHidden="false" textHAlign="justify" textVAlign="top">
            <anchor moveWithCells="false" sizeWithCells="false">
              <xdr:from>
                <xdr:col>3</xdr:col>
                <xdr:colOff>3</xdr:colOff>
                <xdr:row>179</xdr:row>
                <xdr:rowOff>10</xdr:rowOff>
              </xdr:from>
              <xdr:to>
                <xdr:col>4</xdr:col>
                <xdr:colOff>-30</xdr:colOff>
                <xdr:row>184</xdr:row>
                <xdr:rowOff>2</xdr:rowOff>
              </xdr:to>
            </anchor>
          </commentPr>
        </mc:Choice>
        <mc:Fallback/>
      </mc:AlternateContent>
    </comment>
    <comment ref="E180" authorId="0">
      <text>
        <r>
          <rPr>
            <b val="true"/>
            <sz val="8"/>
            <color rgb="FF000000"/>
            <rFont val="Tahoma"/>
            <family val="0"/>
          </rPr>
          <t xml:space="preserve">Measured by MARKET HUB PARTNERS.  David Loe 281-597-6770, Fax 281-597-6799, Monty Mayfield (meas tech) 409-336-8761
</t>
        </r>
      </text>
      <mc:AlternateContent>
        <mc:Choice Requires="v2">
          <commentPr autoFill="true" autoScale="false" colHidden="false" locked="false" rowHidden="false" textHAlign="justify" textVAlign="top">
            <anchor moveWithCells="false" sizeWithCells="false">
              <xdr:from>
                <xdr:col>3</xdr:col>
                <xdr:colOff>3</xdr:colOff>
                <xdr:row>180</xdr:row>
                <xdr:rowOff>4</xdr:rowOff>
              </xdr:from>
              <xdr:to>
                <xdr:col>4</xdr:col>
                <xdr:colOff>-66</xdr:colOff>
                <xdr:row>187</xdr:row>
                <xdr:rowOff>2</xdr:rowOff>
              </xdr:to>
            </anchor>
          </commentPr>
        </mc:Choice>
        <mc:Fallback/>
      </mc:AlternateContent>
    </comment>
    <comment ref="E187" authorId="0">
      <text>
        <r>
          <rPr>
            <b val="true"/>
            <sz val="8"/>
            <color rgb="FF000000"/>
            <rFont val="Tahoma"/>
            <family val="0"/>
          </rPr>
          <t xml:space="preserve">Measured by Natural Gas P/L Co.  Ref:  54601, 54602, 54603, KN ENERGY Moss Bluff Exchange.  Donna Geithman 303-763-3307, Brent Carol 303-914-4861
</t>
        </r>
      </text>
      <mc:AlternateContent>
        <mc:Choice Requires="v2">
          <commentPr autoFill="true" autoScale="false" colHidden="false" locked="false" rowHidden="false" textHAlign="justify" textVAlign="top">
            <anchor moveWithCells="false" sizeWithCells="false">
              <xdr:from>
                <xdr:col>3</xdr:col>
                <xdr:colOff>3</xdr:colOff>
                <xdr:row>186</xdr:row>
                <xdr:rowOff>13</xdr:rowOff>
              </xdr:from>
              <xdr:to>
                <xdr:col>4</xdr:col>
                <xdr:colOff>-6</xdr:colOff>
                <xdr:row>193</xdr:row>
                <xdr:rowOff>15</xdr:rowOff>
              </xdr:to>
            </anchor>
          </commentPr>
        </mc:Choice>
        <mc:Fallback/>
      </mc:AlternateContent>
    </comment>
    <comment ref="E205" authorId="0">
      <text>
        <r>
          <rPr>
            <b val="true"/>
            <sz val="8"/>
            <color rgb="FF000000"/>
            <rFont val="Tahoma"/>
            <family val="0"/>
          </rPr>
          <t xml:space="preserve">Measured by ENTEX.  Ref: 400071, 9751491 SIENNA PLANTATION.  Gas properties from HPL meter 26126.  Hope Artze 713-207-5923, Astredia Newsome 713-207-5930
</t>
        </r>
      </text>
      <mc:AlternateContent>
        <mc:Choice Requires="v2">
          <commentPr autoFill="true" autoScale="false" colHidden="false" locked="false" rowHidden="false" textHAlign="justify" textVAlign="top">
            <anchor moveWithCells="false" sizeWithCells="false">
              <xdr:from>
                <xdr:col>3</xdr:col>
                <xdr:colOff>3</xdr:colOff>
                <xdr:row>204</xdr:row>
                <xdr:rowOff>13</xdr:rowOff>
              </xdr:from>
              <xdr:to>
                <xdr:col>4</xdr:col>
                <xdr:colOff>-42</xdr:colOff>
                <xdr:row>213</xdr:row>
                <xdr:rowOff>2</xdr:rowOff>
              </xdr:to>
            </anchor>
          </commentPr>
        </mc:Choice>
        <mc:Fallback/>
      </mc:AlternateContent>
    </comment>
    <comment ref="E206" authorId="0">
      <text>
        <r>
          <rPr>
            <b val="true"/>
            <sz val="8"/>
            <color rgb="FF000000"/>
            <rFont val="Tahoma"/>
            <family val="0"/>
          </rPr>
          <t xml:space="preserve">Measured by PG&amp;E Gas Transmission.  Ref:  594079.  Irene Lozano 210-528-4067
</t>
        </r>
      </text>
      <mc:AlternateContent>
        <mc:Choice Requires="v2">
          <commentPr autoFill="true" autoScale="false" colHidden="false" locked="false" rowHidden="false" textHAlign="justify" textVAlign="top">
            <anchor moveWithCells="false" sizeWithCells="false">
              <xdr:from>
                <xdr:col>3</xdr:col>
                <xdr:colOff>3</xdr:colOff>
                <xdr:row>205</xdr:row>
                <xdr:rowOff>13</xdr:rowOff>
              </xdr:from>
              <xdr:to>
                <xdr:col>4</xdr:col>
                <xdr:colOff>-15</xdr:colOff>
                <xdr:row>210</xdr:row>
                <xdr:rowOff>5</xdr:rowOff>
              </xdr:to>
            </anchor>
          </commentPr>
        </mc:Choice>
        <mc:Fallback/>
      </mc:AlternateContent>
    </comment>
    <comment ref="G90" authorId="0">
      <text>
        <r>
          <rPr>
            <b val="true"/>
            <sz val="8"/>
            <color rgb="FF000000"/>
            <rFont val="Tahoma"/>
            <family val="0"/>
          </rPr>
          <t xml:space="preserve">HPL does not supply a BTU with this volume.  Using BTU from Seahawk Blessing for calcs.
</t>
        </r>
      </text>
      <mc:AlternateContent>
        <mc:Choice Requires="v2">
          <commentPr autoFill="true" autoScale="false" colHidden="false" locked="false" rowHidden="false" textHAlign="justify" textVAlign="top">
            <anchor moveWithCells="false" sizeWithCells="false">
              <xdr:from>
                <xdr:col>3</xdr:col>
                <xdr:colOff>3</xdr:colOff>
                <xdr:row>89</xdr:row>
                <xdr:rowOff>8</xdr:rowOff>
              </xdr:from>
              <xdr:to>
                <xdr:col>5</xdr:col>
                <xdr:colOff>14</xdr:colOff>
                <xdr:row>95</xdr:row>
                <xdr:rowOff>2</xdr:rowOff>
              </xdr:to>
            </anchor>
          </commentPr>
        </mc:Choice>
        <mc:Fallback/>
      </mc:AlternateContent>
    </comment>
    <comment ref="H112" authorId="0">
      <text>
        <r>
          <rPr>
            <sz val="8"/>
            <color rgb="FF000000"/>
            <rFont val="Tahoma"/>
            <family val="0"/>
          </rPr>
          <t xml:space="preserve">26092 Last reading: 09/26 08:52</t>
        </r>
      </text>
      <mc:AlternateContent>
        <mc:Choice Requires="v2">
          <commentPr autoFill="true" autoScale="false" colHidden="false" locked="false" rowHidden="false" textHAlign="justify" textVAlign="top">
            <anchor moveWithCells="false" sizeWithCells="false">
              <xdr:from>
                <xdr:col>8</xdr:col>
                <xdr:colOff>18</xdr:colOff>
                <xdr:row>110</xdr:row>
                <xdr:rowOff>7</xdr:rowOff>
              </xdr:from>
              <xdr:to>
                <xdr:col>11</xdr:col>
                <xdr:colOff>27</xdr:colOff>
                <xdr:row>111</xdr:row>
                <xdr:rowOff>6</xdr:rowOff>
              </xdr:to>
            </anchor>
          </commentPr>
        </mc:Choice>
        <mc:Fallback/>
      </mc:AlternateContent>
    </comment>
    <comment ref="H115" authorId="0">
      <text>
        <r>
          <rPr>
            <sz val="8"/>
            <color rgb="FF000000"/>
            <rFont val="Tahoma"/>
            <family val="0"/>
          </rPr>
          <t xml:space="preserve">26077 Last reading: 09/26 08:52</t>
        </r>
      </text>
      <mc:AlternateContent>
        <mc:Choice Requires="v2">
          <commentPr autoFill="true" autoScale="false" colHidden="false" locked="false" rowHidden="false" textHAlign="justify" textVAlign="top">
            <anchor moveWithCells="false" sizeWithCells="false">
              <xdr:from>
                <xdr:col>8</xdr:col>
                <xdr:colOff>18</xdr:colOff>
                <xdr:row>113</xdr:row>
                <xdr:rowOff>7</xdr:rowOff>
              </xdr:from>
              <xdr:to>
                <xdr:col>11</xdr:col>
                <xdr:colOff>27</xdr:colOff>
                <xdr:row>114</xdr:row>
                <xdr:rowOff>6</xdr:rowOff>
              </xdr:to>
            </anchor>
          </commentPr>
        </mc:Choice>
        <mc:Fallback/>
      </mc:AlternateContent>
    </comment>
    <comment ref="H153" authorId="0">
      <text>
        <r>
          <rPr>
            <sz val="8"/>
            <color rgb="FF000000"/>
            <rFont val="Tahoma"/>
            <family val="0"/>
          </rPr>
          <t xml:space="preserve">26189 Last reading: 09/27 05:30</t>
        </r>
      </text>
      <mc:AlternateContent>
        <mc:Choice Requires="v2">
          <commentPr autoFill="true" autoScale="false" colHidden="false" locked="false" rowHidden="false" textHAlign="justify" textVAlign="top">
            <anchor moveWithCells="false" sizeWithCells="false">
              <xdr:from>
                <xdr:col>8</xdr:col>
                <xdr:colOff>18</xdr:colOff>
                <xdr:row>151</xdr:row>
                <xdr:rowOff>7</xdr:rowOff>
              </xdr:from>
              <xdr:to>
                <xdr:col>11</xdr:col>
                <xdr:colOff>27</xdr:colOff>
                <xdr:row>152</xdr:row>
                <xdr:rowOff>6</xdr:rowOff>
              </xdr:to>
            </anchor>
          </commentPr>
        </mc:Choice>
        <mc:Fallback/>
      </mc:AlternateContent>
    </comment>
    <comment ref="H192" authorId="0">
      <text>
        <r>
          <rPr>
            <sz val="8"/>
            <color rgb="FF000000"/>
            <rFont val="Tahoma"/>
            <family val="0"/>
          </rPr>
          <t xml:space="preserve">26055 Last reading: 09/26 11:26</t>
        </r>
      </text>
      <mc:AlternateContent>
        <mc:Choice Requires="v2">
          <commentPr autoFill="true" autoScale="false" colHidden="false" locked="false" rowHidden="false" textHAlign="justify" textVAlign="top">
            <anchor moveWithCells="false" sizeWithCells="false">
              <xdr:from>
                <xdr:col>8</xdr:col>
                <xdr:colOff>18</xdr:colOff>
                <xdr:row>190</xdr:row>
                <xdr:rowOff>7</xdr:rowOff>
              </xdr:from>
              <xdr:to>
                <xdr:col>11</xdr:col>
                <xdr:colOff>27</xdr:colOff>
                <xdr:row>191</xdr:row>
                <xdr:rowOff>6</xdr:rowOff>
              </xdr:to>
            </anchor>
          </commentPr>
        </mc:Choice>
        <mc:Fallback/>
      </mc:AlternateContent>
    </comment>
  </commentList>
</comments>
</file>

<file path=xl/sharedStrings.xml><?xml version="1.0" encoding="utf-8"?>
<sst xmlns="http://schemas.openxmlformats.org/spreadsheetml/2006/main" count="947" uniqueCount="416">
  <si>
    <t xml:space="preserve">EPFS Moss Bluff starting balance =    </t>
  </si>
  <si>
    <t xml:space="preserve">CIG/DOW Balance</t>
  </si>
  <si>
    <t xml:space="preserve">DT SCH</t>
  </si>
  <si>
    <t xml:space="preserve">DT VOL</t>
  </si>
  <si>
    <t xml:space="preserve">Flow Date:  </t>
  </si>
  <si>
    <t xml:space="preserve">DT BAL</t>
  </si>
  <si>
    <t xml:space="preserve">Reported at:  </t>
  </si>
  <si>
    <t xml:space="preserve">TTL Act</t>
  </si>
  <si>
    <t xml:space="preserve">TTL Sch</t>
  </si>
  <si>
    <t xml:space="preserve">CIG Act</t>
  </si>
  <si>
    <t xml:space="preserve">CIG Sch</t>
  </si>
  <si>
    <t xml:space="preserve">HPL Act</t>
  </si>
  <si>
    <t xml:space="preserve">HPL Sch</t>
  </si>
  <si>
    <t xml:space="preserve">Received</t>
  </si>
  <si>
    <t xml:space="preserve">Delivered</t>
  </si>
  <si>
    <t xml:space="preserve">Balance</t>
  </si>
  <si>
    <t xml:space="preserve">(*Calculated Line Pack Change)</t>
  </si>
  <si>
    <t xml:space="preserve">Net UAF</t>
  </si>
  <si>
    <t xml:space="preserve">Current Line Pack</t>
  </si>
  <si>
    <t xml:space="preserve">MBBAL</t>
  </si>
  <si>
    <t xml:space="preserve">ActMB</t>
  </si>
  <si>
    <t xml:space="preserve">SchMB</t>
  </si>
  <si>
    <t xml:space="preserve">SchTGPAD</t>
  </si>
  <si>
    <t xml:space="preserve">ActTGPAD</t>
  </si>
  <si>
    <t xml:space="preserve">SchHoeSt</t>
  </si>
  <si>
    <t xml:space="preserve">ActHoeSt</t>
  </si>
  <si>
    <t xml:space="preserve">schHPLAD</t>
  </si>
  <si>
    <t xml:space="preserve">actHPLAD</t>
  </si>
  <si>
    <t xml:space="preserve">schHPLGreg</t>
  </si>
  <si>
    <t xml:space="preserve">actHPLGreg</t>
  </si>
  <si>
    <t xml:space="preserve">schSeahawk</t>
  </si>
  <si>
    <t xml:space="preserve">actSeahawk</t>
  </si>
  <si>
    <t xml:space="preserve">schcedar</t>
  </si>
  <si>
    <t xml:space="preserve">actcedar</t>
  </si>
  <si>
    <t xml:space="preserve">schTGPSAB</t>
  </si>
  <si>
    <t xml:space="preserve">actTGPSAB</t>
  </si>
  <si>
    <t xml:space="preserve">schSCTTL</t>
  </si>
  <si>
    <t xml:space="preserve">actSCTTL</t>
  </si>
  <si>
    <t xml:space="preserve">Act</t>
  </si>
  <si>
    <t xml:space="preserve">Sch</t>
  </si>
  <si>
    <t xml:space="preserve">HPL - Red Bluff</t>
  </si>
  <si>
    <t xml:space="preserve">Capital - Bayport</t>
  </si>
  <si>
    <t xml:space="preserve">Hoechst - Bayport - HPL</t>
  </si>
  <si>
    <t xml:space="preserve">HPL - Bayport System</t>
  </si>
  <si>
    <t xml:space="preserve">Enron - Methanol Plant</t>
  </si>
  <si>
    <t xml:space="preserve">HPL - La Porte </t>
  </si>
  <si>
    <t xml:space="preserve">HPL - La Porte</t>
  </si>
  <si>
    <t xml:space="preserve">Enron - MTBE Plant</t>
  </si>
  <si>
    <t xml:space="preserve">Throughput Volume Summary</t>
  </si>
  <si>
    <t xml:space="preserve">Flow Date:</t>
  </si>
  <si>
    <t xml:space="preserve">Reported at:</t>
  </si>
  <si>
    <t xml:space="preserve">Current LPack</t>
  </si>
  <si>
    <t xml:space="preserve">LPack Change</t>
  </si>
  <si>
    <t xml:space="preserve">TTL VOL</t>
  </si>
  <si>
    <t xml:space="preserve">TTL SCH</t>
  </si>
  <si>
    <t xml:space="preserve">TTL IMB</t>
  </si>
  <si>
    <t xml:space="preserve">HPL VOL</t>
  </si>
  <si>
    <t xml:space="preserve">HPL SCH</t>
  </si>
  <si>
    <t xml:space="preserve">HPL IMB</t>
  </si>
  <si>
    <t xml:space="preserve">CIG VOL</t>
  </si>
  <si>
    <t xml:space="preserve">CIG SCH</t>
  </si>
  <si>
    <t xml:space="preserve">CIG IMB</t>
  </si>
  <si>
    <t xml:space="preserve">Kennedy Ranch</t>
  </si>
  <si>
    <t xml:space="preserve">South Texas</t>
  </si>
  <si>
    <t xml:space="preserve">800 to 802 (364/182)</t>
  </si>
  <si>
    <t xml:space="preserve">802 to 804 (400/200)</t>
  </si>
  <si>
    <t xml:space="preserve">804 to 806 (416/208</t>
  </si>
  <si>
    <t xml:space="preserve">806 to 809 (528/264)</t>
  </si>
  <si>
    <t xml:space="preserve">809 to 812-1A</t>
  </si>
  <si>
    <t xml:space="preserve">812-1A to 813 (596/298)</t>
  </si>
  <si>
    <t xml:space="preserve">813 to 814-1A</t>
  </si>
  <si>
    <t xml:space="preserve">814-1A to 820F</t>
  </si>
  <si>
    <t xml:space="preserve">TTL Line Pack</t>
  </si>
  <si>
    <t xml:space="preserve">Location</t>
  </si>
  <si>
    <t xml:space="preserve">Actual</t>
  </si>
  <si>
    <t xml:space="preserve">MIN</t>
  </si>
  <si>
    <t xml:space="preserve">MAX</t>
  </si>
  <si>
    <t xml:space="preserve">Suct 802</t>
  </si>
  <si>
    <t xml:space="preserve">Disch 802</t>
  </si>
  <si>
    <t xml:space="preserve">Suct 804</t>
  </si>
  <si>
    <t xml:space="preserve">Disch 804</t>
  </si>
  <si>
    <t xml:space="preserve">Suct 806</t>
  </si>
  <si>
    <t xml:space="preserve">Disch 806</t>
  </si>
  <si>
    <t xml:space="preserve">Bless</t>
  </si>
  <si>
    <t xml:space="preserve">Suct 809</t>
  </si>
  <si>
    <t xml:space="preserve">Disch 809</t>
  </si>
  <si>
    <t xml:space="preserve">Suct 8121A</t>
  </si>
  <si>
    <t xml:space="preserve">Disch 8121A</t>
  </si>
  <si>
    <t xml:space="preserve">Disch 812</t>
  </si>
  <si>
    <t xml:space="preserve">Total Accumulated Volumes(mmbtu)</t>
  </si>
  <si>
    <t xml:space="preserve">Total System</t>
  </si>
  <si>
    <t xml:space="preserve">Houston Pipeline</t>
  </si>
  <si>
    <t xml:space="preserve">Channel Industries</t>
  </si>
  <si>
    <t xml:space="preserve">Sec</t>
  </si>
  <si>
    <t xml:space="preserve">Meter</t>
  </si>
  <si>
    <t xml:space="preserve">HPL Mtr</t>
  </si>
  <si>
    <t xml:space="preserve">Meas Op</t>
  </si>
  <si>
    <t xml:space="preserve">Alloc</t>
  </si>
  <si>
    <t xml:space="preserve">BTU</t>
  </si>
  <si>
    <t xml:space="preserve">Err</t>
  </si>
  <si>
    <t xml:space="preserve">TTL Disp</t>
  </si>
  <si>
    <t xml:space="preserve">TTL System Imb</t>
  </si>
  <si>
    <t xml:space="preserve">TTL Act Thru Put</t>
  </si>
  <si>
    <t xml:space="preserve">TTL Disp Thru Put</t>
  </si>
  <si>
    <t xml:space="preserve">HPL Disp</t>
  </si>
  <si>
    <t xml:space="preserve">HPL Imb</t>
  </si>
  <si>
    <t xml:space="preserve">HPL Act Thru Put</t>
  </si>
  <si>
    <t xml:space="preserve">HPL Disp Thru Put</t>
  </si>
  <si>
    <t xml:space="preserve">CIG Disp</t>
  </si>
  <si>
    <t xml:space="preserve">CIG Imb</t>
  </si>
  <si>
    <t xml:space="preserve">CIG Act Thru Put</t>
  </si>
  <si>
    <t xml:space="preserve">CIG Disp Thru Put</t>
  </si>
  <si>
    <t xml:space="preserve">Shipper Alloc</t>
  </si>
  <si>
    <t xml:space="preserve">OBA Alloc</t>
  </si>
  <si>
    <t xml:space="preserve">KR</t>
  </si>
  <si>
    <t xml:space="preserve">Exxon - El Paistle</t>
  </si>
  <si>
    <t xml:space="preserve">CIG</t>
  </si>
  <si>
    <t xml:space="preserve">Exxon - King Ranch Plant</t>
  </si>
  <si>
    <t xml:space="preserve">O</t>
  </si>
  <si>
    <t xml:space="preserve">Lamar - Potrero Lorena Sales</t>
  </si>
  <si>
    <t xml:space="preserve">Exxon - Potrero Farris</t>
  </si>
  <si>
    <t xml:space="preserve">Danex - El Anzuelo</t>
  </si>
  <si>
    <t xml:space="preserve">Marwell - Rupp #3</t>
  </si>
  <si>
    <t xml:space="preserve">Vintage - La Gloria Field</t>
  </si>
  <si>
    <t xml:space="preserve">TGP - Falfurrias</t>
  </si>
  <si>
    <t xml:space="preserve">Duke - La Gloria Plant</t>
  </si>
  <si>
    <t xml:space="preserve">Duke - La Gloria Bypass</t>
  </si>
  <si>
    <t xml:space="preserve">WM</t>
  </si>
  <si>
    <t xml:space="preserve">Dominion - McMullen Transport</t>
  </si>
  <si>
    <t xml:space="preserve">Swift Energy - Green Branch Dehy.</t>
  </si>
  <si>
    <t xml:space="preserve">Southwest Roy. - Piedre Lumbre Dehy.</t>
  </si>
  <si>
    <t xml:space="preserve">Fair Ralph E - Gov. Well Dehy.</t>
  </si>
  <si>
    <t xml:space="preserve">Hurd Ent. - Suemaur Wendt 3 Dehy.</t>
  </si>
  <si>
    <t xml:space="preserve">Taurus - Seven Sisters</t>
  </si>
  <si>
    <t xml:space="preserve">Mueller Eng. - Northeast Loma Novia Dehy.</t>
  </si>
  <si>
    <t xml:space="preserve">Hurd Ent. - Yorba 1 Dehy.</t>
  </si>
  <si>
    <t xml:space="preserve">Texas Safari - Alice 1 Dehy.</t>
  </si>
  <si>
    <t xml:space="preserve">Shoreline - Cook #1</t>
  </si>
  <si>
    <t xml:space="preserve">Laguna - Magnolia City Dehy.</t>
  </si>
  <si>
    <t xml:space="preserve">TGP - West Magnolia City</t>
  </si>
  <si>
    <t xml:space="preserve">ST</t>
  </si>
  <si>
    <t xml:space="preserve">Duke - La Gloria Transport</t>
  </si>
  <si>
    <t xml:space="preserve">OBA</t>
  </si>
  <si>
    <t xml:space="preserve">Hoechst - Premont</t>
  </si>
  <si>
    <t xml:space="preserve">Hoechst - Kingsville</t>
  </si>
  <si>
    <t xml:space="preserve">UPRC - Gulf Plains</t>
  </si>
  <si>
    <t xml:space="preserve">TGP - Aqua Dulce Receipts</t>
  </si>
  <si>
    <t xml:space="preserve">TGP - Aqua Dulce Deliveries</t>
  </si>
  <si>
    <t xml:space="preserve">HPL - Agua Dulce Receipts</t>
  </si>
  <si>
    <t xml:space="preserve">HPL</t>
  </si>
  <si>
    <t xml:space="preserve">HPL - Agua Dulce Deliveries</t>
  </si>
  <si>
    <t xml:space="preserve">Lobo - Channel Agua Dulce</t>
  </si>
  <si>
    <t xml:space="preserve">PG &amp; E Valero - Agua Dulce</t>
  </si>
  <si>
    <t xml:space="preserve">Tejas - Robstown Receipts</t>
  </si>
  <si>
    <t xml:space="preserve">Tejas - Robstown Deliveries</t>
  </si>
  <si>
    <t xml:space="preserve">Delhi - Saxet</t>
  </si>
  <si>
    <t xml:space="preserve">TP</t>
  </si>
  <si>
    <t xml:space="preserve">Pena - Banquette</t>
  </si>
  <si>
    <t xml:space="preserve">Dominion - Banquette Transport</t>
  </si>
  <si>
    <t xml:space="preserve">Dominion - Riverside</t>
  </si>
  <si>
    <t xml:space="preserve">NGPL - Riverside</t>
  </si>
  <si>
    <t xml:space="preserve">Tejas - Calallen</t>
  </si>
  <si>
    <t xml:space="preserve">Equistar - Corpus Christi</t>
  </si>
  <si>
    <t xml:space="preserve">CP &amp; L - Lon C. Hill</t>
  </si>
  <si>
    <t xml:space="preserve">Tejas - Riverside</t>
  </si>
  <si>
    <t xml:space="preserve">PG &amp; E - Cardwell</t>
  </si>
  <si>
    <t xml:space="preserve">HPL - Odem</t>
  </si>
  <si>
    <t xml:space="preserve">Florida - Sinton</t>
  </si>
  <si>
    <t xml:space="preserve">PG &amp; E - Taft Transport</t>
  </si>
  <si>
    <t xml:space="preserve">Abraxas - White Point</t>
  </si>
  <si>
    <t xml:space="preserve">Dominion - Northwest Taft</t>
  </si>
  <si>
    <t xml:space="preserve">Houston American Petroleum</t>
  </si>
  <si>
    <t xml:space="preserve">W L Roots - W L Roots</t>
  </si>
  <si>
    <t xml:space="preserve">Dinero - East Plymouth Sales</t>
  </si>
  <si>
    <t xml:space="preserve">HPL - Gregory Deliveries</t>
  </si>
  <si>
    <t xml:space="preserve">HPL - Gregory Receipts</t>
  </si>
  <si>
    <t xml:space="preserve">Koch - Bayside</t>
  </si>
  <si>
    <t xml:space="preserve">Texana - Bonnie View</t>
  </si>
  <si>
    <t xml:space="preserve">Copano - Copano Bay</t>
  </si>
  <si>
    <t xml:space="preserve">HPL - Refugio</t>
  </si>
  <si>
    <t xml:space="preserve">HPL - San Antonio Bay</t>
  </si>
  <si>
    <t xml:space="preserve">Northern Natural - Tivoli</t>
  </si>
  <si>
    <t xml:space="preserve">Seadrift - Seadrift Plant</t>
  </si>
  <si>
    <t xml:space="preserve">Union Carbide - Seadrift Plant</t>
  </si>
  <si>
    <t xml:space="preserve">EPFS -Tomcat MILSP</t>
  </si>
  <si>
    <t xml:space="preserve">Entex - Port Lavaca East</t>
  </si>
  <si>
    <t xml:space="preserve">Entex - Port Lavaca West</t>
  </si>
  <si>
    <t xml:space="preserve">Castillo - East Sheriff</t>
  </si>
  <si>
    <t xml:space="preserve">Formosa - Co-Gen</t>
  </si>
  <si>
    <t xml:space="preserve">Formosa - Low Pressure</t>
  </si>
  <si>
    <t xml:space="preserve">Formosa - Point Comfort</t>
  </si>
  <si>
    <t xml:space="preserve">Formosa - Plant</t>
  </si>
  <si>
    <t xml:space="preserve">Alcoa - Point Comfort</t>
  </si>
  <si>
    <t xml:space="preserve">CP &amp; L - Joslin Deliveries</t>
  </si>
  <si>
    <t xml:space="preserve">HPL - Swan Lake Deliveries</t>
  </si>
  <si>
    <t xml:space="preserve">Formosa - Traylor</t>
  </si>
  <si>
    <t xml:space="preserve">SAB - Maude Traylor</t>
  </si>
  <si>
    <t xml:space="preserve">PIE - Carancuhua Bay</t>
  </si>
  <si>
    <t xml:space="preserve">Peterson Grass Farms</t>
  </si>
  <si>
    <t xml:space="preserve">Entex - Palacios City</t>
  </si>
  <si>
    <t xml:space="preserve">Farmers - Blessing #1</t>
  </si>
  <si>
    <t xml:space="preserve">Sue Ann - Blessing Field</t>
  </si>
  <si>
    <t xml:space="preserve">Entex - Blessing City Gate</t>
  </si>
  <si>
    <t xml:space="preserve">EPFS -El Gordo Blessing</t>
  </si>
  <si>
    <t xml:space="preserve">EPFS - Seahawk Blessing</t>
  </si>
  <si>
    <t xml:space="preserve">Farmers - Blessing #2</t>
  </si>
  <si>
    <t xml:space="preserve">Elerida - Southwest Pheasant</t>
  </si>
  <si>
    <t xml:space="preserve">Markham - Markham City Gate</t>
  </si>
  <si>
    <t xml:space="preserve">Hoechst - Bay City Plant</t>
  </si>
  <si>
    <t xml:space="preserve">Moltem - Bay City Deliveries</t>
  </si>
  <si>
    <t xml:space="preserve">Transco - Markham</t>
  </si>
  <si>
    <t xml:space="preserve">RBWI - Bay City</t>
  </si>
  <si>
    <t xml:space="preserve">Florida Gas  - Magnet Withers</t>
  </si>
  <si>
    <t xml:space="preserve">EOC-North Bay City</t>
  </si>
  <si>
    <t xml:space="preserve">HPL - Pledger Texas</t>
  </si>
  <si>
    <t xml:space="preserve">Amoco - Old Ocean</t>
  </si>
  <si>
    <t xml:space="preserve">Phillips - Sweeny Plant</t>
  </si>
  <si>
    <t xml:space="preserve">Penzoil -  Pledger</t>
  </si>
  <si>
    <t xml:space="preserve">American Explorer - Pledger</t>
  </si>
  <si>
    <t xml:space="preserve">HPL - Pledger New Gulf</t>
  </si>
  <si>
    <t xml:space="preserve">MRF - Milseka Rice Farm</t>
  </si>
  <si>
    <t xml:space="preserve">GRF - Gless Rice Farms</t>
  </si>
  <si>
    <t xml:space="preserve">SAGE Energy - Lochridge Field</t>
  </si>
  <si>
    <t xml:space="preserve">Entex - Ramsey Unit</t>
  </si>
  <si>
    <t xml:space="preserve">HPL - Rosharon City Gate</t>
  </si>
  <si>
    <t xml:space="preserve">DOW DT - Iowa Colony</t>
  </si>
  <si>
    <t xml:space="preserve">HPL - Manville</t>
  </si>
  <si>
    <t xml:space="preserve">DOW - Julliff</t>
  </si>
  <si>
    <t xml:space="preserve">Dominion Pipeline - Arcola Field</t>
  </si>
  <si>
    <t xml:space="preserve">PG&amp;E - Alvin Deliveries</t>
  </si>
  <si>
    <t xml:space="preserve">HPL - Pearland Deliveries</t>
  </si>
  <si>
    <t xml:space="preserve">HPL - Hastings</t>
  </si>
  <si>
    <t xml:space="preserve">Tejas - Hastings</t>
  </si>
  <si>
    <t xml:space="preserve">HPL - Friendswood City Gate</t>
  </si>
  <si>
    <t xml:space="preserve">Exxon Mobil - Webster Dehy</t>
  </si>
  <si>
    <t xml:space="preserve">TPC - Genoa Deliveries</t>
  </si>
  <si>
    <t xml:space="preserve">Entex - Clearlake City#2</t>
  </si>
  <si>
    <t xml:space="preserve">Exxon - Clearlake</t>
  </si>
  <si>
    <t xml:space="preserve">PG&amp;E - Red Bluff</t>
  </si>
  <si>
    <t xml:space="preserve">HL&amp;P - Red Bluff</t>
  </si>
  <si>
    <t xml:space="preserve">Oxy Chemical - Bayport</t>
  </si>
  <si>
    <t xml:space="preserve">Zeneca - Bayport</t>
  </si>
  <si>
    <t xml:space="preserve">M G Industries - Bayport</t>
  </si>
  <si>
    <t xml:space="preserve">Hoechst - Bayport - CIG</t>
  </si>
  <si>
    <t xml:space="preserve">Goodyear - Bayport</t>
  </si>
  <si>
    <t xml:space="preserve">Rohm &amp;Haas - Bayport</t>
  </si>
  <si>
    <t xml:space="preserve">Rohm &amp; Hass - Bayport</t>
  </si>
  <si>
    <t xml:space="preserve">HPL - La Porte City Gate</t>
  </si>
  <si>
    <t xml:space="preserve">Laurel - La Porte</t>
  </si>
  <si>
    <t xml:space="preserve">Air Products - La Porte</t>
  </si>
  <si>
    <t xml:space="preserve">Quantum (Linde Gas) - La Porte</t>
  </si>
  <si>
    <t xml:space="preserve">Oxy Chemical - Battleground</t>
  </si>
  <si>
    <t xml:space="preserve">Midcon - Deer Park</t>
  </si>
  <si>
    <t xml:space="preserve">Rohm &amp;Haas - Deer Park</t>
  </si>
  <si>
    <t xml:space="preserve">Dupont - Deer Park</t>
  </si>
  <si>
    <t xml:space="preserve">Lubrizol - Deer Park</t>
  </si>
  <si>
    <t xml:space="preserve">Shell Oil - Deer Park</t>
  </si>
  <si>
    <t xml:space="preserve">Calpine - Pasedena</t>
  </si>
  <si>
    <t xml:space="preserve">Calpine Cogen #2 Pasedena</t>
  </si>
  <si>
    <t xml:space="preserve">Able Marle - Deer Park</t>
  </si>
  <si>
    <t xml:space="preserve">Georgia - Pasadena</t>
  </si>
  <si>
    <t xml:space="preserve">Oxy Chemical - Deer Park</t>
  </si>
  <si>
    <t xml:space="preserve">Shell Oil - Deer Park Cogen</t>
  </si>
  <si>
    <t xml:space="preserve">Lyondell - CITGO Plant</t>
  </si>
  <si>
    <t xml:space="preserve">Air Products - Pasadena</t>
  </si>
  <si>
    <t xml:space="preserve">Oxy Chem - Pasadena</t>
  </si>
  <si>
    <t xml:space="preserve">Aristech - Pasadena</t>
  </si>
  <si>
    <t xml:space="preserve">Amoco - Lomax #2</t>
  </si>
  <si>
    <t xml:space="preserve">Monsanto - Baytown</t>
  </si>
  <si>
    <t xml:space="preserve">US Steel - Baytown</t>
  </si>
  <si>
    <t xml:space="preserve">Vintage - Baytown</t>
  </si>
  <si>
    <t xml:space="preserve">HL&amp;P - Cedar Bayou</t>
  </si>
  <si>
    <t xml:space="preserve">Bayer - Cedar Bayou Plant</t>
  </si>
  <si>
    <t xml:space="preserve">HPL - Warren Delivery</t>
  </si>
  <si>
    <t xml:space="preserve">Ace - Cotton Lake</t>
  </si>
  <si>
    <t xml:space="preserve">Central Point - Garth A1</t>
  </si>
  <si>
    <t xml:space="preserve">Hil-Corp - Cotton Lake</t>
  </si>
  <si>
    <t xml:space="preserve">HPL - Daniel #1</t>
  </si>
  <si>
    <t xml:space="preserve">Duer Wagner - Alligator Bayou</t>
  </si>
  <si>
    <t xml:space="preserve">PacifiCorp - Moss Bluff With</t>
  </si>
  <si>
    <t xml:space="preserve">PacifiCorp - Moss Bluff Inj</t>
  </si>
  <si>
    <t xml:space="preserve">Ames - South Raywood Fild</t>
  </si>
  <si>
    <t xml:space="preserve">Sun - Anahuac Field</t>
  </si>
  <si>
    <t xml:space="preserve">DOW - Schoenjahn</t>
  </si>
  <si>
    <t xml:space="preserve">Gulf Energy - Walla Boyt</t>
  </si>
  <si>
    <t xml:space="preserve">Sun - W.C. White</t>
  </si>
  <si>
    <t xml:space="preserve">Sun - Blanke Field</t>
  </si>
  <si>
    <t xml:space="preserve">Midcon - Devers</t>
  </si>
  <si>
    <t xml:space="preserve">Mobil - Dunagen #1</t>
  </si>
  <si>
    <t xml:space="preserve">Southern Union - Nome City</t>
  </si>
  <si>
    <t xml:space="preserve">Entex - China City</t>
  </si>
  <si>
    <t xml:space="preserve">Cokinos - China</t>
  </si>
  <si>
    <t xml:space="preserve">Midcon - West Beaumont</t>
  </si>
  <si>
    <t xml:space="preserve">HPL - Beaumont</t>
  </si>
  <si>
    <t xml:space="preserve">Tri C - Adams Field</t>
  </si>
  <si>
    <t xml:space="preserve">Cokinos - Beaumont</t>
  </si>
  <si>
    <t xml:space="preserve">HPL - Texoma</t>
  </si>
  <si>
    <t xml:space="preserve">Vastar - Big Thicket Plant</t>
  </si>
  <si>
    <t xml:space="preserve">Amerada - Vidor Plant</t>
  </si>
  <si>
    <t xml:space="preserve">Poynor - Singleton #1</t>
  </si>
  <si>
    <t xml:space="preserve">Texaco - AS Common</t>
  </si>
  <si>
    <t xml:space="preserve">TXP - EF Williams #1</t>
  </si>
  <si>
    <t xml:space="preserve">Gulf States Utility</t>
  </si>
  <si>
    <t xml:space="preserve">Greenhill - Champion #1</t>
  </si>
  <si>
    <t xml:space="preserve">Entex - Mauriceville</t>
  </si>
  <si>
    <t xml:space="preserve">PG&amp;E - Long Prairie Field</t>
  </si>
  <si>
    <t xml:space="preserve">Cokinos - Starks Found #2</t>
  </si>
  <si>
    <t xml:space="preserve">Cokinos - Starks Found #1</t>
  </si>
  <si>
    <t xml:space="preserve">Manuel</t>
  </si>
  <si>
    <t xml:space="preserve">Centana - Orange Deliveries</t>
  </si>
  <si>
    <t xml:space="preserve">Sabine - Orange Exchange</t>
  </si>
  <si>
    <t xml:space="preserve">Bayer - Orange</t>
  </si>
  <si>
    <t xml:space="preserve">Dupont - Sabine River</t>
  </si>
  <si>
    <t xml:space="preserve">Hankamer</t>
  </si>
  <si>
    <t xml:space="preserve">Cokinos - Bledsoe Lindsey #1</t>
  </si>
  <si>
    <t xml:space="preserve">Sedona - Hartburg #2</t>
  </si>
  <si>
    <t xml:space="preserve">Exxon - Arbor</t>
  </si>
  <si>
    <t xml:space="preserve">Inland Orange - Inland Container</t>
  </si>
  <si>
    <t xml:space="preserve">Cokinos - Rachel Hudson</t>
  </si>
  <si>
    <t xml:space="preserve">Tri C - Hankamer #2</t>
  </si>
  <si>
    <t xml:space="preserve">TGP - Sabine River</t>
  </si>
  <si>
    <t xml:space="preserve">D&amp;H - Deweyville City</t>
  </si>
  <si>
    <t xml:space="preserve">A/S Receipts</t>
  </si>
  <si>
    <t xml:space="preserve">Withdrals</t>
  </si>
  <si>
    <t xml:space="preserve">Total A/S Receipts</t>
  </si>
  <si>
    <t xml:space="preserve">A/S Deliveries</t>
  </si>
  <si>
    <t xml:space="preserve">Injections</t>
  </si>
  <si>
    <t xml:space="preserve">Fuel</t>
  </si>
  <si>
    <t xml:space="preserve">Total A/S Deliveries</t>
  </si>
  <si>
    <t xml:space="preserve">A/S System Balance</t>
  </si>
  <si>
    <t xml:space="preserve">(Calculated A/S Line Pack Change)</t>
  </si>
  <si>
    <t xml:space="preserve">Net A/S UAF</t>
  </si>
  <si>
    <t xml:space="preserve">Current A/S Calculated Line Pack</t>
  </si>
  <si>
    <t xml:space="preserve">EPFS Moss Bluff Allocation</t>
  </si>
  <si>
    <t xml:space="preserve">800 to 802 Line Pack</t>
  </si>
  <si>
    <t xml:space="preserve">802 to 804 Line Pack</t>
  </si>
  <si>
    <t xml:space="preserve">804 to 806 Line Pack</t>
  </si>
  <si>
    <t xml:space="preserve">806 to 809 Line Pack</t>
  </si>
  <si>
    <t xml:space="preserve">809 to 812 Line Pack</t>
  </si>
  <si>
    <t xml:space="preserve">812 to 8141A Line Pack</t>
  </si>
  <si>
    <t xml:space="preserve">8141A to 820 Line Pack</t>
  </si>
  <si>
    <t xml:space="preserve">Line Pack Change</t>
  </si>
  <si>
    <t xml:space="preserve">Silegsen Check</t>
  </si>
  <si>
    <t xml:space="preserve">sta 812 check</t>
  </si>
  <si>
    <t xml:space="preserve">sta 816 check</t>
  </si>
  <si>
    <t xml:space="preserve">sta804 check</t>
  </si>
  <si>
    <t xml:space="preserve">Parish Plant</t>
  </si>
  <si>
    <t xml:space="preserve">TGP Katy</t>
  </si>
  <si>
    <t xml:space="preserve">Exxon Katy</t>
  </si>
  <si>
    <t xml:space="preserve">DT to Parish Plant</t>
  </si>
  <si>
    <t xml:space="preserve">Sta 812 Bypass</t>
  </si>
  <si>
    <t xml:space="preserve">Equistar - Corpus Christi Gas Temp</t>
  </si>
  <si>
    <t xml:space="preserve">Copano - Copano Bay Gas Temp</t>
  </si>
  <si>
    <t xml:space="preserve">804 Disch Temp</t>
  </si>
  <si>
    <t xml:space="preserve">806 Suct Temp</t>
  </si>
  <si>
    <t xml:space="preserve">806 Disch Temp</t>
  </si>
  <si>
    <t xml:space="preserve">809 Suct Temp</t>
  </si>
  <si>
    <t xml:space="preserve">809 Disch Temp</t>
  </si>
  <si>
    <t xml:space="preserve">Dow - Julliff Gas Temp</t>
  </si>
  <si>
    <t xml:space="preserve">Enron Methanol Gas Temp</t>
  </si>
  <si>
    <t xml:space="preserve">Dupont Sabine Gas Temp</t>
  </si>
  <si>
    <t xml:space="preserve">TGP Sabine Gas Temp</t>
  </si>
  <si>
    <t xml:space="preserve">Moss Bluff Receipt Pressure</t>
  </si>
  <si>
    <t xml:space="preserve">Seahawk Blessing Plant Side Pressure</t>
  </si>
  <si>
    <t xml:space="preserve">Seahawk Blessing Pipeline Side Pressure</t>
  </si>
  <si>
    <t xml:space="preserve">TGP Agua Dulce Pressure</t>
  </si>
  <si>
    <t xml:space="preserve">Aristech - Pasadena Disch Pressure</t>
  </si>
  <si>
    <t xml:space="preserve">Enron - Methanol Discharge Pressure</t>
  </si>
  <si>
    <t xml:space="preserve">Moss Bluff Delivery Pressure</t>
  </si>
  <si>
    <t xml:space="preserve">Centana - Orange Delivery Pressure</t>
  </si>
  <si>
    <t xml:space="preserve">Dupont - Sabine Disch Pressure</t>
  </si>
  <si>
    <t xml:space="preserve">TGP - Sabine Disch Pressure</t>
  </si>
  <si>
    <t xml:space="preserve">Parish Plant Customer Pressure</t>
  </si>
  <si>
    <t xml:space="preserve">DT to Parish Plant Disch Pressure</t>
  </si>
  <si>
    <t xml:space="preserve">800 Suction Pressure</t>
  </si>
  <si>
    <t xml:space="preserve">802 Suction Pressure</t>
  </si>
  <si>
    <t xml:space="preserve">802 Discharge Pressure</t>
  </si>
  <si>
    <t xml:space="preserve">804 Suction Pressure</t>
  </si>
  <si>
    <t xml:space="preserve">804 Discharge Pressure</t>
  </si>
  <si>
    <t xml:space="preserve">806 Suction Pressure</t>
  </si>
  <si>
    <t xml:space="preserve">806 Discharge Pressure</t>
  </si>
  <si>
    <t xml:space="preserve">809 Suction Pressure</t>
  </si>
  <si>
    <t xml:space="preserve">809 Discharge Pressure</t>
  </si>
  <si>
    <t xml:space="preserve">812 Suction Pressure</t>
  </si>
  <si>
    <t xml:space="preserve">812 Discharge Pressure</t>
  </si>
  <si>
    <t xml:space="preserve">813 Discharge Pressure</t>
  </si>
  <si>
    <t xml:space="preserve">812-1-A Suction Pressure</t>
  </si>
  <si>
    <t xml:space="preserve">812-1-A Discharge Pressure</t>
  </si>
  <si>
    <t xml:space="preserve">Lomax Pressure</t>
  </si>
  <si>
    <t xml:space="preserve"> 402-A01R  </t>
  </si>
  <si>
    <t xml:space="preserve"> 402-A01A  </t>
  </si>
  <si>
    <t xml:space="preserve"> 402-A02R  </t>
  </si>
  <si>
    <t xml:space="preserve"> 402-A02A  </t>
  </si>
  <si>
    <t xml:space="preserve"> 804-A01R  </t>
  </si>
  <si>
    <t xml:space="preserve"> 804-A01A  </t>
  </si>
  <si>
    <t xml:space="preserve"> 804-A02R  </t>
  </si>
  <si>
    <t xml:space="preserve"> 804-A02A  </t>
  </si>
  <si>
    <t xml:space="preserve"> 806-A01R  </t>
  </si>
  <si>
    <t xml:space="preserve"> 806-A01A  </t>
  </si>
  <si>
    <t xml:space="preserve"> 806-A02R  </t>
  </si>
  <si>
    <t xml:space="preserve"> 806-A02A  </t>
  </si>
  <si>
    <t xml:space="preserve"> 806-A03R  </t>
  </si>
  <si>
    <t xml:space="preserve"> 806-A03A  </t>
  </si>
  <si>
    <t xml:space="preserve"> 809-A02R  </t>
  </si>
  <si>
    <t xml:space="preserve"> 809-A02A  </t>
  </si>
  <si>
    <t xml:space="preserve"> 809-A03R  </t>
  </si>
  <si>
    <t xml:space="preserve"> 809-A03A  </t>
  </si>
  <si>
    <t xml:space="preserve"> 809-B01R  </t>
  </si>
  <si>
    <t xml:space="preserve"> 809-B01A  </t>
  </si>
  <si>
    <t xml:space="preserve"> 812-A01R  </t>
  </si>
  <si>
    <t xml:space="preserve"> 812-A01A  </t>
  </si>
  <si>
    <t xml:space="preserve"> 812-A02R  </t>
  </si>
  <si>
    <t xml:space="preserve"> 812-A02A  </t>
  </si>
  <si>
    <t xml:space="preserve"> 812-A03R  </t>
  </si>
  <si>
    <t xml:space="preserve"> 812-A03A  </t>
  </si>
  <si>
    <t xml:space="preserve">OBA w/o MB</t>
  </si>
</sst>
</file>

<file path=xl/styles.xml><?xml version="1.0" encoding="utf-8"?>
<styleSheet xmlns="http://schemas.openxmlformats.org/spreadsheetml/2006/main">
  <numFmts count="24">
    <numFmt numFmtId="164" formatCode="General"/>
    <numFmt numFmtId="165" formatCode="0.0_);\(0.0\)"/>
    <numFmt numFmtId="166" formatCode="0.0"/>
    <numFmt numFmtId="167" formatCode="m/d/yy\ h:mm\ AM/PM"/>
    <numFmt numFmtId="168" formatCode="[$-409]m/d/yyyy"/>
    <numFmt numFmtId="169" formatCode="0_);[RED]\(0\)"/>
    <numFmt numFmtId="170" formatCode="0.0_);[RED]\(0.0\)"/>
    <numFmt numFmtId="171" formatCode="0"/>
    <numFmt numFmtId="172" formatCode="0%"/>
    <numFmt numFmtId="173" formatCode="0.0%"/>
    <numFmt numFmtId="174" formatCode="_(* #,##0.00_);_(* \(#,##0.00\);_(* \-??_);_(@_)"/>
    <numFmt numFmtId="175" formatCode="_(* #,##0_);_(* \(#,##0\);_(* \-??_);_(@_)"/>
    <numFmt numFmtId="176" formatCode="yymmdd"/>
    <numFmt numFmtId="177" formatCode="0&quot; f&quot;"/>
    <numFmt numFmtId="178" formatCode="_(* #,##0.0_);_(* \(#,##0.0\);_(* \-??_);_(@_)"/>
    <numFmt numFmtId="179" formatCode="m/d"/>
    <numFmt numFmtId="180" formatCode="mm\-dd\-yy"/>
    <numFmt numFmtId="181" formatCode="[$-409]h:mm\ AM/PM"/>
    <numFmt numFmtId="182" formatCode="mm\-dd\-yy\ hmm\ AM/PM"/>
    <numFmt numFmtId="183" formatCode="0.000"/>
    <numFmt numFmtId="184" formatCode="@"/>
    <numFmt numFmtId="185" formatCode="0.00%;[RED]\(0.00%\)"/>
    <numFmt numFmtId="186" formatCode="0.0%;[RED]\(0.0%\)"/>
    <numFmt numFmtId="187" formatCode="0.000_);[RED]\(0.000\)"/>
  </numFmts>
  <fonts count="42">
    <font>
      <sz val="10"/>
      <name val="Times New Roman"/>
      <family val="0"/>
    </font>
    <font>
      <sz val="10"/>
      <name val="Arial"/>
      <family val="0"/>
    </font>
    <font>
      <sz val="10"/>
      <name val="Arial"/>
      <family val="0"/>
    </font>
    <font>
      <sz val="10"/>
      <name val="Arial"/>
      <family val="0"/>
    </font>
    <font>
      <sz val="12"/>
      <name val="SWISS"/>
      <family val="0"/>
    </font>
    <font>
      <sz val="10"/>
      <color rgb="FF000000"/>
      <name val="MS Sans Serif"/>
      <family val="0"/>
    </font>
    <font>
      <sz val="12"/>
      <name val="Arial"/>
      <family val="0"/>
    </font>
    <font>
      <sz val="12"/>
      <name val="Times New Roman"/>
      <family val="0"/>
    </font>
    <font>
      <sz val="8"/>
      <name val="Times New Roman"/>
      <family val="1"/>
    </font>
    <font>
      <b val="true"/>
      <sz val="12"/>
      <name val="Times New Roman"/>
      <family val="1"/>
    </font>
    <font>
      <b val="true"/>
      <sz val="10"/>
      <name val="Times New Roman"/>
      <family val="1"/>
    </font>
    <font>
      <b val="true"/>
      <sz val="10"/>
      <color rgb="FFFF0000"/>
      <name val="Times New Roman"/>
      <family val="1"/>
    </font>
    <font>
      <b val="true"/>
      <sz val="12"/>
      <color rgb="FFFF0000"/>
      <name val="Times New Roman"/>
      <family val="1"/>
    </font>
    <font>
      <b val="true"/>
      <sz val="12"/>
      <name val="Times New Roman"/>
      <family val="0"/>
    </font>
    <font>
      <b val="true"/>
      <sz val="11"/>
      <name val="Times New Roman"/>
      <family val="1"/>
    </font>
    <font>
      <b val="true"/>
      <sz val="8"/>
      <name val="Times New Roman"/>
      <family val="1"/>
    </font>
    <font>
      <sz val="10"/>
      <name val="Times New Roman"/>
      <family val="1"/>
    </font>
    <font>
      <b val="true"/>
      <sz val="8"/>
      <color rgb="FF000000"/>
      <name val="Tahoma"/>
      <family val="0"/>
    </font>
    <font>
      <sz val="8"/>
      <color rgb="FF000000"/>
      <name val="Tahoma"/>
      <family val="0"/>
    </font>
    <font>
      <sz val="8"/>
      <name val="Times New Roman"/>
      <family val="0"/>
    </font>
    <font>
      <b val="true"/>
      <sz val="8"/>
      <color rgb="FF008000"/>
      <name val="Times New Roman"/>
      <family val="1"/>
    </font>
    <font>
      <b val="true"/>
      <i val="true"/>
      <sz val="20"/>
      <name val="Times New Roman"/>
      <family val="1"/>
    </font>
    <font>
      <b val="true"/>
      <sz val="14"/>
      <name val="Times New Roman"/>
      <family val="1"/>
    </font>
    <font>
      <b val="true"/>
      <i val="true"/>
      <sz val="22"/>
      <name val="Times New Roman"/>
      <family val="1"/>
    </font>
    <font>
      <b val="true"/>
      <sz val="8"/>
      <color rgb="FFFF0000"/>
      <name val="Times New Roman"/>
      <family val="1"/>
    </font>
    <font>
      <sz val="8"/>
      <color rgb="FF0000FF"/>
      <name val="Times New Roman"/>
      <family val="1"/>
    </font>
    <font>
      <sz val="8"/>
      <color rgb="FFFFFFFF"/>
      <name val="Times New Roman"/>
      <family val="1"/>
    </font>
    <font>
      <b val="true"/>
      <i val="true"/>
      <sz val="16"/>
      <name val="Times New Roman"/>
      <family val="1"/>
    </font>
    <font>
      <sz val="2.75"/>
      <color rgb="FF000000"/>
      <name val="Times New Roman"/>
      <family val="2"/>
    </font>
    <font>
      <sz val="2"/>
      <color rgb="FF000000"/>
      <name val="Times New Roman"/>
      <family val="2"/>
    </font>
    <font>
      <b val="true"/>
      <sz val="16"/>
      <name val="Times New Roman"/>
      <family val="1"/>
    </font>
    <font>
      <sz val="8"/>
      <color rgb="FF000000"/>
      <name val="Times New Roman"/>
      <family val="2"/>
    </font>
    <font>
      <sz val="5.75"/>
      <color rgb="FF000000"/>
      <name val="Times New Roman"/>
      <family val="2"/>
    </font>
    <font>
      <b val="true"/>
      <u val="single"/>
      <sz val="8"/>
      <name val="Times New Roman"/>
      <family val="0"/>
    </font>
    <font>
      <u val="single"/>
      <sz val="8"/>
      <name val="Times New Roman"/>
      <family val="0"/>
    </font>
    <font>
      <u val="single"/>
      <sz val="8"/>
      <name val="Times New Roman"/>
      <family val="1"/>
    </font>
    <font>
      <b val="true"/>
      <u val="single"/>
      <sz val="8"/>
      <name val="Times New Roman"/>
      <family val="1"/>
    </font>
    <font>
      <b val="true"/>
      <sz val="10"/>
      <name val="Times New Roman"/>
      <family val="0"/>
    </font>
    <font>
      <b val="true"/>
      <sz val="8"/>
      <name val="Times New Roman"/>
      <family val="0"/>
    </font>
    <font>
      <sz val="8"/>
      <color rgb="FFC0C0C0"/>
      <name val="Times New Roman"/>
      <family val="1"/>
    </font>
    <font>
      <sz val="10"/>
      <color rgb="FFC0C0C0"/>
      <name val="Times New Roman"/>
      <family val="1"/>
    </font>
    <font>
      <u val="single"/>
      <sz val="10"/>
      <name val="Times New Roman"/>
      <family val="0"/>
    </font>
  </fonts>
  <fills count="6">
    <fill>
      <patternFill patternType="none"/>
    </fill>
    <fill>
      <patternFill patternType="gray125"/>
    </fill>
    <fill>
      <patternFill patternType="solid">
        <fgColor rgb="FFFFFFFF"/>
        <bgColor rgb="FFFFFFCC"/>
      </patternFill>
    </fill>
    <fill>
      <patternFill patternType="solid">
        <fgColor rgb="FF00FFFF"/>
        <bgColor rgb="FF00FFFF"/>
      </patternFill>
    </fill>
    <fill>
      <patternFill patternType="solid">
        <fgColor rgb="FFFFFF00"/>
        <bgColor rgb="FFFFFF00"/>
      </patternFill>
    </fill>
    <fill>
      <patternFill patternType="solid">
        <fgColor rgb="FF00FF00"/>
        <bgColor rgb="FF33CCCC"/>
      </patternFill>
    </fill>
  </fills>
  <borders count="14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style="thin"/>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style="thin">
        <color rgb="FF969696"/>
      </left>
      <right/>
      <top style="thin">
        <color rgb="FF969696"/>
      </top>
      <bottom style="thin">
        <color rgb="FF969696"/>
      </bottom>
      <diagonal/>
    </border>
    <border diagonalUp="false" diagonalDown="false">
      <left/>
      <right style="thin"/>
      <top style="thin">
        <color rgb="FF969696"/>
      </top>
      <bottom style="thin">
        <color rgb="FF969696"/>
      </bottom>
      <diagonal/>
    </border>
    <border diagonalUp="false" diagonalDown="false">
      <left style="thin"/>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right style="medium"/>
      <top/>
      <bottom/>
      <diagonal/>
    </border>
    <border diagonalUp="false" diagonalDown="false">
      <left style="dotted">
        <color rgb="FF969696"/>
      </left>
      <right/>
      <top/>
      <bottom/>
      <diagonal/>
    </border>
    <border diagonalUp="false" diagonalDown="false">
      <left/>
      <right style="dotted">
        <color rgb="FF969696"/>
      </right>
      <top/>
      <bottom/>
      <diagonal/>
    </border>
    <border diagonalUp="false" diagonalDown="false">
      <left/>
      <right style="dotted">
        <color rgb="FF969696"/>
      </right>
      <top/>
      <bottom style="double"/>
      <diagonal/>
    </border>
    <border diagonalUp="false" diagonalDown="false">
      <left style="dotted">
        <color rgb="FF969696"/>
      </left>
      <right/>
      <top/>
      <bottom style="dotted">
        <color rgb="FF969696"/>
      </bottom>
      <diagonal/>
    </border>
    <border diagonalUp="false" diagonalDown="false">
      <left/>
      <right style="dotted">
        <color rgb="FF969696"/>
      </right>
      <top/>
      <bottom style="dotted">
        <color rgb="FF969696"/>
      </botto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right/>
      <top/>
      <bottom style="thin"/>
      <diagonal/>
    </border>
    <border diagonalUp="false" diagonalDown="false">
      <left/>
      <right style="medium"/>
      <top/>
      <bottom style="thin"/>
      <diagonal/>
    </border>
    <border diagonalUp="false" diagonalDown="false">
      <left/>
      <right style="thin"/>
      <top style="thin"/>
      <bottom/>
      <diagonal/>
    </border>
    <border diagonalUp="false" diagonalDown="false">
      <left/>
      <right style="thin"/>
      <top/>
      <bottom/>
      <diagonal/>
    </border>
    <border diagonalUp="false" diagonalDown="false">
      <left style="medium"/>
      <right/>
      <top/>
      <bottom style="double"/>
      <diagonal/>
    </border>
    <border diagonalUp="false" diagonalDown="false">
      <left/>
      <right style="thin"/>
      <top/>
      <bottom style="double"/>
      <diagonal/>
    </border>
    <border diagonalUp="false" diagonalDown="false">
      <left/>
      <right/>
      <top/>
      <bottom style="double"/>
      <diagonal/>
    </border>
    <border diagonalUp="false" diagonalDown="false">
      <left/>
      <right style="medium"/>
      <top style="double"/>
      <bottom/>
      <diagonal/>
    </border>
    <border diagonalUp="false" diagonalDown="false">
      <left style="medium"/>
      <right style="hair"/>
      <top style="double"/>
      <bottom style="medium"/>
      <diagonal/>
    </border>
    <border diagonalUp="false" diagonalDown="false">
      <left/>
      <right style="thin"/>
      <top style="double"/>
      <bottom style="thin"/>
      <diagonal/>
    </border>
    <border diagonalUp="false" diagonalDown="false">
      <left style="medium"/>
      <right/>
      <top/>
      <bottom style="medium"/>
      <diagonal/>
    </border>
    <border diagonalUp="false" diagonalDown="false">
      <left style="medium"/>
      <right style="medium"/>
      <top style="medium"/>
      <bottom style="medium"/>
      <diagonal/>
    </border>
    <border diagonalUp="false" diagonalDown="false">
      <left style="double"/>
      <right/>
      <top/>
      <bottom/>
      <diagonal/>
    </border>
    <border diagonalUp="false" diagonalDown="false">
      <left style="medium"/>
      <right/>
      <top style="medium"/>
      <bottom style="hair"/>
      <diagonal/>
    </border>
    <border diagonalUp="false" diagonalDown="false">
      <left/>
      <right style="double"/>
      <top style="medium"/>
      <bottom style="hair"/>
      <diagonal/>
    </border>
    <border diagonalUp="false" diagonalDown="false">
      <left style="double"/>
      <right style="thick"/>
      <top style="medium"/>
      <bottom style="hair"/>
      <diagonal/>
    </border>
    <border diagonalUp="false" diagonalDown="false">
      <left/>
      <right/>
      <top style="medium"/>
      <bottom style="hair"/>
      <diagonal/>
    </border>
    <border diagonalUp="false" diagonalDown="false">
      <left style="double"/>
      <right style="medium"/>
      <top style="medium"/>
      <bottom style="hair"/>
      <diagonal/>
    </border>
    <border diagonalUp="false" diagonalDown="false">
      <left/>
      <right style="medium"/>
      <top style="medium"/>
      <bottom style="hair"/>
      <diagonal/>
    </border>
    <border diagonalUp="false" diagonalDown="false">
      <left style="medium"/>
      <right/>
      <top style="hair"/>
      <bottom style="hair"/>
      <diagonal/>
    </border>
    <border diagonalUp="false" diagonalDown="false">
      <left/>
      <right style="double"/>
      <top style="hair"/>
      <bottom style="hair"/>
      <diagonal/>
    </border>
    <border diagonalUp="false" diagonalDown="false">
      <left style="double"/>
      <right style="thick"/>
      <top style="hair"/>
      <bottom style="hair"/>
      <diagonal/>
    </border>
    <border diagonalUp="false" diagonalDown="false">
      <left/>
      <right/>
      <top style="hair"/>
      <bottom style="hair"/>
      <diagonal/>
    </border>
    <border diagonalUp="false" diagonalDown="false">
      <left style="double"/>
      <right style="medium"/>
      <top style="hair"/>
      <bottom style="hair"/>
      <diagonal/>
    </border>
    <border diagonalUp="false" diagonalDown="false">
      <left/>
      <right style="medium"/>
      <top style="hair"/>
      <bottom style="hair"/>
      <diagonal/>
    </border>
    <border diagonalUp="false" diagonalDown="false">
      <left style="medium"/>
      <right/>
      <top style="hair"/>
      <bottom/>
      <diagonal/>
    </border>
    <border diagonalUp="false" diagonalDown="false">
      <left/>
      <right style="double"/>
      <top style="hair"/>
      <bottom/>
      <diagonal/>
    </border>
    <border diagonalUp="false" diagonalDown="false">
      <left style="medium"/>
      <right/>
      <top/>
      <bottom style="hair"/>
      <diagonal/>
    </border>
    <border diagonalUp="false" diagonalDown="false">
      <left/>
      <right style="double"/>
      <top/>
      <bottom style="hair"/>
      <diagonal/>
    </border>
    <border diagonalUp="false" diagonalDown="false">
      <left/>
      <right style="double"/>
      <top style="hair"/>
      <bottom style="medium"/>
      <diagonal/>
    </border>
    <border diagonalUp="false" diagonalDown="false">
      <left/>
      <right style="double"/>
      <top/>
      <bottom style="medium"/>
      <diagonal/>
    </border>
    <border diagonalUp="false" diagonalDown="false">
      <left style="double"/>
      <right style="thick"/>
      <top/>
      <bottom style="medium"/>
      <diagonal/>
    </border>
    <border diagonalUp="false" diagonalDown="false">
      <left style="double"/>
      <right style="medium"/>
      <top/>
      <bottom style="medium"/>
      <diagonal/>
    </border>
    <border diagonalUp="false" diagonalDown="false">
      <left/>
      <right/>
      <top style="thin"/>
      <bottom/>
      <diagonal/>
    </border>
    <border diagonalUp="false" diagonalDown="false">
      <left/>
      <right style="thick"/>
      <top/>
      <bottom/>
      <diagonal/>
    </border>
    <border diagonalUp="false" diagonalDown="false">
      <left style="thick"/>
      <right style="thick"/>
      <top style="thick"/>
      <bottom/>
      <diagonal/>
    </border>
    <border diagonalUp="false" diagonalDown="false">
      <left style="medium">
        <color rgb="FF808080"/>
      </left>
      <right/>
      <top style="medium">
        <color rgb="FF808080"/>
      </top>
      <bottom/>
      <diagonal/>
    </border>
    <border diagonalUp="false" diagonalDown="false">
      <left style="medium">
        <color rgb="FF808080"/>
      </left>
      <right style="medium">
        <color rgb="FF808080"/>
      </right>
      <top style="medium">
        <color rgb="FF808080"/>
      </top>
      <bottom/>
      <diagonal/>
    </border>
    <border diagonalUp="false" diagonalDown="false">
      <left/>
      <right style="thick"/>
      <top/>
      <bottom style="medium"/>
      <diagonal/>
    </border>
    <border diagonalUp="false" diagonalDown="false">
      <left style="medium">
        <color rgb="FF808080"/>
      </left>
      <right/>
      <top/>
      <bottom style="medium">
        <color rgb="FF808080"/>
      </bottom>
      <diagonal/>
    </border>
    <border diagonalUp="false" diagonalDown="false">
      <left style="medium">
        <color rgb="FF808080"/>
      </left>
      <right style="medium">
        <color rgb="FF808080"/>
      </right>
      <top/>
      <bottom style="medium">
        <color rgb="FF808080"/>
      </bottom>
      <diagonal/>
    </border>
    <border diagonalUp="false" diagonalDown="false">
      <left style="medium"/>
      <right/>
      <top style="thin"/>
      <bottom/>
      <diagonal/>
    </border>
    <border diagonalUp="false" diagonalDown="false">
      <left/>
      <right style="double"/>
      <top style="thin"/>
      <bottom/>
      <diagonal/>
    </border>
    <border diagonalUp="false" diagonalDown="false">
      <left/>
      <right style="hair"/>
      <top style="thin"/>
      <bottom/>
      <diagonal/>
    </border>
    <border diagonalUp="false" diagonalDown="false">
      <left/>
      <right style="thick"/>
      <top style="thin"/>
      <bottom/>
      <diagonal/>
    </border>
    <border diagonalUp="false" diagonalDown="false">
      <left/>
      <right style="medium"/>
      <top style="thin"/>
      <bottom/>
      <diagonal/>
    </border>
    <border diagonalUp="false" diagonalDown="false">
      <left style="thin"/>
      <right/>
      <top style="thin"/>
      <bottom/>
      <diagonal/>
    </border>
    <border diagonalUp="false" diagonalDown="false">
      <left style="hair"/>
      <right/>
      <top style="thin"/>
      <bottom/>
      <diagonal/>
    </border>
    <border diagonalUp="false" diagonalDown="false">
      <left style="medium">
        <color rgb="FF808080"/>
      </left>
      <right/>
      <top/>
      <bottom/>
      <diagonal/>
    </border>
    <border diagonalUp="false" diagonalDown="false">
      <left style="medium">
        <color rgb="FF808080"/>
      </left>
      <right style="medium">
        <color rgb="FF808080"/>
      </right>
      <top/>
      <bottom/>
      <diagonal/>
    </border>
    <border diagonalUp="false" diagonalDown="false">
      <left style="thick"/>
      <right/>
      <top/>
      <bottom/>
      <diagonal/>
    </border>
    <border diagonalUp="false" diagonalDown="false">
      <left/>
      <right style="double"/>
      <top/>
      <bottom/>
      <diagonal/>
    </border>
    <border diagonalUp="false" diagonalDown="false">
      <left/>
      <right style="hair"/>
      <top/>
      <bottom/>
      <diagonal/>
    </border>
    <border diagonalUp="false" diagonalDown="false">
      <left style="thin"/>
      <right/>
      <top/>
      <bottom/>
      <diagonal/>
    </border>
    <border diagonalUp="false" diagonalDown="false">
      <left style="hair"/>
      <right/>
      <top/>
      <bottom/>
      <diagonal/>
    </border>
    <border diagonalUp="false" diagonalDown="false">
      <left/>
      <right style="thick"/>
      <top/>
      <bottom style="double"/>
      <diagonal/>
    </border>
    <border diagonalUp="false" diagonalDown="false">
      <left/>
      <right style="double"/>
      <top/>
      <bottom style="double"/>
      <diagonal/>
    </border>
    <border diagonalUp="false" diagonalDown="false">
      <left/>
      <right style="hair"/>
      <top/>
      <bottom style="double"/>
      <diagonal/>
    </border>
    <border diagonalUp="false" diagonalDown="false">
      <left/>
      <right style="medium"/>
      <top/>
      <bottom style="double"/>
      <diagonal/>
    </border>
    <border diagonalUp="false" diagonalDown="false">
      <left style="thin"/>
      <right/>
      <top/>
      <bottom style="double"/>
      <diagonal/>
    </border>
    <border diagonalUp="false" diagonalDown="false">
      <left style="hair"/>
      <right/>
      <top/>
      <bottom style="double"/>
      <diagonal/>
    </border>
    <border diagonalUp="false" diagonalDown="false">
      <left/>
      <right style="medium">
        <color rgb="FF808080"/>
      </right>
      <top/>
      <bottom style="double"/>
      <diagonal/>
    </border>
    <border diagonalUp="false" diagonalDown="false">
      <left style="medium">
        <color rgb="FF808080"/>
      </left>
      <right/>
      <top/>
      <bottom style="double">
        <color rgb="FF808080"/>
      </bottom>
      <diagonal/>
    </border>
    <border diagonalUp="false" diagonalDown="false">
      <left style="medium">
        <color rgb="FF808080"/>
      </left>
      <right style="medium">
        <color rgb="FF808080"/>
      </right>
      <top/>
      <bottom style="double">
        <color rgb="FF808080"/>
      </bottom>
      <diagonal/>
    </border>
    <border diagonalUp="false" diagonalDown="false">
      <left/>
      <right style="hair"/>
      <top/>
      <bottom style="medium"/>
      <diagonal/>
    </border>
    <border diagonalUp="false" diagonalDown="false">
      <left style="hair"/>
      <right/>
      <top/>
      <bottom style="medium"/>
      <diagonal/>
    </border>
    <border diagonalUp="false" diagonalDown="false">
      <left/>
      <right/>
      <top/>
      <bottom style="hair"/>
      <diagonal/>
    </border>
    <border diagonalUp="false" diagonalDown="false">
      <left/>
      <right style="thick"/>
      <top/>
      <bottom style="hair"/>
      <diagonal/>
    </border>
    <border diagonalUp="false" diagonalDown="false">
      <left/>
      <right style="hair"/>
      <top/>
      <bottom style="hair"/>
      <diagonal/>
    </border>
    <border diagonalUp="false" diagonalDown="false">
      <left/>
      <right style="medium"/>
      <top/>
      <bottom style="hair"/>
      <diagonal/>
    </border>
    <border diagonalUp="false" diagonalDown="false">
      <left style="thin"/>
      <right/>
      <top/>
      <bottom style="hair"/>
      <diagonal/>
    </border>
    <border diagonalUp="false" diagonalDown="false">
      <left style="hair"/>
      <right/>
      <top/>
      <bottom style="hair"/>
      <diagonal/>
    </border>
    <border diagonalUp="false" diagonalDown="false">
      <left style="medium">
        <color rgb="FF808080"/>
      </left>
      <right/>
      <top/>
      <bottom style="hair">
        <color rgb="FF808080"/>
      </bottom>
      <diagonal/>
    </border>
    <border diagonalUp="false" diagonalDown="false">
      <left style="medium">
        <color rgb="FF808080"/>
      </left>
      <right style="medium">
        <color rgb="FF808080"/>
      </right>
      <top/>
      <bottom style="hair">
        <color rgb="FF808080"/>
      </bottom>
      <diagonal/>
    </border>
    <border diagonalUp="false" diagonalDown="false">
      <left style="thin"/>
      <right style="thin"/>
      <top style="thin"/>
      <bottom style="thin"/>
      <diagonal/>
    </border>
    <border diagonalUp="false" diagonalDown="false">
      <left/>
      <right/>
      <top/>
      <bottom style="dashed">
        <color rgb="FF808080"/>
      </bottom>
      <diagonal/>
    </border>
    <border diagonalUp="false" diagonalDown="false">
      <left/>
      <right style="hair"/>
      <top/>
      <bottom style="dashed">
        <color rgb="FF808080"/>
      </bottom>
      <diagonal/>
    </border>
    <border diagonalUp="false" diagonalDown="false">
      <left/>
      <right style="thick"/>
      <top/>
      <bottom style="dashed">
        <color rgb="FF808080"/>
      </bottom>
      <diagonal/>
    </border>
    <border diagonalUp="false" diagonalDown="false">
      <left/>
      <right style="double"/>
      <top/>
      <bottom style="dashed">
        <color rgb="FF808080"/>
      </bottom>
      <diagonal/>
    </border>
    <border diagonalUp="false" diagonalDown="false">
      <left/>
      <right style="medium"/>
      <top/>
      <bottom style="dashed">
        <color rgb="FF808080"/>
      </bottom>
      <diagonal/>
    </border>
    <border diagonalUp="false" diagonalDown="false">
      <left style="thin"/>
      <right/>
      <top/>
      <bottom style="dashed">
        <color rgb="FF808080"/>
      </bottom>
      <diagonal/>
    </border>
    <border diagonalUp="false" diagonalDown="false">
      <left style="hair"/>
      <right/>
      <top/>
      <bottom style="dashed">
        <color rgb="FF808080"/>
      </bottom>
      <diagonal/>
    </border>
    <border diagonalUp="false" diagonalDown="false">
      <left style="medium">
        <color rgb="FF808080"/>
      </left>
      <right/>
      <top/>
      <bottom style="dashed">
        <color rgb="FF808080"/>
      </bottom>
      <diagonal/>
    </border>
    <border diagonalUp="false" diagonalDown="false">
      <left style="medium">
        <color rgb="FF808080"/>
      </left>
      <right style="medium">
        <color rgb="FF808080"/>
      </right>
      <top/>
      <bottom style="dashed">
        <color rgb="FF808080"/>
      </bottom>
      <diagonal/>
    </border>
    <border diagonalUp="false" diagonalDown="false">
      <left/>
      <right style="thick"/>
      <top/>
      <bottom style="thin"/>
      <diagonal/>
    </border>
    <border diagonalUp="false" diagonalDown="false">
      <left style="medium"/>
      <right/>
      <top/>
      <bottom style="thin"/>
      <diagonal/>
    </border>
    <border diagonalUp="false" diagonalDown="false">
      <left/>
      <right style="double"/>
      <top/>
      <bottom style="thin"/>
      <diagonal/>
    </border>
    <border diagonalUp="false" diagonalDown="false">
      <left/>
      <right style="hair"/>
      <top/>
      <bottom style="thin"/>
      <diagonal/>
    </border>
    <border diagonalUp="false" diagonalDown="false">
      <left style="thin"/>
      <right/>
      <top/>
      <bottom style="thin"/>
      <diagonal/>
    </border>
    <border diagonalUp="false" diagonalDown="false">
      <left style="hair"/>
      <right/>
      <top/>
      <bottom style="thin"/>
      <diagonal/>
    </border>
    <border diagonalUp="false" diagonalDown="false">
      <left style="medium">
        <color rgb="FF808080"/>
      </left>
      <right/>
      <top/>
      <bottom style="thin">
        <color rgb="FF808080"/>
      </bottom>
      <diagonal/>
    </border>
    <border diagonalUp="false" diagonalDown="false">
      <left style="medium">
        <color rgb="FF808080"/>
      </left>
      <right style="medium">
        <color rgb="FF808080"/>
      </right>
      <top/>
      <bottom style="thin">
        <color rgb="FF808080"/>
      </bottom>
      <diagonal/>
    </border>
    <border diagonalUp="false" diagonalDown="false">
      <left style="medium">
        <color rgb="FF808080"/>
      </left>
      <right style="medium">
        <color rgb="FF808080"/>
      </right>
      <top style="medium"/>
      <bottom/>
      <diagonal/>
    </border>
    <border diagonalUp="false" diagonalDown="false">
      <left style="medium">
        <color rgb="FF808080"/>
      </left>
      <right style="medium">
        <color rgb="FF808080"/>
      </right>
      <top/>
      <bottom style="medium"/>
      <diagonal/>
    </border>
    <border diagonalUp="false" diagonalDown="false">
      <left style="hair"/>
      <right/>
      <top style="double"/>
      <bottom style="thick"/>
      <diagonal/>
    </border>
    <border diagonalUp="false" diagonalDown="false">
      <left/>
      <right style="thick"/>
      <top style="double"/>
      <bottom style="thick"/>
      <diagonal/>
    </border>
    <border diagonalUp="false" diagonalDown="false">
      <left style="medium"/>
      <right/>
      <top style="double"/>
      <bottom style="medium"/>
      <diagonal/>
    </border>
    <border diagonalUp="false" diagonalDown="false">
      <left style="thick"/>
      <right/>
      <top style="medium"/>
      <bottom/>
      <diagonal/>
    </border>
    <border diagonalUp="false" diagonalDown="false">
      <left/>
      <right style="double"/>
      <top style="medium"/>
      <bottom/>
      <diagonal/>
    </border>
    <border diagonalUp="false" diagonalDown="false">
      <left style="double"/>
      <right style="thick"/>
      <top style="medium"/>
      <bottom/>
      <diagonal/>
    </border>
    <border diagonalUp="false" diagonalDown="false">
      <left style="double"/>
      <right style="medium"/>
      <top style="medium"/>
      <bottom/>
      <diagonal/>
    </border>
    <border diagonalUp="false" diagonalDown="false">
      <left style="thick"/>
      <right/>
      <top/>
      <bottom style="medium"/>
      <diagonal/>
    </border>
    <border diagonalUp="false" diagonalDown="false">
      <left style="thick"/>
      <right/>
      <top style="medium"/>
      <bottom style="thin"/>
      <diagonal/>
    </border>
    <border diagonalUp="false" diagonalDown="false">
      <left/>
      <right style="double"/>
      <top style="medium"/>
      <bottom style="thin"/>
      <diagonal/>
    </border>
    <border diagonalUp="false" diagonalDown="false">
      <left style="double"/>
      <right style="thick"/>
      <top style="medium"/>
      <bottom style="thin"/>
      <diagonal/>
    </border>
    <border diagonalUp="false" diagonalDown="false">
      <left style="medium"/>
      <right/>
      <top style="medium"/>
      <bottom style="thin"/>
      <diagonal/>
    </border>
    <border diagonalUp="false" diagonalDown="false">
      <left style="double"/>
      <right style="medium"/>
      <top style="medium"/>
      <bottom style="thin"/>
      <diagonal/>
    </border>
    <border diagonalUp="false" diagonalDown="false">
      <left style="medium">
        <color rgb="FF808080"/>
      </left>
      <right/>
      <top/>
      <bottom style="thin"/>
      <diagonal/>
    </border>
    <border diagonalUp="false" diagonalDown="false">
      <left style="medium">
        <color rgb="FF808080"/>
      </left>
      <right style="medium">
        <color rgb="FF808080"/>
      </right>
      <top/>
      <bottom style="thin"/>
      <diagonal/>
    </border>
    <border diagonalUp="false" diagonalDown="false">
      <left style="double"/>
      <right style="thick"/>
      <top/>
      <bottom/>
      <diagonal/>
    </border>
    <border diagonalUp="false" diagonalDown="false">
      <left style="double"/>
      <right style="medium"/>
      <top/>
      <bottom/>
      <diagonal/>
    </border>
    <border diagonalUp="false" diagonalDown="false">
      <left style="medium">
        <color rgb="FF808080"/>
      </left>
      <right/>
      <top/>
      <bottom style="medium"/>
      <diagonal/>
    </border>
    <border diagonalUp="false" diagonalDown="false">
      <left style="thick"/>
      <right/>
      <top style="medium"/>
      <bottom style="double"/>
      <diagonal/>
    </border>
    <border diagonalUp="false" diagonalDown="false">
      <left/>
      <right style="double"/>
      <top style="medium"/>
      <bottom style="double"/>
      <diagonal/>
    </border>
    <border diagonalUp="false" diagonalDown="false">
      <left style="double"/>
      <right style="thick"/>
      <top style="medium"/>
      <bottom style="double"/>
      <diagonal/>
    </border>
    <border diagonalUp="false" diagonalDown="false">
      <left style="medium"/>
      <right/>
      <top style="medium"/>
      <bottom style="double"/>
      <diagonal/>
    </border>
    <border diagonalUp="false" diagonalDown="false">
      <left style="double"/>
      <right style="medium"/>
      <top style="medium"/>
      <bottom style="double"/>
      <diagonal/>
    </border>
    <border diagonalUp="false" diagonalDown="false">
      <left style="medium">
        <color rgb="FF808080"/>
      </left>
      <right/>
      <top style="medium"/>
      <bottom style="double"/>
      <diagonal/>
    </border>
    <border diagonalUp="false" diagonalDown="false">
      <left style="medium">
        <color rgb="FF808080"/>
      </left>
      <right style="medium">
        <color rgb="FF808080"/>
      </right>
      <top style="medium"/>
      <bottom style="double"/>
      <diagonal/>
    </border>
    <border diagonalUp="false" diagonalDown="false">
      <left style="thick"/>
      <right/>
      <top/>
      <bottom style="thick"/>
      <diagonal/>
    </border>
    <border diagonalUp="false" diagonalDown="false">
      <left/>
      <right style="double"/>
      <top/>
      <bottom style="thick"/>
      <diagonal/>
    </border>
    <border diagonalUp="false" diagonalDown="false">
      <left style="double"/>
      <right style="thick"/>
      <top/>
      <bottom style="thick"/>
      <diagonal/>
    </border>
    <border diagonalUp="false" diagonalDown="false">
      <left/>
      <right style="double"/>
      <top style="double"/>
      <bottom style="medium"/>
      <diagonal/>
    </border>
    <border diagonalUp="false" diagonalDown="false">
      <left style="double"/>
      <right style="medium"/>
      <top style="double"/>
      <bottom style="medium"/>
      <diagonal/>
    </border>
    <border diagonalUp="false" diagonalDown="false">
      <left style="medium"/>
      <right style="medium"/>
      <top style="medium"/>
      <bottom/>
      <diagonal/>
    </border>
    <border diagonalUp="false" diagonalDown="false">
      <left style="medium"/>
      <right style="medium"/>
      <top/>
      <bottom style="medium"/>
      <diagonal/>
    </border>
  </borders>
  <cellStyleXfs count="5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4"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72" fontId="0"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2"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428">
    <xf numFmtId="164" fontId="0" fillId="0" borderId="0" xfId="0" applyFont="false" applyBorder="false" applyAlignment="false" applyProtection="false">
      <alignment horizontal="general" vertical="bottom" textRotation="0" wrapText="false" indent="0" shrinkToFit="false"/>
      <protection locked="true" hidden="false"/>
    </xf>
    <xf numFmtId="164" fontId="7" fillId="0" borderId="0" xfId="24" applyFont="false" applyBorder="false" applyAlignment="false" applyProtection="false">
      <alignment horizontal="general" vertical="bottom" textRotation="0" wrapText="false" indent="0" shrinkToFit="false"/>
      <protection locked="true" hidden="false"/>
    </xf>
    <xf numFmtId="164" fontId="7" fillId="0" borderId="1" xfId="24" applyFont="false" applyBorder="true" applyAlignment="false" applyProtection="true">
      <alignment horizontal="general" vertical="bottom" textRotation="0" wrapText="false" indent="0" shrinkToFit="false"/>
      <protection locked="true" hidden="true"/>
    </xf>
    <xf numFmtId="164" fontId="7" fillId="0" borderId="2" xfId="24" applyFont="false" applyBorder="true" applyAlignment="false" applyProtection="true">
      <alignment horizontal="general" vertical="bottom" textRotation="0" wrapText="false" indent="0" shrinkToFit="false"/>
      <protection locked="true" hidden="true"/>
    </xf>
    <xf numFmtId="164" fontId="7" fillId="0" borderId="3" xfId="24" applyFont="false" applyBorder="true" applyAlignment="false" applyProtection="true">
      <alignment horizontal="general" vertical="bottom" textRotation="0" wrapText="false" indent="0" shrinkToFit="false"/>
      <protection locked="true" hidden="true"/>
    </xf>
    <xf numFmtId="164" fontId="8" fillId="0" borderId="2" xfId="24" applyFont="true" applyBorder="true" applyAlignment="true" applyProtection="true">
      <alignment horizontal="right" vertical="bottom" textRotation="0" wrapText="false" indent="0" shrinkToFit="false"/>
      <protection locked="true" hidden="true"/>
    </xf>
    <xf numFmtId="164" fontId="8" fillId="0" borderId="4" xfId="24" applyFont="true" applyBorder="true" applyAlignment="true" applyProtection="true">
      <alignment horizontal="right" vertical="bottom" textRotation="0" wrapText="false" indent="0" shrinkToFit="false"/>
      <protection locked="true" hidden="true"/>
    </xf>
    <xf numFmtId="164" fontId="7" fillId="0" borderId="4" xfId="24" applyFont="false" applyBorder="true" applyAlignment="false" applyProtection="true">
      <alignment horizontal="general" vertical="bottom" textRotation="0" wrapText="false" indent="0" shrinkToFit="false"/>
      <protection locked="true" hidden="true"/>
    </xf>
    <xf numFmtId="164" fontId="7" fillId="0" borderId="5" xfId="24" applyFont="false" applyBorder="true" applyAlignment="false" applyProtection="true">
      <alignment horizontal="general" vertical="bottom" textRotation="0" wrapText="false" indent="0" shrinkToFit="false"/>
      <protection locked="true" hidden="true"/>
    </xf>
    <xf numFmtId="164" fontId="7" fillId="0" borderId="0" xfId="24" applyFont="false" applyBorder="true" applyAlignment="false" applyProtection="true">
      <alignment horizontal="general" vertical="bottom" textRotation="0" wrapText="false" indent="0" shrinkToFit="false"/>
      <protection locked="true" hidden="true"/>
    </xf>
    <xf numFmtId="164" fontId="7" fillId="0" borderId="6" xfId="24" applyFont="false" applyBorder="true" applyAlignment="false" applyProtection="true">
      <alignment horizontal="general" vertical="bottom" textRotation="0" wrapText="false" indent="0" shrinkToFit="false"/>
      <protection locked="true" hidden="true"/>
    </xf>
    <xf numFmtId="164" fontId="7" fillId="0" borderId="7" xfId="24" applyFont="true" applyBorder="true" applyAlignment="true" applyProtection="true">
      <alignment horizontal="right" vertical="bottom" textRotation="0" wrapText="false" indent="0" shrinkToFit="false"/>
      <protection locked="true" hidden="true"/>
    </xf>
    <xf numFmtId="164" fontId="7" fillId="0" borderId="8" xfId="24" applyFont="false" applyBorder="true" applyAlignment="false" applyProtection="true">
      <alignment horizontal="general" vertical="bottom" textRotation="0" wrapText="false" indent="0" shrinkToFit="false"/>
      <protection locked="true" hidden="true"/>
    </xf>
    <xf numFmtId="164" fontId="8" fillId="0" borderId="9" xfId="24" applyFont="true" applyBorder="true" applyAlignment="true" applyProtection="true">
      <alignment horizontal="right" vertical="bottom" textRotation="0" wrapText="false" indent="0" shrinkToFit="false"/>
      <protection locked="true" hidden="true"/>
    </xf>
    <xf numFmtId="165" fontId="8" fillId="0" borderId="10" xfId="24" applyFont="true" applyBorder="true" applyAlignment="true" applyProtection="true">
      <alignment horizontal="center" vertical="bottom" textRotation="0" wrapText="false" indent="0" shrinkToFit="false"/>
      <protection locked="true" hidden="true"/>
    </xf>
    <xf numFmtId="164" fontId="7" fillId="0" borderId="11" xfId="24" applyFont="false" applyBorder="true" applyAlignment="false" applyProtection="true">
      <alignment horizontal="general" vertical="bottom" textRotation="0" wrapText="false" indent="0" shrinkToFit="false"/>
      <protection locked="true" hidden="true"/>
    </xf>
    <xf numFmtId="164" fontId="8" fillId="0" borderId="12" xfId="24" applyFont="true" applyBorder="true" applyAlignment="true" applyProtection="true">
      <alignment horizontal="right" vertical="bottom" textRotation="0" wrapText="false" indent="0" shrinkToFit="false"/>
      <protection locked="true" hidden="true"/>
    </xf>
    <xf numFmtId="166" fontId="8" fillId="0" borderId="13" xfId="24" applyFont="true" applyBorder="true" applyAlignment="false" applyProtection="true">
      <alignment horizontal="general" vertical="bottom" textRotation="0" wrapText="false" indent="0" shrinkToFit="false"/>
      <protection locked="true" hidden="true"/>
    </xf>
    <xf numFmtId="166" fontId="8" fillId="0" borderId="14" xfId="24" applyFont="true" applyBorder="true" applyAlignment="false" applyProtection="true">
      <alignment horizontal="general" vertical="bottom" textRotation="0" wrapText="false" indent="0" shrinkToFit="false"/>
      <protection locked="true" hidden="true"/>
    </xf>
    <xf numFmtId="167" fontId="9" fillId="0" borderId="5" xfId="24" applyFont="true" applyBorder="true" applyAlignment="true" applyProtection="true">
      <alignment horizontal="right" vertical="bottom" textRotation="0" wrapText="false" indent="0" shrinkToFit="false"/>
      <protection locked="true" hidden="true"/>
    </xf>
    <xf numFmtId="168" fontId="10" fillId="0" borderId="0" xfId="24" applyFont="true" applyBorder="true" applyAlignment="true" applyProtection="true">
      <alignment horizontal="left" vertical="bottom" textRotation="0" wrapText="false" indent="0" shrinkToFit="false"/>
      <protection locked="true" hidden="true"/>
    </xf>
    <xf numFmtId="164" fontId="8" fillId="0" borderId="15" xfId="24" applyFont="true" applyBorder="true" applyAlignment="true" applyProtection="true">
      <alignment horizontal="right" vertical="bottom" textRotation="0" wrapText="false" indent="0" shrinkToFit="false"/>
      <protection locked="true" hidden="true"/>
    </xf>
    <xf numFmtId="166" fontId="8" fillId="0" borderId="16" xfId="24" applyFont="true" applyBorder="true" applyAlignment="false" applyProtection="true">
      <alignment horizontal="general" vertical="bottom" textRotation="0" wrapText="false" indent="0" shrinkToFit="false"/>
      <protection locked="true" hidden="true"/>
    </xf>
    <xf numFmtId="167" fontId="10" fillId="0" borderId="0" xfId="24" applyFont="true" applyBorder="true" applyAlignment="true" applyProtection="true">
      <alignment horizontal="left" vertical="bottom" textRotation="0" wrapText="false" indent="0" shrinkToFit="false"/>
      <protection locked="true" hidden="true"/>
    </xf>
    <xf numFmtId="164" fontId="7" fillId="0" borderId="0" xfId="24" applyFont="false" applyBorder="false" applyAlignment="false" applyProtection="true">
      <alignment horizontal="general" vertical="bottom" textRotation="0" wrapText="false" indent="0" shrinkToFit="false"/>
      <protection locked="true" hidden="true"/>
    </xf>
    <xf numFmtId="164" fontId="9" fillId="0" borderId="5" xfId="24" applyFont="true" applyBorder="true" applyAlignment="true" applyProtection="true">
      <alignment horizontal="left" vertical="bottom" textRotation="0" wrapText="false" indent="0" shrinkToFit="false"/>
      <protection locked="true" hidden="true"/>
    </xf>
    <xf numFmtId="164" fontId="9" fillId="0" borderId="0" xfId="24" applyFont="true" applyBorder="true" applyAlignment="true" applyProtection="true">
      <alignment horizontal="left" vertical="bottom" textRotation="0" wrapText="false" indent="0" shrinkToFit="false"/>
      <protection locked="true" hidden="true"/>
    </xf>
    <xf numFmtId="164" fontId="9" fillId="0" borderId="5" xfId="24" applyFont="true" applyBorder="true" applyAlignment="false" applyProtection="true">
      <alignment horizontal="general" vertical="bottom" textRotation="0" wrapText="false" indent="0" shrinkToFit="false"/>
      <protection locked="true" hidden="true"/>
    </xf>
    <xf numFmtId="167" fontId="9" fillId="0" borderId="0" xfId="24" applyFont="true" applyBorder="true" applyAlignment="true" applyProtection="true">
      <alignment horizontal="center" vertical="bottom" textRotation="0" wrapText="false" indent="0" shrinkToFit="false"/>
      <protection locked="true" hidden="true"/>
    </xf>
    <xf numFmtId="169" fontId="11" fillId="0" borderId="17" xfId="23" applyFont="true" applyBorder="true" applyAlignment="true" applyProtection="true">
      <alignment horizontal="left" vertical="bottom" textRotation="0" wrapText="false" indent="0" shrinkToFit="false"/>
      <protection locked="true" hidden="true"/>
    </xf>
    <xf numFmtId="164" fontId="7" fillId="0" borderId="18" xfId="24" applyFont="false" applyBorder="true" applyAlignment="false" applyProtection="true">
      <alignment horizontal="general" vertical="bottom" textRotation="0" wrapText="false" indent="0" shrinkToFit="false"/>
      <protection locked="true" hidden="true"/>
    </xf>
    <xf numFmtId="169" fontId="11" fillId="0" borderId="19" xfId="23" applyFont="true" applyBorder="true" applyAlignment="true" applyProtection="true">
      <alignment horizontal="right" vertical="bottom" textRotation="0" wrapText="false" indent="0" shrinkToFit="false"/>
      <protection locked="true" hidden="true"/>
    </xf>
    <xf numFmtId="169" fontId="12" fillId="0" borderId="0" xfId="23" applyFont="true" applyBorder="true" applyAlignment="true" applyProtection="true">
      <alignment horizontal="right" vertical="bottom" textRotation="0" wrapText="false" indent="0" shrinkToFit="false"/>
      <protection locked="true" hidden="true"/>
    </xf>
    <xf numFmtId="164" fontId="10" fillId="0" borderId="5" xfId="24" applyFont="true" applyBorder="true" applyAlignment="true" applyProtection="true">
      <alignment horizontal="center" vertical="bottom" textRotation="0" wrapText="false" indent="0" shrinkToFit="false"/>
      <protection locked="true" hidden="true"/>
    </xf>
    <xf numFmtId="164" fontId="7" fillId="0" borderId="0" xfId="24" applyFont="true" applyBorder="true" applyAlignment="false" applyProtection="true">
      <alignment horizontal="general" vertical="bottom" textRotation="0" wrapText="false" indent="0" shrinkToFit="false"/>
      <protection locked="true" hidden="true"/>
    </xf>
    <xf numFmtId="164" fontId="13" fillId="0" borderId="0" xfId="24" applyFont="true" applyBorder="true" applyAlignment="true" applyProtection="true">
      <alignment horizontal="right" vertical="bottom" textRotation="0" wrapText="false" indent="0" shrinkToFit="false"/>
      <protection locked="true" hidden="true"/>
    </xf>
    <xf numFmtId="168" fontId="14" fillId="0" borderId="0" xfId="24" applyFont="true" applyBorder="true" applyAlignment="false" applyProtection="true">
      <alignment horizontal="general" vertical="bottom" textRotation="0" wrapText="false" indent="0" shrinkToFit="false"/>
      <protection locked="true" hidden="true"/>
    </xf>
    <xf numFmtId="164" fontId="13" fillId="0" borderId="0" xfId="24" applyFont="true" applyBorder="true" applyAlignment="true" applyProtection="true">
      <alignment horizontal="center" vertical="bottom" textRotation="0" wrapText="false" indent="0" shrinkToFit="false"/>
      <protection locked="true" hidden="true"/>
    </xf>
    <xf numFmtId="168" fontId="14" fillId="0" borderId="11" xfId="24" applyFont="true" applyBorder="true" applyAlignment="true" applyProtection="true">
      <alignment horizontal="left" vertical="bottom" textRotation="0" wrapText="false" indent="0" shrinkToFit="false"/>
      <protection locked="true" hidden="true"/>
    </xf>
    <xf numFmtId="164" fontId="10" fillId="0" borderId="0" xfId="0" applyFont="true" applyBorder="true" applyAlignment="false" applyProtection="true">
      <alignment horizontal="general" vertical="bottom" textRotation="0" wrapText="false" indent="0" shrinkToFit="false"/>
      <protection locked="true" hidden="true"/>
    </xf>
    <xf numFmtId="164" fontId="10" fillId="0" borderId="20" xfId="0" applyFont="true" applyBorder="true" applyAlignment="false" applyProtection="true">
      <alignment horizontal="general" vertical="bottom" textRotation="0" wrapText="false" indent="0" shrinkToFit="false"/>
      <protection locked="true" hidden="true"/>
    </xf>
    <xf numFmtId="164" fontId="10" fillId="0" borderId="21" xfId="0" applyFont="true" applyBorder="true" applyAlignment="false" applyProtection="true">
      <alignment horizontal="general" vertical="bottom" textRotation="0" wrapText="false" indent="0" shrinkToFit="false"/>
      <protection locked="true" hidden="true"/>
    </xf>
    <xf numFmtId="164" fontId="10" fillId="0" borderId="11" xfId="0" applyFont="true" applyBorder="true" applyAlignment="true" applyProtection="true">
      <alignment horizontal="right" vertical="bottom" textRotation="0" wrapText="false" indent="0" shrinkToFit="false"/>
      <protection locked="true" hidden="true"/>
    </xf>
    <xf numFmtId="170" fontId="10" fillId="0" borderId="0" xfId="0" applyFont="true" applyBorder="true" applyAlignment="false" applyProtection="true">
      <alignment horizontal="general" vertical="bottom" textRotation="0" wrapText="false" indent="0" shrinkToFit="false"/>
      <protection locked="true" hidden="true"/>
    </xf>
    <xf numFmtId="170" fontId="10" fillId="0" borderId="22" xfId="0" applyFont="true" applyBorder="true" applyAlignment="false" applyProtection="true">
      <alignment horizontal="general" vertical="bottom" textRotation="0" wrapText="false" indent="0" shrinkToFit="false"/>
      <protection locked="true" hidden="true"/>
    </xf>
    <xf numFmtId="170" fontId="10" fillId="0" borderId="23" xfId="0" applyFont="true" applyBorder="true" applyAlignment="false" applyProtection="true">
      <alignment horizontal="general" vertical="bottom" textRotation="0" wrapText="false" indent="0" shrinkToFit="false"/>
      <protection locked="true" hidden="true"/>
    </xf>
    <xf numFmtId="170" fontId="10" fillId="0" borderId="11" xfId="0" applyFont="true" applyBorder="true" applyAlignment="false" applyProtection="true">
      <alignment horizontal="general" vertical="bottom" textRotation="0" wrapText="false" indent="0" shrinkToFit="false"/>
      <protection locked="true" hidden="true"/>
    </xf>
    <xf numFmtId="170" fontId="10" fillId="0" borderId="24" xfId="0" applyFont="true" applyBorder="true" applyAlignment="false" applyProtection="true">
      <alignment horizontal="general" vertical="bottom" textRotation="0" wrapText="false" indent="0" shrinkToFit="false"/>
      <protection locked="true" hidden="true"/>
    </xf>
    <xf numFmtId="170" fontId="10" fillId="0" borderId="25" xfId="0" applyFont="true" applyBorder="true" applyAlignment="false" applyProtection="true">
      <alignment horizontal="general" vertical="bottom" textRotation="0" wrapText="false" indent="0" shrinkToFit="false"/>
      <protection locked="true" hidden="true"/>
    </xf>
    <xf numFmtId="170" fontId="10" fillId="0" borderId="26" xfId="0" applyFont="true" applyBorder="true" applyAlignment="false" applyProtection="true">
      <alignment horizontal="general" vertical="bottom" textRotation="0" wrapText="false" indent="0" shrinkToFit="false"/>
      <protection locked="true" hidden="true"/>
    </xf>
    <xf numFmtId="164" fontId="10" fillId="0" borderId="0" xfId="0" applyFont="true" applyBorder="true" applyAlignment="true" applyProtection="true">
      <alignment horizontal="right" vertical="bottom" textRotation="0" wrapText="false" indent="0" shrinkToFit="false"/>
      <protection locked="true" hidden="true"/>
    </xf>
    <xf numFmtId="170" fontId="10" fillId="0" borderId="0" xfId="0" applyFont="true" applyBorder="false" applyAlignment="false" applyProtection="true">
      <alignment horizontal="general" vertical="bottom" textRotation="0" wrapText="false" indent="0" shrinkToFit="false"/>
      <protection locked="true" hidden="true"/>
    </xf>
    <xf numFmtId="170" fontId="10" fillId="0" borderId="27" xfId="0" applyFont="true" applyBorder="true" applyAlignment="false" applyProtection="true">
      <alignment horizontal="general" vertical="bottom" textRotation="0" wrapText="false" indent="0" shrinkToFit="false"/>
      <protection locked="true" hidden="true"/>
    </xf>
    <xf numFmtId="170" fontId="15" fillId="0" borderId="0" xfId="23" applyFont="true" applyBorder="true" applyAlignment="true" applyProtection="true">
      <alignment horizontal="right" vertical="bottom" textRotation="0" wrapText="false" indent="0" shrinkToFit="false"/>
      <protection locked="true" hidden="true"/>
    </xf>
    <xf numFmtId="170" fontId="10" fillId="0" borderId="20" xfId="0" applyFont="true" applyBorder="true" applyAlignment="false" applyProtection="true">
      <alignment horizontal="general" vertical="bottom" textRotation="0" wrapText="false" indent="0" shrinkToFit="false"/>
      <protection locked="true" hidden="true"/>
    </xf>
    <xf numFmtId="170" fontId="15" fillId="0" borderId="26" xfId="23" applyFont="true" applyBorder="true" applyAlignment="true" applyProtection="true">
      <alignment horizontal="left" vertical="bottom" textRotation="0" wrapText="false" indent="0" shrinkToFit="false"/>
      <protection locked="true" hidden="true"/>
    </xf>
    <xf numFmtId="171" fontId="10" fillId="0" borderId="0" xfId="23" applyFont="true" applyBorder="true" applyAlignment="true" applyProtection="true">
      <alignment horizontal="right" vertical="bottom" textRotation="0" wrapText="false" indent="0" shrinkToFit="false"/>
      <protection locked="true" hidden="true"/>
    </xf>
    <xf numFmtId="170" fontId="10" fillId="0" borderId="28" xfId="0" applyFont="true" applyBorder="true" applyAlignment="false" applyProtection="true">
      <alignment horizontal="general" vertical="bottom" textRotation="0" wrapText="false" indent="0" shrinkToFit="false"/>
      <protection locked="true" hidden="true"/>
    </xf>
    <xf numFmtId="173" fontId="10" fillId="0" borderId="29" xfId="19" applyFont="true" applyBorder="true" applyAlignment="true" applyProtection="true">
      <alignment horizontal="general" vertical="bottom" textRotation="0" wrapText="false" indent="0" shrinkToFit="false"/>
      <protection locked="true" hidden="true"/>
    </xf>
    <xf numFmtId="164" fontId="10" fillId="0" borderId="0" xfId="0" applyFont="true" applyBorder="false" applyAlignment="false" applyProtection="true">
      <alignment horizontal="general" vertical="bottom" textRotation="0" wrapText="false" indent="0" shrinkToFit="false"/>
      <protection locked="true" hidden="true"/>
    </xf>
    <xf numFmtId="164" fontId="7" fillId="0" borderId="30" xfId="24" applyFont="false" applyBorder="true" applyAlignment="false" applyProtection="true">
      <alignment horizontal="general" vertical="bottom" textRotation="0" wrapText="false" indent="0" shrinkToFit="false"/>
      <protection locked="true" hidden="true"/>
    </xf>
    <xf numFmtId="164" fontId="7" fillId="0" borderId="9" xfId="24" applyFont="false" applyBorder="true" applyAlignment="false" applyProtection="true">
      <alignment horizontal="general" vertical="bottom" textRotation="0" wrapText="false" indent="0" shrinkToFit="false"/>
      <protection locked="true" hidden="true"/>
    </xf>
    <xf numFmtId="164" fontId="9" fillId="0" borderId="9" xfId="24" applyFont="true" applyBorder="true" applyAlignment="true" applyProtection="true">
      <alignment horizontal="right" vertical="bottom" textRotation="0" wrapText="false" indent="0" shrinkToFit="false"/>
      <protection locked="true" hidden="true"/>
    </xf>
    <xf numFmtId="164" fontId="10" fillId="0" borderId="10" xfId="0" applyFont="true" applyBorder="true" applyAlignment="true" applyProtection="true">
      <alignment horizontal="right" vertical="bottom" textRotation="0" wrapText="false" indent="0" shrinkToFit="false"/>
      <protection locked="true" hidden="true"/>
    </xf>
    <xf numFmtId="175" fontId="10" fillId="0" borderId="31" xfId="15" applyFont="true" applyBorder="true" applyAlignment="true" applyProtection="true">
      <alignment horizontal="general" vertical="bottom" textRotation="0" wrapText="false" indent="0" shrinkToFit="false"/>
      <protection locked="true" hidden="true"/>
    </xf>
    <xf numFmtId="170" fontId="10" fillId="0" borderId="9" xfId="0" applyFont="true" applyBorder="true" applyAlignment="false" applyProtection="true">
      <alignment horizontal="general" vertical="bottom" textRotation="0" wrapText="false" indent="0" shrinkToFit="false"/>
      <protection locked="true" hidden="true"/>
    </xf>
    <xf numFmtId="170" fontId="10" fillId="0" borderId="10" xfId="0" applyFont="true" applyBorder="true" applyAlignment="false" applyProtection="true">
      <alignment horizontal="general" vertical="bottom" textRotation="0" wrapText="false" indent="0" shrinkToFit="false"/>
      <protection locked="true" hidden="true"/>
    </xf>
    <xf numFmtId="176" fontId="8" fillId="0" borderId="0" xfId="24" applyFont="true" applyBorder="false" applyAlignment="false" applyProtection="false">
      <alignment horizontal="general" vertical="bottom" textRotation="0" wrapText="false" indent="0" shrinkToFit="false"/>
      <protection locked="true" hidden="false"/>
    </xf>
    <xf numFmtId="166" fontId="8" fillId="0" borderId="0" xfId="24" applyFont="true" applyBorder="false" applyAlignment="false" applyProtection="false">
      <alignment horizontal="general" vertical="bottom" textRotation="0" wrapText="false" indent="0" shrinkToFit="false"/>
      <protection locked="true" hidden="false"/>
    </xf>
    <xf numFmtId="164" fontId="16" fillId="0" borderId="0" xfId="24" applyFont="true" applyBorder="false" applyAlignment="false" applyProtection="false">
      <alignment horizontal="general" vertical="bottom" textRotation="0" wrapText="false" indent="0" shrinkToFit="false"/>
      <protection locked="true" hidden="false"/>
    </xf>
    <xf numFmtId="166" fontId="16" fillId="0" borderId="0" xfId="24" applyFont="true" applyBorder="false" applyAlignment="false" applyProtection="false">
      <alignment horizontal="general" vertical="bottom" textRotation="0" wrapText="false" indent="0" shrinkToFit="false"/>
      <protection locked="true" hidden="false"/>
    </xf>
    <xf numFmtId="164" fontId="7" fillId="0" borderId="0" xfId="24" applyFont="true" applyBorder="true" applyAlignment="false" applyProtection="false">
      <alignment horizontal="general" vertical="bottom" textRotation="0" wrapText="false" indent="0" shrinkToFit="false"/>
      <protection locked="true" hidden="false"/>
    </xf>
    <xf numFmtId="177" fontId="7" fillId="0" borderId="0" xfId="24" applyFont="true" applyBorder="true" applyAlignment="false" applyProtection="false">
      <alignment horizontal="general" vertical="bottom" textRotation="0" wrapText="false" indent="0" shrinkToFit="false"/>
      <protection locked="true" hidden="false"/>
    </xf>
    <xf numFmtId="164" fontId="7" fillId="0" borderId="0" xfId="24" applyFont="false" applyBorder="true" applyAlignment="false" applyProtection="false">
      <alignment horizontal="general" vertical="bottom" textRotation="0" wrapText="false" indent="0" shrinkToFit="false"/>
      <protection locked="true" hidden="false"/>
    </xf>
    <xf numFmtId="178" fontId="16" fillId="0" borderId="0" xfId="15" applyFont="true" applyBorder="true" applyAlignment="true" applyProtection="true">
      <alignment horizontal="general" vertical="bottom" textRotation="0" wrapText="false" indent="0" shrinkToFit="false"/>
      <protection locked="true" hidden="false"/>
    </xf>
    <xf numFmtId="164" fontId="8" fillId="0" borderId="0" xfId="24" applyFont="true" applyBorder="false" applyAlignment="false" applyProtection="false">
      <alignment horizontal="general" vertical="bottom" textRotation="0" wrapText="false" indent="0" shrinkToFit="false"/>
      <protection locked="true" hidden="false"/>
    </xf>
    <xf numFmtId="170" fontId="8" fillId="0" borderId="0" xfId="24" applyFont="true" applyBorder="false" applyAlignment="false" applyProtection="false">
      <alignment horizontal="general" vertical="bottom" textRotation="0" wrapText="false" indent="0" shrinkToFit="false"/>
      <protection locked="true" hidden="false"/>
    </xf>
    <xf numFmtId="164" fontId="7" fillId="0" borderId="0" xfId="24" applyFont="true" applyBorder="false" applyAlignment="false" applyProtection="false">
      <alignment horizontal="general" vertical="bottom" textRotation="0" wrapText="false" indent="0" shrinkToFit="false"/>
      <protection locked="true" hidden="false"/>
    </xf>
    <xf numFmtId="171" fontId="19" fillId="0" borderId="0" xfId="23" applyFont="true" applyBorder="true" applyAlignment="true" applyProtection="true">
      <alignment horizontal="left" vertical="bottom" textRotation="0" wrapText="false" indent="0" shrinkToFit="false"/>
      <protection locked="true" hidden="true"/>
    </xf>
    <xf numFmtId="170" fontId="19" fillId="0" borderId="0" xfId="23" applyFont="true" applyBorder="true" applyAlignment="false" applyProtection="true">
      <alignment horizontal="general" vertical="bottom" textRotation="0" wrapText="false" indent="0" shrinkToFit="false"/>
      <protection locked="true" hidden="true"/>
    </xf>
    <xf numFmtId="170" fontId="19" fillId="0" borderId="32" xfId="23" applyFont="true" applyBorder="true" applyAlignment="true" applyProtection="true">
      <alignment horizontal="left" vertical="bottom" textRotation="0" wrapText="false" indent="0" shrinkToFit="false"/>
      <protection locked="true" hidden="true"/>
    </xf>
    <xf numFmtId="168" fontId="9" fillId="0" borderId="0" xfId="24" applyFont="true" applyBorder="true" applyAlignment="true" applyProtection="true">
      <alignment horizontal="left" vertical="bottom" textRotation="0" wrapText="false" indent="0" shrinkToFit="false"/>
      <protection locked="true" hidden="true"/>
    </xf>
    <xf numFmtId="167" fontId="9" fillId="0" borderId="0" xfId="24" applyFont="true" applyBorder="true" applyAlignment="true" applyProtection="true">
      <alignment horizontal="left" vertical="bottom" textRotation="0" wrapText="false" indent="0" shrinkToFit="false"/>
      <protection locked="true" hidden="true"/>
    </xf>
    <xf numFmtId="170" fontId="7" fillId="0" borderId="0" xfId="24" applyFont="false" applyBorder="false" applyAlignment="false" applyProtection="true">
      <alignment horizontal="general" vertical="bottom" textRotation="0" wrapText="false" indent="0" shrinkToFit="false"/>
      <protection locked="true" hidden="true"/>
    </xf>
    <xf numFmtId="164" fontId="30" fillId="0" borderId="1" xfId="0" applyFont="true" applyBorder="true" applyAlignment="true" applyProtection="true">
      <alignment horizontal="left" vertical="bottom" textRotation="0" wrapText="false" indent="0" shrinkToFit="false"/>
      <protection locked="true" hidden="true"/>
    </xf>
    <xf numFmtId="164" fontId="30" fillId="0" borderId="2" xfId="0" applyFont="true" applyBorder="true" applyAlignment="true" applyProtection="true">
      <alignment horizontal="center" vertical="bottom" textRotation="0" wrapText="false" indent="0" shrinkToFit="false"/>
      <protection locked="true" hidden="true"/>
    </xf>
    <xf numFmtId="164" fontId="30" fillId="0" borderId="4" xfId="0" applyFont="true" applyBorder="true" applyAlignment="true" applyProtection="true">
      <alignment horizontal="center" vertical="bottom" textRotation="0" wrapText="false" indent="0" shrinkToFit="false"/>
      <protection locked="true" hidden="true"/>
    </xf>
    <xf numFmtId="168" fontId="9" fillId="0" borderId="0" xfId="24" applyFont="true" applyBorder="true" applyAlignment="true" applyProtection="true">
      <alignment horizontal="center" vertical="bottom"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4" fontId="0" fillId="0" borderId="11" xfId="0" applyFont="false" applyBorder="true" applyAlignment="false" applyProtection="true">
      <alignment horizontal="general" vertical="bottom" textRotation="0" wrapText="false" indent="0" shrinkToFit="false"/>
      <protection locked="true" hidden="true"/>
    </xf>
    <xf numFmtId="164" fontId="0" fillId="0" borderId="5" xfId="0" applyFont="false" applyBorder="true" applyAlignment="false" applyProtection="true">
      <alignment horizontal="general" vertical="bottom" textRotation="0" wrapText="false" indent="0" shrinkToFit="false"/>
      <protection locked="true" hidden="true"/>
    </xf>
    <xf numFmtId="164" fontId="9" fillId="0" borderId="0" xfId="0" applyFont="true" applyBorder="true" applyAlignment="true" applyProtection="true">
      <alignment horizontal="center" vertical="bottom" textRotation="0" wrapText="true" indent="0" shrinkToFit="false"/>
      <protection locked="true" hidden="true"/>
    </xf>
    <xf numFmtId="170" fontId="0" fillId="0" borderId="33" xfId="0" applyFont="false" applyBorder="true" applyAlignment="false" applyProtection="true">
      <alignment horizontal="general" vertical="bottom" textRotation="0" wrapText="false" indent="0" shrinkToFit="false"/>
      <protection locked="true" hidden="true"/>
    </xf>
    <xf numFmtId="170" fontId="0" fillId="0" borderId="34" xfId="0" applyFont="false" applyBorder="true" applyAlignment="false" applyProtection="true">
      <alignment horizontal="general" vertical="bottom" textRotation="0" wrapText="false" indent="0" shrinkToFit="false"/>
      <protection locked="true" hidden="true"/>
    </xf>
    <xf numFmtId="170" fontId="0" fillId="0" borderId="35" xfId="0" applyFont="false" applyBorder="true" applyAlignment="false" applyProtection="true">
      <alignment horizontal="general" vertical="bottom" textRotation="0" wrapText="false" indent="0" shrinkToFit="false"/>
      <protection locked="true" hidden="true"/>
    </xf>
    <xf numFmtId="170" fontId="0" fillId="0" borderId="36" xfId="0" applyFont="false" applyBorder="true" applyAlignment="false" applyProtection="true">
      <alignment horizontal="general" vertical="bottom" textRotation="0" wrapText="false" indent="0" shrinkToFit="false"/>
      <protection locked="true" hidden="true"/>
    </xf>
    <xf numFmtId="170" fontId="0" fillId="0" borderId="37" xfId="0" applyFont="false" applyBorder="true" applyAlignment="false" applyProtection="true">
      <alignment horizontal="general" vertical="bottom" textRotation="0" wrapText="false" indent="0" shrinkToFit="false"/>
      <protection locked="true" hidden="true"/>
    </xf>
    <xf numFmtId="170" fontId="0" fillId="0" borderId="38" xfId="0" applyFont="false" applyBorder="true" applyAlignment="false" applyProtection="true">
      <alignment horizontal="general" vertical="bottom" textRotation="0" wrapText="false" indent="0" shrinkToFit="false"/>
      <protection locked="true" hidden="true"/>
    </xf>
    <xf numFmtId="170" fontId="0" fillId="0" borderId="39" xfId="0" applyFont="false" applyBorder="true" applyAlignment="false" applyProtection="true">
      <alignment horizontal="general" vertical="bottom" textRotation="0" wrapText="false" indent="0" shrinkToFit="false"/>
      <protection locked="true" hidden="true"/>
    </xf>
    <xf numFmtId="170" fontId="0" fillId="0" borderId="40" xfId="0" applyFont="false" applyBorder="true" applyAlignment="false" applyProtection="true">
      <alignment horizontal="general" vertical="bottom" textRotation="0" wrapText="false" indent="0" shrinkToFit="false"/>
      <protection locked="true" hidden="true"/>
    </xf>
    <xf numFmtId="170" fontId="0" fillId="0" borderId="41" xfId="0" applyFont="false" applyBorder="true" applyAlignment="false" applyProtection="true">
      <alignment horizontal="general" vertical="bottom" textRotation="0" wrapText="false" indent="0" shrinkToFit="false"/>
      <protection locked="true" hidden="true"/>
    </xf>
    <xf numFmtId="170" fontId="0" fillId="0" borderId="42" xfId="0" applyFont="false" applyBorder="true" applyAlignment="false" applyProtection="true">
      <alignment horizontal="general" vertical="bottom" textRotation="0" wrapText="false" indent="0" shrinkToFit="false"/>
      <protection locked="true" hidden="true"/>
    </xf>
    <xf numFmtId="170" fontId="0" fillId="0" borderId="43" xfId="0" applyFont="false" applyBorder="true" applyAlignment="false" applyProtection="true">
      <alignment horizontal="general" vertical="bottom" textRotation="0" wrapText="false" indent="0" shrinkToFit="false"/>
      <protection locked="true" hidden="true"/>
    </xf>
    <xf numFmtId="170" fontId="0" fillId="0" borderId="44" xfId="0" applyFont="false" applyBorder="true" applyAlignment="false" applyProtection="true">
      <alignment horizontal="general" vertical="bottom" textRotation="0" wrapText="false" indent="0" shrinkToFit="false"/>
      <protection locked="true" hidden="true"/>
    </xf>
    <xf numFmtId="170" fontId="0" fillId="0" borderId="45" xfId="0" applyFont="false" applyBorder="true" applyAlignment="false" applyProtection="true">
      <alignment horizontal="general" vertical="bottom" textRotation="0" wrapText="false" indent="0" shrinkToFit="false"/>
      <protection locked="true" hidden="true"/>
    </xf>
    <xf numFmtId="170" fontId="0" fillId="0" borderId="46" xfId="0" applyFont="false" applyBorder="true" applyAlignment="false" applyProtection="true">
      <alignment horizontal="general" vertical="bottom" textRotation="0" wrapText="false" indent="0" shrinkToFit="false"/>
      <protection locked="true" hidden="true"/>
    </xf>
    <xf numFmtId="170" fontId="0" fillId="0" borderId="47" xfId="0" applyFont="false" applyBorder="true" applyAlignment="false" applyProtection="true">
      <alignment horizontal="general" vertical="bottom" textRotation="0" wrapText="false" indent="0" shrinkToFit="false"/>
      <protection locked="true" hidden="true"/>
    </xf>
    <xf numFmtId="170" fontId="0" fillId="0" borderId="48" xfId="0" applyFont="false" applyBorder="true" applyAlignment="false" applyProtection="true">
      <alignment horizontal="general" vertical="bottom" textRotation="0" wrapText="false" indent="0" shrinkToFit="false"/>
      <protection locked="true" hidden="true"/>
    </xf>
    <xf numFmtId="170" fontId="0" fillId="0" borderId="30" xfId="0" applyFont="false" applyBorder="true" applyAlignment="false" applyProtection="true">
      <alignment horizontal="general" vertical="bottom" textRotation="0" wrapText="false" indent="0" shrinkToFit="false"/>
      <protection locked="true" hidden="true"/>
    </xf>
    <xf numFmtId="170" fontId="0" fillId="0" borderId="49" xfId="0" applyFont="false" applyBorder="true" applyAlignment="false" applyProtection="true">
      <alignment horizontal="general" vertical="bottom" textRotation="0" wrapText="false" indent="0" shrinkToFit="false"/>
      <protection locked="true" hidden="true"/>
    </xf>
    <xf numFmtId="170" fontId="0" fillId="0" borderId="50" xfId="0" applyFont="false" applyBorder="true" applyAlignment="false" applyProtection="true">
      <alignment horizontal="general" vertical="bottom" textRotation="0" wrapText="false" indent="0" shrinkToFit="false"/>
      <protection locked="true" hidden="true"/>
    </xf>
    <xf numFmtId="170" fontId="0" fillId="0" borderId="51" xfId="0" applyFont="false" applyBorder="true" applyAlignment="false" applyProtection="true">
      <alignment horizontal="general" vertical="bottom" textRotation="0" wrapText="false" indent="0" shrinkToFit="false"/>
      <protection locked="true" hidden="true"/>
    </xf>
    <xf numFmtId="170" fontId="0" fillId="0" borderId="9" xfId="0" applyFont="false" applyBorder="true" applyAlignment="false" applyProtection="true">
      <alignment horizontal="general" vertical="bottom" textRotation="0" wrapText="false" indent="0" shrinkToFit="false"/>
      <protection locked="true" hidden="true"/>
    </xf>
    <xf numFmtId="170" fontId="0" fillId="0" borderId="52" xfId="0" applyFont="false" applyBorder="true" applyAlignment="false" applyProtection="true">
      <alignment horizontal="general" vertical="bottom" textRotation="0" wrapText="false" indent="0" shrinkToFit="false"/>
      <protection locked="true" hidden="true"/>
    </xf>
    <xf numFmtId="170" fontId="0" fillId="0" borderId="10" xfId="0" applyFont="false" applyBorder="true" applyAlignment="false" applyProtection="true">
      <alignment horizontal="general" vertical="bottom" textRotation="0" wrapText="false" indent="0" shrinkToFit="false"/>
      <protection locked="true" hidden="true"/>
    </xf>
    <xf numFmtId="164" fontId="0" fillId="0" borderId="30" xfId="0" applyFont="true" applyBorder="true" applyAlignment="true" applyProtection="true">
      <alignment horizontal="right" vertical="bottom" textRotation="0" wrapText="false" indent="0" shrinkToFit="false"/>
      <protection locked="true" hidden="true"/>
    </xf>
    <xf numFmtId="164" fontId="0" fillId="0" borderId="10" xfId="0" applyFont="false" applyBorder="true" applyAlignment="false" applyProtection="true">
      <alignment horizontal="general" vertical="bottom" textRotation="0" wrapText="false" indent="0" shrinkToFit="false"/>
      <protection locked="true" hidden="tru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true">
      <alignment horizontal="general" vertical="bottom" textRotation="0" wrapText="false" indent="0" shrinkToFit="false"/>
      <protection locked="true" hidden="true"/>
    </xf>
    <xf numFmtId="164" fontId="0" fillId="0" borderId="0" xfId="0" applyFont="false" applyBorder="true" applyAlignment="true" applyProtection="true">
      <alignment horizontal="left" vertical="bottom" textRotation="0" wrapText="false" indent="0" shrinkToFit="false"/>
      <protection locked="true" hidden="true"/>
    </xf>
    <xf numFmtId="166" fontId="0" fillId="0" borderId="0" xfId="0" applyFont="false" applyBorder="true" applyAlignment="false" applyProtection="true">
      <alignment horizontal="general" vertical="bottom" textRotation="0" wrapText="false" indent="0" shrinkToFit="false"/>
      <protection locked="true" hidden="true"/>
    </xf>
    <xf numFmtId="164" fontId="0" fillId="0" borderId="0" xfId="0" applyFont="true" applyBorder="false" applyAlignment="true" applyProtection="true">
      <alignment horizontal="left" vertical="bottom" textRotation="0" wrapText="false" indent="0" shrinkToFit="false"/>
      <protection locked="true" hidden="true"/>
    </xf>
    <xf numFmtId="166"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23" applyFont="true" applyBorder="false" applyAlignment="false" applyProtection="false">
      <alignment horizontal="general" vertical="bottom" textRotation="0" wrapText="false" indent="0" shrinkToFit="false"/>
      <protection locked="true" hidden="false"/>
    </xf>
    <xf numFmtId="171" fontId="16" fillId="0" borderId="0" xfId="23" applyFont="true" applyBorder="false" applyAlignment="false" applyProtection="false">
      <alignment horizontal="general" vertical="bottom" textRotation="0" wrapText="false" indent="0" shrinkToFit="false"/>
      <protection locked="true" hidden="false"/>
    </xf>
    <xf numFmtId="164" fontId="16" fillId="0" borderId="0" xfId="23" applyFont="true" applyBorder="false" applyAlignment="false" applyProtection="false">
      <alignment horizontal="general" vertical="bottom" textRotation="0" wrapText="false" indent="0" shrinkToFit="false"/>
      <protection locked="true" hidden="false"/>
    </xf>
    <xf numFmtId="171" fontId="0" fillId="0" borderId="0" xfId="23" applyFont="true" applyBorder="false" applyAlignment="false" applyProtection="false">
      <alignment horizontal="general" vertical="bottom" textRotation="0" wrapText="false" indent="0" shrinkToFit="false"/>
      <protection locked="true" hidden="false"/>
    </xf>
    <xf numFmtId="171" fontId="16" fillId="0" borderId="0" xfId="23" applyFont="true" applyBorder="false" applyAlignment="true" applyProtection="false">
      <alignment horizontal="right" vertical="bottom" textRotation="0" wrapText="false" indent="0" shrinkToFit="false"/>
      <protection locked="true" hidden="false"/>
    </xf>
    <xf numFmtId="170" fontId="16" fillId="0" borderId="0" xfId="23" applyFont="true" applyBorder="false" applyAlignment="false" applyProtection="false">
      <alignment horizontal="general" vertical="bottom" textRotation="0" wrapText="false" indent="0" shrinkToFit="false"/>
      <protection locked="true" hidden="false"/>
    </xf>
    <xf numFmtId="170" fontId="16" fillId="0" borderId="0" xfId="23" applyFont="true" applyBorder="true" applyAlignment="false" applyProtection="false">
      <alignment horizontal="general" vertical="bottom" textRotation="0" wrapText="false" indent="0" shrinkToFit="false"/>
      <protection locked="true" hidden="false"/>
    </xf>
    <xf numFmtId="164" fontId="16" fillId="0" borderId="0" xfId="23" applyFont="true" applyBorder="true" applyAlignment="false" applyProtection="false">
      <alignment horizontal="general" vertical="bottom" textRotation="0" wrapText="false" indent="0" shrinkToFit="false"/>
      <protection locked="true" hidden="false"/>
    </xf>
    <xf numFmtId="164" fontId="7" fillId="0" borderId="53" xfId="24" applyFont="true" applyBorder="true" applyAlignment="false" applyProtection="false">
      <alignment horizontal="general" vertical="bottom" textRotation="0" wrapText="false" indent="0" shrinkToFit="false"/>
      <protection locked="true" hidden="false"/>
    </xf>
    <xf numFmtId="179" fontId="33" fillId="0" borderId="0" xfId="24" applyFont="true" applyBorder="true" applyAlignment="true" applyProtection="true">
      <alignment horizontal="right" vertical="bottom" textRotation="0" wrapText="false" indent="0" shrinkToFit="false"/>
      <protection locked="false" hidden="true"/>
    </xf>
    <xf numFmtId="164" fontId="8" fillId="0" borderId="0" xfId="23" applyFont="true" applyBorder="true" applyAlignment="false" applyProtection="true">
      <alignment horizontal="general" vertical="bottom" textRotation="0" wrapText="false" indent="0" shrinkToFit="false"/>
      <protection locked="true" hidden="true"/>
    </xf>
    <xf numFmtId="176" fontId="8" fillId="0" borderId="0" xfId="24" applyFont="true" applyBorder="true" applyAlignment="true" applyProtection="true">
      <alignment horizontal="left" vertical="bottom" textRotation="0" wrapText="false" indent="0" shrinkToFit="false"/>
      <protection locked="false" hidden="true"/>
    </xf>
    <xf numFmtId="168" fontId="33" fillId="0" borderId="0" xfId="24" applyFont="true" applyBorder="true" applyAlignment="true" applyProtection="true">
      <alignment horizontal="right" vertical="bottom" textRotation="0" wrapText="false" indent="0" shrinkToFit="false"/>
      <protection locked="false" hidden="true"/>
    </xf>
    <xf numFmtId="168" fontId="33" fillId="0" borderId="0" xfId="24" applyFont="true" applyBorder="true" applyAlignment="true" applyProtection="true">
      <alignment horizontal="right" vertical="bottom" textRotation="0" wrapText="true" indent="0" shrinkToFit="false"/>
      <protection locked="false" hidden="true"/>
    </xf>
    <xf numFmtId="171" fontId="33" fillId="0" borderId="0" xfId="24" applyFont="true" applyBorder="true" applyAlignment="true" applyProtection="true">
      <alignment horizontal="right" vertical="bottom" textRotation="0" wrapText="false" indent="0" shrinkToFit="false"/>
      <protection locked="false" hidden="true"/>
    </xf>
    <xf numFmtId="170" fontId="16" fillId="0" borderId="17" xfId="23" applyFont="true" applyBorder="true" applyAlignment="false" applyProtection="false">
      <alignment horizontal="general" vertical="bottom" textRotation="0" wrapText="false" indent="0" shrinkToFit="false"/>
      <protection locked="true" hidden="false"/>
    </xf>
    <xf numFmtId="170" fontId="16" fillId="0" borderId="18" xfId="23" applyFont="true" applyBorder="true" applyAlignment="false" applyProtection="false">
      <alignment horizontal="general" vertical="bottom" textRotation="0" wrapText="false" indent="0" shrinkToFit="false"/>
      <protection locked="true" hidden="false"/>
    </xf>
    <xf numFmtId="169" fontId="12" fillId="0" borderId="18" xfId="23" applyFont="true" applyBorder="true" applyAlignment="true" applyProtection="true">
      <alignment horizontal="right" vertical="bottom" textRotation="0" wrapText="false" indent="0" shrinkToFit="false"/>
      <protection locked="true" hidden="true"/>
    </xf>
    <xf numFmtId="169" fontId="12" fillId="0" borderId="19" xfId="23" applyFont="true" applyBorder="true" applyAlignment="true" applyProtection="true">
      <alignment horizontal="left" vertical="bottom" textRotation="0" wrapText="false" indent="0" shrinkToFit="false"/>
      <protection locked="true" hidden="true"/>
    </xf>
    <xf numFmtId="169" fontId="12" fillId="0" borderId="19" xfId="23" applyFont="true" applyBorder="true" applyAlignment="true" applyProtection="true">
      <alignment horizontal="right" vertical="bottom" textRotation="0" wrapText="false" indent="0" shrinkToFit="false"/>
      <protection locked="true" hidden="true"/>
    </xf>
    <xf numFmtId="170" fontId="8" fillId="0" borderId="0" xfId="23" applyFont="true" applyBorder="true" applyAlignment="false" applyProtection="true">
      <alignment horizontal="general" vertical="bottom" textRotation="0" wrapText="false" indent="0" shrinkToFit="false"/>
      <protection locked="true" hidden="true"/>
    </xf>
    <xf numFmtId="167" fontId="9" fillId="0" borderId="0" xfId="24" applyFont="true" applyBorder="true" applyAlignment="true" applyProtection="false">
      <alignment horizontal="center" vertical="bottom" textRotation="0" wrapText="false" indent="0" shrinkToFit="false"/>
      <protection locked="true" hidden="false"/>
    </xf>
    <xf numFmtId="167" fontId="9" fillId="0" borderId="0" xfId="24" applyFont="true" applyBorder="true" applyAlignment="true" applyProtection="false">
      <alignment horizontal="right" vertical="bottom" textRotation="0" wrapText="false" indent="0" shrinkToFit="false"/>
      <protection locked="true" hidden="false"/>
    </xf>
    <xf numFmtId="180" fontId="9" fillId="0" borderId="0" xfId="24" applyFont="true" applyBorder="true" applyAlignment="true" applyProtection="false">
      <alignment horizontal="left" vertical="bottom" textRotation="0" wrapText="false" indent="0" shrinkToFit="false"/>
      <protection locked="true" hidden="false"/>
    </xf>
    <xf numFmtId="168" fontId="33" fillId="0" borderId="0" xfId="24" applyFont="true" applyBorder="true" applyAlignment="true" applyProtection="true">
      <alignment horizontal="right" vertical="bottom" textRotation="0" wrapText="false" indent="0" shrinkToFit="false"/>
      <protection locked="false" hidden="true"/>
    </xf>
    <xf numFmtId="181" fontId="33" fillId="0" borderId="0" xfId="24" applyFont="true" applyBorder="true" applyAlignment="true" applyProtection="true">
      <alignment horizontal="right" vertical="bottom" textRotation="0" wrapText="false" indent="0" shrinkToFit="false"/>
      <protection locked="false" hidden="true"/>
    </xf>
    <xf numFmtId="164" fontId="34" fillId="0" borderId="0" xfId="24" applyFont="true" applyBorder="true" applyAlignment="true" applyProtection="true">
      <alignment horizontal="right" vertical="bottom" textRotation="0" wrapText="false" indent="0" shrinkToFit="false"/>
      <protection locked="false" hidden="true"/>
    </xf>
    <xf numFmtId="170" fontId="9" fillId="0" borderId="0" xfId="23" applyFont="true" applyBorder="false" applyAlignment="false" applyProtection="false">
      <alignment horizontal="general" vertical="bottom" textRotation="0" wrapText="false" indent="0" shrinkToFit="false"/>
      <protection locked="true" hidden="false"/>
    </xf>
    <xf numFmtId="167" fontId="9" fillId="0" borderId="0" xfId="24" applyFont="true" applyBorder="true" applyAlignment="true" applyProtection="false">
      <alignment horizontal="general" vertical="bottom" textRotation="0" wrapText="false" indent="0" shrinkToFit="false"/>
      <protection locked="true" hidden="false"/>
    </xf>
    <xf numFmtId="182" fontId="9" fillId="0" borderId="0" xfId="24" applyFont="true" applyBorder="true" applyAlignment="true" applyProtection="false">
      <alignment horizontal="left" vertical="bottom" textRotation="0" wrapText="false" indent="0" shrinkToFit="false"/>
      <protection locked="true" hidden="false"/>
    </xf>
    <xf numFmtId="164" fontId="33" fillId="0" borderId="0" xfId="24" applyFont="true" applyBorder="true" applyAlignment="true" applyProtection="true">
      <alignment horizontal="right" vertical="bottom" textRotation="0" wrapText="false" indent="0" shrinkToFit="false"/>
      <protection locked="false" hidden="true"/>
    </xf>
    <xf numFmtId="171" fontId="33" fillId="0" borderId="54" xfId="24" applyFont="true" applyBorder="true" applyAlignment="true" applyProtection="true">
      <alignment horizontal="right" vertical="bottom" textRotation="0" wrapText="false" indent="0" shrinkToFit="false"/>
      <protection locked="false" hidden="true"/>
    </xf>
    <xf numFmtId="171" fontId="9" fillId="0" borderId="55" xfId="24" applyFont="true" applyBorder="true" applyAlignment="true" applyProtection="false">
      <alignment horizontal="center" vertical="bottom" textRotation="0" wrapText="false" indent="0" shrinkToFit="false"/>
      <protection locked="true" hidden="false"/>
    </xf>
    <xf numFmtId="171" fontId="15" fillId="0" borderId="2" xfId="24" applyFont="true" applyBorder="true" applyAlignment="true" applyProtection="false">
      <alignment horizontal="left" vertical="bottom" textRotation="0" wrapText="false" indent="0" shrinkToFit="false"/>
      <protection locked="true" hidden="false"/>
    </xf>
    <xf numFmtId="171" fontId="15" fillId="0" borderId="2" xfId="24" applyFont="true" applyBorder="true" applyAlignment="true" applyProtection="false">
      <alignment horizontal="right" vertical="bottom" textRotation="0" wrapText="false" indent="0" shrinkToFit="false"/>
      <protection locked="true" hidden="false"/>
    </xf>
    <xf numFmtId="171" fontId="15" fillId="0" borderId="2" xfId="24" applyFont="true" applyBorder="true" applyAlignment="true" applyProtection="false">
      <alignment horizontal="center" vertical="bottom" textRotation="0" wrapText="false" indent="0" shrinkToFit="false"/>
      <protection locked="true" hidden="false"/>
    </xf>
    <xf numFmtId="171" fontId="10" fillId="0" borderId="4" xfId="23" applyFont="true" applyBorder="true" applyAlignment="true" applyProtection="true">
      <alignment horizontal="center" vertical="bottom" textRotation="0" wrapText="false" indent="0" shrinkToFit="false"/>
      <protection locked="true" hidden="true"/>
    </xf>
    <xf numFmtId="171" fontId="16" fillId="0" borderId="2" xfId="23" applyFont="true" applyBorder="true" applyAlignment="true" applyProtection="false">
      <alignment horizontal="center" vertical="bottom" textRotation="0" wrapText="false" indent="0" shrinkToFit="false"/>
      <protection locked="true" hidden="false"/>
    </xf>
    <xf numFmtId="171" fontId="10" fillId="0" borderId="2" xfId="23" applyFont="true" applyBorder="true" applyAlignment="true" applyProtection="true">
      <alignment horizontal="center" vertical="bottom" textRotation="0" wrapText="false" indent="0" shrinkToFit="false"/>
      <protection locked="true" hidden="true"/>
    </xf>
    <xf numFmtId="171" fontId="15" fillId="0" borderId="56" xfId="24" applyFont="true" applyBorder="true" applyAlignment="true" applyProtection="false">
      <alignment horizontal="center" vertical="bottom" textRotation="0" wrapText="false" indent="0" shrinkToFit="false"/>
      <protection locked="true" hidden="false"/>
    </xf>
    <xf numFmtId="171" fontId="15" fillId="0" borderId="57" xfId="24" applyFont="true" applyBorder="true" applyAlignment="true" applyProtection="false">
      <alignment horizontal="center" vertical="bottom" textRotation="0" wrapText="false" indent="0" shrinkToFit="false"/>
      <protection locked="true" hidden="false"/>
    </xf>
    <xf numFmtId="171" fontId="16" fillId="0" borderId="0" xfId="23" applyFont="true" applyBorder="true" applyAlignment="false" applyProtection="false">
      <alignment horizontal="general" vertical="bottom" textRotation="0" wrapText="false" indent="0" shrinkToFit="false"/>
      <protection locked="true" hidden="false"/>
    </xf>
    <xf numFmtId="164" fontId="34" fillId="0" borderId="0" xfId="23" applyFont="true" applyBorder="false" applyAlignment="true" applyProtection="true">
      <alignment horizontal="general" vertical="bottom" textRotation="0" wrapText="true" indent="0" shrinkToFit="false"/>
      <protection locked="true" hidden="true"/>
    </xf>
    <xf numFmtId="171" fontId="35" fillId="0" borderId="0" xfId="23" applyFont="true" applyBorder="false" applyAlignment="true" applyProtection="true">
      <alignment horizontal="general" vertical="bottom" textRotation="0" wrapText="true" indent="0" shrinkToFit="false"/>
      <protection locked="true" hidden="true"/>
    </xf>
    <xf numFmtId="164" fontId="35" fillId="0" borderId="0" xfId="23" applyFont="true" applyBorder="false" applyAlignment="true" applyProtection="true">
      <alignment horizontal="general" vertical="bottom" textRotation="0" wrapText="true" indent="0" shrinkToFit="false"/>
      <protection locked="true" hidden="true"/>
    </xf>
    <xf numFmtId="171" fontId="34" fillId="0" borderId="0" xfId="23" applyFont="true" applyBorder="false" applyAlignment="true" applyProtection="true">
      <alignment horizontal="general" vertical="bottom" textRotation="0" wrapText="true" indent="0" shrinkToFit="false"/>
      <protection locked="true" hidden="true"/>
    </xf>
    <xf numFmtId="171" fontId="35" fillId="0" borderId="0" xfId="23" applyFont="true" applyBorder="false" applyAlignment="true" applyProtection="true">
      <alignment horizontal="right" vertical="bottom" textRotation="0" wrapText="true" indent="0" shrinkToFit="false"/>
      <protection locked="true" hidden="true"/>
    </xf>
    <xf numFmtId="171" fontId="35" fillId="0" borderId="54" xfId="23" applyFont="true" applyBorder="true" applyAlignment="true" applyProtection="true">
      <alignment horizontal="general" vertical="bottom" textRotation="0" wrapText="true" indent="0" shrinkToFit="false"/>
      <protection locked="true" hidden="true"/>
    </xf>
    <xf numFmtId="170" fontId="36" fillId="0" borderId="30" xfId="23" applyFont="true" applyBorder="true" applyAlignment="true" applyProtection="true">
      <alignment horizontal="right" vertical="bottom" textRotation="0" wrapText="true" indent="0" shrinkToFit="false"/>
      <protection locked="true" hidden="true"/>
    </xf>
    <xf numFmtId="170" fontId="36" fillId="0" borderId="9" xfId="23" applyFont="true" applyBorder="true" applyAlignment="true" applyProtection="true">
      <alignment horizontal="right" vertical="bottom" textRotation="0" wrapText="true" indent="0" shrinkToFit="false"/>
      <protection locked="true" hidden="true"/>
    </xf>
    <xf numFmtId="170" fontId="36" fillId="0" borderId="58" xfId="23" applyFont="true" applyBorder="true" applyAlignment="true" applyProtection="true">
      <alignment horizontal="right" vertical="bottom" textRotation="0" wrapText="true" indent="0" shrinkToFit="false"/>
      <protection locked="true" hidden="true"/>
    </xf>
    <xf numFmtId="170" fontId="36" fillId="0" borderId="10" xfId="23" applyFont="true" applyBorder="true" applyAlignment="true" applyProtection="true">
      <alignment horizontal="right" vertical="bottom" textRotation="0" wrapText="true" indent="0" shrinkToFit="false"/>
      <protection locked="true" hidden="true"/>
    </xf>
    <xf numFmtId="170" fontId="36" fillId="0" borderId="59" xfId="23" applyFont="true" applyBorder="true" applyAlignment="true" applyProtection="true">
      <alignment horizontal="right" vertical="bottom" textRotation="0" wrapText="true" indent="0" shrinkToFit="false"/>
      <protection locked="true" hidden="true"/>
    </xf>
    <xf numFmtId="170" fontId="36" fillId="0" borderId="60" xfId="23" applyFont="true" applyBorder="true" applyAlignment="true" applyProtection="true">
      <alignment horizontal="right" vertical="bottom" textRotation="0" wrapText="true" indent="0" shrinkToFit="false"/>
      <protection locked="true" hidden="true"/>
    </xf>
    <xf numFmtId="164" fontId="19" fillId="0" borderId="0" xfId="23" applyFont="true" applyBorder="false" applyAlignment="false" applyProtection="true">
      <alignment horizontal="general" vertical="bottom" textRotation="0" wrapText="false" indent="0" shrinkToFit="false"/>
      <protection locked="true" hidden="false"/>
    </xf>
    <xf numFmtId="171" fontId="19" fillId="0" borderId="0" xfId="23" applyFont="true" applyBorder="false" applyAlignment="false" applyProtection="true">
      <alignment horizontal="general" vertical="bottom" textRotation="0" wrapText="false" indent="0" shrinkToFit="false"/>
      <protection locked="true" hidden="false"/>
    </xf>
    <xf numFmtId="171" fontId="19" fillId="0" borderId="0" xfId="23" applyFont="true" applyBorder="false" applyAlignment="true" applyProtection="true">
      <alignment horizontal="right" vertical="bottom" textRotation="0" wrapText="false" indent="0" shrinkToFit="false"/>
      <protection locked="true" hidden="false"/>
    </xf>
    <xf numFmtId="183" fontId="19" fillId="0" borderId="0" xfId="23" applyFont="true" applyBorder="false" applyAlignment="true" applyProtection="true">
      <alignment horizontal="right" vertical="bottom" textRotation="0" wrapText="false" indent="0" shrinkToFit="false"/>
      <protection locked="true" hidden="true"/>
    </xf>
    <xf numFmtId="171" fontId="24" fillId="0" borderId="54" xfId="23" applyFont="true" applyBorder="true" applyAlignment="false" applyProtection="true">
      <alignment horizontal="general" vertical="bottom" textRotation="0" wrapText="false" indent="0" shrinkToFit="false"/>
      <protection locked="true" hidden="true"/>
    </xf>
    <xf numFmtId="170" fontId="19" fillId="2" borderId="61" xfId="23" applyFont="true" applyBorder="true" applyAlignment="false" applyProtection="true">
      <alignment horizontal="general" vertical="bottom" textRotation="0" wrapText="false" indent="0" shrinkToFit="false"/>
      <protection locked="true" hidden="true"/>
    </xf>
    <xf numFmtId="170" fontId="19" fillId="2" borderId="62" xfId="23" applyFont="true" applyBorder="true" applyAlignment="false" applyProtection="true">
      <alignment horizontal="general" vertical="bottom" textRotation="0" wrapText="false" indent="0" shrinkToFit="false"/>
      <protection locked="true" hidden="true"/>
    </xf>
    <xf numFmtId="170" fontId="19" fillId="2" borderId="63" xfId="23" applyFont="true" applyBorder="true" applyAlignment="false" applyProtection="true">
      <alignment horizontal="general" vertical="bottom" textRotation="0" wrapText="false" indent="0" shrinkToFit="false"/>
      <protection locked="true" hidden="true"/>
    </xf>
    <xf numFmtId="170" fontId="19" fillId="2" borderId="53" xfId="23" applyFont="true" applyBorder="true" applyAlignment="false" applyProtection="true">
      <alignment horizontal="general" vertical="bottom" textRotation="0" wrapText="false" indent="0" shrinkToFit="false"/>
      <protection locked="true" hidden="true"/>
    </xf>
    <xf numFmtId="170" fontId="19" fillId="0" borderId="64" xfId="23" applyFont="true" applyBorder="true" applyAlignment="false" applyProtection="true">
      <alignment horizontal="general" vertical="bottom" textRotation="0" wrapText="false" indent="0" shrinkToFit="false"/>
      <protection locked="true" hidden="true"/>
    </xf>
    <xf numFmtId="170" fontId="19" fillId="0" borderId="65" xfId="23" applyFont="true" applyBorder="true" applyAlignment="false" applyProtection="true">
      <alignment horizontal="general" vertical="bottom" textRotation="0" wrapText="false" indent="0" shrinkToFit="false"/>
      <protection locked="true" hidden="true"/>
    </xf>
    <xf numFmtId="170" fontId="19" fillId="2" borderId="66" xfId="23" applyFont="true" applyBorder="true" applyAlignment="false" applyProtection="true">
      <alignment horizontal="general" vertical="bottom" textRotation="0" wrapText="false" indent="0" shrinkToFit="false"/>
      <protection locked="true" hidden="true"/>
    </xf>
    <xf numFmtId="170" fontId="19" fillId="0" borderId="67" xfId="23" applyFont="true" applyBorder="true" applyAlignment="false" applyProtection="true">
      <alignment horizontal="general" vertical="bottom" textRotation="0" wrapText="false" indent="0" shrinkToFit="false"/>
      <protection locked="true" hidden="true"/>
    </xf>
    <xf numFmtId="170" fontId="19" fillId="0" borderId="53" xfId="23" applyFont="true" applyBorder="true" applyAlignment="false" applyProtection="true">
      <alignment horizontal="general" vertical="bottom" textRotation="0" wrapText="false" indent="0" shrinkToFit="false"/>
      <protection locked="true" hidden="true"/>
    </xf>
    <xf numFmtId="170" fontId="19" fillId="2" borderId="68" xfId="23" applyFont="true" applyBorder="true" applyAlignment="false" applyProtection="true">
      <alignment horizontal="general" vertical="bottom" textRotation="0" wrapText="false" indent="0" shrinkToFit="false"/>
      <protection locked="true" hidden="true"/>
    </xf>
    <xf numFmtId="170" fontId="19" fillId="2" borderId="69" xfId="23" applyFont="true" applyBorder="true" applyAlignment="false" applyProtection="true">
      <alignment horizontal="general" vertical="bottom" textRotation="0" wrapText="false" indent="0" shrinkToFit="false"/>
      <protection locked="true" hidden="true"/>
    </xf>
    <xf numFmtId="164" fontId="16" fillId="0" borderId="0" xfId="23" applyFont="true" applyBorder="true" applyAlignment="false" applyProtection="false">
      <alignment horizontal="general" vertical="bottom" textRotation="0" wrapText="false" indent="0" shrinkToFit="false"/>
      <protection locked="true" hidden="false"/>
    </xf>
    <xf numFmtId="171" fontId="8" fillId="0" borderId="0" xfId="23" applyFont="true" applyBorder="false" applyAlignment="false" applyProtection="true">
      <alignment horizontal="general" vertical="bottom" textRotation="0" wrapText="false" indent="0" shrinkToFit="false"/>
      <protection locked="true" hidden="false"/>
    </xf>
    <xf numFmtId="170" fontId="19" fillId="2" borderId="70" xfId="23" applyFont="true" applyBorder="true" applyAlignment="false" applyProtection="true">
      <alignment horizontal="general" vertical="bottom" textRotation="0" wrapText="false" indent="0" shrinkToFit="false"/>
      <protection locked="true" hidden="true"/>
    </xf>
    <xf numFmtId="170" fontId="19" fillId="2" borderId="71" xfId="23" applyFont="true" applyBorder="true" applyAlignment="false" applyProtection="true">
      <alignment horizontal="general" vertical="bottom" textRotation="0" wrapText="false" indent="0" shrinkToFit="false"/>
      <protection locked="true" hidden="true"/>
    </xf>
    <xf numFmtId="170" fontId="19" fillId="2" borderId="72" xfId="23" applyFont="true" applyBorder="true" applyAlignment="false" applyProtection="true">
      <alignment horizontal="general" vertical="bottom" textRotation="0" wrapText="false" indent="0" shrinkToFit="false"/>
      <protection locked="true" hidden="true"/>
    </xf>
    <xf numFmtId="170" fontId="19" fillId="2" borderId="0" xfId="23" applyFont="true" applyBorder="true" applyAlignment="false" applyProtection="true">
      <alignment horizontal="general" vertical="bottom" textRotation="0" wrapText="false" indent="0" shrinkToFit="false"/>
      <protection locked="true" hidden="true"/>
    </xf>
    <xf numFmtId="170" fontId="19" fillId="0" borderId="54" xfId="23" applyFont="true" applyBorder="true" applyAlignment="false" applyProtection="true">
      <alignment horizontal="general" vertical="bottom" textRotation="0" wrapText="false" indent="0" shrinkToFit="false"/>
      <protection locked="true" hidden="true"/>
    </xf>
    <xf numFmtId="170" fontId="19" fillId="0" borderId="11" xfId="23" applyFont="true" applyBorder="true" applyAlignment="false" applyProtection="true">
      <alignment horizontal="general" vertical="bottom" textRotation="0" wrapText="false" indent="0" shrinkToFit="false"/>
      <protection locked="true" hidden="true"/>
    </xf>
    <xf numFmtId="170" fontId="19" fillId="2" borderId="73" xfId="23" applyFont="true" applyBorder="true" applyAlignment="false" applyProtection="true">
      <alignment horizontal="general" vertical="bottom" textRotation="0" wrapText="false" indent="0" shrinkToFit="false"/>
      <protection locked="true" hidden="true"/>
    </xf>
    <xf numFmtId="170" fontId="19" fillId="0" borderId="74" xfId="23" applyFont="true" applyBorder="true" applyAlignment="false" applyProtection="true">
      <alignment horizontal="general" vertical="bottom" textRotation="0" wrapText="false" indent="0" shrinkToFit="false"/>
      <protection locked="true" hidden="true"/>
    </xf>
    <xf numFmtId="170" fontId="19" fillId="0" borderId="5" xfId="23" applyFont="true" applyBorder="true" applyAlignment="false" applyProtection="true">
      <alignment horizontal="general" vertical="bottom" textRotation="0" wrapText="false" indent="0" shrinkToFit="false"/>
      <protection locked="true" hidden="true"/>
    </xf>
    <xf numFmtId="170" fontId="19" fillId="0" borderId="71" xfId="23" applyFont="true" applyBorder="true" applyAlignment="false" applyProtection="true">
      <alignment horizontal="general" vertical="bottom" textRotation="0" wrapText="false" indent="0" shrinkToFit="false"/>
      <protection locked="true" hidden="true"/>
    </xf>
    <xf numFmtId="170" fontId="19" fillId="0" borderId="72" xfId="23" applyFont="true" applyBorder="true" applyAlignment="false" applyProtection="true">
      <alignment horizontal="general" vertical="bottom" textRotation="0" wrapText="false" indent="0" shrinkToFit="false"/>
      <protection locked="true" hidden="true"/>
    </xf>
    <xf numFmtId="170" fontId="19" fillId="0" borderId="73" xfId="23" applyFont="true" applyBorder="true" applyAlignment="false" applyProtection="true">
      <alignment horizontal="general" vertical="bottom" textRotation="0" wrapText="false" indent="0" shrinkToFit="false"/>
      <protection locked="true" hidden="true"/>
    </xf>
    <xf numFmtId="170" fontId="19" fillId="0" borderId="68" xfId="23" applyFont="true" applyBorder="true" applyAlignment="false" applyProtection="true">
      <alignment horizontal="general" vertical="bottom" textRotation="0" wrapText="false" indent="0" shrinkToFit="false"/>
      <protection locked="true" hidden="true"/>
    </xf>
    <xf numFmtId="170" fontId="19" fillId="0" borderId="69" xfId="23" applyFont="true" applyBorder="true" applyAlignment="false" applyProtection="true">
      <alignment horizontal="general" vertical="bottom" textRotation="0" wrapText="false" indent="0" shrinkToFit="false"/>
      <protection locked="true" hidden="true"/>
    </xf>
    <xf numFmtId="164" fontId="19" fillId="0" borderId="0" xfId="23" applyFont="true" applyBorder="true" applyAlignment="false" applyProtection="true">
      <alignment horizontal="general" vertical="bottom" textRotation="0" wrapText="false" indent="0" shrinkToFit="false"/>
      <protection locked="true" hidden="false"/>
    </xf>
    <xf numFmtId="171" fontId="19" fillId="0" borderId="0" xfId="23" applyFont="true" applyBorder="true" applyAlignment="false" applyProtection="true">
      <alignment horizontal="general" vertical="bottom" textRotation="0" wrapText="false" indent="0" shrinkToFit="false"/>
      <protection locked="true" hidden="false"/>
    </xf>
    <xf numFmtId="171" fontId="19" fillId="0" borderId="0" xfId="23" applyFont="true" applyBorder="true" applyAlignment="true" applyProtection="true">
      <alignment horizontal="right" vertical="bottom" textRotation="0" wrapText="false" indent="0" shrinkToFit="false"/>
      <protection locked="true" hidden="false"/>
    </xf>
    <xf numFmtId="183" fontId="19" fillId="0" borderId="0" xfId="23" applyFont="true" applyBorder="true" applyAlignment="true" applyProtection="true">
      <alignment horizontal="right" vertical="bottom" textRotation="0" wrapText="false" indent="0" shrinkToFit="false"/>
      <protection locked="true" hidden="true"/>
    </xf>
    <xf numFmtId="171" fontId="19" fillId="3" borderId="0" xfId="23" applyFont="true" applyBorder="false" applyAlignment="false" applyProtection="true">
      <alignment horizontal="general" vertical="bottom" textRotation="0" wrapText="false" indent="0" shrinkToFit="false"/>
      <protection locked="true" hidden="false"/>
    </xf>
    <xf numFmtId="170" fontId="19" fillId="4" borderId="5" xfId="23" applyFont="true" applyBorder="true" applyAlignment="false" applyProtection="true">
      <alignment horizontal="general" vertical="bottom" textRotation="0" wrapText="false" indent="0" shrinkToFit="false"/>
      <protection locked="true" hidden="true"/>
    </xf>
    <xf numFmtId="164" fontId="19" fillId="0" borderId="26" xfId="23" applyFont="true" applyBorder="true" applyAlignment="false" applyProtection="true">
      <alignment horizontal="general" vertical="bottom" textRotation="0" wrapText="false" indent="0" shrinkToFit="false"/>
      <protection locked="true" hidden="false"/>
    </xf>
    <xf numFmtId="171" fontId="19" fillId="0" borderId="26" xfId="23" applyFont="true" applyBorder="true" applyAlignment="false" applyProtection="true">
      <alignment horizontal="general" vertical="bottom" textRotation="0" wrapText="false" indent="0" shrinkToFit="false"/>
      <protection locked="true" hidden="false"/>
    </xf>
    <xf numFmtId="171" fontId="19" fillId="0" borderId="26" xfId="23" applyFont="true" applyBorder="true" applyAlignment="true" applyProtection="true">
      <alignment horizontal="right" vertical="bottom" textRotation="0" wrapText="false" indent="0" shrinkToFit="false"/>
      <protection locked="true" hidden="false"/>
    </xf>
    <xf numFmtId="183" fontId="19" fillId="0" borderId="26" xfId="23" applyFont="true" applyBorder="true" applyAlignment="true" applyProtection="true">
      <alignment horizontal="right" vertical="bottom" textRotation="0" wrapText="false" indent="0" shrinkToFit="false"/>
      <protection locked="true" hidden="true"/>
    </xf>
    <xf numFmtId="171" fontId="24" fillId="0" borderId="75" xfId="23" applyFont="true" applyBorder="true" applyAlignment="false" applyProtection="true">
      <alignment horizontal="general" vertical="bottom" textRotation="0" wrapText="false" indent="0" shrinkToFit="false"/>
      <protection locked="true" hidden="true"/>
    </xf>
    <xf numFmtId="170" fontId="19" fillId="0" borderId="24" xfId="23" applyFont="true" applyBorder="true" applyAlignment="false" applyProtection="true">
      <alignment horizontal="general" vertical="bottom" textRotation="0" wrapText="false" indent="0" shrinkToFit="false"/>
      <protection locked="true" hidden="true"/>
    </xf>
    <xf numFmtId="170" fontId="19" fillId="0" borderId="76" xfId="23" applyFont="true" applyBorder="true" applyAlignment="false" applyProtection="true">
      <alignment horizontal="general" vertical="bottom" textRotation="0" wrapText="false" indent="0" shrinkToFit="false"/>
      <protection locked="true" hidden="true"/>
    </xf>
    <xf numFmtId="170" fontId="19" fillId="0" borderId="77" xfId="23" applyFont="true" applyBorder="true" applyAlignment="false" applyProtection="true">
      <alignment horizontal="general" vertical="bottom" textRotation="0" wrapText="false" indent="0" shrinkToFit="false"/>
      <protection locked="true" hidden="true"/>
    </xf>
    <xf numFmtId="170" fontId="19" fillId="0" borderId="26" xfId="23" applyFont="true" applyBorder="true" applyAlignment="false" applyProtection="true">
      <alignment horizontal="general" vertical="bottom" textRotation="0" wrapText="false" indent="0" shrinkToFit="false"/>
      <protection locked="true" hidden="true"/>
    </xf>
    <xf numFmtId="170" fontId="19" fillId="0" borderId="75" xfId="23" applyFont="true" applyBorder="true" applyAlignment="false" applyProtection="true">
      <alignment horizontal="general" vertical="bottom" textRotation="0" wrapText="false" indent="0" shrinkToFit="false"/>
      <protection locked="true" hidden="true"/>
    </xf>
    <xf numFmtId="170" fontId="19" fillId="0" borderId="78" xfId="23" applyFont="true" applyBorder="true" applyAlignment="false" applyProtection="true">
      <alignment horizontal="general" vertical="bottom" textRotation="0" wrapText="false" indent="0" shrinkToFit="false"/>
      <protection locked="true" hidden="true"/>
    </xf>
    <xf numFmtId="170" fontId="19" fillId="0" borderId="79" xfId="23" applyFont="true" applyBorder="true" applyAlignment="false" applyProtection="true">
      <alignment horizontal="general" vertical="bottom" textRotation="0" wrapText="false" indent="0" shrinkToFit="false"/>
      <protection locked="true" hidden="true"/>
    </xf>
    <xf numFmtId="170" fontId="19" fillId="0" borderId="80" xfId="23" applyFont="true" applyBorder="true" applyAlignment="false" applyProtection="true">
      <alignment horizontal="general" vertical="bottom" textRotation="0" wrapText="false" indent="0" shrinkToFit="false"/>
      <protection locked="true" hidden="true"/>
    </xf>
    <xf numFmtId="170" fontId="19" fillId="0" borderId="81" xfId="23" applyFont="true" applyBorder="true" applyAlignment="false" applyProtection="true">
      <alignment horizontal="general" vertical="bottom" textRotation="0" wrapText="false" indent="0" shrinkToFit="false"/>
      <protection locked="true" hidden="true"/>
    </xf>
    <xf numFmtId="170" fontId="19" fillId="0" borderId="82" xfId="23" applyFont="true" applyBorder="true" applyAlignment="false" applyProtection="true">
      <alignment horizontal="general" vertical="bottom" textRotation="0" wrapText="false" indent="0" shrinkToFit="false"/>
      <protection locked="true" hidden="true"/>
    </xf>
    <xf numFmtId="170" fontId="19" fillId="0" borderId="83" xfId="23" applyFont="true" applyBorder="true" applyAlignment="false" applyProtection="true">
      <alignment horizontal="general" vertical="bottom" textRotation="0" wrapText="false" indent="0" shrinkToFit="false"/>
      <protection locked="true" hidden="true"/>
    </xf>
    <xf numFmtId="183" fontId="19" fillId="0" borderId="0" xfId="23" applyFont="true" applyBorder="true" applyAlignment="true" applyProtection="true">
      <alignment horizontal="right" vertical="bottom" textRotation="0" wrapText="false" indent="0" shrinkToFit="false"/>
      <protection locked="true" hidden="true"/>
    </xf>
    <xf numFmtId="171" fontId="24" fillId="0" borderId="54" xfId="23" applyFont="true" applyBorder="true" applyAlignment="false" applyProtection="true">
      <alignment horizontal="general" vertical="bottom" textRotation="0" wrapText="false" indent="0" shrinkToFit="false"/>
      <protection locked="true" hidden="true"/>
    </xf>
    <xf numFmtId="170" fontId="19" fillId="0" borderId="70" xfId="23" applyFont="true" applyBorder="true" applyAlignment="false" applyProtection="true">
      <alignment horizontal="general" vertical="bottom" textRotation="0" wrapText="false" indent="0" shrinkToFit="false"/>
      <protection locked="true" hidden="true"/>
    </xf>
    <xf numFmtId="164" fontId="37" fillId="0" borderId="0" xfId="23" applyFont="true" applyBorder="true" applyAlignment="false" applyProtection="false">
      <alignment horizontal="general" vertical="bottom" textRotation="0" wrapText="false" indent="0" shrinkToFit="false"/>
      <protection locked="true" hidden="false"/>
    </xf>
    <xf numFmtId="164" fontId="37" fillId="0" borderId="0" xfId="23" applyFont="true" applyBorder="true" applyAlignment="false" applyProtection="false">
      <alignment horizontal="general" vertical="bottom" textRotation="0" wrapText="false" indent="0" shrinkToFit="false"/>
      <protection locked="true" hidden="false"/>
    </xf>
    <xf numFmtId="171" fontId="38" fillId="0" borderId="0" xfId="23" applyFont="true" applyBorder="false" applyAlignment="false" applyProtection="true">
      <alignment horizontal="general" vertical="bottom" textRotation="0" wrapText="false" indent="0" shrinkToFit="false"/>
      <protection locked="true" hidden="false"/>
    </xf>
    <xf numFmtId="164" fontId="19" fillId="0" borderId="9" xfId="23" applyFont="true" applyBorder="true" applyAlignment="false" applyProtection="true">
      <alignment horizontal="general" vertical="bottom" textRotation="0" wrapText="false" indent="0" shrinkToFit="false"/>
      <protection locked="true" hidden="false"/>
    </xf>
    <xf numFmtId="171" fontId="19" fillId="0" borderId="9" xfId="23" applyFont="true" applyBorder="true" applyAlignment="false" applyProtection="true">
      <alignment horizontal="general" vertical="bottom" textRotation="0" wrapText="false" indent="0" shrinkToFit="false"/>
      <protection locked="true" hidden="false"/>
    </xf>
    <xf numFmtId="171" fontId="19" fillId="0" borderId="9" xfId="23" applyFont="true" applyBorder="true" applyAlignment="true" applyProtection="true">
      <alignment horizontal="right" vertical="bottom" textRotation="0" wrapText="false" indent="0" shrinkToFit="false"/>
      <protection locked="true" hidden="false"/>
    </xf>
    <xf numFmtId="183" fontId="19" fillId="0" borderId="9" xfId="23" applyFont="true" applyBorder="true" applyAlignment="true" applyProtection="true">
      <alignment horizontal="right" vertical="bottom" textRotation="0" wrapText="false" indent="0" shrinkToFit="false"/>
      <protection locked="true" hidden="true"/>
    </xf>
    <xf numFmtId="171" fontId="24" fillId="0" borderId="58" xfId="23" applyFont="true" applyBorder="true" applyAlignment="false" applyProtection="true">
      <alignment horizontal="general" vertical="bottom" textRotation="0" wrapText="false" indent="0" shrinkToFit="false"/>
      <protection locked="true" hidden="true"/>
    </xf>
    <xf numFmtId="170" fontId="19" fillId="0" borderId="30" xfId="23" applyFont="true" applyBorder="true" applyAlignment="false" applyProtection="true">
      <alignment horizontal="general" vertical="bottom" textRotation="0" wrapText="false" indent="0" shrinkToFit="false"/>
      <protection locked="true" hidden="true"/>
    </xf>
    <xf numFmtId="170" fontId="19" fillId="0" borderId="50" xfId="23" applyFont="true" applyBorder="true" applyAlignment="false" applyProtection="true">
      <alignment horizontal="general" vertical="bottom" textRotation="0" wrapText="false" indent="0" shrinkToFit="false"/>
      <protection locked="true" hidden="true"/>
    </xf>
    <xf numFmtId="170" fontId="19" fillId="0" borderId="84" xfId="23" applyFont="true" applyBorder="true" applyAlignment="false" applyProtection="true">
      <alignment horizontal="general" vertical="bottom" textRotation="0" wrapText="false" indent="0" shrinkToFit="false"/>
      <protection locked="true" hidden="true"/>
    </xf>
    <xf numFmtId="170" fontId="19" fillId="0" borderId="9" xfId="23" applyFont="true" applyBorder="true" applyAlignment="false" applyProtection="true">
      <alignment horizontal="general" vertical="bottom" textRotation="0" wrapText="false" indent="0" shrinkToFit="false"/>
      <protection locked="true" hidden="true"/>
    </xf>
    <xf numFmtId="170" fontId="19" fillId="0" borderId="58" xfId="23" applyFont="true" applyBorder="true" applyAlignment="false" applyProtection="true">
      <alignment horizontal="general" vertical="bottom" textRotation="0" wrapText="false" indent="0" shrinkToFit="false"/>
      <protection locked="true" hidden="true"/>
    </xf>
    <xf numFmtId="170" fontId="19" fillId="0" borderId="10" xfId="23" applyFont="true" applyBorder="true" applyAlignment="false" applyProtection="true">
      <alignment horizontal="general" vertical="bottom" textRotation="0" wrapText="false" indent="0" shrinkToFit="false"/>
      <protection locked="true" hidden="true"/>
    </xf>
    <xf numFmtId="170" fontId="19" fillId="0" borderId="8" xfId="23" applyFont="true" applyBorder="true" applyAlignment="false" applyProtection="true">
      <alignment horizontal="general" vertical="bottom" textRotation="0" wrapText="false" indent="0" shrinkToFit="false"/>
      <protection locked="true" hidden="true"/>
    </xf>
    <xf numFmtId="170" fontId="19" fillId="0" borderId="85" xfId="23" applyFont="true" applyBorder="true" applyAlignment="false" applyProtection="true">
      <alignment horizontal="general" vertical="bottom" textRotation="0" wrapText="false" indent="0" shrinkToFit="false"/>
      <protection locked="true" hidden="true"/>
    </xf>
    <xf numFmtId="170" fontId="19" fillId="0" borderId="59" xfId="23" applyFont="true" applyBorder="true" applyAlignment="false" applyProtection="true">
      <alignment horizontal="general" vertical="bottom" textRotation="0" wrapText="false" indent="0" shrinkToFit="false"/>
      <protection locked="true" hidden="true"/>
    </xf>
    <xf numFmtId="170" fontId="19" fillId="0" borderId="60" xfId="23" applyFont="true" applyBorder="true" applyAlignment="false" applyProtection="true">
      <alignment horizontal="general" vertical="bottom" textRotation="0" wrapText="false" indent="0" shrinkToFit="false"/>
      <protection locked="true" hidden="true"/>
    </xf>
    <xf numFmtId="166" fontId="19" fillId="0" borderId="0" xfId="23" applyFont="true" applyBorder="false" applyAlignment="false" applyProtection="true">
      <alignment horizontal="general" vertical="bottom" textRotation="0" wrapText="false" indent="0" shrinkToFit="false"/>
      <protection locked="true" hidden="false"/>
    </xf>
    <xf numFmtId="183" fontId="19" fillId="4" borderId="0" xfId="23" applyFont="true" applyBorder="false" applyAlignment="true" applyProtection="true">
      <alignment horizontal="right" vertical="bottom" textRotation="0" wrapText="false" indent="0" shrinkToFit="false"/>
      <protection locked="true" hidden="true"/>
    </xf>
    <xf numFmtId="171" fontId="24" fillId="4" borderId="54" xfId="23" applyFont="true" applyBorder="true" applyAlignment="false" applyProtection="true">
      <alignment horizontal="general" vertical="bottom" textRotation="0" wrapText="false" indent="0" shrinkToFit="false"/>
      <protection locked="true" hidden="true"/>
    </xf>
    <xf numFmtId="166" fontId="19" fillId="0" borderId="86" xfId="23" applyFont="true" applyBorder="true" applyAlignment="false" applyProtection="true">
      <alignment horizontal="general" vertical="bottom" textRotation="0" wrapText="false" indent="0" shrinkToFit="false"/>
      <protection locked="true" hidden="false"/>
    </xf>
    <xf numFmtId="171" fontId="19" fillId="0" borderId="86" xfId="23" applyFont="true" applyBorder="true" applyAlignment="false" applyProtection="true">
      <alignment horizontal="general" vertical="bottom" textRotation="0" wrapText="false" indent="0" shrinkToFit="false"/>
      <protection locked="true" hidden="false"/>
    </xf>
    <xf numFmtId="164" fontId="19" fillId="0" borderId="86" xfId="23" applyFont="true" applyBorder="true" applyAlignment="false" applyProtection="true">
      <alignment horizontal="general" vertical="bottom" textRotation="0" wrapText="false" indent="0" shrinkToFit="false"/>
      <protection locked="true" hidden="false"/>
    </xf>
    <xf numFmtId="171" fontId="8" fillId="0" borderId="86" xfId="23" applyFont="true" applyBorder="true" applyAlignment="false" applyProtection="true">
      <alignment horizontal="general" vertical="bottom" textRotation="0" wrapText="false" indent="0" shrinkToFit="false"/>
      <protection locked="true" hidden="false"/>
    </xf>
    <xf numFmtId="171" fontId="19" fillId="0" borderId="86" xfId="23" applyFont="true" applyBorder="true" applyAlignment="true" applyProtection="true">
      <alignment horizontal="right" vertical="bottom" textRotation="0" wrapText="false" indent="0" shrinkToFit="false"/>
      <protection locked="true" hidden="false"/>
    </xf>
    <xf numFmtId="183" fontId="19" fillId="0" borderId="86" xfId="23" applyFont="true" applyBorder="true" applyAlignment="true" applyProtection="true">
      <alignment horizontal="right" vertical="bottom" textRotation="0" wrapText="false" indent="0" shrinkToFit="false"/>
      <protection locked="true" hidden="true"/>
    </xf>
    <xf numFmtId="171" fontId="24" fillId="0" borderId="87" xfId="23" applyFont="true" applyBorder="true" applyAlignment="false" applyProtection="true">
      <alignment horizontal="general" vertical="bottom" textRotation="0" wrapText="false" indent="0" shrinkToFit="false"/>
      <protection locked="true" hidden="true"/>
    </xf>
    <xf numFmtId="170" fontId="19" fillId="0" borderId="47" xfId="23" applyFont="true" applyBorder="true" applyAlignment="false" applyProtection="true">
      <alignment horizontal="general" vertical="bottom" textRotation="0" wrapText="false" indent="0" shrinkToFit="false"/>
      <protection locked="true" hidden="true"/>
    </xf>
    <xf numFmtId="170" fontId="19" fillId="0" borderId="48" xfId="23" applyFont="true" applyBorder="true" applyAlignment="false" applyProtection="true">
      <alignment horizontal="general" vertical="bottom" textRotation="0" wrapText="false" indent="0" shrinkToFit="false"/>
      <protection locked="true" hidden="true"/>
    </xf>
    <xf numFmtId="170" fontId="19" fillId="0" borderId="88" xfId="23" applyFont="true" applyBorder="true" applyAlignment="false" applyProtection="true">
      <alignment horizontal="general" vertical="bottom" textRotation="0" wrapText="false" indent="0" shrinkToFit="false"/>
      <protection locked="true" hidden="true"/>
    </xf>
    <xf numFmtId="170" fontId="19" fillId="0" borderId="86" xfId="23" applyFont="true" applyBorder="true" applyAlignment="false" applyProtection="true">
      <alignment horizontal="general" vertical="bottom" textRotation="0" wrapText="false" indent="0" shrinkToFit="false"/>
      <protection locked="true" hidden="true"/>
    </xf>
    <xf numFmtId="170" fontId="19" fillId="0" borderId="87" xfId="23" applyFont="true" applyBorder="true" applyAlignment="false" applyProtection="true">
      <alignment horizontal="general" vertical="bottom" textRotation="0" wrapText="false" indent="0" shrinkToFit="false"/>
      <protection locked="true" hidden="true"/>
    </xf>
    <xf numFmtId="170" fontId="19" fillId="0" borderId="89" xfId="23" applyFont="true" applyBorder="true" applyAlignment="false" applyProtection="true">
      <alignment horizontal="general" vertical="bottom" textRotation="0" wrapText="false" indent="0" shrinkToFit="false"/>
      <protection locked="true" hidden="true"/>
    </xf>
    <xf numFmtId="170" fontId="19" fillId="0" borderId="90" xfId="23" applyFont="true" applyBorder="true" applyAlignment="false" applyProtection="true">
      <alignment horizontal="general" vertical="bottom" textRotation="0" wrapText="false" indent="0" shrinkToFit="false"/>
      <protection locked="true" hidden="true"/>
    </xf>
    <xf numFmtId="170" fontId="19" fillId="0" borderId="91" xfId="23" applyFont="true" applyBorder="true" applyAlignment="false" applyProtection="true">
      <alignment horizontal="general" vertical="bottom" textRotation="0" wrapText="false" indent="0" shrinkToFit="false"/>
      <protection locked="true" hidden="true"/>
    </xf>
    <xf numFmtId="170" fontId="19" fillId="0" borderId="92" xfId="23" applyFont="true" applyBorder="true" applyAlignment="false" applyProtection="true">
      <alignment horizontal="general" vertical="bottom" textRotation="0" wrapText="false" indent="0" shrinkToFit="false"/>
      <protection locked="true" hidden="true"/>
    </xf>
    <xf numFmtId="170" fontId="19" fillId="0" borderId="93" xfId="23" applyFont="true" applyBorder="true" applyAlignment="false" applyProtection="true">
      <alignment horizontal="general" vertical="bottom" textRotation="0" wrapText="false" indent="0" shrinkToFit="false"/>
      <protection locked="true" hidden="true"/>
    </xf>
    <xf numFmtId="166" fontId="19" fillId="0" borderId="0" xfId="23" applyFont="true" applyBorder="true" applyAlignment="false" applyProtection="true">
      <alignment horizontal="general" vertical="bottom" textRotation="0" wrapText="false" indent="0" shrinkToFit="false"/>
      <protection locked="true" hidden="false"/>
    </xf>
    <xf numFmtId="166" fontId="19" fillId="0" borderId="9" xfId="23" applyFont="true" applyBorder="true" applyAlignment="false" applyProtection="true">
      <alignment horizontal="general" vertical="bottom" textRotation="0" wrapText="false" indent="0" shrinkToFit="false"/>
      <protection locked="true" hidden="false"/>
    </xf>
    <xf numFmtId="171" fontId="24" fillId="0" borderId="54" xfId="23" applyFont="true" applyBorder="true" applyAlignment="true" applyProtection="true">
      <alignment horizontal="left" vertical="top" textRotation="0" wrapText="false" indent="0" shrinkToFit="false"/>
      <protection locked="true" hidden="true"/>
    </xf>
    <xf numFmtId="171" fontId="19" fillId="5" borderId="0" xfId="23" applyFont="true" applyBorder="false" applyAlignment="false" applyProtection="true">
      <alignment horizontal="general" vertical="bottom" textRotation="0" wrapText="false" indent="0" shrinkToFit="false"/>
      <protection locked="true" hidden="false"/>
    </xf>
    <xf numFmtId="183" fontId="19" fillId="4" borderId="94" xfId="23" applyFont="true" applyBorder="true" applyAlignment="true" applyProtection="true">
      <alignment horizontal="right" vertical="bottom" textRotation="0" wrapText="false" indent="0" shrinkToFit="false"/>
      <protection locked="true" hidden="true"/>
    </xf>
    <xf numFmtId="166" fontId="19" fillId="0" borderId="95" xfId="23" applyFont="true" applyBorder="true" applyAlignment="false" applyProtection="true">
      <alignment horizontal="general" vertical="bottom" textRotation="0" wrapText="false" indent="0" shrinkToFit="false"/>
      <protection locked="true" hidden="false"/>
    </xf>
    <xf numFmtId="171" fontId="19" fillId="0" borderId="95" xfId="23" applyFont="true" applyBorder="true" applyAlignment="false" applyProtection="true">
      <alignment horizontal="general" vertical="bottom" textRotation="0" wrapText="false" indent="0" shrinkToFit="false"/>
      <protection locked="true" hidden="false"/>
    </xf>
    <xf numFmtId="164" fontId="19" fillId="0" borderId="95" xfId="23" applyFont="true" applyBorder="true" applyAlignment="false" applyProtection="true">
      <alignment horizontal="general" vertical="bottom" textRotation="0" wrapText="false" indent="0" shrinkToFit="false"/>
      <protection locked="true" hidden="false"/>
    </xf>
    <xf numFmtId="171" fontId="19" fillId="0" borderId="95" xfId="23" applyFont="true" applyBorder="true" applyAlignment="true" applyProtection="true">
      <alignment horizontal="right" vertical="bottom" textRotation="0" wrapText="false" indent="0" shrinkToFit="false"/>
      <protection locked="true" hidden="false"/>
    </xf>
    <xf numFmtId="170" fontId="19" fillId="0" borderId="96" xfId="23" applyFont="true" applyBorder="true" applyAlignment="false" applyProtection="true">
      <alignment horizontal="general" vertical="bottom" textRotation="0" wrapText="false" indent="0" shrinkToFit="false"/>
      <protection locked="true" hidden="true"/>
    </xf>
    <xf numFmtId="170" fontId="19" fillId="0" borderId="95" xfId="23" applyFont="true" applyBorder="true" applyAlignment="false" applyProtection="true">
      <alignment horizontal="general" vertical="bottom" textRotation="0" wrapText="false" indent="0" shrinkToFit="false"/>
      <protection locked="true" hidden="true"/>
    </xf>
    <xf numFmtId="170" fontId="19" fillId="0" borderId="97" xfId="23" applyFont="true" applyBorder="true" applyAlignment="false" applyProtection="true">
      <alignment horizontal="general" vertical="bottom" textRotation="0" wrapText="false" indent="0" shrinkToFit="false"/>
      <protection locked="true" hidden="true"/>
    </xf>
    <xf numFmtId="170" fontId="19" fillId="0" borderId="98" xfId="23" applyFont="true" applyBorder="true" applyAlignment="false" applyProtection="true">
      <alignment horizontal="general" vertical="bottom" textRotation="0" wrapText="false" indent="0" shrinkToFit="false"/>
      <protection locked="true" hidden="true"/>
    </xf>
    <xf numFmtId="170" fontId="19" fillId="0" borderId="99" xfId="23" applyFont="true" applyBorder="true" applyAlignment="false" applyProtection="true">
      <alignment horizontal="general" vertical="bottom" textRotation="0" wrapText="false" indent="0" shrinkToFit="false"/>
      <protection locked="true" hidden="true"/>
    </xf>
    <xf numFmtId="170" fontId="19" fillId="0" borderId="100" xfId="23" applyFont="true" applyBorder="true" applyAlignment="false" applyProtection="true">
      <alignment horizontal="general" vertical="bottom" textRotation="0" wrapText="false" indent="0" shrinkToFit="false"/>
      <protection locked="true" hidden="true"/>
    </xf>
    <xf numFmtId="170" fontId="19" fillId="0" borderId="101" xfId="23" applyFont="true" applyBorder="true" applyAlignment="false" applyProtection="true">
      <alignment horizontal="general" vertical="bottom" textRotation="0" wrapText="false" indent="0" shrinkToFit="false"/>
      <protection locked="true" hidden="true"/>
    </xf>
    <xf numFmtId="170" fontId="19" fillId="0" borderId="102" xfId="23" applyFont="true" applyBorder="true" applyAlignment="false" applyProtection="true">
      <alignment horizontal="general" vertical="bottom" textRotation="0" wrapText="false" indent="0" shrinkToFit="false"/>
      <protection locked="true" hidden="true"/>
    </xf>
    <xf numFmtId="170" fontId="19" fillId="0" borderId="103" xfId="23" applyFont="true" applyBorder="true" applyAlignment="false" applyProtection="true">
      <alignment horizontal="general" vertical="bottom" textRotation="0" wrapText="false" indent="0" shrinkToFit="false"/>
      <protection locked="true" hidden="true"/>
    </xf>
    <xf numFmtId="166" fontId="19" fillId="0" borderId="0" xfId="23" applyFont="true" applyBorder="false" applyAlignment="true" applyProtection="true">
      <alignment horizontal="general" vertical="bottom" textRotation="0" wrapText="false" indent="0" shrinkToFit="false"/>
      <protection locked="true" hidden="false"/>
    </xf>
    <xf numFmtId="166" fontId="19" fillId="0" borderId="20" xfId="23" applyFont="true" applyBorder="true" applyAlignment="false" applyProtection="true">
      <alignment horizontal="general" vertical="bottom" textRotation="0" wrapText="false" indent="0" shrinkToFit="false"/>
      <protection locked="true" hidden="false"/>
    </xf>
    <xf numFmtId="171" fontId="19" fillId="0" borderId="20" xfId="23" applyFont="true" applyBorder="true" applyAlignment="false" applyProtection="true">
      <alignment horizontal="general" vertical="bottom" textRotation="0" wrapText="false" indent="0" shrinkToFit="false"/>
      <protection locked="true" hidden="false"/>
    </xf>
    <xf numFmtId="164" fontId="19" fillId="0" borderId="20" xfId="23" applyFont="true" applyBorder="true" applyAlignment="false" applyProtection="true">
      <alignment horizontal="general" vertical="bottom" textRotation="0" wrapText="false" indent="0" shrinkToFit="false"/>
      <protection locked="true" hidden="false"/>
    </xf>
    <xf numFmtId="171" fontId="19" fillId="0" borderId="20" xfId="23" applyFont="true" applyBorder="true" applyAlignment="true" applyProtection="true">
      <alignment horizontal="right" vertical="bottom" textRotation="0" wrapText="false" indent="0" shrinkToFit="false"/>
      <protection locked="true" hidden="false"/>
    </xf>
    <xf numFmtId="183" fontId="19" fillId="0" borderId="20" xfId="23" applyFont="true" applyBorder="true" applyAlignment="true" applyProtection="true">
      <alignment horizontal="right" vertical="bottom" textRotation="0" wrapText="false" indent="0" shrinkToFit="false"/>
      <protection locked="true" hidden="true"/>
    </xf>
    <xf numFmtId="171" fontId="24" fillId="0" borderId="104" xfId="23" applyFont="true" applyBorder="true" applyAlignment="false" applyProtection="true">
      <alignment horizontal="general" vertical="bottom" textRotation="0" wrapText="false" indent="0" shrinkToFit="false"/>
      <protection locked="true" hidden="true"/>
    </xf>
    <xf numFmtId="170" fontId="19" fillId="0" borderId="105" xfId="23" applyFont="true" applyBorder="true" applyAlignment="false" applyProtection="true">
      <alignment horizontal="general" vertical="bottom" textRotation="0" wrapText="false" indent="0" shrinkToFit="false"/>
      <protection locked="true" hidden="true"/>
    </xf>
    <xf numFmtId="170" fontId="19" fillId="0" borderId="106" xfId="23" applyFont="true" applyBorder="true" applyAlignment="false" applyProtection="true">
      <alignment horizontal="general" vertical="bottom" textRotation="0" wrapText="false" indent="0" shrinkToFit="false"/>
      <protection locked="true" hidden="true"/>
    </xf>
    <xf numFmtId="170" fontId="19" fillId="0" borderId="107" xfId="23" applyFont="true" applyBorder="true" applyAlignment="false" applyProtection="true">
      <alignment horizontal="general" vertical="bottom" textRotation="0" wrapText="false" indent="0" shrinkToFit="false"/>
      <protection locked="true" hidden="true"/>
    </xf>
    <xf numFmtId="170" fontId="19" fillId="0" borderId="20" xfId="23" applyFont="true" applyBorder="true" applyAlignment="false" applyProtection="true">
      <alignment horizontal="general" vertical="bottom" textRotation="0" wrapText="false" indent="0" shrinkToFit="false"/>
      <protection locked="true" hidden="true"/>
    </xf>
    <xf numFmtId="170" fontId="19" fillId="0" borderId="104" xfId="23" applyFont="true" applyBorder="true" applyAlignment="false" applyProtection="true">
      <alignment horizontal="general" vertical="bottom" textRotation="0" wrapText="false" indent="0" shrinkToFit="false"/>
      <protection locked="true" hidden="true"/>
    </xf>
    <xf numFmtId="170" fontId="19" fillId="0" borderId="21" xfId="23" applyFont="true" applyBorder="true" applyAlignment="false" applyProtection="true">
      <alignment horizontal="general" vertical="bottom" textRotation="0" wrapText="false" indent="0" shrinkToFit="false"/>
      <protection locked="true" hidden="true"/>
    </xf>
    <xf numFmtId="170" fontId="19" fillId="0" borderId="108" xfId="23" applyFont="true" applyBorder="true" applyAlignment="false" applyProtection="true">
      <alignment horizontal="general" vertical="bottom" textRotation="0" wrapText="false" indent="0" shrinkToFit="false"/>
      <protection locked="true" hidden="true"/>
    </xf>
    <xf numFmtId="170" fontId="19" fillId="0" borderId="109" xfId="23" applyFont="true" applyBorder="true" applyAlignment="false" applyProtection="true">
      <alignment horizontal="general" vertical="bottom" textRotation="0" wrapText="false" indent="0" shrinkToFit="false"/>
      <protection locked="true" hidden="true"/>
    </xf>
    <xf numFmtId="170" fontId="19" fillId="0" borderId="110" xfId="23" applyFont="true" applyBorder="true" applyAlignment="false" applyProtection="true">
      <alignment horizontal="general" vertical="bottom" textRotation="0" wrapText="false" indent="0" shrinkToFit="false"/>
      <protection locked="true" hidden="true"/>
    </xf>
    <xf numFmtId="170" fontId="19" fillId="0" borderId="111" xfId="23" applyFont="true" applyBorder="true" applyAlignment="false" applyProtection="true">
      <alignment horizontal="general" vertical="bottom" textRotation="0" wrapText="false" indent="0" shrinkToFit="false"/>
      <protection locked="true" hidden="true"/>
    </xf>
    <xf numFmtId="171" fontId="19" fillId="0" borderId="0" xfId="23" applyFont="true" applyBorder="false" applyAlignment="false" applyProtection="true">
      <alignment horizontal="general" vertical="bottom" textRotation="0" wrapText="false" indent="0" shrinkToFit="false"/>
      <protection locked="true" hidden="false"/>
    </xf>
    <xf numFmtId="170" fontId="19" fillId="0" borderId="68" xfId="23" applyFont="true" applyBorder="true" applyAlignment="false" applyProtection="true">
      <alignment horizontal="general" vertical="bottom" textRotation="0" wrapText="false" indent="0" shrinkToFit="false"/>
      <protection locked="true" hidden="true"/>
    </xf>
    <xf numFmtId="170" fontId="19" fillId="0" borderId="112" xfId="23" applyFont="true" applyBorder="true" applyAlignment="false" applyProtection="true">
      <alignment horizontal="general" vertical="bottom" textRotation="0" wrapText="false" indent="0" shrinkToFit="false"/>
      <protection locked="true" hidden="true"/>
    </xf>
    <xf numFmtId="170" fontId="19" fillId="0" borderId="113" xfId="23" applyFont="true" applyBorder="true" applyAlignment="false" applyProtection="true">
      <alignment horizontal="general" vertical="bottom" textRotation="0" wrapText="false" indent="0" shrinkToFit="false"/>
      <protection locked="true" hidden="true"/>
    </xf>
    <xf numFmtId="170" fontId="19" fillId="2" borderId="5" xfId="23" applyFont="true" applyBorder="true" applyAlignment="false" applyProtection="true">
      <alignment horizontal="general" vertical="bottom" textRotation="0" wrapText="false" indent="0" shrinkToFit="false"/>
      <protection locked="true" hidden="true"/>
    </xf>
    <xf numFmtId="170" fontId="19" fillId="2" borderId="74" xfId="23" applyFont="true" applyBorder="true" applyAlignment="false" applyProtection="true">
      <alignment horizontal="general" vertical="bottom" textRotation="0" wrapText="false" indent="0" shrinkToFit="false"/>
      <protection locked="true" hidden="true"/>
    </xf>
    <xf numFmtId="170" fontId="19" fillId="2" borderId="47" xfId="23" applyFont="true" applyBorder="true" applyAlignment="false" applyProtection="true">
      <alignment horizontal="general" vertical="bottom" textRotation="0" wrapText="false" indent="0" shrinkToFit="false"/>
      <protection locked="true" hidden="true"/>
    </xf>
    <xf numFmtId="170" fontId="19" fillId="2" borderId="48" xfId="23" applyFont="true" applyBorder="true" applyAlignment="false" applyProtection="true">
      <alignment horizontal="general" vertical="bottom" textRotation="0" wrapText="false" indent="0" shrinkToFit="false"/>
      <protection locked="true" hidden="true"/>
    </xf>
    <xf numFmtId="170" fontId="19" fillId="2" borderId="88" xfId="23" applyFont="true" applyBorder="true" applyAlignment="false" applyProtection="true">
      <alignment horizontal="general" vertical="bottom" textRotation="0" wrapText="false" indent="0" shrinkToFit="false"/>
      <protection locked="true" hidden="true"/>
    </xf>
    <xf numFmtId="170" fontId="19" fillId="2" borderId="86" xfId="23" applyFont="true" applyBorder="true" applyAlignment="false" applyProtection="true">
      <alignment horizontal="general" vertical="bottom" textRotation="0" wrapText="false" indent="0" shrinkToFit="false"/>
      <protection locked="true" hidden="true"/>
    </xf>
    <xf numFmtId="170" fontId="19" fillId="2" borderId="90" xfId="23" applyFont="true" applyBorder="true" applyAlignment="false" applyProtection="true">
      <alignment horizontal="general" vertical="bottom" textRotation="0" wrapText="false" indent="0" shrinkToFit="false"/>
      <protection locked="true" hidden="true"/>
    </xf>
    <xf numFmtId="170" fontId="19" fillId="2" borderId="91" xfId="23" applyFont="true" applyBorder="true" applyAlignment="false" applyProtection="true">
      <alignment horizontal="general" vertical="bottom" textRotation="0" wrapText="false" indent="0" shrinkToFit="false"/>
      <protection locked="true" hidden="true"/>
    </xf>
    <xf numFmtId="170" fontId="19" fillId="2" borderId="92" xfId="23" applyFont="true" applyBorder="true" applyAlignment="false" applyProtection="true">
      <alignment horizontal="general" vertical="bottom" textRotation="0" wrapText="false" indent="0" shrinkToFit="false"/>
      <protection locked="true" hidden="true"/>
    </xf>
    <xf numFmtId="170" fontId="19" fillId="2" borderId="93" xfId="23" applyFont="true" applyBorder="true" applyAlignment="false" applyProtection="true">
      <alignment horizontal="general" vertical="bottom" textRotation="0" wrapText="false" indent="0" shrinkToFit="false"/>
      <protection locked="true" hidden="true"/>
    </xf>
    <xf numFmtId="171" fontId="19" fillId="3" borderId="0" xfId="23" applyFont="true" applyBorder="true" applyAlignment="false" applyProtection="true">
      <alignment horizontal="general" vertical="bottom" textRotation="0" wrapText="false" indent="0" shrinkToFit="false"/>
      <protection locked="true" hidden="false"/>
    </xf>
    <xf numFmtId="171" fontId="38" fillId="0" borderId="0" xfId="23" applyFont="true" applyBorder="true" applyAlignment="false" applyProtection="true">
      <alignment horizontal="general" vertical="bottom" textRotation="0" wrapText="false" indent="0" shrinkToFit="false"/>
      <protection locked="true" hidden="false"/>
    </xf>
    <xf numFmtId="166" fontId="19" fillId="0" borderId="9" xfId="23" applyFont="true" applyBorder="true" applyAlignment="false" applyProtection="true">
      <alignment horizontal="general" vertical="bottom" textRotation="0" wrapText="false" indent="0" shrinkToFit="false"/>
      <protection locked="true" hidden="true"/>
    </xf>
    <xf numFmtId="171" fontId="19" fillId="0" borderId="9" xfId="23" applyFont="true" applyBorder="true" applyAlignment="false" applyProtection="true">
      <alignment horizontal="general" vertical="bottom" textRotation="0" wrapText="false" indent="0" shrinkToFit="false"/>
      <protection locked="true" hidden="true"/>
    </xf>
    <xf numFmtId="164" fontId="19" fillId="0" borderId="9" xfId="23" applyFont="true" applyBorder="true" applyAlignment="false" applyProtection="true">
      <alignment horizontal="general" vertical="bottom" textRotation="0" wrapText="false" indent="0" shrinkToFit="false"/>
      <protection locked="true" hidden="true"/>
    </xf>
    <xf numFmtId="171" fontId="19" fillId="0" borderId="9" xfId="23" applyFont="true" applyBorder="true" applyAlignment="true" applyProtection="true">
      <alignment horizontal="right" vertical="bottom" textRotation="0" wrapText="false" indent="0" shrinkToFit="false"/>
      <protection locked="true" hidden="true"/>
    </xf>
    <xf numFmtId="171" fontId="19" fillId="0" borderId="58" xfId="23" applyFont="true" applyBorder="true" applyAlignment="true" applyProtection="true">
      <alignment horizontal="right" vertical="bottom" textRotation="0" wrapText="false" indent="0" shrinkToFit="false"/>
      <protection locked="true" hidden="true"/>
    </xf>
    <xf numFmtId="170" fontId="19" fillId="0" borderId="114" xfId="23" applyFont="true" applyBorder="true" applyAlignment="false" applyProtection="true">
      <alignment horizontal="general" vertical="bottom" textRotation="0" wrapText="false" indent="0" shrinkToFit="false"/>
      <protection locked="true" hidden="true"/>
    </xf>
    <xf numFmtId="170" fontId="19" fillId="0" borderId="115" xfId="23" applyFont="true" applyBorder="true" applyAlignment="false" applyProtection="true">
      <alignment horizontal="general" vertical="bottom" textRotation="0" wrapText="false" indent="0" shrinkToFit="false"/>
      <protection locked="true" hidden="true"/>
    </xf>
    <xf numFmtId="170" fontId="19" fillId="0" borderId="116" xfId="23" applyFont="true" applyBorder="true" applyAlignment="false" applyProtection="true">
      <alignment horizontal="general" vertical="bottom" textRotation="0" wrapText="false" indent="0" shrinkToFit="false"/>
      <protection locked="true" hidden="true"/>
    </xf>
    <xf numFmtId="166" fontId="19" fillId="0" borderId="0" xfId="23" applyFont="true" applyBorder="true" applyAlignment="true" applyProtection="true">
      <alignment horizontal="general" vertical="bottom" textRotation="0" wrapText="false" indent="0" shrinkToFit="false"/>
      <protection locked="true" hidden="true"/>
    </xf>
    <xf numFmtId="171" fontId="19" fillId="0" borderId="0" xfId="23" applyFont="true" applyBorder="true" applyAlignment="true" applyProtection="true">
      <alignment horizontal="general" vertical="bottom" textRotation="0" wrapText="false" indent="0" shrinkToFit="false"/>
      <protection locked="true" hidden="true"/>
    </xf>
    <xf numFmtId="164" fontId="19" fillId="0" borderId="0" xfId="23" applyFont="true" applyBorder="true" applyAlignment="true" applyProtection="true">
      <alignment horizontal="general" vertical="bottom" textRotation="0" wrapText="false" indent="0" shrinkToFit="false"/>
      <protection locked="true" hidden="true"/>
    </xf>
    <xf numFmtId="164" fontId="16" fillId="0" borderId="0" xfId="23" applyFont="true" applyBorder="false" applyAlignment="true" applyProtection="false">
      <alignment horizontal="general" vertical="bottom" textRotation="0" wrapText="false" indent="0" shrinkToFit="false"/>
      <protection locked="true" hidden="false"/>
    </xf>
    <xf numFmtId="171" fontId="19" fillId="0" borderId="0" xfId="23" applyFont="true" applyBorder="true" applyAlignment="true" applyProtection="true">
      <alignment horizontal="right" vertical="bottom" textRotation="0" wrapText="false" indent="0" shrinkToFit="false"/>
      <protection locked="true" hidden="true"/>
    </xf>
    <xf numFmtId="170" fontId="19" fillId="0" borderId="0" xfId="23" applyFont="true" applyBorder="true" applyAlignment="true" applyProtection="true">
      <alignment horizontal="right" vertical="bottom" textRotation="0" wrapText="false" indent="0" shrinkToFit="false"/>
      <protection locked="true" hidden="true"/>
    </xf>
    <xf numFmtId="170" fontId="19" fillId="0" borderId="117" xfId="23" applyFont="true" applyBorder="true" applyAlignment="true" applyProtection="true">
      <alignment horizontal="general" vertical="bottom" textRotation="0" wrapText="false" indent="0" shrinkToFit="false"/>
      <protection locked="true" hidden="true"/>
    </xf>
    <xf numFmtId="170" fontId="19" fillId="0" borderId="118" xfId="23" applyFont="true" applyBorder="true" applyAlignment="true" applyProtection="true">
      <alignment horizontal="general" vertical="bottom" textRotation="0" wrapText="false" indent="0" shrinkToFit="false"/>
      <protection locked="true" hidden="true"/>
    </xf>
    <xf numFmtId="170" fontId="19" fillId="0" borderId="119" xfId="23" applyFont="true" applyBorder="true" applyAlignment="true" applyProtection="true">
      <alignment horizontal="general" vertical="bottom" textRotation="0" wrapText="false" indent="0" shrinkToFit="false"/>
      <protection locked="true" hidden="true"/>
    </xf>
    <xf numFmtId="170" fontId="19" fillId="0" borderId="0" xfId="23" applyFont="true" applyBorder="true" applyAlignment="true" applyProtection="true">
      <alignment horizontal="general" vertical="bottom" textRotation="0" wrapText="false" indent="0" shrinkToFit="false"/>
      <protection locked="true" hidden="true"/>
    </xf>
    <xf numFmtId="170" fontId="19" fillId="0" borderId="1" xfId="23" applyFont="true" applyBorder="true" applyAlignment="true" applyProtection="true">
      <alignment horizontal="general" vertical="bottom" textRotation="0" wrapText="false" indent="0" shrinkToFit="false"/>
      <protection locked="true" hidden="true"/>
    </xf>
    <xf numFmtId="170" fontId="19" fillId="0" borderId="120" xfId="23" applyFont="true" applyBorder="true" applyAlignment="true" applyProtection="true">
      <alignment horizontal="general" vertical="bottom" textRotation="0" wrapText="false" indent="0" shrinkToFit="false"/>
      <protection locked="true" hidden="true"/>
    </xf>
    <xf numFmtId="164" fontId="7" fillId="0" borderId="0" xfId="24" applyFont="false" applyBorder="false" applyAlignment="true" applyProtection="false">
      <alignment horizontal="general" vertical="bottom" textRotation="0" wrapText="false" indent="0" shrinkToFit="false"/>
      <protection locked="true" hidden="false"/>
    </xf>
    <xf numFmtId="170" fontId="19" fillId="0" borderId="68" xfId="23" applyFont="true" applyBorder="true" applyAlignment="true" applyProtection="true">
      <alignment horizontal="general" vertical="bottom" textRotation="0" wrapText="false" indent="0" shrinkToFit="false"/>
      <protection locked="true" hidden="true"/>
    </xf>
    <xf numFmtId="170" fontId="19" fillId="0" borderId="69" xfId="23" applyFont="true" applyBorder="true" applyAlignment="true" applyProtection="true">
      <alignment horizontal="general" vertical="bottom" textRotation="0" wrapText="false" indent="0" shrinkToFit="false"/>
      <protection locked="true" hidden="true"/>
    </xf>
    <xf numFmtId="164" fontId="16" fillId="0" borderId="0" xfId="23" applyFont="true" applyBorder="true" applyAlignment="true" applyProtection="false">
      <alignment horizontal="general" vertical="bottom" textRotation="0" wrapText="false" indent="0" shrinkToFit="false"/>
      <protection locked="true" hidden="false"/>
    </xf>
    <xf numFmtId="164" fontId="16" fillId="0" borderId="0" xfId="23" applyFont="true" applyBorder="true" applyAlignment="true" applyProtection="false">
      <alignment horizontal="general" vertical="bottom" textRotation="0" wrapText="false" indent="0" shrinkToFit="false"/>
      <protection locked="true" hidden="false"/>
    </xf>
    <xf numFmtId="170" fontId="19" fillId="0" borderId="121" xfId="23" applyFont="true" applyBorder="true" applyAlignment="true" applyProtection="true">
      <alignment horizontal="general" vertical="bottom" textRotation="0" wrapText="false" indent="0" shrinkToFit="false"/>
      <protection locked="true" hidden="true"/>
    </xf>
    <xf numFmtId="170" fontId="19" fillId="0" borderId="50" xfId="23" applyFont="true" applyBorder="true" applyAlignment="true" applyProtection="true">
      <alignment horizontal="general" vertical="bottom" textRotation="0" wrapText="false" indent="0" shrinkToFit="false"/>
      <protection locked="true" hidden="true"/>
    </xf>
    <xf numFmtId="170" fontId="19" fillId="0" borderId="51" xfId="23" applyFont="true" applyBorder="true" applyAlignment="true" applyProtection="true">
      <alignment horizontal="general" vertical="bottom" textRotation="0" wrapText="false" indent="0" shrinkToFit="false"/>
      <protection locked="true" hidden="true"/>
    </xf>
    <xf numFmtId="170" fontId="19" fillId="0" borderId="30" xfId="23" applyFont="true" applyBorder="true" applyAlignment="true" applyProtection="true">
      <alignment horizontal="general" vertical="bottom" textRotation="0" wrapText="false" indent="0" shrinkToFit="false"/>
      <protection locked="true" hidden="true"/>
    </xf>
    <xf numFmtId="170" fontId="19" fillId="0" borderId="52" xfId="23" applyFont="true" applyBorder="true" applyAlignment="true" applyProtection="true">
      <alignment horizontal="general" vertical="bottom" textRotation="0" wrapText="false" indent="0" shrinkToFit="false"/>
      <protection locked="true" hidden="true"/>
    </xf>
    <xf numFmtId="170" fontId="19" fillId="0" borderId="59" xfId="23" applyFont="true" applyBorder="true" applyAlignment="true" applyProtection="true">
      <alignment horizontal="general" vertical="bottom" textRotation="0" wrapText="false" indent="0" shrinkToFit="false"/>
      <protection locked="true" hidden="true"/>
    </xf>
    <xf numFmtId="170" fontId="19" fillId="0" borderId="60" xfId="23" applyFont="true" applyBorder="true" applyAlignment="true" applyProtection="true">
      <alignment horizontal="general" vertical="bottom" textRotation="0" wrapText="false" indent="0" shrinkToFit="false"/>
      <protection locked="true" hidden="true"/>
    </xf>
    <xf numFmtId="170" fontId="19" fillId="0" borderId="122" xfId="23" applyFont="true" applyBorder="true" applyAlignment="true" applyProtection="true">
      <alignment horizontal="general" vertical="bottom" textRotation="0" wrapText="false" indent="0" shrinkToFit="false"/>
      <protection locked="true" hidden="true"/>
    </xf>
    <xf numFmtId="170" fontId="19" fillId="0" borderId="123" xfId="23" applyFont="true" applyBorder="true" applyAlignment="true" applyProtection="true">
      <alignment horizontal="general" vertical="bottom" textRotation="0" wrapText="false" indent="0" shrinkToFit="false"/>
      <protection locked="true" hidden="true"/>
    </xf>
    <xf numFmtId="170" fontId="19" fillId="0" borderId="124" xfId="23" applyFont="true" applyBorder="true" applyAlignment="true" applyProtection="true">
      <alignment horizontal="general" vertical="bottom" textRotation="0" wrapText="false" indent="0" shrinkToFit="false"/>
      <protection locked="true" hidden="true"/>
    </xf>
    <xf numFmtId="170" fontId="19" fillId="0" borderId="125" xfId="23" applyFont="true" applyBorder="true" applyAlignment="true" applyProtection="true">
      <alignment horizontal="general" vertical="bottom" textRotation="0" wrapText="false" indent="0" shrinkToFit="false"/>
      <protection locked="true" hidden="true"/>
    </xf>
    <xf numFmtId="170" fontId="19" fillId="0" borderId="126" xfId="23" applyFont="true" applyBorder="true" applyAlignment="true" applyProtection="true">
      <alignment horizontal="general" vertical="bottom" textRotation="0" wrapText="false" indent="0" shrinkToFit="false"/>
      <protection locked="true" hidden="true"/>
    </xf>
    <xf numFmtId="170" fontId="19" fillId="0" borderId="127" xfId="23" applyFont="true" applyBorder="true" applyAlignment="true" applyProtection="true">
      <alignment horizontal="general" vertical="bottom" textRotation="0" wrapText="false" indent="0" shrinkToFit="false"/>
      <protection locked="true" hidden="true"/>
    </xf>
    <xf numFmtId="170" fontId="19" fillId="0" borderId="128" xfId="23" applyFont="true" applyBorder="true" applyAlignment="true" applyProtection="true">
      <alignment horizontal="general" vertical="bottom" textRotation="0" wrapText="false" indent="0" shrinkToFit="false"/>
      <protection locked="true" hidden="true"/>
    </xf>
    <xf numFmtId="170" fontId="19" fillId="0" borderId="70" xfId="23" applyFont="true" applyBorder="true" applyAlignment="true" applyProtection="true">
      <alignment horizontal="general" vertical="bottom" textRotation="0" wrapText="false" indent="0" shrinkToFit="false"/>
      <protection locked="true" hidden="true"/>
    </xf>
    <xf numFmtId="170" fontId="19" fillId="0" borderId="71" xfId="23" applyFont="true" applyBorder="true" applyAlignment="true" applyProtection="true">
      <alignment horizontal="general" vertical="bottom" textRotation="0" wrapText="false" indent="0" shrinkToFit="false"/>
      <protection locked="true" hidden="true"/>
    </xf>
    <xf numFmtId="170" fontId="19" fillId="0" borderId="129" xfId="23" applyFont="true" applyBorder="true" applyAlignment="true" applyProtection="true">
      <alignment horizontal="general" vertical="bottom" textRotation="0" wrapText="false" indent="0" shrinkToFit="false"/>
      <protection locked="true" hidden="true"/>
    </xf>
    <xf numFmtId="170" fontId="19" fillId="0" borderId="5" xfId="23" applyFont="true" applyBorder="true" applyAlignment="true" applyProtection="true">
      <alignment horizontal="general" vertical="bottom" textRotation="0" wrapText="false" indent="0" shrinkToFit="false"/>
      <protection locked="true" hidden="true"/>
    </xf>
    <xf numFmtId="170" fontId="19" fillId="0" borderId="130" xfId="23" applyFont="true" applyBorder="true" applyAlignment="true" applyProtection="true">
      <alignment horizontal="general" vertical="bottom" textRotation="0" wrapText="false" indent="0" shrinkToFit="false"/>
      <protection locked="true" hidden="true"/>
    </xf>
    <xf numFmtId="166" fontId="19" fillId="0" borderId="0" xfId="23" applyFont="true" applyBorder="false" applyAlignment="true" applyProtection="true">
      <alignment horizontal="general" vertical="bottom" textRotation="0" wrapText="false" indent="0" shrinkToFit="false"/>
      <protection locked="true" hidden="true"/>
    </xf>
    <xf numFmtId="164" fontId="39" fillId="0" borderId="0" xfId="23" applyFont="true" applyBorder="true" applyAlignment="true" applyProtection="true">
      <alignment horizontal="general" vertical="bottom" textRotation="0" wrapText="false" indent="0" shrinkToFit="false"/>
      <protection locked="true" hidden="true"/>
    </xf>
    <xf numFmtId="170" fontId="19" fillId="0" borderId="0" xfId="23" applyFont="true" applyBorder="true" applyAlignment="true" applyProtection="true">
      <alignment horizontal="left" vertical="bottom" textRotation="0" wrapText="false" indent="0" shrinkToFit="false"/>
      <protection locked="true" hidden="true"/>
    </xf>
    <xf numFmtId="184" fontId="8" fillId="0" borderId="0" xfId="23" applyFont="true" applyBorder="true" applyAlignment="true" applyProtection="true">
      <alignment horizontal="right" vertical="bottom" textRotation="0" wrapText="false" indent="0" shrinkToFit="false"/>
      <protection locked="true" hidden="true"/>
    </xf>
    <xf numFmtId="170" fontId="34" fillId="0" borderId="0" xfId="23" applyFont="true" applyBorder="true" applyAlignment="true" applyProtection="true">
      <alignment horizontal="right" vertical="bottom" textRotation="0" wrapText="false" indent="0" shrinkToFit="false"/>
      <protection locked="true" hidden="true"/>
    </xf>
    <xf numFmtId="170" fontId="19" fillId="0" borderId="131" xfId="23" applyFont="true" applyBorder="true" applyAlignment="true" applyProtection="true">
      <alignment horizontal="general" vertical="bottom" textRotation="0" wrapText="false" indent="0" shrinkToFit="false"/>
      <protection locked="true" hidden="true"/>
    </xf>
    <xf numFmtId="170" fontId="19" fillId="0" borderId="113" xfId="23" applyFont="true" applyBorder="true" applyAlignment="true" applyProtection="true">
      <alignment horizontal="general" vertical="bottom" textRotation="0" wrapText="false" indent="0" shrinkToFit="false"/>
      <protection locked="true" hidden="true"/>
    </xf>
    <xf numFmtId="171" fontId="39" fillId="0" borderId="0" xfId="23" applyFont="true" applyBorder="true" applyAlignment="true" applyProtection="true">
      <alignment horizontal="general" vertical="bottom" textRotation="0" wrapText="false" indent="0" shrinkToFit="false"/>
      <protection locked="true" hidden="true"/>
    </xf>
    <xf numFmtId="170" fontId="19" fillId="0" borderId="132" xfId="23" applyFont="true" applyBorder="true" applyAlignment="true" applyProtection="true">
      <alignment horizontal="general" vertical="bottom" textRotation="0" wrapText="false" indent="0" shrinkToFit="false"/>
      <protection locked="true" hidden="true"/>
    </xf>
    <xf numFmtId="170" fontId="19" fillId="0" borderId="133" xfId="23" applyFont="true" applyBorder="true" applyAlignment="true" applyProtection="true">
      <alignment horizontal="general" vertical="bottom" textRotation="0" wrapText="false" indent="0" shrinkToFit="false"/>
      <protection locked="true" hidden="true"/>
    </xf>
    <xf numFmtId="170" fontId="19" fillId="0" borderId="134" xfId="23" applyFont="true" applyBorder="true" applyAlignment="true" applyProtection="true">
      <alignment horizontal="general" vertical="bottom" textRotation="0" wrapText="false" indent="0" shrinkToFit="false"/>
      <protection locked="true" hidden="true"/>
    </xf>
    <xf numFmtId="170" fontId="19" fillId="0" borderId="135" xfId="23" applyFont="true" applyBorder="true" applyAlignment="true" applyProtection="true">
      <alignment horizontal="general" vertical="bottom" textRotation="0" wrapText="false" indent="0" shrinkToFit="false"/>
      <protection locked="true" hidden="true"/>
    </xf>
    <xf numFmtId="170" fontId="19" fillId="0" borderId="136" xfId="23" applyFont="true" applyBorder="true" applyAlignment="true" applyProtection="true">
      <alignment horizontal="general" vertical="bottom" textRotation="0" wrapText="false" indent="0" shrinkToFit="false"/>
      <protection locked="true" hidden="true"/>
    </xf>
    <xf numFmtId="170" fontId="19" fillId="0" borderId="137" xfId="23" applyFont="true" applyBorder="true" applyAlignment="true" applyProtection="true">
      <alignment horizontal="general" vertical="bottom" textRotation="0" wrapText="false" indent="0" shrinkToFit="false"/>
      <protection locked="true" hidden="true"/>
    </xf>
    <xf numFmtId="170" fontId="19" fillId="0" borderId="138" xfId="23" applyFont="true" applyBorder="true" applyAlignment="true" applyProtection="true">
      <alignment horizontal="general" vertical="bottom" textRotation="0" wrapText="false" indent="0" shrinkToFit="false"/>
      <protection locked="true" hidden="true"/>
    </xf>
    <xf numFmtId="170" fontId="19" fillId="0" borderId="139" xfId="23" applyFont="true" applyBorder="true" applyAlignment="true" applyProtection="true">
      <alignment horizontal="general" vertical="bottom" textRotation="0" wrapText="false" indent="0" shrinkToFit="false"/>
      <protection locked="true" hidden="true"/>
    </xf>
    <xf numFmtId="170" fontId="19" fillId="0" borderId="140" xfId="23" applyFont="true" applyBorder="true" applyAlignment="true" applyProtection="true">
      <alignment horizontal="general" vertical="bottom" textRotation="0" wrapText="false" indent="0" shrinkToFit="false"/>
      <protection locked="true" hidden="true"/>
    </xf>
    <xf numFmtId="170" fontId="19" fillId="0" borderId="141" xfId="23" applyFont="true" applyBorder="true" applyAlignment="true" applyProtection="true">
      <alignment horizontal="general" vertical="bottom" textRotation="0" wrapText="false" indent="0" shrinkToFit="false"/>
      <protection locked="true" hidden="true"/>
    </xf>
    <xf numFmtId="170" fontId="19" fillId="0" borderId="116" xfId="23" applyFont="true" applyBorder="true" applyAlignment="true" applyProtection="true">
      <alignment horizontal="general" vertical="bottom" textRotation="0" wrapText="false" indent="0" shrinkToFit="false"/>
      <protection locked="true" hidden="true"/>
    </xf>
    <xf numFmtId="170" fontId="19" fillId="0" borderId="142" xfId="23" applyFont="true" applyBorder="true" applyAlignment="true" applyProtection="true">
      <alignment horizontal="general" vertical="bottom" textRotation="0" wrapText="false" indent="0" shrinkToFit="false"/>
      <protection locked="true" hidden="true"/>
    </xf>
    <xf numFmtId="170" fontId="19" fillId="0" borderId="143" xfId="23" applyFont="true" applyBorder="true" applyAlignment="true" applyProtection="true">
      <alignment horizontal="general" vertical="bottom" textRotation="0" wrapText="false" indent="0" shrinkToFit="false"/>
      <protection locked="true" hidden="true"/>
    </xf>
    <xf numFmtId="164" fontId="34" fillId="0" borderId="0" xfId="23" applyFont="true" applyBorder="true" applyAlignment="true" applyProtection="true">
      <alignment horizontal="right" vertical="bottom" textRotation="0" wrapText="false" indent="0" shrinkToFit="false"/>
      <protection locked="true" hidden="true"/>
    </xf>
    <xf numFmtId="170" fontId="19" fillId="0" borderId="0" xfId="23" applyFont="true" applyBorder="true" applyAlignment="true" applyProtection="true">
      <alignment horizontal="center" vertical="bottom" textRotation="0" wrapText="false" indent="0" shrinkToFit="false"/>
      <protection locked="true" hidden="true"/>
    </xf>
    <xf numFmtId="164" fontId="16" fillId="0" borderId="0" xfId="23" applyFont="true" applyBorder="false" applyAlignment="true" applyProtection="false">
      <alignment horizontal="right" vertical="bottom" textRotation="0" wrapText="false" indent="0" shrinkToFit="false"/>
      <protection locked="true" hidden="false"/>
    </xf>
    <xf numFmtId="164" fontId="8" fillId="0" borderId="0" xfId="24" applyFont="true" applyBorder="true" applyAlignment="true" applyProtection="false">
      <alignment horizontal="general" vertical="bottom" textRotation="0" wrapText="false" indent="0" shrinkToFit="false"/>
      <protection locked="true" hidden="false"/>
    </xf>
    <xf numFmtId="164" fontId="0" fillId="0" borderId="0" xfId="23" applyFont="true" applyBorder="false" applyAlignment="true" applyProtection="true">
      <alignment horizontal="general" vertical="bottom" textRotation="0" wrapText="false" indent="0" shrinkToFit="false"/>
      <protection locked="true" hidden="true"/>
    </xf>
    <xf numFmtId="164" fontId="40" fillId="0" borderId="0" xfId="23" applyFont="true" applyBorder="false" applyAlignment="true" applyProtection="true">
      <alignment horizontal="general" vertical="bottom" textRotation="0" wrapText="false" indent="0" shrinkToFit="false"/>
      <protection locked="true" hidden="true"/>
    </xf>
    <xf numFmtId="164" fontId="16" fillId="0" borderId="0" xfId="23" applyFont="true" applyBorder="false" applyAlignment="true" applyProtection="true">
      <alignment horizontal="general" vertical="bottom" textRotation="0" wrapText="false" indent="0" shrinkToFit="false"/>
      <protection locked="true" hidden="true"/>
    </xf>
    <xf numFmtId="164" fontId="0" fillId="0" borderId="0" xfId="23" applyFont="true" applyBorder="true" applyAlignment="true" applyProtection="true">
      <alignment horizontal="general" vertical="bottom" textRotation="0" wrapText="false" indent="0" shrinkToFit="false"/>
      <protection locked="true" hidden="true"/>
    </xf>
    <xf numFmtId="164" fontId="41" fillId="0" borderId="0" xfId="23" applyFont="true" applyBorder="true" applyAlignment="true" applyProtection="true">
      <alignment horizontal="right" vertical="bottom" textRotation="0" wrapText="false" indent="0" shrinkToFit="false"/>
      <protection locked="true" hidden="true"/>
    </xf>
    <xf numFmtId="164" fontId="16" fillId="0" borderId="0" xfId="23" applyFont="true" applyBorder="false" applyAlignment="true" applyProtection="true">
      <alignment horizontal="right" vertical="bottom" textRotation="0" wrapText="false" indent="0" shrinkToFit="false"/>
      <protection locked="true" hidden="true"/>
    </xf>
    <xf numFmtId="170" fontId="8" fillId="0" borderId="0" xfId="23" applyFont="true" applyBorder="false" applyAlignment="true" applyProtection="true">
      <alignment horizontal="general" vertical="bottom" textRotation="0" wrapText="false" indent="0" shrinkToFit="false"/>
      <protection locked="true" hidden="true"/>
    </xf>
    <xf numFmtId="185" fontId="8" fillId="0" borderId="0" xfId="19" applyFont="true" applyBorder="true" applyAlignment="true" applyProtection="true">
      <alignment horizontal="general" vertical="bottom" textRotation="0" wrapText="false" indent="0" shrinkToFit="false"/>
      <protection locked="true" hidden="true"/>
    </xf>
    <xf numFmtId="170" fontId="0" fillId="0" borderId="0" xfId="23" applyFont="true" applyBorder="false" applyAlignment="true" applyProtection="true">
      <alignment horizontal="general" vertical="bottom" textRotation="0" wrapText="false" indent="0" shrinkToFit="false"/>
      <protection locked="true" hidden="true"/>
    </xf>
    <xf numFmtId="186" fontId="8" fillId="0" borderId="0" xfId="19" applyFont="true" applyBorder="true" applyAlignment="true" applyProtection="true">
      <alignment horizontal="general" vertical="bottom" textRotation="0" wrapText="false" indent="0" shrinkToFit="false"/>
      <protection locked="true" hidden="true"/>
    </xf>
    <xf numFmtId="164" fontId="7" fillId="0" borderId="0" xfId="24" applyFont="false" applyBorder="false" applyAlignment="true" applyProtection="true">
      <alignment horizontal="general" vertical="bottom" textRotation="0" wrapText="false" indent="0" shrinkToFit="false"/>
      <protection locked="true" hidden="true"/>
    </xf>
    <xf numFmtId="170" fontId="41" fillId="0" borderId="0" xfId="23" applyFont="true" applyBorder="false" applyAlignment="true" applyProtection="true">
      <alignment horizontal="right" vertical="bottom" textRotation="0" wrapText="false" indent="0" shrinkToFit="false"/>
      <protection locked="true" hidden="true"/>
    </xf>
    <xf numFmtId="170" fontId="15" fillId="0" borderId="144" xfId="23" applyFont="true" applyBorder="true" applyAlignment="true" applyProtection="false">
      <alignment horizontal="right" vertical="bottom" textRotation="0" wrapText="false" indent="0" shrinkToFit="false"/>
      <protection locked="true" hidden="false"/>
    </xf>
    <xf numFmtId="164" fontId="16" fillId="0" borderId="0" xfId="23" applyFont="true" applyBorder="true" applyAlignment="true" applyProtection="true">
      <alignment horizontal="general" vertical="bottom" textRotation="0" wrapText="false" indent="0" shrinkToFit="false"/>
      <protection locked="true" hidden="true"/>
    </xf>
    <xf numFmtId="164" fontId="16" fillId="0" borderId="0" xfId="23" applyFont="true" applyBorder="true" applyAlignment="true" applyProtection="true">
      <alignment horizontal="general" vertical="bottom" textRotation="0" wrapText="false" indent="0" shrinkToFit="false"/>
      <protection locked="true" hidden="true"/>
    </xf>
    <xf numFmtId="171" fontId="40" fillId="0" borderId="0" xfId="23" applyFont="true" applyBorder="false" applyAlignment="true" applyProtection="true">
      <alignment horizontal="general" vertical="bottom" textRotation="0" wrapText="false" indent="0" shrinkToFit="false"/>
      <protection locked="true" hidden="true"/>
    </xf>
    <xf numFmtId="171" fontId="10" fillId="0" borderId="0" xfId="23" applyFont="true" applyBorder="false" applyAlignment="true" applyProtection="true">
      <alignment horizontal="right" vertical="bottom" textRotation="0" wrapText="false" indent="0" shrinkToFit="false"/>
      <protection locked="true" hidden="true"/>
    </xf>
    <xf numFmtId="171" fontId="0" fillId="0" borderId="0" xfId="23" applyFont="true" applyBorder="false" applyAlignment="true" applyProtection="true">
      <alignment horizontal="general" vertical="bottom" textRotation="0" wrapText="false" indent="0" shrinkToFit="false"/>
      <protection locked="true" hidden="true"/>
    </xf>
    <xf numFmtId="171" fontId="8" fillId="0" borderId="0" xfId="23" applyFont="true" applyBorder="false" applyAlignment="true" applyProtection="true">
      <alignment horizontal="center" vertical="bottom" textRotation="0" wrapText="false" indent="0" shrinkToFit="false"/>
      <protection locked="true" hidden="true"/>
    </xf>
    <xf numFmtId="187" fontId="0" fillId="0" borderId="0" xfId="23" applyFont="true" applyBorder="false" applyAlignment="true" applyProtection="true">
      <alignment horizontal="general" vertical="bottom" textRotation="0" wrapText="false" indent="0" shrinkToFit="false"/>
      <protection locked="true" hidden="true"/>
    </xf>
    <xf numFmtId="164" fontId="8" fillId="0" borderId="0" xfId="24" applyFont="true" applyBorder="false" applyAlignment="true" applyProtection="true">
      <alignment horizontal="right" vertical="bottom" textRotation="0" wrapText="false" indent="0" shrinkToFit="false"/>
      <protection locked="true" hidden="true"/>
    </xf>
    <xf numFmtId="170" fontId="10" fillId="0" borderId="145" xfId="0" applyFont="true" applyBorder="true" applyAlignment="true" applyProtection="false">
      <alignment horizontal="general" vertical="bottom" textRotation="0" wrapText="false" indent="0" shrinkToFit="false"/>
      <protection locked="true" hidden="false"/>
    </xf>
    <xf numFmtId="171" fontId="16" fillId="0" borderId="0" xfId="23" applyFont="true" applyBorder="false" applyAlignment="true" applyProtection="true">
      <alignment horizontal="general" vertical="bottom" textRotation="0" wrapText="false" indent="0" shrinkToFit="false"/>
      <protection locked="true" hidden="true"/>
    </xf>
    <xf numFmtId="171" fontId="16" fillId="0" borderId="0" xfId="23" applyFont="true" applyBorder="false" applyAlignment="true" applyProtection="true">
      <alignment horizontal="right" vertical="bottom" textRotation="0" wrapText="false" indent="0" shrinkToFit="false"/>
      <protection locked="true" hidden="true"/>
    </xf>
    <xf numFmtId="170" fontId="10" fillId="0" borderId="0" xfId="0" applyFont="true" applyBorder="true" applyAlignment="true" applyProtection="false">
      <alignment horizontal="general" vertical="bottom" textRotation="0" wrapText="false" indent="0" shrinkToFit="false"/>
      <protection locked="true" hidden="false"/>
    </xf>
    <xf numFmtId="164" fontId="0" fillId="0" borderId="0" xfId="23" applyFont="true" applyBorder="false" applyAlignment="true" applyProtection="false">
      <alignment horizontal="general" vertical="bottom" textRotation="0" wrapText="false" indent="0" shrinkToFit="false"/>
      <protection locked="true" hidden="false"/>
    </xf>
    <xf numFmtId="171" fontId="16" fillId="0" borderId="0" xfId="23" applyFont="true" applyBorder="false" applyAlignment="true" applyProtection="false">
      <alignment horizontal="general" vertical="bottom" textRotation="0" wrapText="false" indent="0" shrinkToFit="false"/>
      <protection locked="true" hidden="false"/>
    </xf>
    <xf numFmtId="170" fontId="16" fillId="0" borderId="0" xfId="23" applyFont="true" applyBorder="false" applyAlignment="true" applyProtection="false">
      <alignment horizontal="general" vertical="bottom" textRotation="0" wrapText="false" indent="0" shrinkToFit="false"/>
      <protection locked="true" hidden="false"/>
    </xf>
    <xf numFmtId="170" fontId="8" fillId="0" borderId="0" xfId="23" applyFont="true" applyBorder="true" applyAlignment="true" applyProtection="false">
      <alignment horizontal="center" vertical="bottom" textRotation="0" wrapText="true" indent="0" shrinkToFit="false"/>
      <protection locked="true" hidden="false"/>
    </xf>
    <xf numFmtId="170" fontId="16" fillId="4" borderId="0" xfId="23" applyFont="true" applyBorder="false" applyAlignment="true" applyProtection="false">
      <alignment horizontal="general" vertical="bottom" textRotation="0" wrapText="false" indent="0" shrinkToFit="false"/>
      <protection locked="true" hidden="false"/>
    </xf>
    <xf numFmtId="175" fontId="8" fillId="0" borderId="0" xfId="15" applyFont="true" applyBorder="true" applyAlignment="true" applyProtection="true">
      <alignment horizontal="general" vertical="bottom" textRotation="0" wrapText="false" indent="0" shrinkToFit="false"/>
      <protection locked="true" hidden="false"/>
    </xf>
    <xf numFmtId="164" fontId="8" fillId="0" borderId="0" xfId="24" applyFont="true" applyBorder="false" applyAlignment="false" applyProtection="false">
      <alignment horizontal="general" vertical="bottom" textRotation="0" wrapText="false" indent="0" shrinkToFit="false"/>
      <protection locked="true" hidden="false"/>
    </xf>
    <xf numFmtId="170" fontId="16" fillId="0" borderId="0" xfId="23" applyFont="true" applyBorder="true" applyAlignment="tru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70" fontId="16" fillId="0" borderId="0" xfId="23" applyFont="true" applyBorder="false" applyAlignment="true" applyProtection="false">
      <alignment horizontal="right" vertical="bottom" textRotation="0" wrapText="false" indent="0" shrinkToFit="false"/>
      <protection locked="true" hidden="false"/>
    </xf>
  </cellXfs>
  <cellStyles count="40">
    <cellStyle name="Normal" xfId="0" builtinId="0"/>
    <cellStyle name="Comma" xfId="15" builtinId="3"/>
    <cellStyle name="Comma [0]" xfId="16" builtinId="6"/>
    <cellStyle name="Currency" xfId="17" builtinId="4"/>
    <cellStyle name="Currency [0]" xfId="18" builtinId="7"/>
    <cellStyle name="Percent" xfId="19" builtinId="5"/>
    <cellStyle name="Normal_Act Data" xfId="20"/>
    <cellStyle name="Normal_Act Data_1" xfId="21"/>
    <cellStyle name="Normal_asline" xfId="22"/>
    <cellStyle name="Normal_bon's worksheet 5 27" xfId="23"/>
    <cellStyle name="Normal_Channel Track 97" xfId="24"/>
    <cellStyle name="Normal_Chansch" xfId="25"/>
    <cellStyle name="Normal_Chansch97" xfId="26"/>
    <cellStyle name="Normal_CIG_LP" xfId="27"/>
    <cellStyle name="Normal_CIG_OUT" xfId="28"/>
    <cellStyle name="Normal_CIGLP" xfId="29"/>
    <cellStyle name="Normal_Cigsch" xfId="30"/>
    <cellStyle name="Normal_CW Record Set tags" xfId="31"/>
    <cellStyle name="Normal_Dow Summary" xfId="32"/>
    <cellStyle name="Normal_DowDT4" xfId="33"/>
    <cellStyle name="Normal_DowDT5" xfId="34"/>
    <cellStyle name="Normal_DT Summary" xfId="35"/>
    <cellStyle name="Normal_Gc981217" xfId="36"/>
    <cellStyle name="Normal_Gc990311" xfId="37"/>
    <cellStyle name="Normal_Gc990312" xfId="38"/>
    <cellStyle name="Normal_Gc990313" xfId="39"/>
    <cellStyle name="Normal_Gc990314" xfId="40"/>
    <cellStyle name="Normal_Gc990315" xfId="41"/>
    <cellStyle name="Normal_Gc990323" xfId="42"/>
    <cellStyle name="Normal_Gc990601" xfId="43"/>
    <cellStyle name="Normal_Gc990602" xfId="44"/>
    <cellStyle name="Normal_Gc990603" xfId="45"/>
    <cellStyle name="Normal_Gc990604" xfId="46"/>
    <cellStyle name="Normal_Gc990605" xfId="47"/>
    <cellStyle name="Normal_Gc990606" xfId="48"/>
    <cellStyle name="Normal_pomsrealtime" xfId="49"/>
    <cellStyle name="Normal_Sheet1" xfId="50"/>
    <cellStyle name="Normal_Sheet1 (2)" xfId="51"/>
    <cellStyle name="Normal_Sheet1_1" xfId="52"/>
    <cellStyle name="Normal_Update Data" xfId="53"/>
  </cellStyles>
  <dxfs count="3">
    <dxf>
      <font>
        <name val="Times New Roman"/>
        <family val="0"/>
        <color rgb="00FFFFFF"/>
      </font>
      <fill>
        <patternFill>
          <bgColor rgb="FFFFFF00"/>
        </patternFill>
      </fill>
    </dxf>
    <dxf>
      <font>
        <name val="Times New Roman"/>
        <family val="0"/>
        <color rgb="00FFFFFF"/>
      </font>
      <fill>
        <patternFill>
          <bgColor rgb="FFFFFF00"/>
        </patternFill>
      </fill>
    </dxf>
    <dxf>
      <font>
        <name val="Times New Roman"/>
        <family val="0"/>
        <color rgb="00FFFFFF"/>
      </font>
      <fill>
        <patternFill>
          <bgColor rgb="FF00FF00"/>
        </patternFill>
      </fill>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externalLink" Target="externalLinks/externalLink1.xml"/><Relationship Id="rId8"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345685840707965"/>
          <c:y val="0.0590318772136954"/>
          <c:w val="0.965431415929204"/>
          <c:h val="0.940968122786305"/>
        </c:manualLayout>
      </c:layout>
      <c:lineChart>
        <c:grouping val="standard"/>
        <c:varyColors val="0"/>
        <c:ser>
          <c:idx val="0"/>
          <c:order val="0"/>
          <c:tx>
            <c:strRef>
              <c:f>"Current Pressure"</c:f>
              <c:strCache>
                <c:ptCount val="1"/>
                <c:pt idx="0">
                  <c:v>Current Pressure</c:v>
                </c:pt>
              </c:strCache>
            </c:strRef>
          </c:tx>
          <c:spPr>
            <a:solidFill>
              <a:srgbClr val="008000"/>
            </a:solidFill>
            <a:ln w="37800">
              <a:solidFill>
                <a:srgbClr val="008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37800">
                  <a:solidFill>
                    <a:srgbClr val="000000"/>
                  </a:solidFill>
                </a:ln>
              </c:spPr>
            </c:leaderLines>
            <c:extLst>
              <c:ext xmlns:c15="http://schemas.microsoft.com/office/drawing/2012/chart" uri="{CE6537A1-D6FC-4f65-9D91-7224C49458BB}">
                <c15:showLeaderLines val="1"/>
              </c:ext>
            </c:extLst>
          </c:dLbls>
          <c:cat>
            <c:strRef>
              <c:f>[1]Summary!$B$18:$B$33</c:f>
              <c:strCache>
                <c:ptCount val="16"/>
                <c:pt idx="0">
                  <c:v>800</c:v>
                </c:pt>
                <c:pt idx="1">
                  <c:v>Suct 802</c:v>
                </c:pt>
                <c:pt idx="2">
                  <c:v>Disch 802</c:v>
                </c:pt>
                <c:pt idx="3">
                  <c:v>Suct 804</c:v>
                </c:pt>
                <c:pt idx="4">
                  <c:v>Disch 804</c:v>
                </c:pt>
                <c:pt idx="5">
                  <c:v>Suct 806</c:v>
                </c:pt>
                <c:pt idx="6">
                  <c:v>Disch 806</c:v>
                </c:pt>
                <c:pt idx="7">
                  <c:v>Bless</c:v>
                </c:pt>
                <c:pt idx="8">
                  <c:v>Suct 809</c:v>
                </c:pt>
                <c:pt idx="9">
                  <c:v>Disch 809</c:v>
                </c:pt>
                <c:pt idx="10">
                  <c:v>Suct 8121A</c:v>
                </c:pt>
                <c:pt idx="11">
                  <c:v>Disch 8121A</c:v>
                </c:pt>
                <c:pt idx="12">
                  <c:v>Disch 812</c:v>
                </c:pt>
                <c:pt idx="13">
                  <c:v>813</c:v>
                </c:pt>
                <c:pt idx="14">
                  <c:v>814.1</c:v>
                </c:pt>
                <c:pt idx="15">
                  <c:v>820</c:v>
                </c:pt>
              </c:strCache>
            </c:strRef>
          </c:cat>
          <c:val>
            <c:numRef>
              <c:f>[1]Summary!$C$18:$C$33</c:f>
              <c:numCache>
                <c:formatCode>General</c:formatCode>
                <c:ptCount val="16"/>
                <c:pt idx="0">
                  <c:v>823.845337</c:v>
                </c:pt>
                <c:pt idx="1">
                  <c:v>786.788391</c:v>
                </c:pt>
                <c:pt idx="2">
                  <c:v>787.056946</c:v>
                </c:pt>
                <c:pt idx="3">
                  <c:v>738</c:v>
                </c:pt>
                <c:pt idx="4">
                  <c:v>736</c:v>
                </c:pt>
                <c:pt idx="5">
                  <c:v>699.994019</c:v>
                </c:pt>
                <c:pt idx="6">
                  <c:v>888.786987</c:v>
                </c:pt>
                <c:pt idx="7">
                  <c:v>843.254578</c:v>
                </c:pt>
                <c:pt idx="8">
                  <c:v>806.078979</c:v>
                </c:pt>
                <c:pt idx="9">
                  <c:v>803.942993</c:v>
                </c:pt>
                <c:pt idx="10">
                  <c:v>729.591858</c:v>
                </c:pt>
                <c:pt idx="11">
                  <c:v>722.072998</c:v>
                </c:pt>
                <c:pt idx="12">
                  <c:v>719.119263</c:v>
                </c:pt>
                <c:pt idx="13">
                  <c:v>703.544556</c:v>
                </c:pt>
                <c:pt idx="14">
                  <c:v>632.787354</c:v>
                </c:pt>
                <c:pt idx="15">
                  <c:v>634.80127</c:v>
                </c:pt>
              </c:numCache>
            </c:numRef>
          </c:val>
          <c:smooth val="0"/>
        </c:ser>
        <c:ser>
          <c:idx val="1"/>
          <c:order val="1"/>
          <c:tx>
            <c:strRef>
              <c:f>"MAOP"</c:f>
              <c:strCache>
                <c:ptCount val="1"/>
                <c:pt idx="0">
                  <c:v>MAOP</c:v>
                </c:pt>
              </c:strCache>
            </c:strRef>
          </c:tx>
          <c:spPr>
            <a:solidFill>
              <a:srgbClr val="ff0000"/>
            </a:solidFill>
            <a:ln w="37800">
              <a:solidFill>
                <a:srgbClr val="ff0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37800">
                  <a:solidFill>
                    <a:srgbClr val="000000"/>
                  </a:solidFill>
                </a:ln>
              </c:spPr>
            </c:leaderLines>
            <c:extLst>
              <c:ext xmlns:c15="http://schemas.microsoft.com/office/drawing/2012/chart" uri="{CE6537A1-D6FC-4f65-9D91-7224C49458BB}">
                <c15:showLeaderLines val="1"/>
              </c:ext>
            </c:extLst>
          </c:dLbls>
          <c:cat>
            <c:strRef>
              <c:f>[1]Summary!$B$18:$B$33</c:f>
              <c:strCache>
                <c:ptCount val="16"/>
                <c:pt idx="0">
                  <c:v>800</c:v>
                </c:pt>
                <c:pt idx="1">
                  <c:v>Suct 802</c:v>
                </c:pt>
                <c:pt idx="2">
                  <c:v>Disch 802</c:v>
                </c:pt>
                <c:pt idx="3">
                  <c:v>Suct 804</c:v>
                </c:pt>
                <c:pt idx="4">
                  <c:v>Disch 804</c:v>
                </c:pt>
                <c:pt idx="5">
                  <c:v>Suct 806</c:v>
                </c:pt>
                <c:pt idx="6">
                  <c:v>Disch 806</c:v>
                </c:pt>
                <c:pt idx="7">
                  <c:v>Bless</c:v>
                </c:pt>
                <c:pt idx="8">
                  <c:v>Suct 809</c:v>
                </c:pt>
                <c:pt idx="9">
                  <c:v>Disch 809</c:v>
                </c:pt>
                <c:pt idx="10">
                  <c:v>Suct 8121A</c:v>
                </c:pt>
                <c:pt idx="11">
                  <c:v>Disch 8121A</c:v>
                </c:pt>
                <c:pt idx="12">
                  <c:v>Disch 812</c:v>
                </c:pt>
                <c:pt idx="13">
                  <c:v>813</c:v>
                </c:pt>
                <c:pt idx="14">
                  <c:v>814.1</c:v>
                </c:pt>
                <c:pt idx="15">
                  <c:v>820</c:v>
                </c:pt>
              </c:strCache>
            </c:strRef>
          </c:cat>
          <c:val>
            <c:numRef>
              <c:f>[1]Summary!$E$18:$E$33</c:f>
              <c:numCache>
                <c:formatCode>General</c:formatCode>
                <c:ptCount val="16"/>
                <c:pt idx="0">
                  <c:v>925</c:v>
                </c:pt>
                <c:pt idx="1">
                  <c:v>936</c:v>
                </c:pt>
                <c:pt idx="2">
                  <c:v>936</c:v>
                </c:pt>
                <c:pt idx="3">
                  <c:v>936</c:v>
                </c:pt>
                <c:pt idx="4">
                  <c:v>936</c:v>
                </c:pt>
                <c:pt idx="5">
                  <c:v>936</c:v>
                </c:pt>
                <c:pt idx="6">
                  <c:v>926</c:v>
                </c:pt>
                <c:pt idx="7">
                  <c:v>926</c:v>
                </c:pt>
                <c:pt idx="8">
                  <c:v>926</c:v>
                </c:pt>
                <c:pt idx="9">
                  <c:v>936</c:v>
                </c:pt>
                <c:pt idx="10">
                  <c:v>936</c:v>
                </c:pt>
                <c:pt idx="11">
                  <c:v>936</c:v>
                </c:pt>
                <c:pt idx="12">
                  <c:v>936</c:v>
                </c:pt>
                <c:pt idx="13">
                  <c:v>715</c:v>
                </c:pt>
                <c:pt idx="14">
                  <c:v>715</c:v>
                </c:pt>
                <c:pt idx="15">
                  <c:v>936</c:v>
                </c:pt>
              </c:numCache>
            </c:numRef>
          </c:val>
          <c:smooth val="0"/>
        </c:ser>
        <c:ser>
          <c:idx val="2"/>
          <c:order val="2"/>
          <c:tx>
            <c:strRef>
              <c:f>[1]Summary!$D$17</c:f>
              <c:strCache>
                <c:ptCount val="1"/>
                <c:pt idx="0">
                  <c:v>MIN</c:v>
                </c:pt>
              </c:strCache>
            </c:strRef>
          </c:tx>
          <c:spPr>
            <a:solidFill>
              <a:srgbClr val="ff0000"/>
            </a:solidFill>
            <a:ln w="37800">
              <a:solidFill>
                <a:srgbClr val="ff0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37800">
                  <a:solidFill>
                    <a:srgbClr val="000000"/>
                  </a:solidFill>
                </a:ln>
              </c:spPr>
            </c:leaderLines>
            <c:extLst>
              <c:ext xmlns:c15="http://schemas.microsoft.com/office/drawing/2012/chart" uri="{CE6537A1-D6FC-4f65-9D91-7224C49458BB}">
                <c15:showLeaderLines val="1"/>
              </c:ext>
            </c:extLst>
          </c:dLbls>
          <c:cat>
            <c:strRef>
              <c:f>[1]Summary!$B$18:$B$33</c:f>
              <c:strCache>
                <c:ptCount val="16"/>
                <c:pt idx="0">
                  <c:v>800</c:v>
                </c:pt>
                <c:pt idx="1">
                  <c:v>Suct 802</c:v>
                </c:pt>
                <c:pt idx="2">
                  <c:v>Disch 802</c:v>
                </c:pt>
                <c:pt idx="3">
                  <c:v>Suct 804</c:v>
                </c:pt>
                <c:pt idx="4">
                  <c:v>Disch 804</c:v>
                </c:pt>
                <c:pt idx="5">
                  <c:v>Suct 806</c:v>
                </c:pt>
                <c:pt idx="6">
                  <c:v>Disch 806</c:v>
                </c:pt>
                <c:pt idx="7">
                  <c:v>Bless</c:v>
                </c:pt>
                <c:pt idx="8">
                  <c:v>Suct 809</c:v>
                </c:pt>
                <c:pt idx="9">
                  <c:v>Disch 809</c:v>
                </c:pt>
                <c:pt idx="10">
                  <c:v>Suct 8121A</c:v>
                </c:pt>
                <c:pt idx="11">
                  <c:v>Disch 8121A</c:v>
                </c:pt>
                <c:pt idx="12">
                  <c:v>Disch 812</c:v>
                </c:pt>
                <c:pt idx="13">
                  <c:v>813</c:v>
                </c:pt>
                <c:pt idx="14">
                  <c:v>814.1</c:v>
                </c:pt>
                <c:pt idx="15">
                  <c:v>820</c:v>
                </c:pt>
              </c:strCache>
            </c:strRef>
          </c:cat>
          <c:val>
            <c:numRef>
              <c:f>[1]Summary!$D$18:$D$33</c:f>
              <c:numCache>
                <c:formatCode>General</c:formatCode>
                <c:ptCount val="16"/>
                <c:pt idx="0">
                  <c:v>750</c:v>
                </c:pt>
                <c:pt idx="1">
                  <c:v>750</c:v>
                </c:pt>
                <c:pt idx="4">
                  <c:v>600</c:v>
                </c:pt>
                <c:pt idx="5">
                  <c:v>600</c:v>
                </c:pt>
                <c:pt idx="14">
                  <c:v>535</c:v>
                </c:pt>
                <c:pt idx="15">
                  <c:v>530</c:v>
                </c:pt>
              </c:numCache>
            </c:numRef>
          </c:val>
          <c:smooth val="0"/>
        </c:ser>
        <c:hiLowLines>
          <c:spPr>
            <a:ln w="0">
              <a:noFill/>
            </a:ln>
          </c:spPr>
        </c:hiLowLines>
        <c:marker val="0"/>
        <c:axId val="87794061"/>
        <c:axId val="89435070"/>
      </c:lineChart>
      <c:catAx>
        <c:axId val="87794061"/>
        <c:scaling>
          <c:orientation val="minMax"/>
        </c:scaling>
        <c:delete val="1"/>
        <c:axPos val="b"/>
        <c:majorGridlines>
          <c:spPr>
            <a:ln w="0">
              <a:solidFill>
                <a:srgbClr val="000000"/>
              </a:solidFill>
            </a:ln>
          </c:spPr>
        </c:majorGridlines>
        <c:numFmt formatCode="General" sourceLinked="1"/>
        <c:majorTickMark val="out"/>
        <c:minorTickMark val="none"/>
        <c:tickLblPos val="nextTo"/>
        <c:spPr>
          <a:ln w="0">
            <a:noFill/>
          </a:ln>
        </c:spPr>
        <c:txPr>
          <a:bodyPr/>
          <a:lstStyle/>
          <a:p>
            <a:pPr>
              <a:defRPr b="0" sz="275" strike="noStrike" u="none">
                <a:solidFill>
                  <a:srgbClr val="000000"/>
                </a:solidFill>
                <a:uFillTx/>
                <a:latin typeface="Times New Roman"/>
              </a:defRPr>
            </a:pPr>
          </a:p>
        </c:txPr>
        <c:crossAx val="89435070"/>
        <c:auto val="1"/>
        <c:lblAlgn val="ctr"/>
        <c:lblOffset val="100"/>
        <c:noMultiLvlLbl val="0"/>
      </c:catAx>
      <c:valAx>
        <c:axId val="89435070"/>
        <c:scaling>
          <c:orientation val="minMax"/>
          <c:max val="950"/>
          <c:min val="450"/>
        </c:scaling>
        <c:delete val="0"/>
        <c:axPos val="l"/>
        <c:majorGridlines>
          <c:spPr>
            <a:ln w="0">
              <a:solidFill>
                <a:srgbClr val="008000"/>
              </a:solidFill>
            </a:ln>
          </c:spPr>
        </c:majorGridlines>
        <c:title>
          <c:tx>
            <c:rich>
              <a:bodyPr rot="-5400000"/>
              <a:lstStyle/>
              <a:p>
                <a:pPr>
                  <a:defRPr b="0" sz="1300" strike="noStrike" u="none">
                    <a:uFillTx/>
                    <a:latin typeface="Arial"/>
                  </a:defRPr>
                </a:pPr>
                <a:r>
                  <a:rPr b="0" sz="275" strike="noStrike" u="none">
                    <a:solidFill>
                      <a:srgbClr val="000000"/>
                    </a:solidFill>
                    <a:uFillTx/>
                    <a:latin typeface="Times New Roman"/>
                  </a:rPr>
                  <a:t>PSI</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200" strike="noStrike" u="none">
                <a:solidFill>
                  <a:srgbClr val="000000"/>
                </a:solidFill>
                <a:uFillTx/>
                <a:latin typeface="Times New Roman"/>
              </a:defRPr>
            </a:pPr>
          </a:p>
        </c:txPr>
        <c:crossAx val="87794061"/>
        <c:crossesAt val="1"/>
        <c:crossBetween val="midCat"/>
        <c:majorUnit val="20"/>
      </c:valAx>
      <c:spPr>
        <a:solidFill>
          <a:srgbClr val="ffffff"/>
        </a:solidFill>
        <a:ln w="0">
          <a:solidFill>
            <a:srgbClr val="ff0000"/>
          </a:solidFill>
        </a:ln>
      </c:spPr>
    </c:plotArea>
    <c:plotVisOnly val="1"/>
    <c:dispBlanksAs val="gap"/>
  </c:chart>
  <c:spPr>
    <a:solidFill>
      <a:srgbClr val="00ffff"/>
    </a:solidFill>
    <a:ln w="0">
      <a:solidFill>
        <a:srgbClr val="000000"/>
      </a:solidFill>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12940628396915"/>
          <c:y val="0.11935632183908"/>
          <c:w val="0.942957710026399"/>
          <c:h val="0.88064367816092"/>
        </c:manualLayout>
      </c:layout>
      <c:lineChart>
        <c:grouping val="standard"/>
        <c:varyColors val="0"/>
        <c:ser>
          <c:idx val="0"/>
          <c:order val="0"/>
          <c:tx>
            <c:strRef>
              <c:f>"Current Pressure"</c:f>
              <c:strCache>
                <c:ptCount val="1"/>
                <c:pt idx="0">
                  <c:v>Current Pressure</c:v>
                </c:pt>
              </c:strCache>
            </c:strRef>
          </c:tx>
          <c:spPr>
            <a:solidFill>
              <a:srgbClr val="008000"/>
            </a:solidFill>
            <a:ln w="25200">
              <a:solidFill>
                <a:srgbClr val="008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Summary!$B$18:$B$33</c:f>
              <c:strCache>
                <c:ptCount val="16"/>
                <c:pt idx="0">
                  <c:v>800</c:v>
                </c:pt>
                <c:pt idx="1">
                  <c:v>Suct 802</c:v>
                </c:pt>
                <c:pt idx="2">
                  <c:v>Disch 802</c:v>
                </c:pt>
                <c:pt idx="3">
                  <c:v>Suct 804</c:v>
                </c:pt>
                <c:pt idx="4">
                  <c:v>Disch 804</c:v>
                </c:pt>
                <c:pt idx="5">
                  <c:v>Suct 806</c:v>
                </c:pt>
                <c:pt idx="6">
                  <c:v>Disch 806</c:v>
                </c:pt>
                <c:pt idx="7">
                  <c:v>Bless</c:v>
                </c:pt>
                <c:pt idx="8">
                  <c:v>Suct 809</c:v>
                </c:pt>
                <c:pt idx="9">
                  <c:v>Disch 809</c:v>
                </c:pt>
                <c:pt idx="10">
                  <c:v>Suct 8121A</c:v>
                </c:pt>
                <c:pt idx="11">
                  <c:v>Disch 8121A</c:v>
                </c:pt>
                <c:pt idx="12">
                  <c:v>Disch 812</c:v>
                </c:pt>
                <c:pt idx="13">
                  <c:v>813</c:v>
                </c:pt>
                <c:pt idx="14">
                  <c:v>814.1</c:v>
                </c:pt>
                <c:pt idx="15">
                  <c:v>820</c:v>
                </c:pt>
              </c:strCache>
            </c:strRef>
          </c:cat>
          <c:val>
            <c:numRef>
              <c:f>Summary!$C$18:$C$33</c:f>
              <c:numCache>
                <c:formatCode>0.0</c:formatCode>
                <c:ptCount val="16"/>
                <c:pt idx="0">
                  <c:v>823.845337</c:v>
                </c:pt>
                <c:pt idx="1">
                  <c:v>786.788391</c:v>
                </c:pt>
                <c:pt idx="2">
                  <c:v>787.056946</c:v>
                </c:pt>
                <c:pt idx="3">
                  <c:v>738</c:v>
                </c:pt>
                <c:pt idx="4">
                  <c:v>736</c:v>
                </c:pt>
                <c:pt idx="5">
                  <c:v>699.994019</c:v>
                </c:pt>
                <c:pt idx="6">
                  <c:v>888.786987</c:v>
                </c:pt>
                <c:pt idx="7">
                  <c:v>843.254578</c:v>
                </c:pt>
                <c:pt idx="8">
                  <c:v>806.078979</c:v>
                </c:pt>
                <c:pt idx="9">
                  <c:v>803.942993</c:v>
                </c:pt>
                <c:pt idx="10">
                  <c:v>729.591858</c:v>
                </c:pt>
                <c:pt idx="11">
                  <c:v>722.072998</c:v>
                </c:pt>
                <c:pt idx="12">
                  <c:v>719.119263</c:v>
                </c:pt>
                <c:pt idx="13">
                  <c:v>703.544556</c:v>
                </c:pt>
                <c:pt idx="14">
                  <c:v>632.787354</c:v>
                </c:pt>
                <c:pt idx="15">
                  <c:v>634.80127</c:v>
                </c:pt>
              </c:numCache>
            </c:numRef>
          </c:val>
          <c:smooth val="0"/>
        </c:ser>
        <c:ser>
          <c:idx val="1"/>
          <c:order val="1"/>
          <c:tx>
            <c:strRef>
              <c:f>"MAOP"</c:f>
              <c:strCache>
                <c:ptCount val="1"/>
                <c:pt idx="0">
                  <c:v>MAOP</c:v>
                </c:pt>
              </c:strCache>
            </c:strRef>
          </c:tx>
          <c:spPr>
            <a:solidFill>
              <a:srgbClr val="ff0000"/>
            </a:solidFill>
            <a:ln w="37800">
              <a:solidFill>
                <a:srgbClr val="ff0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37800">
                  <a:solidFill>
                    <a:srgbClr val="000000"/>
                  </a:solidFill>
                </a:ln>
              </c:spPr>
            </c:leaderLines>
            <c:extLst>
              <c:ext xmlns:c15="http://schemas.microsoft.com/office/drawing/2012/chart" uri="{CE6537A1-D6FC-4f65-9D91-7224C49458BB}">
                <c15:showLeaderLines val="1"/>
              </c:ext>
            </c:extLst>
          </c:dLbls>
          <c:cat>
            <c:strRef>
              <c:f>Summary!$B$18:$B$33</c:f>
              <c:strCache>
                <c:ptCount val="16"/>
                <c:pt idx="0">
                  <c:v>800</c:v>
                </c:pt>
                <c:pt idx="1">
                  <c:v>Suct 802</c:v>
                </c:pt>
                <c:pt idx="2">
                  <c:v>Disch 802</c:v>
                </c:pt>
                <c:pt idx="3">
                  <c:v>Suct 804</c:v>
                </c:pt>
                <c:pt idx="4">
                  <c:v>Disch 804</c:v>
                </c:pt>
                <c:pt idx="5">
                  <c:v>Suct 806</c:v>
                </c:pt>
                <c:pt idx="6">
                  <c:v>Disch 806</c:v>
                </c:pt>
                <c:pt idx="7">
                  <c:v>Bless</c:v>
                </c:pt>
                <c:pt idx="8">
                  <c:v>Suct 809</c:v>
                </c:pt>
                <c:pt idx="9">
                  <c:v>Disch 809</c:v>
                </c:pt>
                <c:pt idx="10">
                  <c:v>Suct 8121A</c:v>
                </c:pt>
                <c:pt idx="11">
                  <c:v>Disch 8121A</c:v>
                </c:pt>
                <c:pt idx="12">
                  <c:v>Disch 812</c:v>
                </c:pt>
                <c:pt idx="13">
                  <c:v>813</c:v>
                </c:pt>
                <c:pt idx="14">
                  <c:v>814.1</c:v>
                </c:pt>
                <c:pt idx="15">
                  <c:v>820</c:v>
                </c:pt>
              </c:strCache>
            </c:strRef>
          </c:cat>
          <c:val>
            <c:numRef>
              <c:f>Summary!$E$18:$E$33</c:f>
              <c:numCache>
                <c:formatCode>General</c:formatCode>
                <c:ptCount val="16"/>
                <c:pt idx="0">
                  <c:v>925</c:v>
                </c:pt>
                <c:pt idx="1">
                  <c:v>936</c:v>
                </c:pt>
                <c:pt idx="2">
                  <c:v>936</c:v>
                </c:pt>
                <c:pt idx="3">
                  <c:v>936</c:v>
                </c:pt>
                <c:pt idx="4">
                  <c:v>936</c:v>
                </c:pt>
                <c:pt idx="5">
                  <c:v>936</c:v>
                </c:pt>
                <c:pt idx="6">
                  <c:v>926</c:v>
                </c:pt>
                <c:pt idx="7">
                  <c:v>926</c:v>
                </c:pt>
                <c:pt idx="8">
                  <c:v>926</c:v>
                </c:pt>
                <c:pt idx="9">
                  <c:v>936</c:v>
                </c:pt>
                <c:pt idx="10">
                  <c:v>936</c:v>
                </c:pt>
                <c:pt idx="11">
                  <c:v>936</c:v>
                </c:pt>
                <c:pt idx="12">
                  <c:v>936</c:v>
                </c:pt>
                <c:pt idx="13">
                  <c:v>715</c:v>
                </c:pt>
                <c:pt idx="14">
                  <c:v>715</c:v>
                </c:pt>
                <c:pt idx="15">
                  <c:v>936</c:v>
                </c:pt>
              </c:numCache>
            </c:numRef>
          </c:val>
          <c:smooth val="0"/>
        </c:ser>
        <c:ser>
          <c:idx val="2"/>
          <c:order val="2"/>
          <c:tx>
            <c:strRef>
              <c:f>Summary!$D$17</c:f>
              <c:strCache>
                <c:ptCount val="1"/>
                <c:pt idx="0">
                  <c:v>MIN</c:v>
                </c:pt>
              </c:strCache>
            </c:strRef>
          </c:tx>
          <c:spPr>
            <a:solidFill>
              <a:srgbClr val="ff0000"/>
            </a:solidFill>
            <a:ln w="37800">
              <a:solidFill>
                <a:srgbClr val="ff0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37800">
                  <a:solidFill>
                    <a:srgbClr val="000000"/>
                  </a:solidFill>
                </a:ln>
              </c:spPr>
            </c:leaderLines>
            <c:extLst>
              <c:ext xmlns:c15="http://schemas.microsoft.com/office/drawing/2012/chart" uri="{CE6537A1-D6FC-4f65-9D91-7224C49458BB}">
                <c15:showLeaderLines val="1"/>
              </c:ext>
            </c:extLst>
          </c:dLbls>
          <c:cat>
            <c:strRef>
              <c:f>Summary!$B$18:$B$33</c:f>
              <c:strCache>
                <c:ptCount val="16"/>
                <c:pt idx="0">
                  <c:v>800</c:v>
                </c:pt>
                <c:pt idx="1">
                  <c:v>Suct 802</c:v>
                </c:pt>
                <c:pt idx="2">
                  <c:v>Disch 802</c:v>
                </c:pt>
                <c:pt idx="3">
                  <c:v>Suct 804</c:v>
                </c:pt>
                <c:pt idx="4">
                  <c:v>Disch 804</c:v>
                </c:pt>
                <c:pt idx="5">
                  <c:v>Suct 806</c:v>
                </c:pt>
                <c:pt idx="6">
                  <c:v>Disch 806</c:v>
                </c:pt>
                <c:pt idx="7">
                  <c:v>Bless</c:v>
                </c:pt>
                <c:pt idx="8">
                  <c:v>Suct 809</c:v>
                </c:pt>
                <c:pt idx="9">
                  <c:v>Disch 809</c:v>
                </c:pt>
                <c:pt idx="10">
                  <c:v>Suct 8121A</c:v>
                </c:pt>
                <c:pt idx="11">
                  <c:v>Disch 8121A</c:v>
                </c:pt>
                <c:pt idx="12">
                  <c:v>Disch 812</c:v>
                </c:pt>
                <c:pt idx="13">
                  <c:v>813</c:v>
                </c:pt>
                <c:pt idx="14">
                  <c:v>814.1</c:v>
                </c:pt>
                <c:pt idx="15">
                  <c:v>820</c:v>
                </c:pt>
              </c:strCache>
            </c:strRef>
          </c:cat>
          <c:val>
            <c:numRef>
              <c:f>Summary!$D$18:$D$33</c:f>
              <c:numCache>
                <c:formatCode>0.0</c:formatCode>
                <c:ptCount val="16"/>
                <c:pt idx="0">
                  <c:v>750</c:v>
                </c:pt>
                <c:pt idx="1">
                  <c:v>750</c:v>
                </c:pt>
                <c:pt idx="4">
                  <c:v>600</c:v>
                </c:pt>
                <c:pt idx="5">
                  <c:v>600</c:v>
                </c:pt>
                <c:pt idx="14">
                  <c:v>535</c:v>
                </c:pt>
                <c:pt idx="15">
                  <c:v>530</c:v>
                </c:pt>
              </c:numCache>
            </c:numRef>
          </c:val>
          <c:smooth val="0"/>
        </c:ser>
        <c:hiLowLines>
          <c:spPr>
            <a:ln w="0">
              <a:noFill/>
            </a:ln>
          </c:spPr>
        </c:hiLowLines>
        <c:marker val="0"/>
        <c:axId val="29050380"/>
        <c:axId val="42025871"/>
      </c:lineChart>
      <c:catAx>
        <c:axId val="29050380"/>
        <c:scaling>
          <c:orientation val="minMax"/>
        </c:scaling>
        <c:delete val="1"/>
        <c:axPos val="b"/>
        <c:majorGridlines>
          <c:spPr>
            <a:ln w="0">
              <a:solidFill>
                <a:srgbClr val="000000"/>
              </a:solidFill>
            </a:ln>
          </c:spPr>
        </c:majorGridlines>
        <c:numFmt formatCode="General" sourceLinked="1"/>
        <c:majorTickMark val="out"/>
        <c:minorTickMark val="none"/>
        <c:tickLblPos val="nextTo"/>
        <c:spPr>
          <a:ln w="0">
            <a:noFill/>
          </a:ln>
        </c:spPr>
        <c:txPr>
          <a:bodyPr/>
          <a:lstStyle/>
          <a:p>
            <a:pPr>
              <a:defRPr b="0" sz="800" strike="noStrike" u="none">
                <a:solidFill>
                  <a:srgbClr val="000000"/>
                </a:solidFill>
                <a:uFillTx/>
                <a:latin typeface="Times New Roman"/>
              </a:defRPr>
            </a:pPr>
          </a:p>
        </c:txPr>
        <c:crossAx val="42025871"/>
        <c:auto val="1"/>
        <c:lblAlgn val="ctr"/>
        <c:lblOffset val="100"/>
        <c:noMultiLvlLbl val="0"/>
      </c:catAx>
      <c:valAx>
        <c:axId val="42025871"/>
        <c:scaling>
          <c:orientation val="minMax"/>
          <c:max val="950"/>
          <c:min val="450"/>
        </c:scaling>
        <c:delete val="0"/>
        <c:axPos val="l"/>
        <c:majorGridlines>
          <c:spPr>
            <a:ln w="0">
              <a:solidFill>
                <a:srgbClr val="008000"/>
              </a:solidFill>
            </a:ln>
          </c:spPr>
        </c:majorGridlines>
        <c:numFmt formatCode="0.0" sourceLinked="1"/>
        <c:majorTickMark val="out"/>
        <c:minorTickMark val="none"/>
        <c:tickLblPos val="nextTo"/>
        <c:spPr>
          <a:ln w="0">
            <a:solidFill>
              <a:srgbClr val="000000"/>
            </a:solidFill>
          </a:ln>
        </c:spPr>
        <c:txPr>
          <a:bodyPr/>
          <a:lstStyle/>
          <a:p>
            <a:pPr>
              <a:defRPr b="0" sz="575" strike="noStrike" u="none">
                <a:solidFill>
                  <a:srgbClr val="000000"/>
                </a:solidFill>
                <a:uFillTx/>
                <a:latin typeface="Times New Roman"/>
              </a:defRPr>
            </a:pPr>
          </a:p>
        </c:txPr>
        <c:crossAx val="29050380"/>
        <c:crossesAt val="1"/>
        <c:crossBetween val="midCat"/>
        <c:majorUnit val="20"/>
      </c:valAx>
      <c:spPr>
        <a:solidFill>
          <a:srgbClr val="ffffff"/>
        </a:solidFill>
        <a:ln w="0">
          <a:solidFill>
            <a:srgbClr val="ff0000"/>
          </a:solidFill>
        </a:ln>
      </c:spPr>
    </c:plotArea>
    <c:legend>
      <c:legendPos val="r"/>
      <c:layout>
        <c:manualLayout>
          <c:xMode val="edge"/>
          <c:yMode val="edge"/>
          <c:x val="0.37336301050779"/>
          <c:y val="0.032551724137931"/>
        </c:manualLayout>
      </c:layout>
      <c:overlay val="0"/>
      <c:spPr>
        <a:solidFill>
          <a:srgbClr val="ffffff"/>
        </a:solidFill>
        <a:ln w="0">
          <a:solidFill>
            <a:srgbClr val="000000"/>
          </a:solidFill>
        </a:ln>
      </c:spPr>
      <c:txPr>
        <a:bodyPr/>
        <a:lstStyle/>
        <a:p>
          <a:pPr>
            <a:defRPr b="0" sz="800" strike="noStrike" u="none">
              <a:solidFill>
                <a:srgbClr val="000000"/>
              </a:solidFill>
              <a:uFillTx/>
              <a:latin typeface="Times New Roman"/>
            </a:defRPr>
          </a:pPr>
        </a:p>
      </c:txPr>
    </c:legend>
    <c:plotVisOnly val="1"/>
    <c:dispBlanksAs val="gap"/>
  </c:chart>
  <c:spPr>
    <a:solidFill>
      <a:srgbClr val="00ffff"/>
    </a:solidFill>
    <a:ln w="0">
      <a:solidFill>
        <a:srgbClr val="000000"/>
      </a:solidFill>
    </a:ln>
  </c:spPr>
</c:chartSpace>
</file>

<file path=xl/ctrlProps/ctrlProps2.xml><?xml version="1.0" encoding="utf-8"?>
<formControlPr xmlns="http://schemas.microsoft.com/office/spreadsheetml/2009/9/main" objectType="CheckBox" autoLine="false" print="false" lockText="1" noThreeD="1"/>
</file>

<file path=xl/ctrlProps/ctrlProps3.xml><?xml version="1.0" encoding="utf-8"?>
<formControlPr xmlns="http://schemas.microsoft.com/office/spreadsheetml/2009/9/main" objectType="CheckBox" autoLine="false" print="false" lockText="1" noThreeD="1"/>
</file>

<file path=xl/ctrlProps/ctrlProps5.xml><?xml version="1.0" encoding="utf-8"?>
<formControlPr xmlns="http://schemas.microsoft.com/office/spreadsheetml/2009/9/main" objectType="CheckBox" autoLine="false" print="false" lockText="1" noThreeD="1"/>
</file>

<file path=xl/ctrlProps/ctrlProps7.xml><?xml version="1.0" encoding="utf-8"?>
<formControlPr xmlns="http://schemas.microsoft.com/office/spreadsheetml/2009/9/main" objectType="CheckBox" autoLine="false" print="false" lockText="1" noThreeD="1"/>
</file>

<file path=xl/ctrlProps/ctrlProps9.xml><?xml version="1.0" encoding="utf-8"?>
<formControlPr xmlns="http://schemas.microsoft.com/office/spreadsheetml/2009/9/main" objectType="CheckBox" autoLine="false" print="false" lockText="1" noThreeD="1"/>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hyperlink" Target="http://www.nhc.noaa.gov/graphics.html" TargetMode="External"/><Relationship Id="rId3" Type="http://schemas.openxmlformats.org/officeDocument/2006/relationships/chart" Target="../charts/chart1.xml"/>
</Relationships>
</file>

<file path=xl/drawings/_rels/drawing4.xml.rels><?xml version="1.0" encoding="UTF-8"?>
<Relationships xmlns="http://schemas.openxmlformats.org/package/2006/relationships"><Relationship Id="rId1" Type="http://schemas.openxmlformats.org/officeDocument/2006/relationships/image" Target="../media/image1.wmf"/>
</Relationships>
</file>

<file path=xl/drawings/_rels/drawing6.xml.rels><?xml version="1.0" encoding="UTF-8"?>
<Relationships xmlns="http://schemas.openxmlformats.org/package/2006/relationships"><Relationship Id="rId1" Type="http://schemas.openxmlformats.org/officeDocument/2006/relationships/chart" Target="../charts/chart2.xml"/>
</Relationships>
</file>

<file path=xl/drawings/_rels/drawing8.xml.rels><?xml version="1.0" encoding="UTF-8"?>
<Relationships xmlns="http://schemas.openxmlformats.org/package/2006/relationships"><Relationship Id="rId1" Type="http://schemas.openxmlformats.org/officeDocument/2006/relationships/image" Target="../media/image2.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11</xdr:col>
      <xdr:colOff>84600</xdr:colOff>
      <xdr:row>11</xdr:row>
      <xdr:rowOff>38520</xdr:rowOff>
    </xdr:from>
    <xdr:to>
      <xdr:col>11</xdr:col>
      <xdr:colOff>508680</xdr:colOff>
      <xdr:row>11</xdr:row>
      <xdr:rowOff>190800</xdr:rowOff>
    </xdr:to>
    <xdr:sp>
      <xdr:nvSpPr>
        <xdr:cNvPr id="0" name="Text 79"/>
        <xdr:cNvSpPr/>
      </xdr:nvSpPr>
      <xdr:spPr>
        <a:xfrm>
          <a:off x="9433080" y="2286360"/>
          <a:ext cx="424080" cy="15228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56.2 </a:t>
          </a:r>
          <a:endParaRPr b="0" lang="en-US" sz="800" strike="noStrike" u="none">
            <a:effectLst/>
            <a:uFillTx/>
            <a:latin typeface="Times New Roman"/>
          </a:endParaRPr>
        </a:p>
      </xdr:txBody>
    </xdr:sp>
    <xdr:clientData/>
  </xdr:twoCellAnchor>
  <xdr:twoCellAnchor editAs="absolute">
    <xdr:from>
      <xdr:col>7</xdr:col>
      <xdr:colOff>20880</xdr:colOff>
      <xdr:row>1</xdr:row>
      <xdr:rowOff>47520</xdr:rowOff>
    </xdr:from>
    <xdr:to>
      <xdr:col>7</xdr:col>
      <xdr:colOff>423360</xdr:colOff>
      <xdr:row>1</xdr:row>
      <xdr:rowOff>190440</xdr:rowOff>
    </xdr:to>
    <xdr:sp>
      <xdr:nvSpPr>
        <xdr:cNvPr id="1" name="Text 97"/>
        <xdr:cNvSpPr/>
      </xdr:nvSpPr>
      <xdr:spPr>
        <a:xfrm>
          <a:off x="6323760" y="247680"/>
          <a:ext cx="402480" cy="14292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1" lang="en-US" sz="800" strike="noStrike" u="none">
              <a:solidFill>
                <a:srgbClr val="008000"/>
              </a:solidFill>
              <a:effectLst/>
              <a:uFillTx/>
              <a:latin typeface="Times New Roman"/>
            </a:rPr>
            <a:t> 702 </a:t>
          </a:r>
          <a:endParaRPr b="0" lang="en-US" sz="800" strike="noStrike" u="none">
            <a:effectLst/>
            <a:uFillTx/>
            <a:latin typeface="Times New Roman"/>
          </a:endParaRPr>
        </a:p>
      </xdr:txBody>
    </xdr:sp>
    <xdr:clientData/>
  </xdr:twoCellAnchor>
  <xdr:twoCellAnchor editAs="absolute">
    <xdr:from>
      <xdr:col>6</xdr:col>
      <xdr:colOff>116280</xdr:colOff>
      <xdr:row>2</xdr:row>
      <xdr:rowOff>28440</xdr:rowOff>
    </xdr:from>
    <xdr:to>
      <xdr:col>6</xdr:col>
      <xdr:colOff>603000</xdr:colOff>
      <xdr:row>2</xdr:row>
      <xdr:rowOff>190080</xdr:rowOff>
    </xdr:to>
    <xdr:sp>
      <xdr:nvSpPr>
        <xdr:cNvPr id="2" name="Text 30"/>
        <xdr:cNvSpPr/>
      </xdr:nvSpPr>
      <xdr:spPr>
        <a:xfrm flipV="1">
          <a:off x="5657760" y="437760"/>
          <a:ext cx="486720" cy="16164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(331.2)</a:t>
          </a:r>
          <a:endParaRPr b="0" lang="en-US" sz="800" strike="noStrike" u="none">
            <a:effectLst/>
            <a:uFillTx/>
            <a:latin typeface="Times New Roman"/>
          </a:endParaRPr>
        </a:p>
      </xdr:txBody>
    </xdr:sp>
    <xdr:clientData/>
  </xdr:twoCellAnchor>
  <xdr:twoCellAnchor editAs="absolute">
    <xdr:from>
      <xdr:col>12</xdr:col>
      <xdr:colOff>115920</xdr:colOff>
      <xdr:row>5</xdr:row>
      <xdr:rowOff>9000</xdr:rowOff>
    </xdr:from>
    <xdr:to>
      <xdr:col>12</xdr:col>
      <xdr:colOff>539640</xdr:colOff>
      <xdr:row>5</xdr:row>
      <xdr:rowOff>142560</xdr:rowOff>
    </xdr:to>
    <xdr:sp>
      <xdr:nvSpPr>
        <xdr:cNvPr id="3" name="Text 30"/>
        <xdr:cNvSpPr/>
      </xdr:nvSpPr>
      <xdr:spPr>
        <a:xfrm flipV="1">
          <a:off x="10225800" y="1037520"/>
          <a:ext cx="423720" cy="13356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0.0 </a:t>
          </a:r>
          <a:endParaRPr b="0" lang="en-US" sz="800" strike="noStrike" u="none">
            <a:effectLst/>
            <a:uFillTx/>
            <a:latin typeface="Times New Roman"/>
          </a:endParaRPr>
        </a:p>
      </xdr:txBody>
    </xdr:sp>
    <xdr:clientData/>
  </xdr:twoCellAnchor>
  <xdr:twoCellAnchor editAs="absolute">
    <xdr:from>
      <xdr:col>4</xdr:col>
      <xdr:colOff>666000</xdr:colOff>
      <xdr:row>2</xdr:row>
      <xdr:rowOff>28800</xdr:rowOff>
    </xdr:from>
    <xdr:to>
      <xdr:col>5</xdr:col>
      <xdr:colOff>318240</xdr:colOff>
      <xdr:row>3</xdr:row>
      <xdr:rowOff>19080</xdr:rowOff>
    </xdr:to>
    <xdr:sp>
      <xdr:nvSpPr>
        <xdr:cNvPr id="4" name="Text 30"/>
        <xdr:cNvSpPr/>
      </xdr:nvSpPr>
      <xdr:spPr>
        <a:xfrm flipV="1">
          <a:off x="4685040" y="438480"/>
          <a:ext cx="413640" cy="19008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0.0 </a:t>
          </a:r>
          <a:endParaRPr b="0" lang="en-US" sz="800" strike="noStrike" u="none">
            <a:effectLst/>
            <a:uFillTx/>
            <a:latin typeface="Times New Roman"/>
          </a:endParaRPr>
        </a:p>
      </xdr:txBody>
    </xdr:sp>
    <xdr:clientData/>
  </xdr:twoCellAnchor>
  <xdr:twoCellAnchor editAs="absolute">
    <xdr:from>
      <xdr:col>4</xdr:col>
      <xdr:colOff>20520</xdr:colOff>
      <xdr:row>4</xdr:row>
      <xdr:rowOff>47160</xdr:rowOff>
    </xdr:from>
    <xdr:to>
      <xdr:col>4</xdr:col>
      <xdr:colOff>466200</xdr:colOff>
      <xdr:row>4</xdr:row>
      <xdr:rowOff>209520</xdr:rowOff>
    </xdr:to>
    <xdr:sp>
      <xdr:nvSpPr>
        <xdr:cNvPr id="5" name="Text 30"/>
        <xdr:cNvSpPr/>
      </xdr:nvSpPr>
      <xdr:spPr>
        <a:xfrm flipV="1">
          <a:off x="4039560" y="865800"/>
          <a:ext cx="445680" cy="16236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(35.5)</a:t>
          </a:r>
          <a:endParaRPr b="0" lang="en-US" sz="800" strike="noStrike" u="none">
            <a:effectLst/>
            <a:uFillTx/>
            <a:latin typeface="Times New Roman"/>
          </a:endParaRPr>
        </a:p>
      </xdr:txBody>
    </xdr:sp>
    <xdr:clientData/>
  </xdr:twoCellAnchor>
  <xdr:twoCellAnchor editAs="absolute">
    <xdr:from>
      <xdr:col>5</xdr:col>
      <xdr:colOff>370080</xdr:colOff>
      <xdr:row>8</xdr:row>
      <xdr:rowOff>75600</xdr:rowOff>
    </xdr:from>
    <xdr:to>
      <xdr:col>6</xdr:col>
      <xdr:colOff>96120</xdr:colOff>
      <xdr:row>9</xdr:row>
      <xdr:rowOff>9000</xdr:rowOff>
    </xdr:to>
    <xdr:sp>
      <xdr:nvSpPr>
        <xdr:cNvPr id="6" name="Text 30"/>
        <xdr:cNvSpPr/>
      </xdr:nvSpPr>
      <xdr:spPr>
        <a:xfrm flipV="1">
          <a:off x="5150520" y="1713600"/>
          <a:ext cx="487080" cy="14292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46.3 </a:t>
          </a:r>
          <a:endParaRPr b="0" lang="en-US" sz="800" strike="noStrike" u="none">
            <a:effectLst/>
            <a:uFillTx/>
            <a:latin typeface="Times New Roman"/>
          </a:endParaRPr>
        </a:p>
      </xdr:txBody>
    </xdr:sp>
    <xdr:clientData/>
  </xdr:twoCellAnchor>
  <xdr:twoCellAnchor editAs="absolute">
    <xdr:from>
      <xdr:col>3</xdr:col>
      <xdr:colOff>750960</xdr:colOff>
      <xdr:row>5</xdr:row>
      <xdr:rowOff>190080</xdr:rowOff>
    </xdr:from>
    <xdr:to>
      <xdr:col>4</xdr:col>
      <xdr:colOff>402120</xdr:colOff>
      <xdr:row>6</xdr:row>
      <xdr:rowOff>161280</xdr:rowOff>
    </xdr:to>
    <xdr:sp>
      <xdr:nvSpPr>
        <xdr:cNvPr id="7" name="Text 30"/>
        <xdr:cNvSpPr/>
      </xdr:nvSpPr>
      <xdr:spPr>
        <a:xfrm flipV="1">
          <a:off x="4008600" y="1218600"/>
          <a:ext cx="412560" cy="17100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(13.7)</a:t>
          </a:r>
          <a:endParaRPr b="0" lang="en-US" sz="800" strike="noStrike" u="none">
            <a:effectLst/>
            <a:uFillTx/>
            <a:latin typeface="Times New Roman"/>
          </a:endParaRPr>
        </a:p>
      </xdr:txBody>
    </xdr:sp>
    <xdr:clientData/>
  </xdr:twoCellAnchor>
  <xdr:twoCellAnchor editAs="absolute">
    <xdr:from>
      <xdr:col>0</xdr:col>
      <xdr:colOff>115920</xdr:colOff>
      <xdr:row>28</xdr:row>
      <xdr:rowOff>66240</xdr:rowOff>
    </xdr:from>
    <xdr:to>
      <xdr:col>0</xdr:col>
      <xdr:colOff>520560</xdr:colOff>
      <xdr:row>29</xdr:row>
      <xdr:rowOff>19080</xdr:rowOff>
    </xdr:to>
    <xdr:sp>
      <xdr:nvSpPr>
        <xdr:cNvPr id="8" name="Text 30"/>
        <xdr:cNvSpPr/>
      </xdr:nvSpPr>
      <xdr:spPr>
        <a:xfrm flipV="1">
          <a:off x="115920" y="5714640"/>
          <a:ext cx="404640" cy="15264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0.0 </a:t>
          </a:r>
          <a:endParaRPr b="0" lang="en-US" sz="800" strike="noStrike" u="none">
            <a:effectLst/>
            <a:uFillTx/>
            <a:latin typeface="Times New Roman"/>
          </a:endParaRPr>
        </a:p>
      </xdr:txBody>
    </xdr:sp>
    <xdr:clientData/>
  </xdr:twoCellAnchor>
  <xdr:twoCellAnchor editAs="absolute">
    <xdr:from>
      <xdr:col>0</xdr:col>
      <xdr:colOff>115920</xdr:colOff>
      <xdr:row>30</xdr:row>
      <xdr:rowOff>-360</xdr:rowOff>
    </xdr:from>
    <xdr:to>
      <xdr:col>0</xdr:col>
      <xdr:colOff>509400</xdr:colOff>
      <xdr:row>30</xdr:row>
      <xdr:rowOff>161280</xdr:rowOff>
    </xdr:to>
    <xdr:sp>
      <xdr:nvSpPr>
        <xdr:cNvPr id="9" name="Text 30"/>
        <xdr:cNvSpPr/>
      </xdr:nvSpPr>
      <xdr:spPr>
        <a:xfrm flipV="1">
          <a:off x="115920" y="6047640"/>
          <a:ext cx="393480" cy="16164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0.0 </a:t>
          </a:r>
          <a:endParaRPr b="0" lang="en-US" sz="800" strike="noStrike" u="none">
            <a:effectLst/>
            <a:uFillTx/>
            <a:latin typeface="Times New Roman"/>
          </a:endParaRPr>
        </a:p>
      </xdr:txBody>
    </xdr:sp>
    <xdr:clientData/>
  </xdr:twoCellAnchor>
  <xdr:twoCellAnchor editAs="absolute">
    <xdr:from>
      <xdr:col>8</xdr:col>
      <xdr:colOff>243360</xdr:colOff>
      <xdr:row>1</xdr:row>
      <xdr:rowOff>28440</xdr:rowOff>
    </xdr:from>
    <xdr:to>
      <xdr:col>8</xdr:col>
      <xdr:colOff>699120</xdr:colOff>
      <xdr:row>1</xdr:row>
      <xdr:rowOff>162000</xdr:rowOff>
    </xdr:to>
    <xdr:sp>
      <xdr:nvSpPr>
        <xdr:cNvPr id="10" name="Text 97"/>
        <xdr:cNvSpPr/>
      </xdr:nvSpPr>
      <xdr:spPr>
        <a:xfrm>
          <a:off x="7307640" y="228600"/>
          <a:ext cx="455760" cy="13356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1" lang="en-US" sz="800" strike="noStrike" u="none">
              <a:solidFill>
                <a:srgbClr val="008000"/>
              </a:solidFill>
              <a:effectLst/>
              <a:uFillTx/>
              <a:latin typeface="Times New Roman"/>
            </a:rPr>
            <a:t> 702 </a:t>
          </a:r>
          <a:endParaRPr b="0" lang="en-US" sz="800" strike="noStrike" u="none">
            <a:effectLst/>
            <a:uFillTx/>
            <a:latin typeface="Times New Roman"/>
          </a:endParaRPr>
        </a:p>
      </xdr:txBody>
    </xdr:sp>
    <xdr:clientData/>
  </xdr:twoCellAnchor>
  <xdr:twoCellAnchor editAs="absolute">
    <xdr:from>
      <xdr:col>11</xdr:col>
      <xdr:colOff>32040</xdr:colOff>
      <xdr:row>6</xdr:row>
      <xdr:rowOff>161280</xdr:rowOff>
    </xdr:from>
    <xdr:to>
      <xdr:col>11</xdr:col>
      <xdr:colOff>466200</xdr:colOff>
      <xdr:row>7</xdr:row>
      <xdr:rowOff>142920</xdr:rowOff>
    </xdr:to>
    <xdr:sp>
      <xdr:nvSpPr>
        <xdr:cNvPr id="11" name="Text 30"/>
        <xdr:cNvSpPr/>
      </xdr:nvSpPr>
      <xdr:spPr>
        <a:xfrm flipV="1">
          <a:off x="9380520" y="1389600"/>
          <a:ext cx="434160" cy="18180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(13.3)</a:t>
          </a:r>
          <a:endParaRPr b="0" lang="en-US" sz="800" strike="noStrike" u="none">
            <a:effectLst/>
            <a:uFillTx/>
            <a:latin typeface="Times New Roman"/>
          </a:endParaRPr>
        </a:p>
      </xdr:txBody>
    </xdr:sp>
    <xdr:clientData/>
  </xdr:twoCellAnchor>
  <xdr:twoCellAnchor editAs="absolute">
    <xdr:from>
      <xdr:col>6</xdr:col>
      <xdr:colOff>84960</xdr:colOff>
      <xdr:row>4</xdr:row>
      <xdr:rowOff>104760</xdr:rowOff>
    </xdr:from>
    <xdr:to>
      <xdr:col>6</xdr:col>
      <xdr:colOff>604080</xdr:colOff>
      <xdr:row>5</xdr:row>
      <xdr:rowOff>47520</xdr:rowOff>
    </xdr:to>
    <xdr:sp>
      <xdr:nvSpPr>
        <xdr:cNvPr id="12" name="Text 30"/>
        <xdr:cNvSpPr/>
      </xdr:nvSpPr>
      <xdr:spPr>
        <a:xfrm flipV="1">
          <a:off x="5626440" y="923760"/>
          <a:ext cx="519120" cy="15264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(354.8)</a:t>
          </a:r>
          <a:endParaRPr b="0" lang="en-US" sz="800" strike="noStrike" u="none">
            <a:effectLst/>
            <a:uFillTx/>
            <a:latin typeface="Times New Roman"/>
          </a:endParaRPr>
        </a:p>
      </xdr:txBody>
    </xdr:sp>
    <xdr:clientData/>
  </xdr:twoCellAnchor>
  <xdr:twoCellAnchor editAs="absolute">
    <xdr:from>
      <xdr:col>7</xdr:col>
      <xdr:colOff>496800</xdr:colOff>
      <xdr:row>6</xdr:row>
      <xdr:rowOff>47880</xdr:rowOff>
    </xdr:from>
    <xdr:to>
      <xdr:col>8</xdr:col>
      <xdr:colOff>138240</xdr:colOff>
      <xdr:row>8</xdr:row>
      <xdr:rowOff>9720</xdr:rowOff>
    </xdr:to>
    <xdr:sp>
      <xdr:nvSpPr>
        <xdr:cNvPr id="13" name="Oval 14"/>
        <xdr:cNvSpPr/>
      </xdr:nvSpPr>
      <xdr:spPr>
        <a:xfrm>
          <a:off x="6799680" y="1276560"/>
          <a:ext cx="402840" cy="371520"/>
        </a:xfrm>
        <a:prstGeom prst="ellipse">
          <a:avLst/>
        </a:prstGeom>
        <a:solidFill>
          <a:srgbClr val="ffffff">
            <a:alpha val="50000"/>
          </a:srgbClr>
        </a:solid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twoCellAnchor editAs="absolute">
    <xdr:from>
      <xdr:col>9</xdr:col>
      <xdr:colOff>718920</xdr:colOff>
      <xdr:row>1</xdr:row>
      <xdr:rowOff>161640</xdr:rowOff>
    </xdr:from>
    <xdr:to>
      <xdr:col>10</xdr:col>
      <xdr:colOff>381600</xdr:colOff>
      <xdr:row>2</xdr:row>
      <xdr:rowOff>133200</xdr:rowOff>
    </xdr:to>
    <xdr:sp>
      <xdr:nvSpPr>
        <xdr:cNvPr id="14" name="Text 30"/>
        <xdr:cNvSpPr/>
      </xdr:nvSpPr>
      <xdr:spPr>
        <a:xfrm flipV="1">
          <a:off x="8544600" y="361080"/>
          <a:ext cx="424080" cy="18108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63.4 </a:t>
          </a:r>
          <a:endParaRPr b="0" lang="en-US" sz="800" strike="noStrike" u="none">
            <a:effectLst/>
            <a:uFillTx/>
            <a:latin typeface="Times New Roman"/>
          </a:endParaRPr>
        </a:p>
      </xdr:txBody>
    </xdr:sp>
    <xdr:clientData/>
  </xdr:twoCellAnchor>
  <xdr:twoCellAnchor editAs="absolute">
    <xdr:from>
      <xdr:col>7</xdr:col>
      <xdr:colOff>465480</xdr:colOff>
      <xdr:row>2</xdr:row>
      <xdr:rowOff>161640</xdr:rowOff>
    </xdr:from>
    <xdr:to>
      <xdr:col>8</xdr:col>
      <xdr:colOff>212040</xdr:colOff>
      <xdr:row>3</xdr:row>
      <xdr:rowOff>123840</xdr:rowOff>
    </xdr:to>
    <xdr:sp>
      <xdr:nvSpPr>
        <xdr:cNvPr id="15" name="Text 30"/>
        <xdr:cNvSpPr/>
      </xdr:nvSpPr>
      <xdr:spPr>
        <a:xfrm flipV="1">
          <a:off x="6768360" y="571320"/>
          <a:ext cx="507960" cy="16200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(62.1)</a:t>
          </a:r>
          <a:endParaRPr b="0" lang="en-US" sz="800" strike="noStrike" u="none">
            <a:effectLst/>
            <a:uFillTx/>
            <a:latin typeface="Times New Roman"/>
          </a:endParaRPr>
        </a:p>
      </xdr:txBody>
    </xdr:sp>
    <xdr:clientData/>
  </xdr:twoCellAnchor>
  <xdr:twoCellAnchor editAs="absolute">
    <xdr:from>
      <xdr:col>7</xdr:col>
      <xdr:colOff>666360</xdr:colOff>
      <xdr:row>7</xdr:row>
      <xdr:rowOff>161640</xdr:rowOff>
    </xdr:from>
    <xdr:to>
      <xdr:col>11</xdr:col>
      <xdr:colOff>265320</xdr:colOff>
      <xdr:row>14</xdr:row>
      <xdr:rowOff>95040</xdr:rowOff>
    </xdr:to>
    <xdr:sp>
      <xdr:nvSpPr>
        <xdr:cNvPr id="16" name="Line 17"/>
        <xdr:cNvSpPr/>
      </xdr:nvSpPr>
      <xdr:spPr>
        <a:xfrm flipH="1" flipV="1">
          <a:off x="6969240" y="1590480"/>
          <a:ext cx="2644560" cy="1352520"/>
        </a:xfrm>
        <a:prstGeom prst="line">
          <a:avLst/>
        </a:prstGeom>
        <a:ln w="9360">
          <a:solidFill>
            <a:srgbClr val="000000"/>
          </a:solidFill>
          <a:prstDash val="dash"/>
          <a:miter/>
        </a:ln>
      </xdr:spPr>
      <xdr:style>
        <a:lnRef idx="0"/>
        <a:fillRef idx="0"/>
        <a:effectRef idx="0"/>
        <a:fontRef idx="minor"/>
      </xdr:style>
    </xdr:sp>
    <xdr:clientData/>
  </xdr:twoCellAnchor>
  <xdr:twoCellAnchor editAs="absolute">
    <xdr:from>
      <xdr:col>6</xdr:col>
      <xdr:colOff>84960</xdr:colOff>
      <xdr:row>5</xdr:row>
      <xdr:rowOff>142920</xdr:rowOff>
    </xdr:from>
    <xdr:to>
      <xdr:col>7</xdr:col>
      <xdr:colOff>201600</xdr:colOff>
      <xdr:row>10</xdr:row>
      <xdr:rowOff>18720</xdr:rowOff>
    </xdr:to>
    <xdr:sp>
      <xdr:nvSpPr>
        <xdr:cNvPr id="17" name="Drawing 21"/>
        <xdr:cNvSpPr/>
      </xdr:nvSpPr>
      <xdr:spPr>
        <a:xfrm>
          <a:off x="5626440" y="1171800"/>
          <a:ext cx="878040" cy="894960"/>
        </a:xfrm>
        <a:custGeom>
          <a:avLst/>
          <a:gdLst/>
          <a:ahLst/>
          <a:rect l="l" t="t" r="r" b="b"/>
          <a:pathLst>
            <a:path w="16384" h="16384">
              <a:moveTo>
                <a:pt x="16384" y="16384"/>
              </a:moveTo>
              <a:lnTo>
                <a:pt x="16384" y="14813"/>
              </a:lnTo>
              <a:lnTo>
                <a:pt x="14073" y="14588"/>
              </a:lnTo>
              <a:lnTo>
                <a:pt x="13023" y="12569"/>
              </a:lnTo>
              <a:lnTo>
                <a:pt x="10713" y="11446"/>
              </a:lnTo>
              <a:lnTo>
                <a:pt x="9662" y="13466"/>
              </a:lnTo>
              <a:lnTo>
                <a:pt x="10713" y="11671"/>
              </a:lnTo>
              <a:lnTo>
                <a:pt x="8192" y="10100"/>
              </a:lnTo>
              <a:lnTo>
                <a:pt x="8192" y="9202"/>
              </a:lnTo>
              <a:lnTo>
                <a:pt x="6932" y="9202"/>
              </a:lnTo>
              <a:lnTo>
                <a:pt x="6302" y="7182"/>
              </a:lnTo>
              <a:lnTo>
                <a:pt x="5041" y="6060"/>
              </a:lnTo>
              <a:lnTo>
                <a:pt x="1680" y="2469"/>
              </a:lnTo>
              <a:lnTo>
                <a:pt x="420" y="1571"/>
              </a:lnTo>
              <a:lnTo>
                <a:pt x="630" y="898"/>
              </a:lnTo>
              <a:lnTo>
                <a:pt x="0" y="0"/>
              </a:lnTo>
            </a:path>
          </a:pathLst>
        </a:custGeom>
        <a:noFill/>
        <a:ln w="24840">
          <a:solidFill>
            <a:srgbClr val="00ff00"/>
          </a:solidFill>
          <a:round/>
        </a:ln>
      </xdr:spPr>
      <xdr:style>
        <a:lnRef idx="0"/>
        <a:fillRef idx="0"/>
        <a:effectRef idx="0"/>
        <a:fontRef idx="minor"/>
      </xdr:style>
    </xdr:sp>
    <xdr:clientData/>
  </xdr:twoCellAnchor>
  <xdr:twoCellAnchor editAs="absolute">
    <xdr:from>
      <xdr:col>6</xdr:col>
      <xdr:colOff>687240</xdr:colOff>
      <xdr:row>11</xdr:row>
      <xdr:rowOff>181080</xdr:rowOff>
    </xdr:from>
    <xdr:to>
      <xdr:col>7</xdr:col>
      <xdr:colOff>381600</xdr:colOff>
      <xdr:row>12</xdr:row>
      <xdr:rowOff>170640</xdr:rowOff>
    </xdr:to>
    <xdr:sp>
      <xdr:nvSpPr>
        <xdr:cNvPr id="18" name="Text 30"/>
        <xdr:cNvSpPr/>
      </xdr:nvSpPr>
      <xdr:spPr>
        <a:xfrm flipV="1">
          <a:off x="6228720" y="2428560"/>
          <a:ext cx="455760" cy="18972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(0.9)</a:t>
          </a:r>
          <a:endParaRPr b="0" lang="en-US" sz="800" strike="noStrike" u="none">
            <a:effectLst/>
            <a:uFillTx/>
            <a:latin typeface="Times New Roman"/>
          </a:endParaRPr>
        </a:p>
      </xdr:txBody>
    </xdr:sp>
    <xdr:clientData/>
  </xdr:twoCellAnchor>
  <xdr:twoCellAnchor editAs="absolute">
    <xdr:from>
      <xdr:col>4</xdr:col>
      <xdr:colOff>475560</xdr:colOff>
      <xdr:row>8</xdr:row>
      <xdr:rowOff>75600</xdr:rowOff>
    </xdr:from>
    <xdr:to>
      <xdr:col>5</xdr:col>
      <xdr:colOff>138240</xdr:colOff>
      <xdr:row>9</xdr:row>
      <xdr:rowOff>9000</xdr:rowOff>
    </xdr:to>
    <xdr:sp>
      <xdr:nvSpPr>
        <xdr:cNvPr id="19" name="Text 30"/>
        <xdr:cNvSpPr/>
      </xdr:nvSpPr>
      <xdr:spPr>
        <a:xfrm flipV="1">
          <a:off x="4494600" y="1713600"/>
          <a:ext cx="424080" cy="14292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46.7 </a:t>
          </a:r>
          <a:endParaRPr b="0" lang="en-US" sz="800" strike="noStrike" u="none">
            <a:effectLst/>
            <a:uFillTx/>
            <a:latin typeface="Times New Roman"/>
          </a:endParaRPr>
        </a:p>
      </xdr:txBody>
    </xdr:sp>
    <xdr:clientData/>
  </xdr:twoCellAnchor>
  <xdr:twoCellAnchor editAs="absolute">
    <xdr:from>
      <xdr:col>5</xdr:col>
      <xdr:colOff>84600</xdr:colOff>
      <xdr:row>6</xdr:row>
      <xdr:rowOff>133200</xdr:rowOff>
    </xdr:from>
    <xdr:to>
      <xdr:col>5</xdr:col>
      <xdr:colOff>476280</xdr:colOff>
      <xdr:row>7</xdr:row>
      <xdr:rowOff>94680</xdr:rowOff>
    </xdr:to>
    <xdr:sp>
      <xdr:nvSpPr>
        <xdr:cNvPr id="20" name="Text 30"/>
        <xdr:cNvSpPr/>
      </xdr:nvSpPr>
      <xdr:spPr>
        <a:xfrm flipV="1">
          <a:off x="4865040" y="1361520"/>
          <a:ext cx="391680" cy="16164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31.6 </a:t>
          </a:r>
          <a:endParaRPr b="0" lang="en-US" sz="800" strike="noStrike" u="none">
            <a:effectLst/>
            <a:uFillTx/>
            <a:latin typeface="Times New Roman"/>
          </a:endParaRPr>
        </a:p>
      </xdr:txBody>
    </xdr:sp>
    <xdr:clientData/>
  </xdr:twoCellAnchor>
  <xdr:twoCellAnchor editAs="absolute">
    <xdr:from>
      <xdr:col>1</xdr:col>
      <xdr:colOff>708480</xdr:colOff>
      <xdr:row>25</xdr:row>
      <xdr:rowOff>104760</xdr:rowOff>
    </xdr:from>
    <xdr:to>
      <xdr:col>3</xdr:col>
      <xdr:colOff>676800</xdr:colOff>
      <xdr:row>28</xdr:row>
      <xdr:rowOff>47520</xdr:rowOff>
    </xdr:to>
    <xdr:sp>
      <xdr:nvSpPr>
        <xdr:cNvPr id="21" name="Line 22"/>
        <xdr:cNvSpPr/>
      </xdr:nvSpPr>
      <xdr:spPr>
        <a:xfrm flipH="1" flipV="1">
          <a:off x="2358720" y="5153040"/>
          <a:ext cx="1575720" cy="54288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absolute">
    <xdr:from>
      <xdr:col>4</xdr:col>
      <xdr:colOff>95040</xdr:colOff>
      <xdr:row>26</xdr:row>
      <xdr:rowOff>190080</xdr:rowOff>
    </xdr:from>
    <xdr:to>
      <xdr:col>4</xdr:col>
      <xdr:colOff>497160</xdr:colOff>
      <xdr:row>27</xdr:row>
      <xdr:rowOff>142560</xdr:rowOff>
    </xdr:to>
    <xdr:sp>
      <xdr:nvSpPr>
        <xdr:cNvPr id="22" name="Text 30"/>
        <xdr:cNvSpPr/>
      </xdr:nvSpPr>
      <xdr:spPr>
        <a:xfrm flipV="1">
          <a:off x="4114080" y="5438160"/>
          <a:ext cx="402120" cy="15228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75.1 </a:t>
          </a:r>
          <a:endParaRPr b="0" lang="en-US" sz="800" strike="noStrike" u="none">
            <a:effectLst/>
            <a:uFillTx/>
            <a:latin typeface="Times New Roman"/>
          </a:endParaRPr>
        </a:p>
      </xdr:txBody>
    </xdr:sp>
    <xdr:clientData/>
  </xdr:twoCellAnchor>
  <xdr:twoCellAnchor editAs="absolute">
    <xdr:from>
      <xdr:col>1</xdr:col>
      <xdr:colOff>412200</xdr:colOff>
      <xdr:row>27</xdr:row>
      <xdr:rowOff>-360</xdr:rowOff>
    </xdr:from>
    <xdr:to>
      <xdr:col>2</xdr:col>
      <xdr:colOff>11160</xdr:colOff>
      <xdr:row>27</xdr:row>
      <xdr:rowOff>170640</xdr:rowOff>
    </xdr:to>
    <xdr:sp>
      <xdr:nvSpPr>
        <xdr:cNvPr id="23" name="Text 30"/>
        <xdr:cNvSpPr/>
      </xdr:nvSpPr>
      <xdr:spPr>
        <a:xfrm flipV="1">
          <a:off x="2062440" y="5447520"/>
          <a:ext cx="444960" cy="17100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(17.7)</a:t>
          </a:r>
          <a:endParaRPr b="0" lang="en-US" sz="800" strike="noStrike" u="none">
            <a:effectLst/>
            <a:uFillTx/>
            <a:latin typeface="Times New Roman"/>
          </a:endParaRPr>
        </a:p>
      </xdr:txBody>
    </xdr:sp>
    <xdr:clientData/>
  </xdr:twoCellAnchor>
  <xdr:twoCellAnchor editAs="absolute">
    <xdr:from>
      <xdr:col>0</xdr:col>
      <xdr:colOff>475560</xdr:colOff>
      <xdr:row>24</xdr:row>
      <xdr:rowOff>133560</xdr:rowOff>
    </xdr:from>
    <xdr:to>
      <xdr:col>0</xdr:col>
      <xdr:colOff>879840</xdr:colOff>
      <xdr:row>25</xdr:row>
      <xdr:rowOff>86040</xdr:rowOff>
    </xdr:to>
    <xdr:sp>
      <xdr:nvSpPr>
        <xdr:cNvPr id="24" name="Text 30"/>
        <xdr:cNvSpPr/>
      </xdr:nvSpPr>
      <xdr:spPr>
        <a:xfrm flipV="1">
          <a:off x="475560" y="4981680"/>
          <a:ext cx="404280" cy="15264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24.0 </a:t>
          </a:r>
          <a:endParaRPr b="0" lang="en-US" sz="800" strike="noStrike" u="none">
            <a:effectLst/>
            <a:uFillTx/>
            <a:latin typeface="Times New Roman"/>
          </a:endParaRPr>
        </a:p>
      </xdr:txBody>
    </xdr:sp>
    <xdr:clientData/>
  </xdr:twoCellAnchor>
  <xdr:twoCellAnchor editAs="absolute">
    <xdr:from>
      <xdr:col>0</xdr:col>
      <xdr:colOff>465840</xdr:colOff>
      <xdr:row>27</xdr:row>
      <xdr:rowOff>66240</xdr:rowOff>
    </xdr:from>
    <xdr:to>
      <xdr:col>0</xdr:col>
      <xdr:colOff>858960</xdr:colOff>
      <xdr:row>28</xdr:row>
      <xdr:rowOff>28440</xdr:rowOff>
    </xdr:to>
    <xdr:sp>
      <xdr:nvSpPr>
        <xdr:cNvPr id="25" name="Text 30"/>
        <xdr:cNvSpPr/>
      </xdr:nvSpPr>
      <xdr:spPr>
        <a:xfrm flipV="1">
          <a:off x="465840" y="5514120"/>
          <a:ext cx="393120" cy="16236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25.0 </a:t>
          </a:r>
          <a:endParaRPr b="0" lang="en-US" sz="800" strike="noStrike" u="none">
            <a:effectLst/>
            <a:uFillTx/>
            <a:latin typeface="Times New Roman"/>
          </a:endParaRPr>
        </a:p>
      </xdr:txBody>
    </xdr:sp>
    <xdr:clientData/>
  </xdr:twoCellAnchor>
  <xdr:twoCellAnchor editAs="absolute">
    <xdr:from>
      <xdr:col>4</xdr:col>
      <xdr:colOff>84600</xdr:colOff>
      <xdr:row>28</xdr:row>
      <xdr:rowOff>170640</xdr:rowOff>
    </xdr:from>
    <xdr:to>
      <xdr:col>4</xdr:col>
      <xdr:colOff>476640</xdr:colOff>
      <xdr:row>29</xdr:row>
      <xdr:rowOff>113760</xdr:rowOff>
    </xdr:to>
    <xdr:sp>
      <xdr:nvSpPr>
        <xdr:cNvPr id="26" name="Text 30"/>
        <xdr:cNvSpPr/>
      </xdr:nvSpPr>
      <xdr:spPr>
        <a:xfrm flipV="1">
          <a:off x="4103640" y="5818680"/>
          <a:ext cx="392040" cy="14292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78.8 </a:t>
          </a:r>
          <a:endParaRPr b="0" lang="en-US" sz="800" strike="noStrike" u="none">
            <a:effectLst/>
            <a:uFillTx/>
            <a:latin typeface="Times New Roman"/>
          </a:endParaRPr>
        </a:p>
      </xdr:txBody>
    </xdr:sp>
    <xdr:clientData/>
  </xdr:twoCellAnchor>
  <xdr:twoCellAnchor editAs="absolute">
    <xdr:from>
      <xdr:col>1</xdr:col>
      <xdr:colOff>423000</xdr:colOff>
      <xdr:row>29</xdr:row>
      <xdr:rowOff>171000</xdr:rowOff>
    </xdr:from>
    <xdr:to>
      <xdr:col>2</xdr:col>
      <xdr:colOff>720</xdr:colOff>
      <xdr:row>30</xdr:row>
      <xdr:rowOff>161280</xdr:rowOff>
    </xdr:to>
    <xdr:sp>
      <xdr:nvSpPr>
        <xdr:cNvPr id="27" name="Text 30"/>
        <xdr:cNvSpPr/>
      </xdr:nvSpPr>
      <xdr:spPr>
        <a:xfrm flipV="1">
          <a:off x="2073240" y="6018840"/>
          <a:ext cx="423720" cy="19044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(17.6)</a:t>
          </a:r>
          <a:endParaRPr b="0" lang="en-US" sz="800" strike="noStrike" u="none">
            <a:effectLst/>
            <a:uFillTx/>
            <a:latin typeface="Times New Roman"/>
          </a:endParaRPr>
        </a:p>
      </xdr:txBody>
    </xdr:sp>
    <xdr:clientData/>
  </xdr:twoCellAnchor>
  <xdr:twoCellAnchor editAs="absolute">
    <xdr:from>
      <xdr:col>0</xdr:col>
      <xdr:colOff>867240</xdr:colOff>
      <xdr:row>32</xdr:row>
      <xdr:rowOff>199440</xdr:rowOff>
    </xdr:from>
    <xdr:to>
      <xdr:col>0</xdr:col>
      <xdr:colOff>1250640</xdr:colOff>
      <xdr:row>33</xdr:row>
      <xdr:rowOff>114120</xdr:rowOff>
    </xdr:to>
    <xdr:sp>
      <xdr:nvSpPr>
        <xdr:cNvPr id="28" name="Text 30"/>
        <xdr:cNvSpPr/>
      </xdr:nvSpPr>
      <xdr:spPr>
        <a:xfrm flipV="1">
          <a:off x="867240" y="6657120"/>
          <a:ext cx="383400" cy="124200"/>
        </a:xfrm>
        <a:prstGeom prst="rect">
          <a:avLst/>
        </a:prstGeom>
        <a:solidFill>
          <a:srgbClr val="ffffff"/>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40.0 </a:t>
          </a:r>
          <a:endParaRPr b="0" lang="en-US" sz="800" strike="noStrike" u="none">
            <a:effectLst/>
            <a:uFillTx/>
            <a:latin typeface="Times New Roman"/>
          </a:endParaRPr>
        </a:p>
      </xdr:txBody>
    </xdr:sp>
    <xdr:clientData/>
  </xdr:twoCellAnchor>
  <xdr:twoCellAnchor editAs="absolute">
    <xdr:from>
      <xdr:col>0</xdr:col>
      <xdr:colOff>497880</xdr:colOff>
      <xdr:row>23</xdr:row>
      <xdr:rowOff>114120</xdr:rowOff>
    </xdr:from>
    <xdr:to>
      <xdr:col>0</xdr:col>
      <xdr:colOff>858960</xdr:colOff>
      <xdr:row>24</xdr:row>
      <xdr:rowOff>67320</xdr:rowOff>
    </xdr:to>
    <xdr:sp>
      <xdr:nvSpPr>
        <xdr:cNvPr id="29" name="TGPAGUAS"/>
        <xdr:cNvSpPr/>
      </xdr:nvSpPr>
      <xdr:spPr>
        <a:xfrm>
          <a:off x="497880" y="4762440"/>
          <a:ext cx="361080" cy="153000"/>
        </a:xfrm>
        <a:prstGeom prst="rect">
          <a:avLst/>
        </a:prstGeom>
        <a:solidFill>
          <a:srgbClr val="ffffff"/>
        </a:solidFill>
        <a:ln w="0">
          <a:noFill/>
        </a:ln>
      </xdr:spPr>
      <xdr:style>
        <a:lnRef idx="0"/>
        <a:fillRef idx="0"/>
        <a:effectRef idx="0"/>
        <a:fontRef idx="minor"/>
      </xdr:style>
      <xdr:txBody>
        <a:bodyPr lIns="20160" rIns="20160" tIns="20160" bIns="20160" anchor="ctr">
          <a:spAutoFit/>
        </a:bodyPr>
        <a:p>
          <a:pPr algn="ctr"/>
          <a:r>
            <a:rPr b="0" lang="en-US" sz="800" strike="noStrike" u="none">
              <a:effectLst/>
              <a:uFillTx/>
              <a:latin typeface="Times New Roman"/>
            </a:rPr>
            <a:t>(8.1)</a:t>
          </a:r>
          <a:endParaRPr b="0" lang="en-US" sz="800" strike="noStrike" u="none">
            <a:effectLst/>
            <a:uFillTx/>
            <a:latin typeface="Times New Roman"/>
          </a:endParaRPr>
        </a:p>
      </xdr:txBody>
    </xdr:sp>
    <xdr:clientData/>
  </xdr:twoCellAnchor>
  <xdr:twoCellAnchor editAs="absolute">
    <xdr:from>
      <xdr:col>7</xdr:col>
      <xdr:colOff>348840</xdr:colOff>
      <xdr:row>1</xdr:row>
      <xdr:rowOff>190440</xdr:rowOff>
    </xdr:from>
    <xdr:to>
      <xdr:col>8</xdr:col>
      <xdr:colOff>180720</xdr:colOff>
      <xdr:row>2</xdr:row>
      <xdr:rowOff>123480</xdr:rowOff>
    </xdr:to>
    <xdr:sp>
      <xdr:nvSpPr>
        <xdr:cNvPr id="30" name="Text 121"/>
        <xdr:cNvSpPr/>
      </xdr:nvSpPr>
      <xdr:spPr>
        <a:xfrm>
          <a:off x="6651720" y="390600"/>
          <a:ext cx="593280" cy="14256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 (12.4)</a:t>
          </a:r>
          <a:endParaRPr b="0" lang="en-US" sz="800" strike="noStrike" u="none">
            <a:effectLst/>
            <a:uFillTx/>
            <a:latin typeface="Times New Roman"/>
          </a:endParaRPr>
        </a:p>
      </xdr:txBody>
    </xdr:sp>
    <xdr:clientData/>
  </xdr:twoCellAnchor>
  <xdr:twoCellAnchor editAs="absolute">
    <xdr:from>
      <xdr:col>11</xdr:col>
      <xdr:colOff>115920</xdr:colOff>
      <xdr:row>12</xdr:row>
      <xdr:rowOff>161640</xdr:rowOff>
    </xdr:from>
    <xdr:to>
      <xdr:col>11</xdr:col>
      <xdr:colOff>539640</xdr:colOff>
      <xdr:row>13</xdr:row>
      <xdr:rowOff>114120</xdr:rowOff>
    </xdr:to>
    <xdr:sp>
      <xdr:nvSpPr>
        <xdr:cNvPr id="31" name="Text 119"/>
        <xdr:cNvSpPr/>
      </xdr:nvSpPr>
      <xdr:spPr>
        <a:xfrm>
          <a:off x="9464400" y="2609640"/>
          <a:ext cx="423720" cy="15228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57.4 </a:t>
          </a:r>
          <a:endParaRPr b="0" lang="en-US" sz="800" strike="noStrike" u="none">
            <a:effectLst/>
            <a:uFillTx/>
            <a:latin typeface="Times New Roman"/>
          </a:endParaRPr>
        </a:p>
      </xdr:txBody>
    </xdr:sp>
    <xdr:clientData/>
  </xdr:twoCellAnchor>
  <xdr:twoCellAnchor editAs="absolute">
    <xdr:from>
      <xdr:col>11</xdr:col>
      <xdr:colOff>200880</xdr:colOff>
      <xdr:row>15</xdr:row>
      <xdr:rowOff>47520</xdr:rowOff>
    </xdr:from>
    <xdr:to>
      <xdr:col>11</xdr:col>
      <xdr:colOff>624600</xdr:colOff>
      <xdr:row>16</xdr:row>
      <xdr:rowOff>9360</xdr:rowOff>
    </xdr:to>
    <xdr:sp>
      <xdr:nvSpPr>
        <xdr:cNvPr id="32" name="Text 118"/>
        <xdr:cNvSpPr/>
      </xdr:nvSpPr>
      <xdr:spPr>
        <a:xfrm>
          <a:off x="9549360" y="3095640"/>
          <a:ext cx="423720" cy="16164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412.2 </a:t>
          </a:r>
          <a:endParaRPr b="0" lang="en-US" sz="800" strike="noStrike" u="none">
            <a:effectLst/>
            <a:uFillTx/>
            <a:latin typeface="Times New Roman"/>
          </a:endParaRPr>
        </a:p>
      </xdr:txBody>
    </xdr:sp>
    <xdr:clientData/>
  </xdr:twoCellAnchor>
  <xdr:twoCellAnchor editAs="absolute">
    <xdr:from>
      <xdr:col>9</xdr:col>
      <xdr:colOff>666360</xdr:colOff>
      <xdr:row>15</xdr:row>
      <xdr:rowOff>133560</xdr:rowOff>
    </xdr:from>
    <xdr:to>
      <xdr:col>10</xdr:col>
      <xdr:colOff>328680</xdr:colOff>
      <xdr:row>16</xdr:row>
      <xdr:rowOff>86040</xdr:rowOff>
    </xdr:to>
    <xdr:sp>
      <xdr:nvSpPr>
        <xdr:cNvPr id="33" name="Text 117"/>
        <xdr:cNvSpPr/>
      </xdr:nvSpPr>
      <xdr:spPr>
        <a:xfrm>
          <a:off x="8492040" y="3181680"/>
          <a:ext cx="423720" cy="15228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339.1 </a:t>
          </a:r>
          <a:endParaRPr b="0" lang="en-US" sz="800" strike="noStrike" u="none">
            <a:effectLst/>
            <a:uFillTx/>
            <a:latin typeface="Times New Roman"/>
          </a:endParaRPr>
        </a:p>
      </xdr:txBody>
    </xdr:sp>
    <xdr:clientData/>
  </xdr:twoCellAnchor>
  <xdr:twoCellAnchor editAs="absolute">
    <xdr:from>
      <xdr:col>9</xdr:col>
      <xdr:colOff>211320</xdr:colOff>
      <xdr:row>18</xdr:row>
      <xdr:rowOff>0</xdr:rowOff>
    </xdr:from>
    <xdr:to>
      <xdr:col>9</xdr:col>
      <xdr:colOff>635040</xdr:colOff>
      <xdr:row>18</xdr:row>
      <xdr:rowOff>133560</xdr:rowOff>
    </xdr:to>
    <xdr:sp>
      <xdr:nvSpPr>
        <xdr:cNvPr id="34" name="Text 116"/>
        <xdr:cNvSpPr/>
      </xdr:nvSpPr>
      <xdr:spPr>
        <a:xfrm>
          <a:off x="8037000" y="3648240"/>
          <a:ext cx="423720" cy="13356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339.3 </a:t>
          </a:r>
          <a:endParaRPr b="0" lang="en-US" sz="800" strike="noStrike" u="none">
            <a:effectLst/>
            <a:uFillTx/>
            <a:latin typeface="Times New Roman"/>
          </a:endParaRPr>
        </a:p>
      </xdr:txBody>
    </xdr:sp>
    <xdr:clientData/>
  </xdr:twoCellAnchor>
  <xdr:twoCellAnchor editAs="absolute">
    <xdr:from>
      <xdr:col>8</xdr:col>
      <xdr:colOff>666360</xdr:colOff>
      <xdr:row>20</xdr:row>
      <xdr:rowOff>181080</xdr:rowOff>
    </xdr:from>
    <xdr:to>
      <xdr:col>9</xdr:col>
      <xdr:colOff>328680</xdr:colOff>
      <xdr:row>21</xdr:row>
      <xdr:rowOff>134280</xdr:rowOff>
    </xdr:to>
    <xdr:sp>
      <xdr:nvSpPr>
        <xdr:cNvPr id="35" name="Text 115"/>
        <xdr:cNvSpPr/>
      </xdr:nvSpPr>
      <xdr:spPr>
        <a:xfrm>
          <a:off x="7730640" y="4229280"/>
          <a:ext cx="423720" cy="153000"/>
        </a:xfrm>
        <a:prstGeom prst="rect">
          <a:avLst/>
        </a:prstGeom>
        <a:solidFill>
          <a:srgbClr val="ffffff"/>
        </a:solidFill>
        <a:ln w="0">
          <a:noFill/>
        </a:ln>
      </xdr:spPr>
      <xdr:style>
        <a:lnRef idx="0"/>
        <a:fillRef idx="0"/>
        <a:effectRef idx="0"/>
        <a:fontRef idx="minor"/>
      </xdr:style>
      <xdr:txBody>
        <a:bodyPr lIns="20160" rIns="20160" tIns="20160" bIns="20160" anchor="ctr">
          <a:spAutoFit/>
        </a:bodyPr>
        <a:p>
          <a:pPr algn="ctr"/>
          <a:r>
            <a:rPr b="0" lang="en-US" sz="800" strike="noStrike" u="none">
              <a:effectLst/>
              <a:uFillTx/>
              <a:latin typeface="Times New Roman"/>
            </a:rPr>
            <a:t>347.6 </a:t>
          </a:r>
          <a:endParaRPr b="0" lang="en-US" sz="800" strike="noStrike" u="none">
            <a:effectLst/>
            <a:uFillTx/>
            <a:latin typeface="Times New Roman"/>
          </a:endParaRPr>
        </a:p>
      </xdr:txBody>
    </xdr:sp>
    <xdr:clientData/>
  </xdr:twoCellAnchor>
  <xdr:twoCellAnchor editAs="absolute">
    <xdr:from>
      <xdr:col>6</xdr:col>
      <xdr:colOff>687240</xdr:colOff>
      <xdr:row>24</xdr:row>
      <xdr:rowOff>47880</xdr:rowOff>
    </xdr:from>
    <xdr:to>
      <xdr:col>7</xdr:col>
      <xdr:colOff>349560</xdr:colOff>
      <xdr:row>24</xdr:row>
      <xdr:rowOff>190800</xdr:rowOff>
    </xdr:to>
    <xdr:sp>
      <xdr:nvSpPr>
        <xdr:cNvPr id="36" name="Text 114"/>
        <xdr:cNvSpPr/>
      </xdr:nvSpPr>
      <xdr:spPr>
        <a:xfrm>
          <a:off x="6228720" y="4896000"/>
          <a:ext cx="423720" cy="14292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280.8 </a:t>
          </a:r>
          <a:endParaRPr b="0" lang="en-US" sz="800" strike="noStrike" u="none">
            <a:effectLst/>
            <a:uFillTx/>
            <a:latin typeface="Times New Roman"/>
          </a:endParaRPr>
        </a:p>
      </xdr:txBody>
    </xdr:sp>
    <xdr:clientData/>
  </xdr:twoCellAnchor>
  <xdr:twoCellAnchor editAs="absolute">
    <xdr:from>
      <xdr:col>6</xdr:col>
      <xdr:colOff>74520</xdr:colOff>
      <xdr:row>25</xdr:row>
      <xdr:rowOff>161640</xdr:rowOff>
    </xdr:from>
    <xdr:to>
      <xdr:col>6</xdr:col>
      <xdr:colOff>497520</xdr:colOff>
      <xdr:row>26</xdr:row>
      <xdr:rowOff>113760</xdr:rowOff>
    </xdr:to>
    <xdr:sp>
      <xdr:nvSpPr>
        <xdr:cNvPr id="37" name="Text 113"/>
        <xdr:cNvSpPr/>
      </xdr:nvSpPr>
      <xdr:spPr>
        <a:xfrm>
          <a:off x="5616000" y="5209920"/>
          <a:ext cx="423000" cy="15228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280.2 </a:t>
          </a:r>
          <a:endParaRPr b="0" lang="en-US" sz="800" strike="noStrike" u="none">
            <a:effectLst/>
            <a:uFillTx/>
            <a:latin typeface="Times New Roman"/>
          </a:endParaRPr>
        </a:p>
      </xdr:txBody>
    </xdr:sp>
    <xdr:clientData/>
  </xdr:twoCellAnchor>
  <xdr:twoCellAnchor editAs="absolute">
    <xdr:from>
      <xdr:col>5</xdr:col>
      <xdr:colOff>0</xdr:colOff>
      <xdr:row>27</xdr:row>
      <xdr:rowOff>9360</xdr:rowOff>
    </xdr:from>
    <xdr:to>
      <xdr:col>5</xdr:col>
      <xdr:colOff>444600</xdr:colOff>
      <xdr:row>27</xdr:row>
      <xdr:rowOff>152280</xdr:rowOff>
    </xdr:to>
    <xdr:sp>
      <xdr:nvSpPr>
        <xdr:cNvPr id="38" name="Text 112"/>
        <xdr:cNvSpPr/>
      </xdr:nvSpPr>
      <xdr:spPr>
        <a:xfrm>
          <a:off x="4780440" y="5457600"/>
          <a:ext cx="444600" cy="14292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290.6 </a:t>
          </a:r>
          <a:endParaRPr b="0" lang="en-US" sz="800" strike="noStrike" u="none">
            <a:effectLst/>
            <a:uFillTx/>
            <a:latin typeface="Times New Roman"/>
          </a:endParaRPr>
        </a:p>
      </xdr:txBody>
    </xdr:sp>
    <xdr:clientData/>
  </xdr:twoCellAnchor>
  <xdr:twoCellAnchor editAs="absolute">
    <xdr:from>
      <xdr:col>4</xdr:col>
      <xdr:colOff>158400</xdr:colOff>
      <xdr:row>31</xdr:row>
      <xdr:rowOff>104760</xdr:rowOff>
    </xdr:from>
    <xdr:to>
      <xdr:col>4</xdr:col>
      <xdr:colOff>518760</xdr:colOff>
      <xdr:row>32</xdr:row>
      <xdr:rowOff>28440</xdr:rowOff>
    </xdr:to>
    <xdr:sp>
      <xdr:nvSpPr>
        <xdr:cNvPr id="39" name="Text 111"/>
        <xdr:cNvSpPr/>
      </xdr:nvSpPr>
      <xdr:spPr>
        <a:xfrm>
          <a:off x="4177440" y="6353280"/>
          <a:ext cx="360360" cy="13320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47.4 </a:t>
          </a:r>
          <a:endParaRPr b="0" lang="en-US" sz="800" strike="noStrike" u="none">
            <a:effectLst/>
            <a:uFillTx/>
            <a:latin typeface="Times New Roman"/>
          </a:endParaRPr>
        </a:p>
      </xdr:txBody>
    </xdr:sp>
    <xdr:clientData/>
  </xdr:twoCellAnchor>
  <xdr:twoCellAnchor editAs="absolute">
    <xdr:from>
      <xdr:col>0</xdr:col>
      <xdr:colOff>465840</xdr:colOff>
      <xdr:row>21</xdr:row>
      <xdr:rowOff>143280</xdr:rowOff>
    </xdr:from>
    <xdr:to>
      <xdr:col>0</xdr:col>
      <xdr:colOff>838080</xdr:colOff>
      <xdr:row>22</xdr:row>
      <xdr:rowOff>96120</xdr:rowOff>
    </xdr:to>
    <xdr:sp>
      <xdr:nvSpPr>
        <xdr:cNvPr id="40" name="TGPAGUAS"/>
        <xdr:cNvSpPr/>
      </xdr:nvSpPr>
      <xdr:spPr>
        <a:xfrm>
          <a:off x="465840" y="4391280"/>
          <a:ext cx="372240" cy="153000"/>
        </a:xfrm>
        <a:prstGeom prst="rect">
          <a:avLst/>
        </a:prstGeom>
        <a:solidFill>
          <a:srgbClr val="ffffff"/>
        </a:solidFill>
        <a:ln w="0">
          <a:noFill/>
        </a:ln>
      </xdr:spPr>
      <xdr:style>
        <a:lnRef idx="0"/>
        <a:fillRef idx="0"/>
        <a:effectRef idx="0"/>
        <a:fontRef idx="minor"/>
      </xdr:style>
      <xdr:txBody>
        <a:bodyPr lIns="20160" rIns="20160" tIns="20160" bIns="20160" anchor="ctr">
          <a:spAutoFit/>
        </a:bodyPr>
        <a:p>
          <a:pPr algn="ctr"/>
          <a:r>
            <a:rPr b="0" lang="en-US" sz="800" strike="noStrike" u="none">
              <a:effectLst/>
              <a:uFillTx/>
              <a:latin typeface="Times New Roman"/>
            </a:rPr>
            <a:t>(1.1)</a:t>
          </a:r>
          <a:endParaRPr b="0" lang="en-US" sz="800" strike="noStrike" u="none">
            <a:effectLst/>
            <a:uFillTx/>
            <a:latin typeface="Times New Roman"/>
          </a:endParaRPr>
        </a:p>
      </xdr:txBody>
    </xdr:sp>
    <xdr:clientData/>
  </xdr:twoCellAnchor>
  <xdr:twoCellAnchor editAs="absolute">
    <xdr:from>
      <xdr:col>12</xdr:col>
      <xdr:colOff>243000</xdr:colOff>
      <xdr:row>7</xdr:row>
      <xdr:rowOff>85680</xdr:rowOff>
    </xdr:from>
    <xdr:to>
      <xdr:col>12</xdr:col>
      <xdr:colOff>666720</xdr:colOff>
      <xdr:row>8</xdr:row>
      <xdr:rowOff>38520</xdr:rowOff>
    </xdr:to>
    <xdr:sp>
      <xdr:nvSpPr>
        <xdr:cNvPr id="41" name="Text 107"/>
        <xdr:cNvSpPr/>
      </xdr:nvSpPr>
      <xdr:spPr>
        <a:xfrm>
          <a:off x="10352880" y="1514520"/>
          <a:ext cx="423720" cy="16236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(4.8)</a:t>
          </a:r>
          <a:endParaRPr b="0" lang="en-US" sz="800" strike="noStrike" u="none">
            <a:effectLst/>
            <a:uFillTx/>
            <a:latin typeface="Times New Roman"/>
          </a:endParaRPr>
        </a:p>
      </xdr:txBody>
    </xdr:sp>
    <xdr:clientData/>
  </xdr:twoCellAnchor>
  <xdr:twoCellAnchor editAs="absolute">
    <xdr:from>
      <xdr:col>7</xdr:col>
      <xdr:colOff>433440</xdr:colOff>
      <xdr:row>0</xdr:row>
      <xdr:rowOff>66240</xdr:rowOff>
    </xdr:from>
    <xdr:to>
      <xdr:col>8</xdr:col>
      <xdr:colOff>117000</xdr:colOff>
      <xdr:row>0</xdr:row>
      <xdr:rowOff>200160</xdr:rowOff>
    </xdr:to>
    <xdr:sp>
      <xdr:nvSpPr>
        <xdr:cNvPr id="42" name="Text 97"/>
        <xdr:cNvSpPr/>
      </xdr:nvSpPr>
      <xdr:spPr>
        <a:xfrm>
          <a:off x="6736320" y="66240"/>
          <a:ext cx="444960" cy="13392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 (10.6)</a:t>
          </a:r>
          <a:endParaRPr b="0" lang="en-US" sz="800" strike="noStrike" u="none">
            <a:effectLst/>
            <a:uFillTx/>
            <a:latin typeface="Times New Roman"/>
          </a:endParaRPr>
        </a:p>
      </xdr:txBody>
    </xdr:sp>
    <xdr:clientData/>
  </xdr:twoCellAnchor>
  <xdr:twoCellAnchor editAs="absolute">
    <xdr:from>
      <xdr:col>9</xdr:col>
      <xdr:colOff>666360</xdr:colOff>
      <xdr:row>13</xdr:row>
      <xdr:rowOff>190800</xdr:rowOff>
    </xdr:from>
    <xdr:to>
      <xdr:col>10</xdr:col>
      <xdr:colOff>328680</xdr:colOff>
      <xdr:row>14</xdr:row>
      <xdr:rowOff>114120</xdr:rowOff>
    </xdr:to>
    <xdr:sp>
      <xdr:nvSpPr>
        <xdr:cNvPr id="43" name="Text 73"/>
        <xdr:cNvSpPr/>
      </xdr:nvSpPr>
      <xdr:spPr>
        <a:xfrm>
          <a:off x="8492040" y="2838600"/>
          <a:ext cx="423720" cy="12348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310.7 </a:t>
          </a:r>
          <a:endParaRPr b="0" lang="en-US" sz="800" strike="noStrike" u="none">
            <a:effectLst/>
            <a:uFillTx/>
            <a:latin typeface="Times New Roman"/>
          </a:endParaRPr>
        </a:p>
      </xdr:txBody>
    </xdr:sp>
    <xdr:clientData/>
  </xdr:twoCellAnchor>
  <xdr:twoCellAnchor editAs="absolute">
    <xdr:from>
      <xdr:col>11</xdr:col>
      <xdr:colOff>115920</xdr:colOff>
      <xdr:row>11</xdr:row>
      <xdr:rowOff>18720</xdr:rowOff>
    </xdr:from>
    <xdr:to>
      <xdr:col>11</xdr:col>
      <xdr:colOff>539640</xdr:colOff>
      <xdr:row>11</xdr:row>
      <xdr:rowOff>171000</xdr:rowOff>
    </xdr:to>
    <xdr:sp>
      <xdr:nvSpPr>
        <xdr:cNvPr id="44" name="Text 79"/>
        <xdr:cNvSpPr/>
      </xdr:nvSpPr>
      <xdr:spPr>
        <a:xfrm>
          <a:off x="9464400" y="2266560"/>
          <a:ext cx="423720" cy="15228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56.2 </a:t>
          </a:r>
          <a:endParaRPr b="0" lang="en-US" sz="800" strike="noStrike" u="none">
            <a:effectLst/>
            <a:uFillTx/>
            <a:latin typeface="Times New Roman"/>
          </a:endParaRPr>
        </a:p>
      </xdr:txBody>
    </xdr:sp>
    <xdr:clientData/>
  </xdr:twoCellAnchor>
  <xdr:twoCellAnchor editAs="absolute">
    <xdr:from>
      <xdr:col>11</xdr:col>
      <xdr:colOff>200880</xdr:colOff>
      <xdr:row>13</xdr:row>
      <xdr:rowOff>123480</xdr:rowOff>
    </xdr:from>
    <xdr:to>
      <xdr:col>11</xdr:col>
      <xdr:colOff>624600</xdr:colOff>
      <xdr:row>14</xdr:row>
      <xdr:rowOff>86040</xdr:rowOff>
    </xdr:to>
    <xdr:sp>
      <xdr:nvSpPr>
        <xdr:cNvPr id="45" name="Text 75"/>
        <xdr:cNvSpPr/>
      </xdr:nvSpPr>
      <xdr:spPr>
        <a:xfrm>
          <a:off x="9549360" y="2771280"/>
          <a:ext cx="423720" cy="16272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387.4 </a:t>
          </a:r>
          <a:endParaRPr b="0" lang="en-US" sz="800" strike="noStrike" u="none">
            <a:effectLst/>
            <a:uFillTx/>
            <a:latin typeface="Times New Roman"/>
          </a:endParaRPr>
        </a:p>
      </xdr:txBody>
    </xdr:sp>
    <xdr:clientData/>
  </xdr:twoCellAnchor>
  <xdr:twoCellAnchor editAs="absolute">
    <xdr:from>
      <xdr:col>1</xdr:col>
      <xdr:colOff>666000</xdr:colOff>
      <xdr:row>5</xdr:row>
      <xdr:rowOff>9360</xdr:rowOff>
    </xdr:from>
    <xdr:to>
      <xdr:col>12</xdr:col>
      <xdr:colOff>518760</xdr:colOff>
      <xdr:row>35</xdr:row>
      <xdr:rowOff>208440</xdr:rowOff>
    </xdr:to>
    <xdr:grpSp>
      <xdr:nvGrpSpPr>
        <xdr:cNvPr id="46" name="Group 47"/>
        <xdr:cNvGrpSpPr/>
      </xdr:nvGrpSpPr>
      <xdr:grpSpPr>
        <a:xfrm>
          <a:off x="2316240" y="1038240"/>
          <a:ext cx="8312400" cy="6266160"/>
          <a:chOff x="2316240" y="1038240"/>
          <a:chExt cx="8312400" cy="6266160"/>
        </a:xfrm>
      </xdr:grpSpPr>
      <xdr:grpSp>
        <xdr:nvGrpSpPr>
          <xdr:cNvPr id="47" name="Group 48"/>
          <xdr:cNvGrpSpPr/>
        </xdr:nvGrpSpPr>
        <xdr:grpSpPr>
          <a:xfrm>
            <a:off x="2316240" y="1038240"/>
            <a:ext cx="8312400" cy="6266160"/>
            <a:chOff x="2316240" y="1038240"/>
            <a:chExt cx="8312400" cy="6266160"/>
          </a:xfrm>
        </xdr:grpSpPr>
        <xdr:sp>
          <xdr:nvSpPr>
            <xdr:cNvPr id="48" name="Drawing 8"/>
            <xdr:cNvSpPr/>
          </xdr:nvSpPr>
          <xdr:spPr>
            <a:xfrm>
              <a:off x="3754440" y="1038240"/>
              <a:ext cx="6874200" cy="3642480"/>
            </a:xfrm>
            <a:custGeom>
              <a:avLst/>
              <a:gdLst/>
              <a:ahLst/>
              <a:rect l="l" t="t" r="r" b="b"/>
              <a:pathLst>
                <a:path w="16384" h="16384">
                  <a:moveTo>
                    <a:pt x="16384" y="1638"/>
                  </a:moveTo>
                  <a:lnTo>
                    <a:pt x="16283" y="1695"/>
                  </a:lnTo>
                  <a:lnTo>
                    <a:pt x="16183" y="1695"/>
                  </a:lnTo>
                  <a:lnTo>
                    <a:pt x="16082" y="1638"/>
                  </a:lnTo>
                  <a:lnTo>
                    <a:pt x="15981" y="1525"/>
                  </a:lnTo>
                  <a:lnTo>
                    <a:pt x="15880" y="1356"/>
                  </a:lnTo>
                  <a:lnTo>
                    <a:pt x="15780" y="1356"/>
                  </a:lnTo>
                  <a:lnTo>
                    <a:pt x="15679" y="1299"/>
                  </a:lnTo>
                  <a:lnTo>
                    <a:pt x="15041" y="1299"/>
                  </a:lnTo>
                  <a:lnTo>
                    <a:pt x="14739" y="1469"/>
                  </a:lnTo>
                  <a:lnTo>
                    <a:pt x="14638" y="1469"/>
                  </a:lnTo>
                  <a:lnTo>
                    <a:pt x="14537" y="1525"/>
                  </a:lnTo>
                  <a:lnTo>
                    <a:pt x="14336" y="1525"/>
                  </a:lnTo>
                  <a:lnTo>
                    <a:pt x="14235" y="1582"/>
                  </a:lnTo>
                  <a:lnTo>
                    <a:pt x="13799" y="1582"/>
                  </a:lnTo>
                  <a:lnTo>
                    <a:pt x="13698" y="1638"/>
                  </a:lnTo>
                  <a:lnTo>
                    <a:pt x="13564" y="1695"/>
                  </a:lnTo>
                  <a:lnTo>
                    <a:pt x="13463" y="1695"/>
                  </a:lnTo>
                  <a:lnTo>
                    <a:pt x="13329" y="1751"/>
                  </a:lnTo>
                  <a:lnTo>
                    <a:pt x="12926" y="1977"/>
                  </a:lnTo>
                  <a:lnTo>
                    <a:pt x="12892" y="1808"/>
                  </a:lnTo>
                  <a:lnTo>
                    <a:pt x="12825" y="1638"/>
                  </a:lnTo>
                  <a:lnTo>
                    <a:pt x="12724" y="1525"/>
                  </a:lnTo>
                  <a:lnTo>
                    <a:pt x="12691" y="1356"/>
                  </a:lnTo>
                  <a:lnTo>
                    <a:pt x="12792" y="1243"/>
                  </a:lnTo>
                  <a:lnTo>
                    <a:pt x="12892" y="1186"/>
                  </a:lnTo>
                  <a:lnTo>
                    <a:pt x="13094" y="960"/>
                  </a:lnTo>
                  <a:lnTo>
                    <a:pt x="13127" y="791"/>
                  </a:lnTo>
                  <a:lnTo>
                    <a:pt x="13194" y="621"/>
                  </a:lnTo>
                  <a:lnTo>
                    <a:pt x="13228" y="452"/>
                  </a:lnTo>
                  <a:lnTo>
                    <a:pt x="13194" y="282"/>
                  </a:lnTo>
                  <a:lnTo>
                    <a:pt x="13127" y="113"/>
                  </a:lnTo>
                  <a:lnTo>
                    <a:pt x="13027" y="0"/>
                  </a:lnTo>
                  <a:lnTo>
                    <a:pt x="12926" y="0"/>
                  </a:lnTo>
                  <a:lnTo>
                    <a:pt x="12657" y="678"/>
                  </a:lnTo>
                  <a:lnTo>
                    <a:pt x="12557" y="791"/>
                  </a:lnTo>
                  <a:lnTo>
                    <a:pt x="12489" y="960"/>
                  </a:lnTo>
                  <a:lnTo>
                    <a:pt x="12489" y="1299"/>
                  </a:lnTo>
                  <a:lnTo>
                    <a:pt x="12590" y="1412"/>
                  </a:lnTo>
                  <a:lnTo>
                    <a:pt x="12792" y="1921"/>
                  </a:lnTo>
                  <a:lnTo>
                    <a:pt x="12825" y="2090"/>
                  </a:lnTo>
                  <a:lnTo>
                    <a:pt x="12825" y="2260"/>
                  </a:lnTo>
                  <a:lnTo>
                    <a:pt x="12624" y="2373"/>
                  </a:lnTo>
                  <a:lnTo>
                    <a:pt x="12523" y="2316"/>
                  </a:lnTo>
                  <a:lnTo>
                    <a:pt x="12221" y="2316"/>
                  </a:lnTo>
                  <a:lnTo>
                    <a:pt x="11818" y="2542"/>
                  </a:lnTo>
                  <a:lnTo>
                    <a:pt x="11516" y="2881"/>
                  </a:lnTo>
                  <a:lnTo>
                    <a:pt x="11382" y="2994"/>
                  </a:lnTo>
                  <a:lnTo>
                    <a:pt x="11281" y="3051"/>
                  </a:lnTo>
                  <a:lnTo>
                    <a:pt x="11180" y="3164"/>
                  </a:lnTo>
                  <a:lnTo>
                    <a:pt x="11046" y="3220"/>
                  </a:lnTo>
                  <a:lnTo>
                    <a:pt x="10945" y="3333"/>
                  </a:lnTo>
                  <a:lnTo>
                    <a:pt x="10844" y="3390"/>
                  </a:lnTo>
                  <a:lnTo>
                    <a:pt x="10710" y="3446"/>
                  </a:lnTo>
                  <a:lnTo>
                    <a:pt x="10609" y="3559"/>
                  </a:lnTo>
                  <a:lnTo>
                    <a:pt x="10475" y="3672"/>
                  </a:lnTo>
                  <a:lnTo>
                    <a:pt x="9971" y="3955"/>
                  </a:lnTo>
                  <a:lnTo>
                    <a:pt x="9871" y="4068"/>
                  </a:lnTo>
                  <a:lnTo>
                    <a:pt x="9770" y="4124"/>
                  </a:lnTo>
                  <a:lnTo>
                    <a:pt x="9669" y="4237"/>
                  </a:lnTo>
                  <a:lnTo>
                    <a:pt x="9468" y="4576"/>
                  </a:lnTo>
                  <a:lnTo>
                    <a:pt x="9401" y="4746"/>
                  </a:lnTo>
                  <a:lnTo>
                    <a:pt x="9300" y="4859"/>
                  </a:lnTo>
                  <a:lnTo>
                    <a:pt x="9199" y="5028"/>
                  </a:lnTo>
                  <a:lnTo>
                    <a:pt x="9098" y="5028"/>
                  </a:lnTo>
                  <a:lnTo>
                    <a:pt x="9065" y="4859"/>
                  </a:lnTo>
                  <a:lnTo>
                    <a:pt x="9132" y="4689"/>
                  </a:lnTo>
                  <a:lnTo>
                    <a:pt x="9233" y="4576"/>
                  </a:lnTo>
                  <a:lnTo>
                    <a:pt x="9334" y="4520"/>
                  </a:lnTo>
                  <a:lnTo>
                    <a:pt x="9401" y="4350"/>
                  </a:lnTo>
                  <a:lnTo>
                    <a:pt x="9501" y="4294"/>
                  </a:lnTo>
                  <a:lnTo>
                    <a:pt x="9602" y="4124"/>
                  </a:lnTo>
                  <a:lnTo>
                    <a:pt x="9703" y="4068"/>
                  </a:lnTo>
                  <a:lnTo>
                    <a:pt x="9804" y="3955"/>
                  </a:lnTo>
                  <a:lnTo>
                    <a:pt x="9804" y="3785"/>
                  </a:lnTo>
                  <a:lnTo>
                    <a:pt x="9770" y="3616"/>
                  </a:lnTo>
                  <a:lnTo>
                    <a:pt x="9837" y="3446"/>
                  </a:lnTo>
                  <a:lnTo>
                    <a:pt x="10039" y="3333"/>
                  </a:lnTo>
                  <a:lnTo>
                    <a:pt x="10005" y="3164"/>
                  </a:lnTo>
                  <a:lnTo>
                    <a:pt x="9904" y="3220"/>
                  </a:lnTo>
                  <a:lnTo>
                    <a:pt x="9804" y="3220"/>
                  </a:lnTo>
                  <a:lnTo>
                    <a:pt x="9703" y="3333"/>
                  </a:lnTo>
                  <a:lnTo>
                    <a:pt x="9602" y="3333"/>
                  </a:lnTo>
                  <a:lnTo>
                    <a:pt x="9501" y="3390"/>
                  </a:lnTo>
                  <a:lnTo>
                    <a:pt x="9199" y="3390"/>
                  </a:lnTo>
                  <a:lnTo>
                    <a:pt x="9300" y="2881"/>
                  </a:lnTo>
                  <a:lnTo>
                    <a:pt x="9300" y="2712"/>
                  </a:lnTo>
                  <a:lnTo>
                    <a:pt x="9367" y="2373"/>
                  </a:lnTo>
                  <a:lnTo>
                    <a:pt x="9334" y="2203"/>
                  </a:lnTo>
                  <a:lnTo>
                    <a:pt x="9233" y="2090"/>
                  </a:lnTo>
                  <a:lnTo>
                    <a:pt x="9199" y="1921"/>
                  </a:lnTo>
                  <a:lnTo>
                    <a:pt x="9132" y="1751"/>
                  </a:lnTo>
                  <a:lnTo>
                    <a:pt x="9031" y="1751"/>
                  </a:lnTo>
                  <a:lnTo>
                    <a:pt x="8931" y="1808"/>
                  </a:lnTo>
                  <a:lnTo>
                    <a:pt x="8830" y="1977"/>
                  </a:lnTo>
                  <a:lnTo>
                    <a:pt x="8696" y="2316"/>
                  </a:lnTo>
                  <a:lnTo>
                    <a:pt x="8628" y="2655"/>
                  </a:lnTo>
                  <a:lnTo>
                    <a:pt x="8528" y="2655"/>
                  </a:lnTo>
                  <a:lnTo>
                    <a:pt x="8326" y="2542"/>
                  </a:lnTo>
                  <a:lnTo>
                    <a:pt x="8226" y="2429"/>
                  </a:lnTo>
                  <a:lnTo>
                    <a:pt x="8158" y="2260"/>
                  </a:lnTo>
                  <a:lnTo>
                    <a:pt x="8058" y="2147"/>
                  </a:lnTo>
                  <a:lnTo>
                    <a:pt x="7957" y="1977"/>
                  </a:lnTo>
                  <a:lnTo>
                    <a:pt x="7856" y="1864"/>
                  </a:lnTo>
                  <a:lnTo>
                    <a:pt x="7756" y="1864"/>
                  </a:lnTo>
                  <a:lnTo>
                    <a:pt x="7856" y="1921"/>
                  </a:lnTo>
                  <a:lnTo>
                    <a:pt x="7856" y="2090"/>
                  </a:lnTo>
                  <a:lnTo>
                    <a:pt x="7890" y="2260"/>
                  </a:lnTo>
                  <a:lnTo>
                    <a:pt x="7789" y="2316"/>
                  </a:lnTo>
                  <a:lnTo>
                    <a:pt x="7688" y="2316"/>
                  </a:lnTo>
                  <a:lnTo>
                    <a:pt x="7386" y="2147"/>
                  </a:lnTo>
                  <a:lnTo>
                    <a:pt x="7286" y="2203"/>
                  </a:lnTo>
                  <a:lnTo>
                    <a:pt x="7588" y="2373"/>
                  </a:lnTo>
                  <a:lnTo>
                    <a:pt x="7688" y="2486"/>
                  </a:lnTo>
                  <a:lnTo>
                    <a:pt x="7789" y="2486"/>
                  </a:lnTo>
                  <a:lnTo>
                    <a:pt x="7890" y="2542"/>
                  </a:lnTo>
                  <a:lnTo>
                    <a:pt x="7991" y="2655"/>
                  </a:lnTo>
                  <a:lnTo>
                    <a:pt x="8024" y="2825"/>
                  </a:lnTo>
                  <a:lnTo>
                    <a:pt x="8125" y="2938"/>
                  </a:lnTo>
                  <a:lnTo>
                    <a:pt x="8192" y="3277"/>
                  </a:lnTo>
                  <a:lnTo>
                    <a:pt x="8091" y="3390"/>
                  </a:lnTo>
                  <a:lnTo>
                    <a:pt x="8158" y="3559"/>
                  </a:lnTo>
                  <a:lnTo>
                    <a:pt x="8259" y="3672"/>
                  </a:lnTo>
                  <a:lnTo>
                    <a:pt x="8326" y="3842"/>
                  </a:lnTo>
                  <a:lnTo>
                    <a:pt x="8427" y="3955"/>
                  </a:lnTo>
                  <a:lnTo>
                    <a:pt x="8494" y="4124"/>
                  </a:lnTo>
                  <a:lnTo>
                    <a:pt x="8293" y="4237"/>
                  </a:lnTo>
                  <a:lnTo>
                    <a:pt x="8393" y="4350"/>
                  </a:lnTo>
                  <a:lnTo>
                    <a:pt x="8494" y="4407"/>
                  </a:lnTo>
                  <a:lnTo>
                    <a:pt x="8528" y="4576"/>
                  </a:lnTo>
                  <a:lnTo>
                    <a:pt x="8595" y="4746"/>
                  </a:lnTo>
                  <a:lnTo>
                    <a:pt x="8696" y="4802"/>
                  </a:lnTo>
                  <a:lnTo>
                    <a:pt x="8796" y="4802"/>
                  </a:lnTo>
                  <a:lnTo>
                    <a:pt x="8998" y="4915"/>
                  </a:lnTo>
                  <a:lnTo>
                    <a:pt x="8897" y="4972"/>
                  </a:lnTo>
                  <a:lnTo>
                    <a:pt x="8696" y="4972"/>
                  </a:lnTo>
                  <a:lnTo>
                    <a:pt x="8662" y="5141"/>
                  </a:lnTo>
                  <a:lnTo>
                    <a:pt x="8561" y="5254"/>
                  </a:lnTo>
                  <a:lnTo>
                    <a:pt x="8528" y="5424"/>
                  </a:lnTo>
                  <a:lnTo>
                    <a:pt x="8427" y="5537"/>
                  </a:lnTo>
                  <a:lnTo>
                    <a:pt x="8326" y="5480"/>
                  </a:lnTo>
                  <a:lnTo>
                    <a:pt x="8326" y="5311"/>
                  </a:lnTo>
                  <a:lnTo>
                    <a:pt x="8393" y="5480"/>
                  </a:lnTo>
                  <a:lnTo>
                    <a:pt x="8192" y="5706"/>
                  </a:lnTo>
                  <a:lnTo>
                    <a:pt x="8226" y="5876"/>
                  </a:lnTo>
                  <a:lnTo>
                    <a:pt x="8125" y="5989"/>
                  </a:lnTo>
                  <a:lnTo>
                    <a:pt x="7991" y="6158"/>
                  </a:lnTo>
                  <a:lnTo>
                    <a:pt x="7923" y="6328"/>
                  </a:lnTo>
                  <a:lnTo>
                    <a:pt x="7923" y="6497"/>
                  </a:lnTo>
                  <a:lnTo>
                    <a:pt x="7823" y="6554"/>
                  </a:lnTo>
                  <a:lnTo>
                    <a:pt x="7688" y="6893"/>
                  </a:lnTo>
                  <a:lnTo>
                    <a:pt x="7588" y="7062"/>
                  </a:lnTo>
                  <a:lnTo>
                    <a:pt x="7521" y="7232"/>
                  </a:lnTo>
                  <a:lnTo>
                    <a:pt x="7453" y="7571"/>
                  </a:lnTo>
                  <a:lnTo>
                    <a:pt x="7353" y="7740"/>
                  </a:lnTo>
                  <a:lnTo>
                    <a:pt x="7252" y="7853"/>
                  </a:lnTo>
                  <a:lnTo>
                    <a:pt x="7252" y="8023"/>
                  </a:lnTo>
                  <a:lnTo>
                    <a:pt x="7218" y="8192"/>
                  </a:lnTo>
                  <a:lnTo>
                    <a:pt x="7118" y="8361"/>
                  </a:lnTo>
                  <a:lnTo>
                    <a:pt x="6916" y="8870"/>
                  </a:lnTo>
                  <a:lnTo>
                    <a:pt x="6815" y="8926"/>
                  </a:lnTo>
                  <a:lnTo>
                    <a:pt x="6312" y="9491"/>
                  </a:lnTo>
                  <a:lnTo>
                    <a:pt x="6178" y="9548"/>
                  </a:lnTo>
                  <a:lnTo>
                    <a:pt x="6077" y="9661"/>
                  </a:lnTo>
                  <a:lnTo>
                    <a:pt x="6010" y="9830"/>
                  </a:lnTo>
                  <a:lnTo>
                    <a:pt x="5909" y="9943"/>
                  </a:lnTo>
                  <a:lnTo>
                    <a:pt x="5808" y="10000"/>
                  </a:lnTo>
                  <a:lnTo>
                    <a:pt x="5708" y="10113"/>
                  </a:lnTo>
                  <a:lnTo>
                    <a:pt x="5573" y="10226"/>
                  </a:lnTo>
                  <a:lnTo>
                    <a:pt x="5473" y="10282"/>
                  </a:lnTo>
                  <a:lnTo>
                    <a:pt x="5372" y="10169"/>
                  </a:lnTo>
                  <a:lnTo>
                    <a:pt x="5271" y="10169"/>
                  </a:lnTo>
                  <a:lnTo>
                    <a:pt x="5170" y="10282"/>
                  </a:lnTo>
                  <a:lnTo>
                    <a:pt x="5070" y="10339"/>
                  </a:lnTo>
                  <a:lnTo>
                    <a:pt x="4969" y="10339"/>
                  </a:lnTo>
                  <a:lnTo>
                    <a:pt x="4868" y="10282"/>
                  </a:lnTo>
                  <a:lnTo>
                    <a:pt x="4767" y="10339"/>
                  </a:lnTo>
                  <a:lnTo>
                    <a:pt x="4700" y="10508"/>
                  </a:lnTo>
                  <a:lnTo>
                    <a:pt x="4600" y="10565"/>
                  </a:lnTo>
                  <a:lnTo>
                    <a:pt x="4499" y="10678"/>
                  </a:lnTo>
                  <a:lnTo>
                    <a:pt x="4398" y="10734"/>
                  </a:lnTo>
                  <a:lnTo>
                    <a:pt x="4365" y="10904"/>
                  </a:lnTo>
                  <a:lnTo>
                    <a:pt x="4264" y="11073"/>
                  </a:lnTo>
                  <a:lnTo>
                    <a:pt x="4264" y="11243"/>
                  </a:lnTo>
                  <a:lnTo>
                    <a:pt x="4365" y="11243"/>
                  </a:lnTo>
                  <a:lnTo>
                    <a:pt x="4432" y="11073"/>
                  </a:lnTo>
                  <a:lnTo>
                    <a:pt x="4633" y="10847"/>
                  </a:lnTo>
                  <a:lnTo>
                    <a:pt x="5137" y="10565"/>
                  </a:lnTo>
                  <a:lnTo>
                    <a:pt x="5070" y="10734"/>
                  </a:lnTo>
                  <a:lnTo>
                    <a:pt x="4767" y="10904"/>
                  </a:lnTo>
                  <a:lnTo>
                    <a:pt x="4365" y="11356"/>
                  </a:lnTo>
                  <a:lnTo>
                    <a:pt x="4264" y="11356"/>
                  </a:lnTo>
                  <a:lnTo>
                    <a:pt x="4163" y="11412"/>
                  </a:lnTo>
                  <a:lnTo>
                    <a:pt x="3928" y="11525"/>
                  </a:lnTo>
                  <a:lnTo>
                    <a:pt x="3928" y="11695"/>
                  </a:lnTo>
                  <a:lnTo>
                    <a:pt x="3727" y="11808"/>
                  </a:lnTo>
                  <a:lnTo>
                    <a:pt x="3592" y="11921"/>
                  </a:lnTo>
                  <a:lnTo>
                    <a:pt x="3492" y="12090"/>
                  </a:lnTo>
                  <a:lnTo>
                    <a:pt x="3458" y="12260"/>
                  </a:lnTo>
                  <a:lnTo>
                    <a:pt x="3257" y="12486"/>
                  </a:lnTo>
                  <a:lnTo>
                    <a:pt x="3190" y="12655"/>
                  </a:lnTo>
                  <a:lnTo>
                    <a:pt x="3089" y="12825"/>
                  </a:lnTo>
                  <a:lnTo>
                    <a:pt x="2988" y="12881"/>
                  </a:lnTo>
                  <a:lnTo>
                    <a:pt x="2887" y="13051"/>
                  </a:lnTo>
                  <a:lnTo>
                    <a:pt x="2787" y="13164"/>
                  </a:lnTo>
                  <a:lnTo>
                    <a:pt x="2686" y="13220"/>
                  </a:lnTo>
                  <a:lnTo>
                    <a:pt x="2585" y="13333"/>
                  </a:lnTo>
                  <a:lnTo>
                    <a:pt x="2585" y="13164"/>
                  </a:lnTo>
                  <a:lnTo>
                    <a:pt x="2719" y="13051"/>
                  </a:lnTo>
                  <a:lnTo>
                    <a:pt x="2787" y="12881"/>
                  </a:lnTo>
                  <a:lnTo>
                    <a:pt x="2988" y="12655"/>
                  </a:lnTo>
                  <a:lnTo>
                    <a:pt x="3022" y="12486"/>
                  </a:lnTo>
                  <a:lnTo>
                    <a:pt x="3122" y="12429"/>
                  </a:lnTo>
                  <a:lnTo>
                    <a:pt x="3324" y="12203"/>
                  </a:lnTo>
                  <a:lnTo>
                    <a:pt x="3425" y="12034"/>
                  </a:lnTo>
                  <a:lnTo>
                    <a:pt x="3626" y="11921"/>
                  </a:lnTo>
                  <a:lnTo>
                    <a:pt x="3827" y="11695"/>
                  </a:lnTo>
                  <a:lnTo>
                    <a:pt x="3928" y="11638"/>
                  </a:lnTo>
                  <a:lnTo>
                    <a:pt x="4130" y="11412"/>
                  </a:lnTo>
                  <a:lnTo>
                    <a:pt x="4096" y="11243"/>
                  </a:lnTo>
                  <a:lnTo>
                    <a:pt x="3995" y="11130"/>
                  </a:lnTo>
                  <a:lnTo>
                    <a:pt x="3895" y="11186"/>
                  </a:lnTo>
                  <a:lnTo>
                    <a:pt x="3592" y="11525"/>
                  </a:lnTo>
                  <a:lnTo>
                    <a:pt x="3492" y="11582"/>
                  </a:lnTo>
                  <a:lnTo>
                    <a:pt x="3391" y="11582"/>
                  </a:lnTo>
                  <a:lnTo>
                    <a:pt x="3391" y="11412"/>
                  </a:lnTo>
                  <a:lnTo>
                    <a:pt x="3357" y="11243"/>
                  </a:lnTo>
                  <a:lnTo>
                    <a:pt x="3357" y="11073"/>
                  </a:lnTo>
                  <a:lnTo>
                    <a:pt x="3290" y="10734"/>
                  </a:lnTo>
                  <a:lnTo>
                    <a:pt x="3324" y="10565"/>
                  </a:lnTo>
                  <a:lnTo>
                    <a:pt x="3391" y="10395"/>
                  </a:lnTo>
                  <a:lnTo>
                    <a:pt x="3391" y="10226"/>
                  </a:lnTo>
                  <a:lnTo>
                    <a:pt x="3290" y="10395"/>
                  </a:lnTo>
                  <a:lnTo>
                    <a:pt x="3190" y="10508"/>
                  </a:lnTo>
                  <a:lnTo>
                    <a:pt x="3190" y="10678"/>
                  </a:lnTo>
                  <a:lnTo>
                    <a:pt x="3122" y="11017"/>
                  </a:lnTo>
                  <a:lnTo>
                    <a:pt x="3122" y="11186"/>
                  </a:lnTo>
                  <a:lnTo>
                    <a:pt x="3055" y="11356"/>
                  </a:lnTo>
                  <a:lnTo>
                    <a:pt x="3022" y="11525"/>
                  </a:lnTo>
                  <a:lnTo>
                    <a:pt x="3122" y="11638"/>
                  </a:lnTo>
                  <a:lnTo>
                    <a:pt x="3022" y="11695"/>
                  </a:lnTo>
                  <a:lnTo>
                    <a:pt x="2954" y="11525"/>
                  </a:lnTo>
                  <a:lnTo>
                    <a:pt x="2854" y="11356"/>
                  </a:lnTo>
                  <a:lnTo>
                    <a:pt x="2820" y="11186"/>
                  </a:lnTo>
                  <a:lnTo>
                    <a:pt x="2719" y="11073"/>
                  </a:lnTo>
                  <a:lnTo>
                    <a:pt x="2652" y="10904"/>
                  </a:lnTo>
                  <a:lnTo>
                    <a:pt x="2619" y="10734"/>
                  </a:lnTo>
                  <a:lnTo>
                    <a:pt x="2518" y="10621"/>
                  </a:lnTo>
                  <a:lnTo>
                    <a:pt x="2417" y="10565"/>
                  </a:lnTo>
                  <a:lnTo>
                    <a:pt x="2350" y="10395"/>
                  </a:lnTo>
                  <a:lnTo>
                    <a:pt x="2249" y="10226"/>
                  </a:lnTo>
                  <a:lnTo>
                    <a:pt x="2182" y="10395"/>
                  </a:lnTo>
                  <a:lnTo>
                    <a:pt x="2182" y="10734"/>
                  </a:lnTo>
                  <a:lnTo>
                    <a:pt x="2249" y="10904"/>
                  </a:lnTo>
                  <a:lnTo>
                    <a:pt x="2350" y="11017"/>
                  </a:lnTo>
                  <a:lnTo>
                    <a:pt x="2417" y="11186"/>
                  </a:lnTo>
                  <a:lnTo>
                    <a:pt x="2451" y="11356"/>
                  </a:lnTo>
                  <a:lnTo>
                    <a:pt x="2417" y="11525"/>
                  </a:lnTo>
                  <a:lnTo>
                    <a:pt x="2317" y="11582"/>
                  </a:lnTo>
                  <a:lnTo>
                    <a:pt x="2115" y="11808"/>
                  </a:lnTo>
                  <a:lnTo>
                    <a:pt x="2182" y="11638"/>
                  </a:lnTo>
                  <a:lnTo>
                    <a:pt x="2149" y="11469"/>
                  </a:lnTo>
                  <a:lnTo>
                    <a:pt x="2048" y="11356"/>
                  </a:lnTo>
                  <a:lnTo>
                    <a:pt x="2014" y="11525"/>
                  </a:lnTo>
                  <a:lnTo>
                    <a:pt x="2014" y="12034"/>
                  </a:lnTo>
                  <a:lnTo>
                    <a:pt x="1981" y="11864"/>
                  </a:lnTo>
                  <a:lnTo>
                    <a:pt x="1947" y="11638"/>
                  </a:lnTo>
                  <a:lnTo>
                    <a:pt x="1914" y="11469"/>
                  </a:lnTo>
                  <a:lnTo>
                    <a:pt x="1779" y="11130"/>
                  </a:lnTo>
                  <a:lnTo>
                    <a:pt x="1679" y="10621"/>
                  </a:lnTo>
                  <a:lnTo>
                    <a:pt x="1679" y="10452"/>
                  </a:lnTo>
                  <a:lnTo>
                    <a:pt x="1645" y="10621"/>
                  </a:lnTo>
                  <a:lnTo>
                    <a:pt x="1645" y="10791"/>
                  </a:lnTo>
                  <a:lnTo>
                    <a:pt x="1544" y="10904"/>
                  </a:lnTo>
                  <a:lnTo>
                    <a:pt x="1410" y="11243"/>
                  </a:lnTo>
                  <a:lnTo>
                    <a:pt x="1377" y="11412"/>
                  </a:lnTo>
                  <a:lnTo>
                    <a:pt x="1377" y="11751"/>
                  </a:lnTo>
                  <a:lnTo>
                    <a:pt x="1477" y="11921"/>
                  </a:lnTo>
                  <a:lnTo>
                    <a:pt x="1544" y="12090"/>
                  </a:lnTo>
                  <a:lnTo>
                    <a:pt x="1645" y="12147"/>
                  </a:lnTo>
                  <a:lnTo>
                    <a:pt x="2149" y="12147"/>
                  </a:lnTo>
                  <a:lnTo>
                    <a:pt x="2182" y="12316"/>
                  </a:lnTo>
                  <a:lnTo>
                    <a:pt x="1914" y="12994"/>
                  </a:lnTo>
                  <a:lnTo>
                    <a:pt x="1880" y="13164"/>
                  </a:lnTo>
                  <a:lnTo>
                    <a:pt x="2082" y="13277"/>
                  </a:lnTo>
                  <a:lnTo>
                    <a:pt x="2014" y="13446"/>
                  </a:lnTo>
                  <a:lnTo>
                    <a:pt x="1914" y="13503"/>
                  </a:lnTo>
                  <a:lnTo>
                    <a:pt x="1813" y="13616"/>
                  </a:lnTo>
                  <a:lnTo>
                    <a:pt x="1746" y="13785"/>
                  </a:lnTo>
                  <a:lnTo>
                    <a:pt x="1544" y="14011"/>
                  </a:lnTo>
                  <a:lnTo>
                    <a:pt x="1444" y="13955"/>
                  </a:lnTo>
                  <a:lnTo>
                    <a:pt x="1343" y="13842"/>
                  </a:lnTo>
                  <a:lnTo>
                    <a:pt x="1209" y="13503"/>
                  </a:lnTo>
                  <a:lnTo>
                    <a:pt x="1209" y="13164"/>
                  </a:lnTo>
                  <a:lnTo>
                    <a:pt x="1007" y="13164"/>
                  </a:lnTo>
                  <a:lnTo>
                    <a:pt x="906" y="13051"/>
                  </a:lnTo>
                  <a:lnTo>
                    <a:pt x="839" y="12712"/>
                  </a:lnTo>
                  <a:lnTo>
                    <a:pt x="940" y="12712"/>
                  </a:lnTo>
                  <a:lnTo>
                    <a:pt x="940" y="12881"/>
                  </a:lnTo>
                  <a:lnTo>
                    <a:pt x="839" y="13051"/>
                  </a:lnTo>
                  <a:lnTo>
                    <a:pt x="739" y="12994"/>
                  </a:lnTo>
                  <a:lnTo>
                    <a:pt x="638" y="13051"/>
                  </a:lnTo>
                  <a:lnTo>
                    <a:pt x="101" y="12147"/>
                  </a:lnTo>
                  <a:lnTo>
                    <a:pt x="235" y="12260"/>
                  </a:lnTo>
                  <a:lnTo>
                    <a:pt x="336" y="12316"/>
                  </a:lnTo>
                  <a:lnTo>
                    <a:pt x="436" y="12429"/>
                  </a:lnTo>
                  <a:lnTo>
                    <a:pt x="537" y="12599"/>
                  </a:lnTo>
                  <a:lnTo>
                    <a:pt x="638" y="12712"/>
                  </a:lnTo>
                  <a:lnTo>
                    <a:pt x="537" y="12768"/>
                  </a:lnTo>
                  <a:lnTo>
                    <a:pt x="403" y="12768"/>
                  </a:lnTo>
                  <a:lnTo>
                    <a:pt x="336" y="12938"/>
                  </a:lnTo>
                  <a:lnTo>
                    <a:pt x="436" y="12994"/>
                  </a:lnTo>
                  <a:lnTo>
                    <a:pt x="537" y="13107"/>
                  </a:lnTo>
                  <a:lnTo>
                    <a:pt x="571" y="13277"/>
                  </a:lnTo>
                  <a:lnTo>
                    <a:pt x="638" y="13446"/>
                  </a:lnTo>
                  <a:lnTo>
                    <a:pt x="705" y="13672"/>
                  </a:lnTo>
                  <a:lnTo>
                    <a:pt x="772" y="13842"/>
                  </a:lnTo>
                  <a:lnTo>
                    <a:pt x="772" y="14011"/>
                  </a:lnTo>
                  <a:lnTo>
                    <a:pt x="705" y="14181"/>
                  </a:lnTo>
                  <a:lnTo>
                    <a:pt x="604" y="14181"/>
                  </a:lnTo>
                  <a:lnTo>
                    <a:pt x="739" y="14520"/>
                  </a:lnTo>
                  <a:lnTo>
                    <a:pt x="772" y="14689"/>
                  </a:lnTo>
                  <a:lnTo>
                    <a:pt x="739" y="14859"/>
                  </a:lnTo>
                  <a:lnTo>
                    <a:pt x="940" y="15424"/>
                  </a:lnTo>
                  <a:lnTo>
                    <a:pt x="974" y="15989"/>
                  </a:lnTo>
                  <a:lnTo>
                    <a:pt x="1041" y="16158"/>
                  </a:lnTo>
                  <a:lnTo>
                    <a:pt x="1142" y="16271"/>
                  </a:lnTo>
                  <a:lnTo>
                    <a:pt x="1007" y="16328"/>
                  </a:lnTo>
                  <a:lnTo>
                    <a:pt x="739" y="16328"/>
                  </a:lnTo>
                  <a:lnTo>
                    <a:pt x="638" y="16384"/>
                  </a:lnTo>
                  <a:lnTo>
                    <a:pt x="604" y="16215"/>
                  </a:lnTo>
                  <a:lnTo>
                    <a:pt x="403" y="16102"/>
                  </a:lnTo>
                  <a:lnTo>
                    <a:pt x="302" y="15989"/>
                  </a:lnTo>
                  <a:lnTo>
                    <a:pt x="67" y="15989"/>
                  </a:lnTo>
                  <a:lnTo>
                    <a:pt x="0" y="16158"/>
                  </a:lnTo>
                </a:path>
              </a:pathLst>
            </a:custGeom>
            <a:noFill/>
            <a:ln w="9360">
              <a:solidFill>
                <a:srgbClr val="0000ff"/>
              </a:solidFill>
              <a:round/>
            </a:ln>
          </xdr:spPr>
          <xdr:style>
            <a:lnRef idx="0"/>
            <a:fillRef idx="0"/>
            <a:effectRef idx="0"/>
            <a:fontRef idx="minor"/>
          </xdr:style>
        </xdr:sp>
        <xdr:sp>
          <xdr:nvSpPr>
            <xdr:cNvPr id="49" name="Drawing 9"/>
            <xdr:cNvSpPr/>
          </xdr:nvSpPr>
          <xdr:spPr>
            <a:xfrm>
              <a:off x="2316240" y="4398840"/>
              <a:ext cx="1480320" cy="2905560"/>
            </a:xfrm>
            <a:custGeom>
              <a:avLst/>
              <a:gdLst/>
              <a:ahLst/>
              <a:rect l="l" t="t" r="r" b="b"/>
              <a:pathLst>
                <a:path w="16384" h="16384">
                  <a:moveTo>
                    <a:pt x="15760" y="1271"/>
                  </a:moveTo>
                  <a:lnTo>
                    <a:pt x="16228" y="1201"/>
                  </a:lnTo>
                  <a:lnTo>
                    <a:pt x="16384" y="989"/>
                  </a:lnTo>
                  <a:lnTo>
                    <a:pt x="15760" y="1271"/>
                  </a:lnTo>
                  <a:lnTo>
                    <a:pt x="16072" y="847"/>
                  </a:lnTo>
                  <a:lnTo>
                    <a:pt x="15760" y="636"/>
                  </a:lnTo>
                  <a:lnTo>
                    <a:pt x="15292" y="565"/>
                  </a:lnTo>
                  <a:lnTo>
                    <a:pt x="14824" y="353"/>
                  </a:lnTo>
                  <a:lnTo>
                    <a:pt x="14824" y="141"/>
                  </a:lnTo>
                  <a:lnTo>
                    <a:pt x="13887" y="0"/>
                  </a:lnTo>
                  <a:lnTo>
                    <a:pt x="12327" y="0"/>
                  </a:lnTo>
                  <a:lnTo>
                    <a:pt x="11859" y="71"/>
                  </a:lnTo>
                  <a:lnTo>
                    <a:pt x="12015" y="282"/>
                  </a:lnTo>
                  <a:lnTo>
                    <a:pt x="11859" y="494"/>
                  </a:lnTo>
                  <a:lnTo>
                    <a:pt x="12171" y="706"/>
                  </a:lnTo>
                  <a:lnTo>
                    <a:pt x="11703" y="918"/>
                  </a:lnTo>
                  <a:lnTo>
                    <a:pt x="11235" y="989"/>
                  </a:lnTo>
                  <a:lnTo>
                    <a:pt x="9986" y="1201"/>
                  </a:lnTo>
                  <a:lnTo>
                    <a:pt x="9050" y="1201"/>
                  </a:lnTo>
                  <a:lnTo>
                    <a:pt x="9518" y="1342"/>
                  </a:lnTo>
                  <a:lnTo>
                    <a:pt x="10923" y="1342"/>
                  </a:lnTo>
                  <a:lnTo>
                    <a:pt x="11391" y="1201"/>
                  </a:lnTo>
                  <a:lnTo>
                    <a:pt x="12327" y="1201"/>
                  </a:lnTo>
                  <a:lnTo>
                    <a:pt x="12795" y="1342"/>
                  </a:lnTo>
                  <a:lnTo>
                    <a:pt x="12795" y="1766"/>
                  </a:lnTo>
                  <a:lnTo>
                    <a:pt x="12327" y="1907"/>
                  </a:lnTo>
                  <a:lnTo>
                    <a:pt x="11859" y="1907"/>
                  </a:lnTo>
                  <a:lnTo>
                    <a:pt x="12327" y="1836"/>
                  </a:lnTo>
                  <a:lnTo>
                    <a:pt x="12795" y="1695"/>
                  </a:lnTo>
                  <a:lnTo>
                    <a:pt x="13731" y="1695"/>
                  </a:lnTo>
                  <a:lnTo>
                    <a:pt x="14199" y="1624"/>
                  </a:lnTo>
                  <a:lnTo>
                    <a:pt x="14356" y="1836"/>
                  </a:lnTo>
                  <a:lnTo>
                    <a:pt x="14356" y="2048"/>
                  </a:lnTo>
                  <a:lnTo>
                    <a:pt x="13887" y="2189"/>
                  </a:lnTo>
                  <a:lnTo>
                    <a:pt x="13575" y="2401"/>
                  </a:lnTo>
                  <a:lnTo>
                    <a:pt x="13731" y="2613"/>
                  </a:lnTo>
                  <a:lnTo>
                    <a:pt x="13263" y="2472"/>
                  </a:lnTo>
                  <a:lnTo>
                    <a:pt x="13263" y="2684"/>
                  </a:lnTo>
                  <a:lnTo>
                    <a:pt x="12639" y="2754"/>
                  </a:lnTo>
                  <a:lnTo>
                    <a:pt x="12483" y="2966"/>
                  </a:lnTo>
                  <a:lnTo>
                    <a:pt x="12015" y="3107"/>
                  </a:lnTo>
                  <a:lnTo>
                    <a:pt x="11547" y="3178"/>
                  </a:lnTo>
                  <a:lnTo>
                    <a:pt x="11079" y="3178"/>
                  </a:lnTo>
                  <a:lnTo>
                    <a:pt x="10611" y="3037"/>
                  </a:lnTo>
                  <a:lnTo>
                    <a:pt x="9518" y="3037"/>
                  </a:lnTo>
                  <a:lnTo>
                    <a:pt x="9050" y="3178"/>
                  </a:lnTo>
                  <a:lnTo>
                    <a:pt x="8582" y="3178"/>
                  </a:lnTo>
                  <a:lnTo>
                    <a:pt x="8114" y="3249"/>
                  </a:lnTo>
                  <a:lnTo>
                    <a:pt x="8114" y="3037"/>
                  </a:lnTo>
                  <a:lnTo>
                    <a:pt x="7958" y="2825"/>
                  </a:lnTo>
                  <a:lnTo>
                    <a:pt x="7490" y="2825"/>
                  </a:lnTo>
                  <a:lnTo>
                    <a:pt x="7178" y="3037"/>
                  </a:lnTo>
                  <a:lnTo>
                    <a:pt x="7178" y="3460"/>
                  </a:lnTo>
                  <a:lnTo>
                    <a:pt x="7334" y="3672"/>
                  </a:lnTo>
                  <a:lnTo>
                    <a:pt x="8270" y="4096"/>
                  </a:lnTo>
                  <a:lnTo>
                    <a:pt x="8582" y="4308"/>
                  </a:lnTo>
                  <a:lnTo>
                    <a:pt x="8894" y="4732"/>
                  </a:lnTo>
                  <a:lnTo>
                    <a:pt x="9362" y="4802"/>
                  </a:lnTo>
                  <a:lnTo>
                    <a:pt x="9830" y="4802"/>
                  </a:lnTo>
                  <a:lnTo>
                    <a:pt x="10299" y="4873"/>
                  </a:lnTo>
                  <a:lnTo>
                    <a:pt x="9986" y="5297"/>
                  </a:lnTo>
                  <a:lnTo>
                    <a:pt x="9362" y="5720"/>
                  </a:lnTo>
                  <a:lnTo>
                    <a:pt x="9206" y="5932"/>
                  </a:lnTo>
                  <a:lnTo>
                    <a:pt x="8894" y="6144"/>
                  </a:lnTo>
                  <a:lnTo>
                    <a:pt x="8738" y="6356"/>
                  </a:lnTo>
                  <a:lnTo>
                    <a:pt x="8738" y="6780"/>
                  </a:lnTo>
                  <a:lnTo>
                    <a:pt x="8114" y="7203"/>
                  </a:lnTo>
                  <a:lnTo>
                    <a:pt x="7958" y="7486"/>
                  </a:lnTo>
                  <a:lnTo>
                    <a:pt x="7802" y="7698"/>
                  </a:lnTo>
                  <a:lnTo>
                    <a:pt x="7802" y="8121"/>
                  </a:lnTo>
                  <a:lnTo>
                    <a:pt x="6866" y="8757"/>
                  </a:lnTo>
                  <a:lnTo>
                    <a:pt x="6710" y="8969"/>
                  </a:lnTo>
                  <a:lnTo>
                    <a:pt x="6242" y="8969"/>
                  </a:lnTo>
                  <a:lnTo>
                    <a:pt x="5773" y="8898"/>
                  </a:lnTo>
                  <a:lnTo>
                    <a:pt x="5773" y="8686"/>
                  </a:lnTo>
                  <a:lnTo>
                    <a:pt x="5929" y="8474"/>
                  </a:lnTo>
                  <a:lnTo>
                    <a:pt x="5929" y="7839"/>
                  </a:lnTo>
                  <a:lnTo>
                    <a:pt x="5617" y="7627"/>
                  </a:lnTo>
                  <a:lnTo>
                    <a:pt x="5149" y="7698"/>
                  </a:lnTo>
                  <a:lnTo>
                    <a:pt x="4681" y="7556"/>
                  </a:lnTo>
                  <a:lnTo>
                    <a:pt x="4369" y="7345"/>
                  </a:lnTo>
                  <a:lnTo>
                    <a:pt x="4993" y="7768"/>
                  </a:lnTo>
                  <a:lnTo>
                    <a:pt x="4681" y="7980"/>
                  </a:lnTo>
                  <a:lnTo>
                    <a:pt x="5149" y="8121"/>
                  </a:lnTo>
                  <a:lnTo>
                    <a:pt x="5305" y="8333"/>
                  </a:lnTo>
                  <a:lnTo>
                    <a:pt x="4837" y="8404"/>
                  </a:lnTo>
                  <a:lnTo>
                    <a:pt x="4525" y="8616"/>
                  </a:lnTo>
                  <a:lnTo>
                    <a:pt x="4057" y="8686"/>
                  </a:lnTo>
                  <a:lnTo>
                    <a:pt x="3121" y="8686"/>
                  </a:lnTo>
                  <a:lnTo>
                    <a:pt x="2965" y="8474"/>
                  </a:lnTo>
                  <a:lnTo>
                    <a:pt x="2497" y="8333"/>
                  </a:lnTo>
                  <a:lnTo>
                    <a:pt x="2028" y="8333"/>
                  </a:lnTo>
                  <a:lnTo>
                    <a:pt x="1872" y="8121"/>
                  </a:lnTo>
                  <a:lnTo>
                    <a:pt x="1404" y="8051"/>
                  </a:lnTo>
                  <a:lnTo>
                    <a:pt x="1248" y="7839"/>
                  </a:lnTo>
                  <a:lnTo>
                    <a:pt x="936" y="7627"/>
                  </a:lnTo>
                  <a:lnTo>
                    <a:pt x="0" y="7486"/>
                  </a:lnTo>
                  <a:lnTo>
                    <a:pt x="0" y="7698"/>
                  </a:lnTo>
                  <a:lnTo>
                    <a:pt x="468" y="7839"/>
                  </a:lnTo>
                  <a:lnTo>
                    <a:pt x="780" y="8051"/>
                  </a:lnTo>
                  <a:lnTo>
                    <a:pt x="780" y="8263"/>
                  </a:lnTo>
                  <a:lnTo>
                    <a:pt x="1404" y="8686"/>
                  </a:lnTo>
                  <a:lnTo>
                    <a:pt x="1872" y="8898"/>
                  </a:lnTo>
                  <a:lnTo>
                    <a:pt x="2028" y="9110"/>
                  </a:lnTo>
                  <a:lnTo>
                    <a:pt x="2497" y="9393"/>
                  </a:lnTo>
                  <a:lnTo>
                    <a:pt x="3433" y="9534"/>
                  </a:lnTo>
                  <a:lnTo>
                    <a:pt x="4369" y="9816"/>
                  </a:lnTo>
                  <a:lnTo>
                    <a:pt x="4837" y="10028"/>
                  </a:lnTo>
                  <a:lnTo>
                    <a:pt x="5305" y="10028"/>
                  </a:lnTo>
                  <a:lnTo>
                    <a:pt x="5461" y="9816"/>
                  </a:lnTo>
                  <a:lnTo>
                    <a:pt x="5461" y="9604"/>
                  </a:lnTo>
                  <a:lnTo>
                    <a:pt x="5929" y="9534"/>
                  </a:lnTo>
                  <a:lnTo>
                    <a:pt x="6866" y="9534"/>
                  </a:lnTo>
                  <a:lnTo>
                    <a:pt x="7178" y="9746"/>
                  </a:lnTo>
                  <a:lnTo>
                    <a:pt x="7178" y="9958"/>
                  </a:lnTo>
                  <a:lnTo>
                    <a:pt x="6710" y="10169"/>
                  </a:lnTo>
                  <a:lnTo>
                    <a:pt x="6398" y="10381"/>
                  </a:lnTo>
                  <a:lnTo>
                    <a:pt x="6085" y="10805"/>
                  </a:lnTo>
                  <a:lnTo>
                    <a:pt x="6242" y="11017"/>
                  </a:lnTo>
                  <a:lnTo>
                    <a:pt x="6710" y="11158"/>
                  </a:lnTo>
                  <a:lnTo>
                    <a:pt x="6242" y="11158"/>
                  </a:lnTo>
                  <a:lnTo>
                    <a:pt x="5617" y="11087"/>
                  </a:lnTo>
                  <a:lnTo>
                    <a:pt x="5929" y="11299"/>
                  </a:lnTo>
                  <a:lnTo>
                    <a:pt x="6242" y="11723"/>
                  </a:lnTo>
                  <a:lnTo>
                    <a:pt x="6085" y="11935"/>
                  </a:lnTo>
                  <a:lnTo>
                    <a:pt x="6242" y="12147"/>
                  </a:lnTo>
                  <a:lnTo>
                    <a:pt x="5773" y="12288"/>
                  </a:lnTo>
                  <a:lnTo>
                    <a:pt x="5305" y="12288"/>
                  </a:lnTo>
                  <a:lnTo>
                    <a:pt x="4837" y="12217"/>
                  </a:lnTo>
                  <a:lnTo>
                    <a:pt x="4369" y="12076"/>
                  </a:lnTo>
                  <a:lnTo>
                    <a:pt x="4993" y="12147"/>
                  </a:lnTo>
                  <a:lnTo>
                    <a:pt x="4993" y="12359"/>
                  </a:lnTo>
                  <a:lnTo>
                    <a:pt x="4837" y="12570"/>
                  </a:lnTo>
                  <a:lnTo>
                    <a:pt x="5461" y="12853"/>
                  </a:lnTo>
                  <a:lnTo>
                    <a:pt x="5305" y="13065"/>
                  </a:lnTo>
                  <a:lnTo>
                    <a:pt x="4681" y="13489"/>
                  </a:lnTo>
                  <a:lnTo>
                    <a:pt x="4681" y="13700"/>
                  </a:lnTo>
                  <a:lnTo>
                    <a:pt x="5305" y="14124"/>
                  </a:lnTo>
                  <a:lnTo>
                    <a:pt x="5773" y="14265"/>
                  </a:lnTo>
                  <a:lnTo>
                    <a:pt x="5929" y="14477"/>
                  </a:lnTo>
                  <a:lnTo>
                    <a:pt x="5929" y="14901"/>
                  </a:lnTo>
                  <a:lnTo>
                    <a:pt x="6085" y="15113"/>
                  </a:lnTo>
                  <a:lnTo>
                    <a:pt x="6085" y="15325"/>
                  </a:lnTo>
                  <a:lnTo>
                    <a:pt x="6398" y="15748"/>
                  </a:lnTo>
                  <a:lnTo>
                    <a:pt x="6398" y="16172"/>
                  </a:lnTo>
                  <a:lnTo>
                    <a:pt x="6710" y="16384"/>
                  </a:lnTo>
                </a:path>
              </a:pathLst>
            </a:custGeom>
            <a:noFill/>
            <a:ln w="9360">
              <a:solidFill>
                <a:srgbClr val="0000ff"/>
              </a:solidFill>
              <a:round/>
            </a:ln>
          </xdr:spPr>
          <xdr:style>
            <a:lnRef idx="0"/>
            <a:fillRef idx="0"/>
            <a:effectRef idx="0"/>
            <a:fontRef idx="minor"/>
          </xdr:style>
        </xdr:sp>
      </xdr:grpSp>
      <xdr:sp>
        <xdr:nvSpPr>
          <xdr:cNvPr id="50" name="Drawing 10"/>
          <xdr:cNvSpPr/>
        </xdr:nvSpPr>
        <xdr:spPr>
          <a:xfrm>
            <a:off x="2971800" y="3948480"/>
            <a:ext cx="1797840" cy="3333960"/>
          </a:xfrm>
          <a:custGeom>
            <a:avLst/>
            <a:gdLst/>
            <a:ahLst/>
            <a:rect l="l" t="t" r="r" b="b"/>
            <a:pathLst>
              <a:path w="16384" h="16384">
                <a:moveTo>
                  <a:pt x="1939" y="16384"/>
                </a:moveTo>
                <a:lnTo>
                  <a:pt x="2036" y="16242"/>
                </a:lnTo>
                <a:lnTo>
                  <a:pt x="1745" y="15816"/>
                </a:lnTo>
                <a:lnTo>
                  <a:pt x="1551" y="15674"/>
                </a:lnTo>
                <a:lnTo>
                  <a:pt x="1454" y="15532"/>
                </a:lnTo>
                <a:lnTo>
                  <a:pt x="1454" y="15390"/>
                </a:lnTo>
                <a:lnTo>
                  <a:pt x="1357" y="15248"/>
                </a:lnTo>
                <a:lnTo>
                  <a:pt x="1163" y="14869"/>
                </a:lnTo>
                <a:lnTo>
                  <a:pt x="1163" y="14727"/>
                </a:lnTo>
                <a:lnTo>
                  <a:pt x="873" y="14300"/>
                </a:lnTo>
                <a:lnTo>
                  <a:pt x="873" y="14111"/>
                </a:lnTo>
                <a:lnTo>
                  <a:pt x="776" y="13969"/>
                </a:lnTo>
                <a:lnTo>
                  <a:pt x="776" y="13685"/>
                </a:lnTo>
                <a:lnTo>
                  <a:pt x="679" y="13543"/>
                </a:lnTo>
                <a:lnTo>
                  <a:pt x="679" y="12927"/>
                </a:lnTo>
                <a:lnTo>
                  <a:pt x="582" y="12785"/>
                </a:lnTo>
                <a:lnTo>
                  <a:pt x="485" y="12596"/>
                </a:lnTo>
                <a:lnTo>
                  <a:pt x="485" y="12406"/>
                </a:lnTo>
                <a:lnTo>
                  <a:pt x="388" y="12217"/>
                </a:lnTo>
                <a:lnTo>
                  <a:pt x="388" y="11507"/>
                </a:lnTo>
                <a:lnTo>
                  <a:pt x="485" y="11365"/>
                </a:lnTo>
                <a:lnTo>
                  <a:pt x="485" y="11223"/>
                </a:lnTo>
                <a:lnTo>
                  <a:pt x="679" y="11081"/>
                </a:lnTo>
                <a:lnTo>
                  <a:pt x="873" y="10796"/>
                </a:lnTo>
                <a:lnTo>
                  <a:pt x="873" y="10654"/>
                </a:lnTo>
                <a:lnTo>
                  <a:pt x="1260" y="10086"/>
                </a:lnTo>
                <a:lnTo>
                  <a:pt x="1260" y="9944"/>
                </a:lnTo>
                <a:lnTo>
                  <a:pt x="1454" y="9755"/>
                </a:lnTo>
                <a:lnTo>
                  <a:pt x="1454" y="9613"/>
                </a:lnTo>
                <a:lnTo>
                  <a:pt x="1842" y="9044"/>
                </a:lnTo>
                <a:lnTo>
                  <a:pt x="1842" y="8902"/>
                </a:lnTo>
                <a:lnTo>
                  <a:pt x="2133" y="8476"/>
                </a:lnTo>
                <a:lnTo>
                  <a:pt x="2327" y="8334"/>
                </a:lnTo>
                <a:lnTo>
                  <a:pt x="2424" y="8192"/>
                </a:lnTo>
                <a:lnTo>
                  <a:pt x="2811" y="7908"/>
                </a:lnTo>
                <a:lnTo>
                  <a:pt x="3102" y="7766"/>
                </a:lnTo>
                <a:lnTo>
                  <a:pt x="3393" y="7340"/>
                </a:lnTo>
                <a:lnTo>
                  <a:pt x="3587" y="7198"/>
                </a:lnTo>
                <a:lnTo>
                  <a:pt x="3684" y="7056"/>
                </a:lnTo>
                <a:lnTo>
                  <a:pt x="3878" y="6913"/>
                </a:lnTo>
                <a:lnTo>
                  <a:pt x="3975" y="6771"/>
                </a:lnTo>
                <a:lnTo>
                  <a:pt x="4072" y="6582"/>
                </a:lnTo>
                <a:lnTo>
                  <a:pt x="4266" y="6440"/>
                </a:lnTo>
                <a:lnTo>
                  <a:pt x="4944" y="6108"/>
                </a:lnTo>
                <a:lnTo>
                  <a:pt x="5138" y="5824"/>
                </a:lnTo>
                <a:lnTo>
                  <a:pt x="5332" y="5682"/>
                </a:lnTo>
                <a:lnTo>
                  <a:pt x="5623" y="5588"/>
                </a:lnTo>
                <a:lnTo>
                  <a:pt x="5817" y="5446"/>
                </a:lnTo>
                <a:lnTo>
                  <a:pt x="6108" y="5398"/>
                </a:lnTo>
                <a:lnTo>
                  <a:pt x="6302" y="5256"/>
                </a:lnTo>
                <a:lnTo>
                  <a:pt x="6883" y="4972"/>
                </a:lnTo>
                <a:lnTo>
                  <a:pt x="7077" y="4830"/>
                </a:lnTo>
                <a:lnTo>
                  <a:pt x="6883" y="4688"/>
                </a:lnTo>
                <a:lnTo>
                  <a:pt x="6980" y="4498"/>
                </a:lnTo>
                <a:lnTo>
                  <a:pt x="7077" y="4356"/>
                </a:lnTo>
                <a:lnTo>
                  <a:pt x="7368" y="4262"/>
                </a:lnTo>
                <a:lnTo>
                  <a:pt x="7465" y="4120"/>
                </a:lnTo>
                <a:lnTo>
                  <a:pt x="7659" y="3978"/>
                </a:lnTo>
                <a:lnTo>
                  <a:pt x="7756" y="3836"/>
                </a:lnTo>
                <a:lnTo>
                  <a:pt x="8144" y="3551"/>
                </a:lnTo>
                <a:lnTo>
                  <a:pt x="9307" y="3173"/>
                </a:lnTo>
                <a:lnTo>
                  <a:pt x="9598" y="3125"/>
                </a:lnTo>
                <a:lnTo>
                  <a:pt x="9889" y="2983"/>
                </a:lnTo>
                <a:lnTo>
                  <a:pt x="10179" y="2889"/>
                </a:lnTo>
                <a:lnTo>
                  <a:pt x="10567" y="2604"/>
                </a:lnTo>
                <a:lnTo>
                  <a:pt x="10858" y="2557"/>
                </a:lnTo>
                <a:lnTo>
                  <a:pt x="11052" y="2415"/>
                </a:lnTo>
                <a:lnTo>
                  <a:pt x="11343" y="2368"/>
                </a:lnTo>
                <a:lnTo>
                  <a:pt x="11634" y="2226"/>
                </a:lnTo>
                <a:lnTo>
                  <a:pt x="12797" y="1847"/>
                </a:lnTo>
                <a:lnTo>
                  <a:pt x="13088" y="1799"/>
                </a:lnTo>
                <a:lnTo>
                  <a:pt x="13960" y="1515"/>
                </a:lnTo>
                <a:lnTo>
                  <a:pt x="14251" y="1468"/>
                </a:lnTo>
                <a:lnTo>
                  <a:pt x="14833" y="1279"/>
                </a:lnTo>
                <a:lnTo>
                  <a:pt x="15124" y="1231"/>
                </a:lnTo>
                <a:lnTo>
                  <a:pt x="15415" y="1089"/>
                </a:lnTo>
                <a:lnTo>
                  <a:pt x="15996" y="994"/>
                </a:lnTo>
                <a:lnTo>
                  <a:pt x="16287" y="852"/>
                </a:lnTo>
                <a:lnTo>
                  <a:pt x="16384" y="710"/>
                </a:lnTo>
                <a:lnTo>
                  <a:pt x="16287" y="521"/>
                </a:lnTo>
                <a:lnTo>
                  <a:pt x="15996" y="474"/>
                </a:lnTo>
                <a:lnTo>
                  <a:pt x="16093" y="331"/>
                </a:lnTo>
                <a:lnTo>
                  <a:pt x="16384" y="284"/>
                </a:lnTo>
                <a:lnTo>
                  <a:pt x="16287" y="142"/>
                </a:lnTo>
                <a:lnTo>
                  <a:pt x="16093" y="0"/>
                </a:lnTo>
                <a:lnTo>
                  <a:pt x="15802" y="95"/>
                </a:lnTo>
                <a:lnTo>
                  <a:pt x="15705" y="237"/>
                </a:lnTo>
                <a:lnTo>
                  <a:pt x="15705" y="379"/>
                </a:lnTo>
                <a:lnTo>
                  <a:pt x="15802" y="521"/>
                </a:lnTo>
                <a:lnTo>
                  <a:pt x="15802" y="663"/>
                </a:lnTo>
                <a:lnTo>
                  <a:pt x="15511" y="710"/>
                </a:lnTo>
                <a:lnTo>
                  <a:pt x="15221" y="710"/>
                </a:lnTo>
                <a:lnTo>
                  <a:pt x="13185" y="1042"/>
                </a:lnTo>
                <a:lnTo>
                  <a:pt x="12894" y="1136"/>
                </a:lnTo>
                <a:lnTo>
                  <a:pt x="12603" y="1279"/>
                </a:lnTo>
                <a:lnTo>
                  <a:pt x="12409" y="1421"/>
                </a:lnTo>
                <a:lnTo>
                  <a:pt x="12409" y="1563"/>
                </a:lnTo>
                <a:lnTo>
                  <a:pt x="12118" y="1657"/>
                </a:lnTo>
                <a:lnTo>
                  <a:pt x="11828" y="1705"/>
                </a:lnTo>
                <a:lnTo>
                  <a:pt x="11537" y="1705"/>
                </a:lnTo>
                <a:lnTo>
                  <a:pt x="11246" y="1799"/>
                </a:lnTo>
                <a:lnTo>
                  <a:pt x="10955" y="1941"/>
                </a:lnTo>
                <a:lnTo>
                  <a:pt x="10664" y="2036"/>
                </a:lnTo>
                <a:lnTo>
                  <a:pt x="10373" y="2084"/>
                </a:lnTo>
                <a:lnTo>
                  <a:pt x="9986" y="2178"/>
                </a:lnTo>
                <a:lnTo>
                  <a:pt x="9695" y="2226"/>
                </a:lnTo>
                <a:lnTo>
                  <a:pt x="9792" y="2368"/>
                </a:lnTo>
                <a:lnTo>
                  <a:pt x="9986" y="2510"/>
                </a:lnTo>
                <a:lnTo>
                  <a:pt x="9986" y="2652"/>
                </a:lnTo>
                <a:lnTo>
                  <a:pt x="9889" y="2794"/>
                </a:lnTo>
                <a:lnTo>
                  <a:pt x="9598" y="2889"/>
                </a:lnTo>
                <a:lnTo>
                  <a:pt x="9016" y="2936"/>
                </a:lnTo>
                <a:lnTo>
                  <a:pt x="8919" y="3078"/>
                </a:lnTo>
                <a:lnTo>
                  <a:pt x="8919" y="3362"/>
                </a:lnTo>
                <a:lnTo>
                  <a:pt x="8628" y="3504"/>
                </a:lnTo>
                <a:lnTo>
                  <a:pt x="8047" y="3599"/>
                </a:lnTo>
                <a:lnTo>
                  <a:pt x="7756" y="3741"/>
                </a:lnTo>
                <a:lnTo>
                  <a:pt x="7174" y="3930"/>
                </a:lnTo>
                <a:lnTo>
                  <a:pt x="6592" y="4214"/>
                </a:lnTo>
                <a:lnTo>
                  <a:pt x="6592" y="4641"/>
                </a:lnTo>
                <a:lnTo>
                  <a:pt x="6011" y="4830"/>
                </a:lnTo>
                <a:lnTo>
                  <a:pt x="5720" y="4972"/>
                </a:lnTo>
                <a:lnTo>
                  <a:pt x="5526" y="5114"/>
                </a:lnTo>
                <a:lnTo>
                  <a:pt x="5429" y="5256"/>
                </a:lnTo>
                <a:lnTo>
                  <a:pt x="5235" y="5398"/>
                </a:lnTo>
                <a:lnTo>
                  <a:pt x="5041" y="5588"/>
                </a:lnTo>
                <a:lnTo>
                  <a:pt x="4653" y="5872"/>
                </a:lnTo>
                <a:lnTo>
                  <a:pt x="4072" y="6061"/>
                </a:lnTo>
                <a:lnTo>
                  <a:pt x="3975" y="6203"/>
                </a:lnTo>
                <a:lnTo>
                  <a:pt x="3684" y="6345"/>
                </a:lnTo>
                <a:lnTo>
                  <a:pt x="3587" y="6487"/>
                </a:lnTo>
                <a:lnTo>
                  <a:pt x="3587" y="6771"/>
                </a:lnTo>
                <a:lnTo>
                  <a:pt x="3393" y="7056"/>
                </a:lnTo>
                <a:lnTo>
                  <a:pt x="3102" y="7150"/>
                </a:lnTo>
                <a:lnTo>
                  <a:pt x="2908" y="7008"/>
                </a:lnTo>
                <a:lnTo>
                  <a:pt x="2618" y="6961"/>
                </a:lnTo>
                <a:lnTo>
                  <a:pt x="2424" y="7103"/>
                </a:lnTo>
                <a:lnTo>
                  <a:pt x="2424" y="7245"/>
                </a:lnTo>
                <a:lnTo>
                  <a:pt x="2327" y="7387"/>
                </a:lnTo>
                <a:lnTo>
                  <a:pt x="2133" y="7529"/>
                </a:lnTo>
                <a:lnTo>
                  <a:pt x="1842" y="7624"/>
                </a:lnTo>
                <a:lnTo>
                  <a:pt x="1939" y="7766"/>
                </a:lnTo>
                <a:lnTo>
                  <a:pt x="1939" y="7908"/>
                </a:lnTo>
                <a:lnTo>
                  <a:pt x="1745" y="8192"/>
                </a:lnTo>
                <a:lnTo>
                  <a:pt x="1551" y="8334"/>
                </a:lnTo>
                <a:lnTo>
                  <a:pt x="1260" y="8760"/>
                </a:lnTo>
                <a:lnTo>
                  <a:pt x="1066" y="8902"/>
                </a:lnTo>
                <a:lnTo>
                  <a:pt x="969" y="9044"/>
                </a:lnTo>
                <a:lnTo>
                  <a:pt x="969" y="9186"/>
                </a:lnTo>
                <a:lnTo>
                  <a:pt x="873" y="9328"/>
                </a:lnTo>
                <a:lnTo>
                  <a:pt x="679" y="9471"/>
                </a:lnTo>
                <a:lnTo>
                  <a:pt x="679" y="9897"/>
                </a:lnTo>
                <a:lnTo>
                  <a:pt x="582" y="10086"/>
                </a:lnTo>
                <a:lnTo>
                  <a:pt x="582" y="10370"/>
                </a:lnTo>
                <a:lnTo>
                  <a:pt x="388" y="10654"/>
                </a:lnTo>
                <a:lnTo>
                  <a:pt x="388" y="10796"/>
                </a:lnTo>
                <a:lnTo>
                  <a:pt x="291" y="10938"/>
                </a:lnTo>
                <a:lnTo>
                  <a:pt x="291" y="11223"/>
                </a:lnTo>
                <a:lnTo>
                  <a:pt x="97" y="11507"/>
                </a:lnTo>
                <a:lnTo>
                  <a:pt x="97" y="11649"/>
                </a:lnTo>
                <a:lnTo>
                  <a:pt x="0" y="11791"/>
                </a:lnTo>
                <a:lnTo>
                  <a:pt x="194" y="12075"/>
                </a:lnTo>
                <a:lnTo>
                  <a:pt x="194" y="12643"/>
                </a:lnTo>
                <a:lnTo>
                  <a:pt x="97" y="12785"/>
                </a:lnTo>
                <a:lnTo>
                  <a:pt x="97" y="12927"/>
                </a:lnTo>
                <a:lnTo>
                  <a:pt x="291" y="13069"/>
                </a:lnTo>
                <a:lnTo>
                  <a:pt x="485" y="13353"/>
                </a:lnTo>
                <a:lnTo>
                  <a:pt x="485" y="13495"/>
                </a:lnTo>
                <a:lnTo>
                  <a:pt x="291" y="13780"/>
                </a:lnTo>
                <a:lnTo>
                  <a:pt x="291" y="13922"/>
                </a:lnTo>
                <a:lnTo>
                  <a:pt x="485" y="14206"/>
                </a:lnTo>
                <a:lnTo>
                  <a:pt x="388" y="14348"/>
                </a:lnTo>
                <a:lnTo>
                  <a:pt x="485" y="14490"/>
                </a:lnTo>
                <a:lnTo>
                  <a:pt x="485" y="14774"/>
                </a:lnTo>
                <a:lnTo>
                  <a:pt x="582" y="14916"/>
                </a:lnTo>
                <a:lnTo>
                  <a:pt x="776" y="15058"/>
                </a:lnTo>
                <a:lnTo>
                  <a:pt x="873" y="15248"/>
                </a:lnTo>
                <a:lnTo>
                  <a:pt x="873" y="15532"/>
                </a:lnTo>
                <a:lnTo>
                  <a:pt x="776" y="15674"/>
                </a:lnTo>
                <a:lnTo>
                  <a:pt x="776" y="15816"/>
                </a:lnTo>
                <a:lnTo>
                  <a:pt x="679" y="15958"/>
                </a:lnTo>
                <a:lnTo>
                  <a:pt x="969" y="16100"/>
                </a:lnTo>
                <a:lnTo>
                  <a:pt x="1260" y="16195"/>
                </a:lnTo>
                <a:lnTo>
                  <a:pt x="1939" y="16384"/>
                </a:lnTo>
              </a:path>
            </a:pathLst>
          </a:custGeom>
          <a:noFill/>
          <a:ln w="9360">
            <a:solidFill>
              <a:srgbClr val="0000ff"/>
            </a:solidFill>
            <a:round/>
          </a:ln>
        </xdr:spPr>
        <xdr:style>
          <a:lnRef idx="0"/>
          <a:fillRef idx="0"/>
          <a:effectRef idx="0"/>
          <a:fontRef idx="minor"/>
        </xdr:style>
      </xdr:sp>
    </xdr:grpSp>
    <xdr:clientData/>
  </xdr:twoCellAnchor>
  <xdr:twoCellAnchor editAs="absolute">
    <xdr:from>
      <xdr:col>0</xdr:col>
      <xdr:colOff>709200</xdr:colOff>
      <xdr:row>30</xdr:row>
      <xdr:rowOff>9360</xdr:rowOff>
    </xdr:from>
    <xdr:to>
      <xdr:col>2</xdr:col>
      <xdr:colOff>413280</xdr:colOff>
      <xdr:row>35</xdr:row>
      <xdr:rowOff>190800</xdr:rowOff>
    </xdr:to>
    <xdr:sp>
      <xdr:nvSpPr>
        <xdr:cNvPr id="51" name="Drawing 14"/>
        <xdr:cNvSpPr/>
      </xdr:nvSpPr>
      <xdr:spPr>
        <a:xfrm>
          <a:off x="709200" y="6057720"/>
          <a:ext cx="2200320" cy="1229040"/>
        </a:xfrm>
        <a:custGeom>
          <a:avLst/>
          <a:gdLst/>
          <a:ahLst/>
          <a:rect l="l" t="t" r="r" b="b"/>
          <a:pathLst>
            <a:path w="16384" h="16384">
              <a:moveTo>
                <a:pt x="16384" y="16384"/>
              </a:moveTo>
              <a:lnTo>
                <a:pt x="16384" y="15578"/>
              </a:lnTo>
              <a:lnTo>
                <a:pt x="16120" y="13967"/>
              </a:lnTo>
              <a:lnTo>
                <a:pt x="15855" y="12758"/>
              </a:lnTo>
              <a:lnTo>
                <a:pt x="15855" y="12087"/>
              </a:lnTo>
              <a:lnTo>
                <a:pt x="15195" y="11146"/>
              </a:lnTo>
              <a:lnTo>
                <a:pt x="14006" y="10072"/>
              </a:lnTo>
              <a:lnTo>
                <a:pt x="13345" y="4297"/>
              </a:lnTo>
              <a:lnTo>
                <a:pt x="15195" y="5640"/>
              </a:lnTo>
              <a:lnTo>
                <a:pt x="16120" y="5775"/>
              </a:lnTo>
              <a:lnTo>
                <a:pt x="14798" y="5640"/>
              </a:lnTo>
              <a:lnTo>
                <a:pt x="13081" y="4297"/>
              </a:lnTo>
              <a:lnTo>
                <a:pt x="7531" y="1612"/>
              </a:lnTo>
              <a:lnTo>
                <a:pt x="0" y="0"/>
              </a:lnTo>
            </a:path>
          </a:pathLst>
        </a:custGeom>
        <a:noFill/>
        <a:ln w="24840">
          <a:solidFill>
            <a:srgbClr val="00ff00"/>
          </a:solidFill>
          <a:round/>
        </a:ln>
      </xdr:spPr>
      <xdr:style>
        <a:lnRef idx="0"/>
        <a:fillRef idx="0"/>
        <a:effectRef idx="0"/>
        <a:fontRef idx="minor"/>
      </xdr:style>
    </xdr:sp>
    <xdr:clientData/>
  </xdr:twoCellAnchor>
  <xdr:twoCellAnchor editAs="absolute">
    <xdr:from>
      <xdr:col>0</xdr:col>
      <xdr:colOff>709200</xdr:colOff>
      <xdr:row>25</xdr:row>
      <xdr:rowOff>123480</xdr:rowOff>
    </xdr:from>
    <xdr:to>
      <xdr:col>1</xdr:col>
      <xdr:colOff>540360</xdr:colOff>
      <xdr:row>30</xdr:row>
      <xdr:rowOff>56880</xdr:rowOff>
    </xdr:to>
    <xdr:sp>
      <xdr:nvSpPr>
        <xdr:cNvPr id="52" name="Drawing 15"/>
        <xdr:cNvSpPr/>
      </xdr:nvSpPr>
      <xdr:spPr>
        <a:xfrm>
          <a:off x="709200" y="5171760"/>
          <a:ext cx="1481400" cy="933480"/>
        </a:xfrm>
        <a:custGeom>
          <a:avLst/>
          <a:gdLst/>
          <a:ahLst/>
          <a:rect l="l" t="t" r="r" b="b"/>
          <a:pathLst>
            <a:path w="16384" h="16384">
              <a:moveTo>
                <a:pt x="0" y="15715"/>
              </a:moveTo>
              <a:lnTo>
                <a:pt x="6437" y="12539"/>
              </a:lnTo>
              <a:lnTo>
                <a:pt x="7314" y="13208"/>
              </a:lnTo>
              <a:lnTo>
                <a:pt x="4389" y="16384"/>
              </a:lnTo>
              <a:lnTo>
                <a:pt x="7314" y="13040"/>
              </a:lnTo>
              <a:lnTo>
                <a:pt x="6144" y="12539"/>
              </a:lnTo>
              <a:lnTo>
                <a:pt x="7607" y="7523"/>
              </a:lnTo>
              <a:lnTo>
                <a:pt x="4974" y="9864"/>
              </a:lnTo>
              <a:lnTo>
                <a:pt x="6729" y="12204"/>
              </a:lnTo>
              <a:lnTo>
                <a:pt x="7607" y="7189"/>
              </a:lnTo>
              <a:lnTo>
                <a:pt x="10533" y="5016"/>
              </a:lnTo>
              <a:lnTo>
                <a:pt x="14336" y="5517"/>
              </a:lnTo>
              <a:lnTo>
                <a:pt x="10533" y="4848"/>
              </a:lnTo>
              <a:lnTo>
                <a:pt x="16384" y="0"/>
              </a:lnTo>
              <a:lnTo>
                <a:pt x="16384" y="167"/>
              </a:lnTo>
            </a:path>
          </a:pathLst>
        </a:custGeom>
        <a:noFill/>
        <a:ln w="24840">
          <a:solidFill>
            <a:srgbClr val="00ff00"/>
          </a:solidFill>
          <a:round/>
        </a:ln>
      </xdr:spPr>
      <xdr:style>
        <a:lnRef idx="0"/>
        <a:fillRef idx="0"/>
        <a:effectRef idx="0"/>
        <a:fontRef idx="minor"/>
      </xdr:style>
    </xdr:sp>
    <xdr:clientData/>
  </xdr:twoCellAnchor>
  <xdr:twoCellAnchor editAs="absolute">
    <xdr:from>
      <xdr:col>1</xdr:col>
      <xdr:colOff>539640</xdr:colOff>
      <xdr:row>23</xdr:row>
      <xdr:rowOff>28800</xdr:rowOff>
    </xdr:from>
    <xdr:to>
      <xdr:col>2</xdr:col>
      <xdr:colOff>391680</xdr:colOff>
      <xdr:row>25</xdr:row>
      <xdr:rowOff>123480</xdr:rowOff>
    </xdr:to>
    <xdr:sp>
      <xdr:nvSpPr>
        <xdr:cNvPr id="53" name="line802"/>
        <xdr:cNvSpPr/>
      </xdr:nvSpPr>
      <xdr:spPr>
        <a:xfrm>
          <a:off x="2189880" y="4677120"/>
          <a:ext cx="698040" cy="494640"/>
        </a:xfrm>
        <a:custGeom>
          <a:avLst/>
          <a:gdLst/>
          <a:ahLst/>
          <a:rect l="l" t="t" r="r" b="b"/>
          <a:pathLst>
            <a:path w="16384" h="16384">
              <a:moveTo>
                <a:pt x="0" y="16063"/>
              </a:moveTo>
              <a:lnTo>
                <a:pt x="978" y="14135"/>
              </a:lnTo>
              <a:lnTo>
                <a:pt x="2445" y="13493"/>
              </a:lnTo>
              <a:lnTo>
                <a:pt x="2934" y="14778"/>
              </a:lnTo>
              <a:lnTo>
                <a:pt x="3179" y="16384"/>
              </a:lnTo>
              <a:lnTo>
                <a:pt x="2690" y="14778"/>
              </a:lnTo>
              <a:lnTo>
                <a:pt x="1467" y="13814"/>
              </a:lnTo>
              <a:lnTo>
                <a:pt x="3913" y="10601"/>
              </a:lnTo>
              <a:lnTo>
                <a:pt x="7581" y="8031"/>
              </a:lnTo>
              <a:lnTo>
                <a:pt x="10271" y="10280"/>
              </a:lnTo>
              <a:lnTo>
                <a:pt x="10760" y="8674"/>
              </a:lnTo>
              <a:lnTo>
                <a:pt x="10026" y="10601"/>
              </a:lnTo>
              <a:lnTo>
                <a:pt x="12471" y="11244"/>
              </a:lnTo>
              <a:lnTo>
                <a:pt x="7336" y="7389"/>
              </a:lnTo>
              <a:lnTo>
                <a:pt x="16384" y="0"/>
              </a:lnTo>
            </a:path>
          </a:pathLst>
        </a:custGeom>
        <a:noFill/>
        <a:ln w="24840">
          <a:solidFill>
            <a:srgbClr val="00ff00"/>
          </a:solidFill>
          <a:round/>
        </a:ln>
      </xdr:spPr>
      <xdr:style>
        <a:lnRef idx="0"/>
        <a:fillRef idx="0"/>
        <a:effectRef idx="0"/>
        <a:fontRef idx="minor"/>
      </xdr:style>
    </xdr:sp>
    <xdr:clientData/>
  </xdr:twoCellAnchor>
  <xdr:twoCellAnchor editAs="absolute">
    <xdr:from>
      <xdr:col>2</xdr:col>
      <xdr:colOff>390960</xdr:colOff>
      <xdr:row>20</xdr:row>
      <xdr:rowOff>47520</xdr:rowOff>
    </xdr:from>
    <xdr:to>
      <xdr:col>3</xdr:col>
      <xdr:colOff>497160</xdr:colOff>
      <xdr:row>24</xdr:row>
      <xdr:rowOff>47880</xdr:rowOff>
    </xdr:to>
    <xdr:sp>
      <xdr:nvSpPr>
        <xdr:cNvPr id="54" name="line804"/>
        <xdr:cNvSpPr/>
      </xdr:nvSpPr>
      <xdr:spPr>
        <a:xfrm>
          <a:off x="2887200" y="4095720"/>
          <a:ext cx="867600" cy="800280"/>
        </a:xfrm>
        <a:custGeom>
          <a:avLst/>
          <a:gdLst/>
          <a:ahLst/>
          <a:rect l="l" t="t" r="r" b="b"/>
          <a:pathLst>
            <a:path w="16384" h="16384">
              <a:moveTo>
                <a:pt x="0" y="12239"/>
              </a:moveTo>
              <a:lnTo>
                <a:pt x="1399" y="11449"/>
              </a:lnTo>
              <a:lnTo>
                <a:pt x="3596" y="14607"/>
              </a:lnTo>
              <a:lnTo>
                <a:pt x="2398" y="15594"/>
              </a:lnTo>
              <a:lnTo>
                <a:pt x="3397" y="14805"/>
              </a:lnTo>
              <a:lnTo>
                <a:pt x="4596" y="16384"/>
              </a:lnTo>
              <a:lnTo>
                <a:pt x="1199" y="11252"/>
              </a:lnTo>
              <a:lnTo>
                <a:pt x="3596" y="9870"/>
              </a:lnTo>
              <a:lnTo>
                <a:pt x="4396" y="8685"/>
              </a:lnTo>
              <a:lnTo>
                <a:pt x="5994" y="7896"/>
              </a:lnTo>
              <a:lnTo>
                <a:pt x="13986" y="0"/>
              </a:lnTo>
              <a:lnTo>
                <a:pt x="16384" y="4145"/>
              </a:lnTo>
              <a:lnTo>
                <a:pt x="15984" y="5922"/>
              </a:lnTo>
              <a:lnTo>
                <a:pt x="16384" y="4343"/>
              </a:lnTo>
              <a:lnTo>
                <a:pt x="13986" y="197"/>
              </a:lnTo>
            </a:path>
          </a:pathLst>
        </a:custGeom>
        <a:noFill/>
        <a:ln w="24840">
          <a:solidFill>
            <a:srgbClr val="00ff00"/>
          </a:solidFill>
          <a:round/>
        </a:ln>
      </xdr:spPr>
      <xdr:style>
        <a:lnRef idx="0"/>
        <a:fillRef idx="0"/>
        <a:effectRef idx="0"/>
        <a:fontRef idx="minor"/>
      </xdr:style>
    </xdr:sp>
    <xdr:clientData/>
  </xdr:twoCellAnchor>
  <xdr:twoCellAnchor editAs="absolute">
    <xdr:from>
      <xdr:col>3</xdr:col>
      <xdr:colOff>390960</xdr:colOff>
      <xdr:row>17</xdr:row>
      <xdr:rowOff>66240</xdr:rowOff>
    </xdr:from>
    <xdr:to>
      <xdr:col>4</xdr:col>
      <xdr:colOff>381240</xdr:colOff>
      <xdr:row>20</xdr:row>
      <xdr:rowOff>47520</xdr:rowOff>
    </xdr:to>
    <xdr:sp>
      <xdr:nvSpPr>
        <xdr:cNvPr id="55" name="line806"/>
        <xdr:cNvSpPr/>
      </xdr:nvSpPr>
      <xdr:spPr>
        <a:xfrm>
          <a:off x="3648600" y="3514320"/>
          <a:ext cx="751680" cy="581400"/>
        </a:xfrm>
        <a:custGeom>
          <a:avLst/>
          <a:gdLst/>
          <a:ahLst/>
          <a:rect l="l" t="t" r="r" b="b"/>
          <a:pathLst>
            <a:path w="16384" h="16384">
              <a:moveTo>
                <a:pt x="0" y="16384"/>
              </a:moveTo>
              <a:lnTo>
                <a:pt x="12923" y="2185"/>
              </a:lnTo>
              <a:lnTo>
                <a:pt x="14307" y="4096"/>
              </a:lnTo>
              <a:lnTo>
                <a:pt x="16384" y="4369"/>
              </a:lnTo>
              <a:lnTo>
                <a:pt x="14076" y="4096"/>
              </a:lnTo>
              <a:lnTo>
                <a:pt x="12923" y="2185"/>
              </a:lnTo>
              <a:lnTo>
                <a:pt x="14076" y="0"/>
              </a:lnTo>
            </a:path>
          </a:pathLst>
        </a:custGeom>
        <a:noFill/>
        <a:ln w="24840">
          <a:solidFill>
            <a:srgbClr val="00ff00"/>
          </a:solidFill>
          <a:round/>
        </a:ln>
      </xdr:spPr>
      <xdr:style>
        <a:lnRef idx="0"/>
        <a:fillRef idx="0"/>
        <a:effectRef idx="0"/>
        <a:fontRef idx="minor"/>
      </xdr:style>
    </xdr:sp>
    <xdr:clientData/>
  </xdr:twoCellAnchor>
  <xdr:twoCellAnchor editAs="absolute">
    <xdr:from>
      <xdr:col>4</xdr:col>
      <xdr:colOff>264600</xdr:colOff>
      <xdr:row>13</xdr:row>
      <xdr:rowOff>143280</xdr:rowOff>
    </xdr:from>
    <xdr:to>
      <xdr:col>5</xdr:col>
      <xdr:colOff>719640</xdr:colOff>
      <xdr:row>17</xdr:row>
      <xdr:rowOff>95400</xdr:rowOff>
    </xdr:to>
    <xdr:sp>
      <xdr:nvSpPr>
        <xdr:cNvPr id="56" name="line809"/>
        <xdr:cNvSpPr/>
      </xdr:nvSpPr>
      <xdr:spPr>
        <a:xfrm>
          <a:off x="4283640" y="2791080"/>
          <a:ext cx="1216440" cy="752400"/>
        </a:xfrm>
        <a:custGeom>
          <a:avLst/>
          <a:gdLst/>
          <a:ahLst/>
          <a:rect l="l" t="t" r="r" b="b"/>
          <a:pathLst>
            <a:path w="16384" h="16384">
              <a:moveTo>
                <a:pt x="0" y="16384"/>
              </a:moveTo>
              <a:lnTo>
                <a:pt x="3277" y="13895"/>
              </a:lnTo>
              <a:lnTo>
                <a:pt x="3847" y="15762"/>
              </a:lnTo>
              <a:lnTo>
                <a:pt x="3134" y="14103"/>
              </a:lnTo>
              <a:lnTo>
                <a:pt x="2280" y="11821"/>
              </a:lnTo>
              <a:lnTo>
                <a:pt x="3419" y="14310"/>
              </a:lnTo>
              <a:lnTo>
                <a:pt x="5699" y="9333"/>
              </a:lnTo>
              <a:lnTo>
                <a:pt x="8548" y="9955"/>
              </a:lnTo>
              <a:lnTo>
                <a:pt x="14817" y="2696"/>
              </a:lnTo>
              <a:lnTo>
                <a:pt x="15529" y="2696"/>
              </a:lnTo>
              <a:lnTo>
                <a:pt x="15529" y="4355"/>
              </a:lnTo>
              <a:lnTo>
                <a:pt x="16242" y="4563"/>
              </a:lnTo>
              <a:lnTo>
                <a:pt x="15957" y="6222"/>
              </a:lnTo>
              <a:lnTo>
                <a:pt x="15957" y="4355"/>
              </a:lnTo>
              <a:lnTo>
                <a:pt x="15529" y="4563"/>
              </a:lnTo>
              <a:lnTo>
                <a:pt x="15529" y="2696"/>
              </a:lnTo>
              <a:lnTo>
                <a:pt x="14389" y="2903"/>
              </a:lnTo>
              <a:lnTo>
                <a:pt x="15387" y="1659"/>
              </a:lnTo>
              <a:lnTo>
                <a:pt x="14389" y="0"/>
              </a:lnTo>
              <a:lnTo>
                <a:pt x="15102" y="1452"/>
              </a:lnTo>
              <a:lnTo>
                <a:pt x="16384" y="622"/>
              </a:lnTo>
            </a:path>
          </a:pathLst>
        </a:custGeom>
        <a:noFill/>
        <a:ln w="24840">
          <a:solidFill>
            <a:srgbClr val="00ff00"/>
          </a:solidFill>
          <a:round/>
        </a:ln>
      </xdr:spPr>
      <xdr:style>
        <a:lnRef idx="0"/>
        <a:fillRef idx="0"/>
        <a:effectRef idx="0"/>
        <a:fontRef idx="minor"/>
      </xdr:style>
    </xdr:sp>
    <xdr:clientData/>
  </xdr:twoCellAnchor>
  <xdr:twoCellAnchor editAs="absolute">
    <xdr:from>
      <xdr:col>5</xdr:col>
      <xdr:colOff>633960</xdr:colOff>
      <xdr:row>10</xdr:row>
      <xdr:rowOff>9360</xdr:rowOff>
    </xdr:from>
    <xdr:to>
      <xdr:col>7</xdr:col>
      <xdr:colOff>170280</xdr:colOff>
      <xdr:row>13</xdr:row>
      <xdr:rowOff>171360</xdr:rowOff>
    </xdr:to>
    <xdr:sp>
      <xdr:nvSpPr>
        <xdr:cNvPr id="57" name="line812"/>
        <xdr:cNvSpPr/>
      </xdr:nvSpPr>
      <xdr:spPr>
        <a:xfrm>
          <a:off x="5414400" y="2057400"/>
          <a:ext cx="1058760" cy="761760"/>
        </a:xfrm>
        <a:custGeom>
          <a:avLst/>
          <a:gdLst/>
          <a:ahLst/>
          <a:rect l="l" t="t" r="r" b="b"/>
          <a:pathLst>
            <a:path w="16384" h="16384">
              <a:moveTo>
                <a:pt x="1638" y="16384"/>
              </a:moveTo>
              <a:lnTo>
                <a:pt x="2130" y="15373"/>
              </a:lnTo>
              <a:lnTo>
                <a:pt x="0" y="11327"/>
              </a:lnTo>
              <a:lnTo>
                <a:pt x="2458" y="15170"/>
              </a:lnTo>
              <a:lnTo>
                <a:pt x="6062" y="10720"/>
              </a:lnTo>
              <a:lnTo>
                <a:pt x="7864" y="14361"/>
              </a:lnTo>
              <a:lnTo>
                <a:pt x="6062" y="10518"/>
              </a:lnTo>
              <a:lnTo>
                <a:pt x="16384" y="0"/>
              </a:lnTo>
            </a:path>
          </a:pathLst>
        </a:custGeom>
        <a:noFill/>
        <a:ln w="24840">
          <a:solidFill>
            <a:srgbClr val="00ff00"/>
          </a:solidFill>
          <a:round/>
        </a:ln>
      </xdr:spPr>
      <xdr:style>
        <a:lnRef idx="0"/>
        <a:fillRef idx="0"/>
        <a:effectRef idx="0"/>
        <a:fontRef idx="minor"/>
      </xdr:style>
    </xdr:sp>
    <xdr:clientData/>
  </xdr:twoCellAnchor>
  <xdr:twoCellAnchor editAs="absolute">
    <xdr:from>
      <xdr:col>7</xdr:col>
      <xdr:colOff>200880</xdr:colOff>
      <xdr:row>8</xdr:row>
      <xdr:rowOff>199800</xdr:rowOff>
    </xdr:from>
    <xdr:to>
      <xdr:col>7</xdr:col>
      <xdr:colOff>476640</xdr:colOff>
      <xdr:row>10</xdr:row>
      <xdr:rowOff>9360</xdr:rowOff>
    </xdr:to>
    <xdr:sp>
      <xdr:nvSpPr>
        <xdr:cNvPr id="58" name="line813"/>
        <xdr:cNvSpPr/>
      </xdr:nvSpPr>
      <xdr:spPr>
        <a:xfrm>
          <a:off x="6503760" y="1838160"/>
          <a:ext cx="275760" cy="219240"/>
        </a:xfrm>
        <a:custGeom>
          <a:avLst/>
          <a:gdLst/>
          <a:ahLst/>
          <a:rect l="l" t="t" r="r" b="b"/>
          <a:pathLst>
            <a:path w="16384" h="16384">
              <a:moveTo>
                <a:pt x="0" y="16384"/>
              </a:moveTo>
              <a:lnTo>
                <a:pt x="8192" y="10426"/>
              </a:lnTo>
              <a:lnTo>
                <a:pt x="11973" y="2979"/>
              </a:lnTo>
              <a:lnTo>
                <a:pt x="16384" y="0"/>
              </a:lnTo>
            </a:path>
          </a:pathLst>
        </a:custGeom>
        <a:noFill/>
        <a:ln w="24840">
          <a:solidFill>
            <a:srgbClr val="00ff00"/>
          </a:solidFill>
          <a:round/>
        </a:ln>
      </xdr:spPr>
      <xdr:style>
        <a:lnRef idx="0"/>
        <a:fillRef idx="0"/>
        <a:effectRef idx="0"/>
        <a:fontRef idx="minor"/>
      </xdr:style>
    </xdr:sp>
    <xdr:clientData/>
  </xdr:twoCellAnchor>
  <xdr:twoCellAnchor editAs="absolute">
    <xdr:from>
      <xdr:col>7</xdr:col>
      <xdr:colOff>507960</xdr:colOff>
      <xdr:row>8</xdr:row>
      <xdr:rowOff>9720</xdr:rowOff>
    </xdr:from>
    <xdr:to>
      <xdr:col>8</xdr:col>
      <xdr:colOff>720</xdr:colOff>
      <xdr:row>8</xdr:row>
      <xdr:rowOff>190800</xdr:rowOff>
    </xdr:to>
    <xdr:sp>
      <xdr:nvSpPr>
        <xdr:cNvPr id="59" name="line814"/>
        <xdr:cNvSpPr/>
      </xdr:nvSpPr>
      <xdr:spPr>
        <a:xfrm>
          <a:off x="6810840" y="1648080"/>
          <a:ext cx="254160" cy="181080"/>
        </a:xfrm>
        <a:custGeom>
          <a:avLst/>
          <a:gdLst/>
          <a:ahLst/>
          <a:rect l="l" t="t" r="r" b="b"/>
          <a:pathLst>
            <a:path w="16384" h="16384">
              <a:moveTo>
                <a:pt x="0" y="16384"/>
              </a:moveTo>
              <a:lnTo>
                <a:pt x="16384" y="0"/>
              </a:lnTo>
            </a:path>
          </a:pathLst>
        </a:custGeom>
        <a:noFill/>
        <a:ln w="24840">
          <a:solidFill>
            <a:srgbClr val="00ff00"/>
          </a:solidFill>
          <a:round/>
        </a:ln>
      </xdr:spPr>
      <xdr:style>
        <a:lnRef idx="0"/>
        <a:fillRef idx="0"/>
        <a:effectRef idx="0"/>
        <a:fontRef idx="minor"/>
      </xdr:style>
    </xdr:sp>
    <xdr:clientData/>
  </xdr:twoCellAnchor>
  <xdr:twoCellAnchor editAs="absolute">
    <xdr:from>
      <xdr:col>7</xdr:col>
      <xdr:colOff>496800</xdr:colOff>
      <xdr:row>7</xdr:row>
      <xdr:rowOff>47520</xdr:rowOff>
    </xdr:from>
    <xdr:to>
      <xdr:col>8</xdr:col>
      <xdr:colOff>201600</xdr:colOff>
      <xdr:row>8</xdr:row>
      <xdr:rowOff>9720</xdr:rowOff>
    </xdr:to>
    <xdr:sp>
      <xdr:nvSpPr>
        <xdr:cNvPr id="60" name="line8141A"/>
        <xdr:cNvSpPr/>
      </xdr:nvSpPr>
      <xdr:spPr>
        <a:xfrm>
          <a:off x="6799680" y="1476360"/>
          <a:ext cx="466200" cy="171720"/>
        </a:xfrm>
        <a:custGeom>
          <a:avLst/>
          <a:gdLst/>
          <a:ahLst/>
          <a:rect l="l" t="t" r="r" b="b"/>
          <a:pathLst>
            <a:path w="16384" h="16384">
              <a:moveTo>
                <a:pt x="10054" y="16384"/>
              </a:moveTo>
              <a:lnTo>
                <a:pt x="11171" y="12529"/>
              </a:lnTo>
              <a:lnTo>
                <a:pt x="11171" y="6746"/>
              </a:lnTo>
              <a:lnTo>
                <a:pt x="8564" y="3855"/>
              </a:lnTo>
              <a:lnTo>
                <a:pt x="5958" y="964"/>
              </a:lnTo>
              <a:lnTo>
                <a:pt x="5213" y="3855"/>
              </a:lnTo>
              <a:lnTo>
                <a:pt x="3351" y="0"/>
              </a:lnTo>
              <a:lnTo>
                <a:pt x="0" y="964"/>
              </a:lnTo>
              <a:lnTo>
                <a:pt x="4096" y="0"/>
              </a:lnTo>
              <a:lnTo>
                <a:pt x="5958" y="3855"/>
              </a:lnTo>
              <a:lnTo>
                <a:pt x="8937" y="3855"/>
              </a:lnTo>
              <a:lnTo>
                <a:pt x="11171" y="4819"/>
              </a:lnTo>
              <a:lnTo>
                <a:pt x="11543" y="8674"/>
              </a:lnTo>
              <a:lnTo>
                <a:pt x="13777" y="7710"/>
              </a:lnTo>
              <a:lnTo>
                <a:pt x="15639" y="3855"/>
              </a:lnTo>
              <a:lnTo>
                <a:pt x="16384" y="2891"/>
              </a:lnTo>
            </a:path>
          </a:pathLst>
        </a:custGeom>
        <a:noFill/>
        <a:ln w="24840">
          <a:solidFill>
            <a:srgbClr val="00ff00"/>
          </a:solidFill>
          <a:round/>
        </a:ln>
      </xdr:spPr>
      <xdr:style>
        <a:lnRef idx="0"/>
        <a:fillRef idx="0"/>
        <a:effectRef idx="0"/>
        <a:fontRef idx="minor"/>
      </xdr:style>
    </xdr:sp>
    <xdr:clientData/>
  </xdr:twoCellAnchor>
  <xdr:twoCellAnchor editAs="absolute">
    <xdr:from>
      <xdr:col>8</xdr:col>
      <xdr:colOff>200880</xdr:colOff>
      <xdr:row>2</xdr:row>
      <xdr:rowOff>66240</xdr:rowOff>
    </xdr:from>
    <xdr:to>
      <xdr:col>11</xdr:col>
      <xdr:colOff>32760</xdr:colOff>
      <xdr:row>8</xdr:row>
      <xdr:rowOff>28440</xdr:rowOff>
    </xdr:to>
    <xdr:sp>
      <xdr:nvSpPr>
        <xdr:cNvPr id="61" name="line820"/>
        <xdr:cNvSpPr/>
      </xdr:nvSpPr>
      <xdr:spPr>
        <a:xfrm>
          <a:off x="7265160" y="475920"/>
          <a:ext cx="2116080" cy="1190880"/>
        </a:xfrm>
        <a:custGeom>
          <a:avLst/>
          <a:gdLst/>
          <a:ahLst/>
          <a:rect l="l" t="t" r="r" b="b"/>
          <a:pathLst>
            <a:path w="16384" h="16384">
              <a:moveTo>
                <a:pt x="0" y="14024"/>
              </a:moveTo>
              <a:lnTo>
                <a:pt x="87" y="14162"/>
              </a:lnTo>
              <a:lnTo>
                <a:pt x="784" y="13191"/>
              </a:lnTo>
              <a:lnTo>
                <a:pt x="697" y="12635"/>
              </a:lnTo>
              <a:lnTo>
                <a:pt x="697" y="13329"/>
              </a:lnTo>
              <a:lnTo>
                <a:pt x="871" y="15134"/>
              </a:lnTo>
              <a:lnTo>
                <a:pt x="1830" y="16384"/>
              </a:lnTo>
              <a:lnTo>
                <a:pt x="784" y="14996"/>
              </a:lnTo>
              <a:lnTo>
                <a:pt x="610" y="13329"/>
              </a:lnTo>
              <a:lnTo>
                <a:pt x="1917" y="11108"/>
              </a:lnTo>
              <a:lnTo>
                <a:pt x="2004" y="11108"/>
              </a:lnTo>
              <a:lnTo>
                <a:pt x="3399" y="10691"/>
              </a:lnTo>
              <a:lnTo>
                <a:pt x="3486" y="10691"/>
              </a:lnTo>
              <a:lnTo>
                <a:pt x="4445" y="9164"/>
              </a:lnTo>
              <a:lnTo>
                <a:pt x="3922" y="6942"/>
              </a:lnTo>
              <a:lnTo>
                <a:pt x="4532" y="8886"/>
              </a:lnTo>
              <a:lnTo>
                <a:pt x="7146" y="5970"/>
              </a:lnTo>
              <a:lnTo>
                <a:pt x="6798" y="4721"/>
              </a:lnTo>
              <a:lnTo>
                <a:pt x="7321" y="3610"/>
              </a:lnTo>
              <a:lnTo>
                <a:pt x="6798" y="4860"/>
              </a:lnTo>
              <a:lnTo>
                <a:pt x="7233" y="5970"/>
              </a:lnTo>
              <a:lnTo>
                <a:pt x="10371" y="2638"/>
              </a:lnTo>
              <a:lnTo>
                <a:pt x="11068" y="2360"/>
              </a:lnTo>
              <a:lnTo>
                <a:pt x="11591" y="2638"/>
              </a:lnTo>
              <a:lnTo>
                <a:pt x="13072" y="1388"/>
              </a:lnTo>
              <a:lnTo>
                <a:pt x="16384" y="0"/>
              </a:lnTo>
            </a:path>
          </a:pathLst>
        </a:custGeom>
        <a:noFill/>
        <a:ln w="24840">
          <a:solidFill>
            <a:srgbClr val="00ff00"/>
          </a:solidFill>
          <a:round/>
        </a:ln>
      </xdr:spPr>
      <xdr:style>
        <a:lnRef idx="0"/>
        <a:fillRef idx="0"/>
        <a:effectRef idx="0"/>
        <a:fontRef idx="minor"/>
      </xdr:style>
    </xdr:sp>
    <xdr:clientData/>
  </xdr:twoCellAnchor>
  <xdr:twoCellAnchor editAs="oneCell">
    <xdr:from>
      <xdr:col>10</xdr:col>
      <xdr:colOff>729360</xdr:colOff>
      <xdr:row>0</xdr:row>
      <xdr:rowOff>18720</xdr:rowOff>
    </xdr:from>
    <xdr:to>
      <xdr:col>11</xdr:col>
      <xdr:colOff>148680</xdr:colOff>
      <xdr:row>5</xdr:row>
      <xdr:rowOff>18720</xdr:rowOff>
    </xdr:to>
    <xdr:sp>
      <xdr:nvSpPr>
        <xdr:cNvPr id="62" name="Drawing 26"/>
        <xdr:cNvSpPr/>
      </xdr:nvSpPr>
      <xdr:spPr>
        <a:xfrm>
          <a:off x="9316440" y="18720"/>
          <a:ext cx="180720" cy="1028880"/>
        </a:xfrm>
        <a:custGeom>
          <a:avLst/>
          <a:gdLst/>
          <a:ahLst/>
          <a:rect l="l" t="t" r="r" b="b"/>
          <a:pathLst>
            <a:path w="16384" h="16384">
              <a:moveTo>
                <a:pt x="0" y="16384"/>
              </a:moveTo>
              <a:lnTo>
                <a:pt x="964" y="16384"/>
              </a:lnTo>
              <a:lnTo>
                <a:pt x="4819" y="15754"/>
              </a:lnTo>
              <a:lnTo>
                <a:pt x="0" y="16384"/>
              </a:lnTo>
              <a:lnTo>
                <a:pt x="4819" y="15439"/>
              </a:lnTo>
              <a:lnTo>
                <a:pt x="7710" y="15124"/>
              </a:lnTo>
              <a:lnTo>
                <a:pt x="8674" y="14651"/>
              </a:lnTo>
              <a:lnTo>
                <a:pt x="11565" y="14336"/>
              </a:lnTo>
              <a:lnTo>
                <a:pt x="13493" y="13863"/>
              </a:lnTo>
              <a:lnTo>
                <a:pt x="13493" y="12918"/>
              </a:lnTo>
              <a:lnTo>
                <a:pt x="15420" y="12446"/>
              </a:lnTo>
              <a:lnTo>
                <a:pt x="16384" y="11973"/>
              </a:lnTo>
              <a:lnTo>
                <a:pt x="16384" y="11028"/>
              </a:lnTo>
              <a:lnTo>
                <a:pt x="14456" y="10398"/>
              </a:lnTo>
              <a:lnTo>
                <a:pt x="12529" y="9925"/>
              </a:lnTo>
              <a:lnTo>
                <a:pt x="10601" y="8980"/>
              </a:lnTo>
              <a:lnTo>
                <a:pt x="6746" y="8034"/>
              </a:lnTo>
              <a:lnTo>
                <a:pt x="6746" y="7089"/>
              </a:lnTo>
              <a:lnTo>
                <a:pt x="2891" y="6144"/>
              </a:lnTo>
              <a:lnTo>
                <a:pt x="1928" y="5671"/>
              </a:lnTo>
              <a:lnTo>
                <a:pt x="4819" y="4254"/>
              </a:lnTo>
              <a:lnTo>
                <a:pt x="7710" y="3938"/>
              </a:lnTo>
              <a:lnTo>
                <a:pt x="7710" y="3466"/>
              </a:lnTo>
              <a:lnTo>
                <a:pt x="13493" y="2048"/>
              </a:lnTo>
              <a:lnTo>
                <a:pt x="13493" y="1890"/>
              </a:lnTo>
              <a:lnTo>
                <a:pt x="12529" y="1418"/>
              </a:lnTo>
              <a:lnTo>
                <a:pt x="9638" y="945"/>
              </a:lnTo>
              <a:lnTo>
                <a:pt x="9638" y="0"/>
              </a:lnTo>
              <a:lnTo>
                <a:pt x="9638" y="315"/>
              </a:lnTo>
            </a:path>
          </a:pathLst>
        </a:custGeom>
        <a:solidFill>
          <a:srgbClr val="ffffff"/>
        </a:solidFill>
        <a:ln w="9360">
          <a:solidFill>
            <a:srgbClr val="000000"/>
          </a:solidFill>
          <a:round/>
        </a:ln>
      </xdr:spPr>
      <xdr:style>
        <a:lnRef idx="0"/>
        <a:fillRef idx="0"/>
        <a:effectRef idx="0"/>
        <a:fontRef idx="minor"/>
      </xdr:style>
    </xdr:sp>
    <xdr:clientData/>
  </xdr:twoCellAnchor>
  <xdr:twoCellAnchor editAs="oneCell">
    <xdr:from>
      <xdr:col>7</xdr:col>
      <xdr:colOff>676800</xdr:colOff>
      <xdr:row>10</xdr:row>
      <xdr:rowOff>152280</xdr:rowOff>
    </xdr:from>
    <xdr:to>
      <xdr:col>8</xdr:col>
      <xdr:colOff>582120</xdr:colOff>
      <xdr:row>14</xdr:row>
      <xdr:rowOff>38160</xdr:rowOff>
    </xdr:to>
    <xdr:sp>
      <xdr:nvSpPr>
        <xdr:cNvPr id="63" name="Drawing 27"/>
        <xdr:cNvSpPr/>
      </xdr:nvSpPr>
      <xdr:spPr>
        <a:xfrm>
          <a:off x="6979680" y="2200320"/>
          <a:ext cx="666720" cy="685800"/>
        </a:xfrm>
        <a:custGeom>
          <a:avLst/>
          <a:gdLst/>
          <a:ahLst/>
          <a:rect l="l" t="t" r="r" b="b"/>
          <a:pathLst>
            <a:path w="16384" h="16384">
              <a:moveTo>
                <a:pt x="16124" y="0"/>
              </a:moveTo>
              <a:lnTo>
                <a:pt x="16124" y="228"/>
              </a:lnTo>
              <a:lnTo>
                <a:pt x="15344" y="455"/>
              </a:lnTo>
              <a:lnTo>
                <a:pt x="16124" y="0"/>
              </a:lnTo>
              <a:lnTo>
                <a:pt x="14564" y="683"/>
              </a:lnTo>
              <a:lnTo>
                <a:pt x="13783" y="1365"/>
              </a:lnTo>
              <a:lnTo>
                <a:pt x="13523" y="2048"/>
              </a:lnTo>
              <a:lnTo>
                <a:pt x="12743" y="2731"/>
              </a:lnTo>
              <a:lnTo>
                <a:pt x="11703" y="4096"/>
              </a:lnTo>
              <a:lnTo>
                <a:pt x="10923" y="4551"/>
              </a:lnTo>
              <a:lnTo>
                <a:pt x="10403" y="5234"/>
              </a:lnTo>
              <a:lnTo>
                <a:pt x="8842" y="6144"/>
              </a:lnTo>
              <a:lnTo>
                <a:pt x="8062" y="6827"/>
              </a:lnTo>
              <a:lnTo>
                <a:pt x="7542" y="7509"/>
              </a:lnTo>
              <a:lnTo>
                <a:pt x="6762" y="7964"/>
              </a:lnTo>
              <a:lnTo>
                <a:pt x="5981" y="8647"/>
              </a:lnTo>
              <a:lnTo>
                <a:pt x="5461" y="9330"/>
              </a:lnTo>
              <a:lnTo>
                <a:pt x="3901" y="10240"/>
              </a:lnTo>
              <a:lnTo>
                <a:pt x="3381" y="10923"/>
              </a:lnTo>
              <a:lnTo>
                <a:pt x="3121" y="11605"/>
              </a:lnTo>
              <a:lnTo>
                <a:pt x="2081" y="12971"/>
              </a:lnTo>
              <a:lnTo>
                <a:pt x="1820" y="13653"/>
              </a:lnTo>
              <a:lnTo>
                <a:pt x="1300" y="14336"/>
              </a:lnTo>
              <a:lnTo>
                <a:pt x="1040" y="15019"/>
              </a:lnTo>
              <a:lnTo>
                <a:pt x="260" y="15701"/>
              </a:lnTo>
              <a:lnTo>
                <a:pt x="0" y="16384"/>
              </a:lnTo>
              <a:lnTo>
                <a:pt x="780" y="16384"/>
              </a:lnTo>
              <a:lnTo>
                <a:pt x="2341" y="15474"/>
              </a:lnTo>
              <a:lnTo>
                <a:pt x="3121" y="15246"/>
              </a:lnTo>
              <a:lnTo>
                <a:pt x="3641" y="14564"/>
              </a:lnTo>
              <a:lnTo>
                <a:pt x="3901" y="13881"/>
              </a:lnTo>
              <a:lnTo>
                <a:pt x="4681" y="13198"/>
              </a:lnTo>
              <a:lnTo>
                <a:pt x="5201" y="12516"/>
              </a:lnTo>
              <a:lnTo>
                <a:pt x="5981" y="11833"/>
              </a:lnTo>
              <a:lnTo>
                <a:pt x="7022" y="10468"/>
              </a:lnTo>
              <a:lnTo>
                <a:pt x="7802" y="10012"/>
              </a:lnTo>
              <a:lnTo>
                <a:pt x="9362" y="8647"/>
              </a:lnTo>
              <a:lnTo>
                <a:pt x="9622" y="7964"/>
              </a:lnTo>
              <a:lnTo>
                <a:pt x="10142" y="7282"/>
              </a:lnTo>
              <a:lnTo>
                <a:pt x="10923" y="6827"/>
              </a:lnTo>
              <a:lnTo>
                <a:pt x="11703" y="6599"/>
              </a:lnTo>
              <a:lnTo>
                <a:pt x="12483" y="6144"/>
              </a:lnTo>
              <a:lnTo>
                <a:pt x="14043" y="4096"/>
              </a:lnTo>
              <a:lnTo>
                <a:pt x="14824" y="3868"/>
              </a:lnTo>
              <a:lnTo>
                <a:pt x="15604" y="3413"/>
              </a:lnTo>
              <a:lnTo>
                <a:pt x="16384" y="1365"/>
              </a:lnTo>
              <a:lnTo>
                <a:pt x="16124" y="0"/>
              </a:lnTo>
              <a:lnTo>
                <a:pt x="16124" y="0"/>
              </a:lnTo>
              <a:close/>
            </a:path>
          </a:pathLst>
        </a:custGeom>
        <a:noFill/>
        <a:ln w="9360">
          <a:solidFill>
            <a:srgbClr val="0000ff"/>
          </a:solidFill>
          <a:round/>
        </a:ln>
      </xdr:spPr>
      <xdr:style>
        <a:lnRef idx="0"/>
        <a:fillRef idx="0"/>
        <a:effectRef idx="0"/>
        <a:fontRef idx="minor"/>
      </xdr:style>
    </xdr:sp>
    <xdr:clientData/>
  </xdr:twoCellAnchor>
  <xdr:twoCellAnchor editAs="absolute">
    <xdr:from>
      <xdr:col>1</xdr:col>
      <xdr:colOff>497520</xdr:colOff>
      <xdr:row>25</xdr:row>
      <xdr:rowOff>66240</xdr:rowOff>
    </xdr:from>
    <xdr:to>
      <xdr:col>1</xdr:col>
      <xdr:colOff>582480</xdr:colOff>
      <xdr:row>25</xdr:row>
      <xdr:rowOff>161640</xdr:rowOff>
    </xdr:to>
    <xdr:sp>
      <xdr:nvSpPr>
        <xdr:cNvPr id="64" name="Rectangle 65"/>
        <xdr:cNvSpPr/>
      </xdr:nvSpPr>
      <xdr:spPr>
        <a:xfrm>
          <a:off x="2147760" y="5114520"/>
          <a:ext cx="84960" cy="95400"/>
        </a:xfrm>
        <a:prstGeom prst="rect">
          <a:avLst/>
        </a:prstGeom>
        <a:solidFill>
          <a:srgbClr val="008000"/>
        </a:solid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twoCellAnchor editAs="absolute">
    <xdr:from>
      <xdr:col>2</xdr:col>
      <xdr:colOff>327960</xdr:colOff>
      <xdr:row>23</xdr:row>
      <xdr:rowOff>9360</xdr:rowOff>
    </xdr:from>
    <xdr:to>
      <xdr:col>2</xdr:col>
      <xdr:colOff>413280</xdr:colOff>
      <xdr:row>23</xdr:row>
      <xdr:rowOff>104760</xdr:rowOff>
    </xdr:to>
    <xdr:sp>
      <xdr:nvSpPr>
        <xdr:cNvPr id="65" name="Rectangle 66"/>
        <xdr:cNvSpPr/>
      </xdr:nvSpPr>
      <xdr:spPr>
        <a:xfrm>
          <a:off x="2824200" y="4657680"/>
          <a:ext cx="85320" cy="95400"/>
        </a:xfrm>
        <a:prstGeom prst="rect">
          <a:avLst/>
        </a:prstGeom>
        <a:solidFill>
          <a:srgbClr val="008000"/>
        </a:solid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twoCellAnchor editAs="absolute">
    <xdr:from>
      <xdr:col>3</xdr:col>
      <xdr:colOff>327960</xdr:colOff>
      <xdr:row>20</xdr:row>
      <xdr:rowOff>9360</xdr:rowOff>
    </xdr:from>
    <xdr:to>
      <xdr:col>3</xdr:col>
      <xdr:colOff>413280</xdr:colOff>
      <xdr:row>20</xdr:row>
      <xdr:rowOff>86040</xdr:rowOff>
    </xdr:to>
    <xdr:sp>
      <xdr:nvSpPr>
        <xdr:cNvPr id="66" name="Rectangle 67"/>
        <xdr:cNvSpPr/>
      </xdr:nvSpPr>
      <xdr:spPr>
        <a:xfrm>
          <a:off x="3585600" y="4057560"/>
          <a:ext cx="85320" cy="76680"/>
        </a:xfrm>
        <a:prstGeom prst="rect">
          <a:avLst/>
        </a:prstGeom>
        <a:solidFill>
          <a:srgbClr val="008000"/>
        </a:solid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twoCellAnchor editAs="absolute">
    <xdr:from>
      <xdr:col>0</xdr:col>
      <xdr:colOff>1005840</xdr:colOff>
      <xdr:row>30</xdr:row>
      <xdr:rowOff>9360</xdr:rowOff>
    </xdr:from>
    <xdr:to>
      <xdr:col>0</xdr:col>
      <xdr:colOff>1092600</xdr:colOff>
      <xdr:row>30</xdr:row>
      <xdr:rowOff>95400</xdr:rowOff>
    </xdr:to>
    <xdr:sp>
      <xdr:nvSpPr>
        <xdr:cNvPr id="67" name="Rectangle 68"/>
        <xdr:cNvSpPr/>
      </xdr:nvSpPr>
      <xdr:spPr>
        <a:xfrm>
          <a:off x="1005840" y="6057720"/>
          <a:ext cx="86760" cy="86040"/>
        </a:xfrm>
        <a:prstGeom prst="rect">
          <a:avLst/>
        </a:prstGeom>
        <a:solidFill>
          <a:srgbClr val="008000"/>
        </a:solid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twoCellAnchor editAs="absolute">
    <xdr:from>
      <xdr:col>4</xdr:col>
      <xdr:colOff>253440</xdr:colOff>
      <xdr:row>17</xdr:row>
      <xdr:rowOff>47520</xdr:rowOff>
    </xdr:from>
    <xdr:to>
      <xdr:col>4</xdr:col>
      <xdr:colOff>338760</xdr:colOff>
      <xdr:row>17</xdr:row>
      <xdr:rowOff>133560</xdr:rowOff>
    </xdr:to>
    <xdr:sp>
      <xdr:nvSpPr>
        <xdr:cNvPr id="68" name="Rectangle 69"/>
        <xdr:cNvSpPr/>
      </xdr:nvSpPr>
      <xdr:spPr>
        <a:xfrm>
          <a:off x="4272480" y="3495600"/>
          <a:ext cx="85320" cy="86040"/>
        </a:xfrm>
        <a:prstGeom prst="rect">
          <a:avLst/>
        </a:prstGeom>
        <a:solidFill>
          <a:srgbClr val="008000"/>
        </a:solid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twoCellAnchor editAs="absolute">
    <xdr:from>
      <xdr:col>5</xdr:col>
      <xdr:colOff>676440</xdr:colOff>
      <xdr:row>13</xdr:row>
      <xdr:rowOff>123480</xdr:rowOff>
    </xdr:from>
    <xdr:to>
      <xdr:col>6</xdr:col>
      <xdr:colOff>1080</xdr:colOff>
      <xdr:row>14</xdr:row>
      <xdr:rowOff>9360</xdr:rowOff>
    </xdr:to>
    <xdr:sp>
      <xdr:nvSpPr>
        <xdr:cNvPr id="69" name="Rectangle 70"/>
        <xdr:cNvSpPr/>
      </xdr:nvSpPr>
      <xdr:spPr>
        <a:xfrm>
          <a:off x="5456880" y="2771280"/>
          <a:ext cx="85680" cy="86040"/>
        </a:xfrm>
        <a:prstGeom prst="rect">
          <a:avLst/>
        </a:prstGeom>
        <a:solidFill>
          <a:srgbClr val="008000"/>
        </a:solid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twoCellAnchor editAs="absolute">
    <xdr:from>
      <xdr:col>8</xdr:col>
      <xdr:colOff>74520</xdr:colOff>
      <xdr:row>7</xdr:row>
      <xdr:rowOff>57240</xdr:rowOff>
    </xdr:from>
    <xdr:to>
      <xdr:col>8</xdr:col>
      <xdr:colOff>159840</xdr:colOff>
      <xdr:row>7</xdr:row>
      <xdr:rowOff>143280</xdr:rowOff>
    </xdr:to>
    <xdr:sp>
      <xdr:nvSpPr>
        <xdr:cNvPr id="70" name="Rectangle 71"/>
        <xdr:cNvSpPr/>
      </xdr:nvSpPr>
      <xdr:spPr>
        <a:xfrm>
          <a:off x="7138800" y="1486080"/>
          <a:ext cx="85320" cy="86040"/>
        </a:xfrm>
        <a:prstGeom prst="rect">
          <a:avLst/>
        </a:prstGeom>
        <a:solidFill>
          <a:srgbClr val="008000"/>
        </a:solid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twoCellAnchor editAs="absolute">
    <xdr:from>
      <xdr:col>7</xdr:col>
      <xdr:colOff>95400</xdr:colOff>
      <xdr:row>9</xdr:row>
      <xdr:rowOff>123480</xdr:rowOff>
    </xdr:from>
    <xdr:to>
      <xdr:col>7</xdr:col>
      <xdr:colOff>180720</xdr:colOff>
      <xdr:row>10</xdr:row>
      <xdr:rowOff>9360</xdr:rowOff>
    </xdr:to>
    <xdr:sp>
      <xdr:nvSpPr>
        <xdr:cNvPr id="71" name="Rectangle 72"/>
        <xdr:cNvSpPr/>
      </xdr:nvSpPr>
      <xdr:spPr>
        <a:xfrm>
          <a:off x="6398280" y="1971360"/>
          <a:ext cx="85320" cy="86040"/>
        </a:xfrm>
        <a:prstGeom prst="rect">
          <a:avLst/>
        </a:prstGeom>
        <a:solidFill>
          <a:srgbClr val="008000"/>
        </a:solid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twoCellAnchor editAs="absolute">
    <xdr:from>
      <xdr:col>10</xdr:col>
      <xdr:colOff>686880</xdr:colOff>
      <xdr:row>2</xdr:row>
      <xdr:rowOff>28800</xdr:rowOff>
    </xdr:from>
    <xdr:to>
      <xdr:col>11</xdr:col>
      <xdr:colOff>11160</xdr:colOff>
      <xdr:row>2</xdr:row>
      <xdr:rowOff>123480</xdr:rowOff>
    </xdr:to>
    <xdr:sp>
      <xdr:nvSpPr>
        <xdr:cNvPr id="72" name="Rectangle 73"/>
        <xdr:cNvSpPr/>
      </xdr:nvSpPr>
      <xdr:spPr>
        <a:xfrm>
          <a:off x="9273960" y="438480"/>
          <a:ext cx="85680" cy="94680"/>
        </a:xfrm>
        <a:prstGeom prst="rect">
          <a:avLst/>
        </a:prstGeom>
        <a:solidFill>
          <a:srgbClr val="008000"/>
        </a:solid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twoCellAnchor editAs="absolute">
    <xdr:from>
      <xdr:col>2</xdr:col>
      <xdr:colOff>412200</xdr:colOff>
      <xdr:row>23</xdr:row>
      <xdr:rowOff>85320</xdr:rowOff>
    </xdr:from>
    <xdr:to>
      <xdr:col>5</xdr:col>
      <xdr:colOff>116280</xdr:colOff>
      <xdr:row>26</xdr:row>
      <xdr:rowOff>37800</xdr:rowOff>
    </xdr:to>
    <xdr:sp>
      <xdr:nvSpPr>
        <xdr:cNvPr id="73" name="Line 74"/>
        <xdr:cNvSpPr/>
      </xdr:nvSpPr>
      <xdr:spPr>
        <a:xfrm flipH="1" flipV="1">
          <a:off x="2908440" y="4733640"/>
          <a:ext cx="1988280" cy="552600"/>
        </a:xfrm>
        <a:prstGeom prst="line">
          <a:avLst/>
        </a:prstGeom>
        <a:ln w="9360">
          <a:solidFill>
            <a:srgbClr val="000000"/>
          </a:solidFill>
          <a:prstDash val="dash"/>
          <a:miter/>
        </a:ln>
      </xdr:spPr>
      <xdr:style>
        <a:lnRef idx="0"/>
        <a:fillRef idx="0"/>
        <a:effectRef idx="0"/>
        <a:fontRef idx="minor"/>
      </xdr:style>
    </xdr:sp>
    <xdr:clientData/>
  </xdr:twoCellAnchor>
  <xdr:twoCellAnchor editAs="absolute">
    <xdr:from>
      <xdr:col>1</xdr:col>
      <xdr:colOff>464760</xdr:colOff>
      <xdr:row>25</xdr:row>
      <xdr:rowOff>171000</xdr:rowOff>
    </xdr:from>
    <xdr:to>
      <xdr:col>4</xdr:col>
      <xdr:colOff>42480</xdr:colOff>
      <xdr:row>30</xdr:row>
      <xdr:rowOff>114120</xdr:rowOff>
    </xdr:to>
    <xdr:sp>
      <xdr:nvSpPr>
        <xdr:cNvPr id="74" name="Line 75"/>
        <xdr:cNvSpPr/>
      </xdr:nvSpPr>
      <xdr:spPr>
        <a:xfrm flipH="1" flipV="1">
          <a:off x="2115000" y="5219280"/>
          <a:ext cx="1946520" cy="943200"/>
        </a:xfrm>
        <a:prstGeom prst="line">
          <a:avLst/>
        </a:prstGeom>
        <a:ln w="9360">
          <a:solidFill>
            <a:srgbClr val="000000"/>
          </a:solidFill>
          <a:prstDash val="dash"/>
          <a:miter/>
        </a:ln>
      </xdr:spPr>
      <xdr:style>
        <a:lnRef idx="0"/>
        <a:fillRef idx="0"/>
        <a:effectRef idx="0"/>
        <a:fontRef idx="minor"/>
      </xdr:style>
    </xdr:sp>
    <xdr:clientData/>
  </xdr:twoCellAnchor>
  <xdr:twoCellAnchor editAs="absolute">
    <xdr:from>
      <xdr:col>4</xdr:col>
      <xdr:colOff>0</xdr:colOff>
      <xdr:row>9</xdr:row>
      <xdr:rowOff>0</xdr:rowOff>
    </xdr:from>
    <xdr:to>
      <xdr:col>5</xdr:col>
      <xdr:colOff>116640</xdr:colOff>
      <xdr:row>10</xdr:row>
      <xdr:rowOff>122040</xdr:rowOff>
    </xdr:to>
    <xdr:sp>
      <xdr:nvSpPr>
        <xdr:cNvPr id="75" name="Text 50"/>
        <xdr:cNvSpPr/>
      </xdr:nvSpPr>
      <xdr:spPr>
        <a:xfrm>
          <a:off x="4019040" y="1847880"/>
          <a:ext cx="878040" cy="322200"/>
        </a:xfrm>
        <a:prstGeom prst="rect">
          <a:avLst/>
        </a:prstGeom>
        <a:noFill/>
        <a:ln w="0">
          <a:noFill/>
        </a:ln>
      </xdr:spPr>
      <xdr:style>
        <a:lnRef idx="0"/>
        <a:fillRef idx="0"/>
        <a:effectRef idx="0"/>
        <a:fontRef idx="minor"/>
      </xdr:style>
      <xdr:txBody>
        <a:bodyPr lIns="20160" rIns="20160" tIns="20160" bIns="20160" anchor="ctr">
          <a:spAutoFit/>
        </a:bodyPr>
        <a:p>
          <a:pPr algn="ctr"/>
          <a:r>
            <a:rPr b="1" i="1" lang="en-US" sz="2000" strike="noStrike" u="none">
              <a:effectLst/>
              <a:uFillTx/>
              <a:latin typeface="Times New Roman"/>
            </a:rPr>
            <a:t>Texas</a:t>
          </a:r>
          <a:endParaRPr b="0" lang="en-US" sz="2000" strike="noStrike" u="none">
            <a:effectLst/>
            <a:uFillTx/>
            <a:latin typeface="Times New Roman"/>
          </a:endParaRPr>
        </a:p>
      </xdr:txBody>
    </xdr:sp>
    <xdr:clientData/>
  </xdr:twoCellAnchor>
  <xdr:twoCellAnchor editAs="absolute">
    <xdr:from>
      <xdr:col>4</xdr:col>
      <xdr:colOff>169560</xdr:colOff>
      <xdr:row>29</xdr:row>
      <xdr:rowOff>162000</xdr:rowOff>
    </xdr:from>
    <xdr:to>
      <xdr:col>4</xdr:col>
      <xdr:colOff>539640</xdr:colOff>
      <xdr:row>30</xdr:row>
      <xdr:rowOff>86040</xdr:rowOff>
    </xdr:to>
    <xdr:sp>
      <xdr:nvSpPr>
        <xdr:cNvPr id="76" name="Text 54"/>
        <xdr:cNvSpPr/>
      </xdr:nvSpPr>
      <xdr:spPr>
        <a:xfrm>
          <a:off x="4188600" y="6010200"/>
          <a:ext cx="370080" cy="12420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24.7 </a:t>
          </a:r>
          <a:endParaRPr b="0" lang="en-US" sz="800" strike="noStrike" u="none">
            <a:effectLst/>
            <a:uFillTx/>
            <a:latin typeface="Times New Roman"/>
          </a:endParaRPr>
        </a:p>
      </xdr:txBody>
    </xdr:sp>
    <xdr:clientData/>
  </xdr:twoCellAnchor>
  <xdr:twoCellAnchor editAs="absolute">
    <xdr:from>
      <xdr:col>6</xdr:col>
      <xdr:colOff>74520</xdr:colOff>
      <xdr:row>24</xdr:row>
      <xdr:rowOff>38520</xdr:rowOff>
    </xdr:from>
    <xdr:to>
      <xdr:col>6</xdr:col>
      <xdr:colOff>498240</xdr:colOff>
      <xdr:row>24</xdr:row>
      <xdr:rowOff>172080</xdr:rowOff>
    </xdr:to>
    <xdr:sp>
      <xdr:nvSpPr>
        <xdr:cNvPr id="77" name="Text 56"/>
        <xdr:cNvSpPr/>
      </xdr:nvSpPr>
      <xdr:spPr>
        <a:xfrm>
          <a:off x="5616000" y="4886640"/>
          <a:ext cx="423720" cy="13356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218.3 </a:t>
          </a:r>
          <a:endParaRPr b="0" lang="en-US" sz="800" strike="noStrike" u="none">
            <a:effectLst/>
            <a:uFillTx/>
            <a:latin typeface="Times New Roman"/>
          </a:endParaRPr>
        </a:p>
      </xdr:txBody>
    </xdr:sp>
    <xdr:clientData/>
  </xdr:twoCellAnchor>
  <xdr:twoCellAnchor editAs="absolute">
    <xdr:from>
      <xdr:col>5</xdr:col>
      <xdr:colOff>0</xdr:colOff>
      <xdr:row>25</xdr:row>
      <xdr:rowOff>86040</xdr:rowOff>
    </xdr:from>
    <xdr:to>
      <xdr:col>5</xdr:col>
      <xdr:colOff>423720</xdr:colOff>
      <xdr:row>26</xdr:row>
      <xdr:rowOff>9360</xdr:rowOff>
    </xdr:to>
    <xdr:sp>
      <xdr:nvSpPr>
        <xdr:cNvPr id="78" name="Text 57"/>
        <xdr:cNvSpPr/>
      </xdr:nvSpPr>
      <xdr:spPr>
        <a:xfrm>
          <a:off x="4780440" y="5134320"/>
          <a:ext cx="423720" cy="12348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240.8 </a:t>
          </a:r>
          <a:endParaRPr b="0" lang="en-US" sz="800" strike="noStrike" u="none">
            <a:effectLst/>
            <a:uFillTx/>
            <a:latin typeface="Times New Roman"/>
          </a:endParaRPr>
        </a:p>
      </xdr:txBody>
    </xdr:sp>
    <xdr:clientData/>
  </xdr:twoCellAnchor>
  <xdr:twoCellAnchor editAs="absolute">
    <xdr:from>
      <xdr:col>3</xdr:col>
      <xdr:colOff>412200</xdr:colOff>
      <xdr:row>20</xdr:row>
      <xdr:rowOff>85680</xdr:rowOff>
    </xdr:from>
    <xdr:to>
      <xdr:col>6</xdr:col>
      <xdr:colOff>95760</xdr:colOff>
      <xdr:row>24</xdr:row>
      <xdr:rowOff>161640</xdr:rowOff>
    </xdr:to>
    <xdr:sp>
      <xdr:nvSpPr>
        <xdr:cNvPr id="79" name="Line 80"/>
        <xdr:cNvSpPr/>
      </xdr:nvSpPr>
      <xdr:spPr>
        <a:xfrm flipH="1" flipV="1">
          <a:off x="3669840" y="4133880"/>
          <a:ext cx="1967400" cy="875880"/>
        </a:xfrm>
        <a:prstGeom prst="line">
          <a:avLst/>
        </a:prstGeom>
        <a:ln w="9360">
          <a:solidFill>
            <a:srgbClr val="000000"/>
          </a:solidFill>
          <a:prstDash val="dash"/>
          <a:miter/>
        </a:ln>
      </xdr:spPr>
      <xdr:style>
        <a:lnRef idx="0"/>
        <a:fillRef idx="0"/>
        <a:effectRef idx="0"/>
        <a:fontRef idx="minor"/>
      </xdr:style>
    </xdr:sp>
    <xdr:clientData/>
  </xdr:twoCellAnchor>
  <xdr:twoCellAnchor editAs="absolute">
    <xdr:from>
      <xdr:col>9</xdr:col>
      <xdr:colOff>200880</xdr:colOff>
      <xdr:row>16</xdr:row>
      <xdr:rowOff>38520</xdr:rowOff>
    </xdr:from>
    <xdr:to>
      <xdr:col>9</xdr:col>
      <xdr:colOff>624600</xdr:colOff>
      <xdr:row>16</xdr:row>
      <xdr:rowOff>172080</xdr:rowOff>
    </xdr:to>
    <xdr:sp>
      <xdr:nvSpPr>
        <xdr:cNvPr id="80" name="Text 61"/>
        <xdr:cNvSpPr/>
      </xdr:nvSpPr>
      <xdr:spPr>
        <a:xfrm>
          <a:off x="8026560" y="3286440"/>
          <a:ext cx="423720" cy="1335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310.7 </a:t>
          </a:r>
          <a:endParaRPr b="0" lang="en-US" sz="800" strike="noStrike" u="none">
            <a:effectLst/>
            <a:uFillTx/>
            <a:latin typeface="Times New Roman"/>
          </a:endParaRPr>
        </a:p>
      </xdr:txBody>
    </xdr:sp>
    <xdr:clientData/>
  </xdr:twoCellAnchor>
  <xdr:twoCellAnchor editAs="absolute">
    <xdr:from>
      <xdr:col>6</xdr:col>
      <xdr:colOff>666360</xdr:colOff>
      <xdr:row>22</xdr:row>
      <xdr:rowOff>86040</xdr:rowOff>
    </xdr:from>
    <xdr:to>
      <xdr:col>7</xdr:col>
      <xdr:colOff>328680</xdr:colOff>
      <xdr:row>23</xdr:row>
      <xdr:rowOff>9360</xdr:rowOff>
    </xdr:to>
    <xdr:sp>
      <xdr:nvSpPr>
        <xdr:cNvPr id="81" name="Text 62"/>
        <xdr:cNvSpPr/>
      </xdr:nvSpPr>
      <xdr:spPr>
        <a:xfrm>
          <a:off x="6207840" y="4534200"/>
          <a:ext cx="423720" cy="12348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215.8 </a:t>
          </a:r>
          <a:endParaRPr b="0" lang="en-US" sz="800" strike="noStrike" u="none">
            <a:effectLst/>
            <a:uFillTx/>
            <a:latin typeface="Times New Roman"/>
          </a:endParaRPr>
        </a:p>
      </xdr:txBody>
    </xdr:sp>
    <xdr:clientData/>
  </xdr:twoCellAnchor>
  <xdr:twoCellAnchor editAs="absolute">
    <xdr:from>
      <xdr:col>5</xdr:col>
      <xdr:colOff>686880</xdr:colOff>
      <xdr:row>14</xdr:row>
      <xdr:rowOff>56880</xdr:rowOff>
    </xdr:from>
    <xdr:to>
      <xdr:col>8</xdr:col>
      <xdr:colOff>730080</xdr:colOff>
      <xdr:row>20</xdr:row>
      <xdr:rowOff>18720</xdr:rowOff>
    </xdr:to>
    <xdr:sp>
      <xdr:nvSpPr>
        <xdr:cNvPr id="82" name="Line 83"/>
        <xdr:cNvSpPr/>
      </xdr:nvSpPr>
      <xdr:spPr>
        <a:xfrm>
          <a:off x="5467320" y="2904840"/>
          <a:ext cx="2327040" cy="1162080"/>
        </a:xfrm>
        <a:prstGeom prst="line">
          <a:avLst/>
        </a:prstGeom>
        <a:ln w="9360">
          <a:solidFill>
            <a:srgbClr val="000000"/>
          </a:solidFill>
          <a:prstDash val="dash"/>
          <a:miter/>
        </a:ln>
      </xdr:spPr>
      <xdr:style>
        <a:lnRef idx="0"/>
        <a:fillRef idx="0"/>
        <a:effectRef idx="0"/>
        <a:fontRef idx="minor"/>
      </xdr:style>
    </xdr:sp>
    <xdr:clientData/>
  </xdr:twoCellAnchor>
  <xdr:twoCellAnchor editAs="absolute">
    <xdr:from>
      <xdr:col>8</xdr:col>
      <xdr:colOff>603000</xdr:colOff>
      <xdr:row>19</xdr:row>
      <xdr:rowOff>28800</xdr:rowOff>
    </xdr:from>
    <xdr:to>
      <xdr:col>9</xdr:col>
      <xdr:colOff>265320</xdr:colOff>
      <xdr:row>19</xdr:row>
      <xdr:rowOff>161640</xdr:rowOff>
    </xdr:to>
    <xdr:sp>
      <xdr:nvSpPr>
        <xdr:cNvPr id="83" name="Text 64"/>
        <xdr:cNvSpPr/>
      </xdr:nvSpPr>
      <xdr:spPr>
        <a:xfrm>
          <a:off x="7667280" y="3876840"/>
          <a:ext cx="423720" cy="13284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329.9 </a:t>
          </a:r>
          <a:endParaRPr b="0" lang="en-US" sz="800" strike="noStrike" u="none">
            <a:effectLst/>
            <a:uFillTx/>
            <a:latin typeface="Times New Roman"/>
          </a:endParaRPr>
        </a:p>
      </xdr:txBody>
    </xdr:sp>
    <xdr:clientData/>
  </xdr:twoCellAnchor>
  <xdr:twoCellAnchor editAs="absolute">
    <xdr:from>
      <xdr:col>7</xdr:col>
      <xdr:colOff>158040</xdr:colOff>
      <xdr:row>10</xdr:row>
      <xdr:rowOff>85320</xdr:rowOff>
    </xdr:from>
    <xdr:to>
      <xdr:col>9</xdr:col>
      <xdr:colOff>264960</xdr:colOff>
      <xdr:row>17</xdr:row>
      <xdr:rowOff>18360</xdr:rowOff>
    </xdr:to>
    <xdr:sp>
      <xdr:nvSpPr>
        <xdr:cNvPr id="84" name="Line 85"/>
        <xdr:cNvSpPr/>
      </xdr:nvSpPr>
      <xdr:spPr>
        <a:xfrm flipH="1" flipV="1">
          <a:off x="6460920" y="2133360"/>
          <a:ext cx="1629720" cy="1333080"/>
        </a:xfrm>
        <a:prstGeom prst="line">
          <a:avLst/>
        </a:prstGeom>
        <a:ln w="9360">
          <a:solidFill>
            <a:srgbClr val="000000"/>
          </a:solidFill>
          <a:prstDash val="dash"/>
          <a:miter/>
        </a:ln>
      </xdr:spPr>
      <xdr:style>
        <a:lnRef idx="0"/>
        <a:fillRef idx="0"/>
        <a:effectRef idx="0"/>
        <a:fontRef idx="minor"/>
      </xdr:style>
    </xdr:sp>
    <xdr:clientData/>
  </xdr:twoCellAnchor>
  <xdr:twoCellAnchor editAs="absolute">
    <xdr:from>
      <xdr:col>10</xdr:col>
      <xdr:colOff>0</xdr:colOff>
      <xdr:row>14</xdr:row>
      <xdr:rowOff>152280</xdr:rowOff>
    </xdr:from>
    <xdr:to>
      <xdr:col>10</xdr:col>
      <xdr:colOff>307080</xdr:colOff>
      <xdr:row>15</xdr:row>
      <xdr:rowOff>105120</xdr:rowOff>
    </xdr:to>
    <xdr:sp>
      <xdr:nvSpPr>
        <xdr:cNvPr id="85" name="813"/>
        <xdr:cNvSpPr/>
      </xdr:nvSpPr>
      <xdr:spPr>
        <a:xfrm>
          <a:off x="8587080" y="3000240"/>
          <a:ext cx="307080" cy="153000"/>
        </a:xfrm>
        <a:prstGeom prst="rect">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spAutoFit/>
        </a:bodyPr>
        <a:p>
          <a:pPr algn="ctr"/>
          <a:r>
            <a:rPr b="0" lang="en-US" sz="800" strike="noStrike" u="none">
              <a:effectLst/>
              <a:uFillTx/>
              <a:latin typeface="Times New Roman"/>
            </a:rPr>
            <a:t>813</a:t>
          </a:r>
          <a:endParaRPr b="0" lang="en-US" sz="800" strike="noStrike" u="none">
            <a:effectLst/>
            <a:uFillTx/>
            <a:latin typeface="Times New Roman"/>
          </a:endParaRPr>
        </a:p>
      </xdr:txBody>
    </xdr:sp>
    <xdr:clientData/>
  </xdr:twoCellAnchor>
  <xdr:twoCellAnchor editAs="absolute">
    <xdr:from>
      <xdr:col>7</xdr:col>
      <xdr:colOff>475920</xdr:colOff>
      <xdr:row>9</xdr:row>
      <xdr:rowOff>47160</xdr:rowOff>
    </xdr:from>
    <xdr:to>
      <xdr:col>9</xdr:col>
      <xdr:colOff>730080</xdr:colOff>
      <xdr:row>14</xdr:row>
      <xdr:rowOff>170640</xdr:rowOff>
    </xdr:to>
    <xdr:sp>
      <xdr:nvSpPr>
        <xdr:cNvPr id="86" name="Line 87"/>
        <xdr:cNvSpPr/>
      </xdr:nvSpPr>
      <xdr:spPr>
        <a:xfrm flipH="1" flipV="1">
          <a:off x="6778800" y="1895040"/>
          <a:ext cx="1776960" cy="1123560"/>
        </a:xfrm>
        <a:prstGeom prst="line">
          <a:avLst/>
        </a:prstGeom>
        <a:ln w="9360">
          <a:solidFill>
            <a:srgbClr val="000000"/>
          </a:solidFill>
          <a:prstDash val="dash"/>
          <a:miter/>
        </a:ln>
      </xdr:spPr>
      <xdr:style>
        <a:lnRef idx="0"/>
        <a:fillRef idx="0"/>
        <a:effectRef idx="0"/>
        <a:fontRef idx="minor"/>
      </xdr:style>
    </xdr:sp>
    <xdr:clientData/>
  </xdr:twoCellAnchor>
  <xdr:twoCellAnchor editAs="absolute">
    <xdr:from>
      <xdr:col>11</xdr:col>
      <xdr:colOff>285480</xdr:colOff>
      <xdr:row>14</xdr:row>
      <xdr:rowOff>76680</xdr:rowOff>
    </xdr:from>
    <xdr:to>
      <xdr:col>11</xdr:col>
      <xdr:colOff>592560</xdr:colOff>
      <xdr:row>15</xdr:row>
      <xdr:rowOff>29520</xdr:rowOff>
    </xdr:to>
    <xdr:sp>
      <xdr:nvSpPr>
        <xdr:cNvPr id="87" name="814"/>
        <xdr:cNvSpPr/>
      </xdr:nvSpPr>
      <xdr:spPr>
        <a:xfrm>
          <a:off x="9633960" y="2924640"/>
          <a:ext cx="307080" cy="153000"/>
        </a:xfrm>
        <a:prstGeom prst="rect">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spAutoFit/>
        </a:bodyPr>
        <a:p>
          <a:pPr algn="ctr"/>
          <a:r>
            <a:rPr b="0" lang="en-US" sz="800" strike="noStrike" u="none">
              <a:effectLst/>
              <a:uFillTx/>
              <a:latin typeface="Times New Roman"/>
            </a:rPr>
            <a:t>814</a:t>
          </a:r>
          <a:endParaRPr b="0" lang="en-US" sz="800" strike="noStrike" u="none">
            <a:effectLst/>
            <a:uFillTx/>
            <a:latin typeface="Times New Roman"/>
          </a:endParaRPr>
        </a:p>
      </xdr:txBody>
    </xdr:sp>
    <xdr:clientData/>
  </xdr:twoCellAnchor>
  <xdr:twoCellAnchor editAs="absolute">
    <xdr:from>
      <xdr:col>11</xdr:col>
      <xdr:colOff>127080</xdr:colOff>
      <xdr:row>11</xdr:row>
      <xdr:rowOff>190800</xdr:rowOff>
    </xdr:from>
    <xdr:to>
      <xdr:col>11</xdr:col>
      <xdr:colOff>635040</xdr:colOff>
      <xdr:row>12</xdr:row>
      <xdr:rowOff>143640</xdr:rowOff>
    </xdr:to>
    <xdr:sp>
      <xdr:nvSpPr>
        <xdr:cNvPr id="88" name="8141A"/>
        <xdr:cNvSpPr/>
      </xdr:nvSpPr>
      <xdr:spPr>
        <a:xfrm>
          <a:off x="9475560" y="2438640"/>
          <a:ext cx="507960" cy="153000"/>
        </a:xfrm>
        <a:prstGeom prst="rect">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spAutoFit/>
        </a:bodyPr>
        <a:p>
          <a:pPr algn="ctr"/>
          <a:r>
            <a:rPr b="0" lang="en-US" sz="800" strike="noStrike" u="none">
              <a:effectLst/>
              <a:uFillTx/>
              <a:latin typeface="Times New Roman"/>
            </a:rPr>
            <a:t>814-1A</a:t>
          </a:r>
          <a:endParaRPr b="0" lang="en-US" sz="800" strike="noStrike" u="none">
            <a:effectLst/>
            <a:uFillTx/>
            <a:latin typeface="Times New Roman"/>
          </a:endParaRPr>
        </a:p>
      </xdr:txBody>
    </xdr:sp>
    <xdr:clientData/>
  </xdr:twoCellAnchor>
  <xdr:twoCellAnchor editAs="absolute">
    <xdr:from>
      <xdr:col>8</xdr:col>
      <xdr:colOff>137160</xdr:colOff>
      <xdr:row>7</xdr:row>
      <xdr:rowOff>123480</xdr:rowOff>
    </xdr:from>
    <xdr:to>
      <xdr:col>11</xdr:col>
      <xdr:colOff>116280</xdr:colOff>
      <xdr:row>12</xdr:row>
      <xdr:rowOff>18720</xdr:rowOff>
    </xdr:to>
    <xdr:sp>
      <xdr:nvSpPr>
        <xdr:cNvPr id="89" name="Line 90"/>
        <xdr:cNvSpPr/>
      </xdr:nvSpPr>
      <xdr:spPr>
        <a:xfrm flipH="1" flipV="1">
          <a:off x="7201440" y="1552320"/>
          <a:ext cx="2263320" cy="914400"/>
        </a:xfrm>
        <a:prstGeom prst="line">
          <a:avLst/>
        </a:prstGeom>
        <a:ln w="9360">
          <a:solidFill>
            <a:srgbClr val="000000"/>
          </a:solidFill>
          <a:prstDash val="dash"/>
          <a:miter/>
        </a:ln>
      </xdr:spPr>
      <xdr:style>
        <a:lnRef idx="0"/>
        <a:fillRef idx="0"/>
        <a:effectRef idx="0"/>
        <a:fontRef idx="minor"/>
      </xdr:style>
    </xdr:sp>
    <xdr:clientData/>
  </xdr:twoCellAnchor>
  <xdr:twoCellAnchor editAs="absolute">
    <xdr:from>
      <xdr:col>4</xdr:col>
      <xdr:colOff>253080</xdr:colOff>
      <xdr:row>17</xdr:row>
      <xdr:rowOff>142560</xdr:rowOff>
    </xdr:from>
    <xdr:to>
      <xdr:col>6</xdr:col>
      <xdr:colOff>741240</xdr:colOff>
      <xdr:row>23</xdr:row>
      <xdr:rowOff>56520</xdr:rowOff>
    </xdr:to>
    <xdr:sp>
      <xdr:nvSpPr>
        <xdr:cNvPr id="90" name="Line 91"/>
        <xdr:cNvSpPr/>
      </xdr:nvSpPr>
      <xdr:spPr>
        <a:xfrm flipH="1" flipV="1">
          <a:off x="4272120" y="3590640"/>
          <a:ext cx="2010600" cy="1114200"/>
        </a:xfrm>
        <a:prstGeom prst="line">
          <a:avLst/>
        </a:prstGeom>
        <a:ln w="9360">
          <a:solidFill>
            <a:srgbClr val="000000"/>
          </a:solidFill>
          <a:prstDash val="dash"/>
          <a:miter/>
        </a:ln>
      </xdr:spPr>
      <xdr:style>
        <a:lnRef idx="0"/>
        <a:fillRef idx="0"/>
        <a:effectRef idx="0"/>
        <a:fontRef idx="minor"/>
      </xdr:style>
    </xdr:sp>
    <xdr:clientData/>
  </xdr:twoCellAnchor>
  <xdr:twoCellAnchor editAs="absolute">
    <xdr:from>
      <xdr:col>4</xdr:col>
      <xdr:colOff>74160</xdr:colOff>
      <xdr:row>30</xdr:row>
      <xdr:rowOff>114120</xdr:rowOff>
    </xdr:from>
    <xdr:to>
      <xdr:col>5</xdr:col>
      <xdr:colOff>32400</xdr:colOff>
      <xdr:row>31</xdr:row>
      <xdr:rowOff>66960</xdr:rowOff>
    </xdr:to>
    <xdr:sp>
      <xdr:nvSpPr>
        <xdr:cNvPr id="91" name="ST"/>
        <xdr:cNvSpPr/>
      </xdr:nvSpPr>
      <xdr:spPr>
        <a:xfrm>
          <a:off x="4093200" y="6162480"/>
          <a:ext cx="719640" cy="153000"/>
        </a:xfrm>
        <a:prstGeom prst="rect">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spAutoFit/>
        </a:bodyPr>
        <a:p>
          <a:pPr algn="ctr"/>
          <a:r>
            <a:rPr b="0" lang="en-US" sz="800" strike="noStrike" u="none">
              <a:effectLst/>
              <a:uFillTx/>
              <a:latin typeface="Times New Roman"/>
            </a:rPr>
            <a:t>South Texas</a:t>
          </a:r>
          <a:endParaRPr b="0" lang="en-US" sz="800" strike="noStrike" u="none">
            <a:effectLst/>
            <a:uFillTx/>
            <a:latin typeface="Times New Roman"/>
          </a:endParaRPr>
        </a:p>
      </xdr:txBody>
    </xdr:sp>
    <xdr:clientData/>
  </xdr:twoCellAnchor>
  <xdr:twoCellAnchor editAs="absolute">
    <xdr:from>
      <xdr:col>5</xdr:col>
      <xdr:colOff>84600</xdr:colOff>
      <xdr:row>26</xdr:row>
      <xdr:rowOff>38160</xdr:rowOff>
    </xdr:from>
    <xdr:to>
      <xdr:col>5</xdr:col>
      <xdr:colOff>391680</xdr:colOff>
      <xdr:row>26</xdr:row>
      <xdr:rowOff>191160</xdr:rowOff>
    </xdr:to>
    <xdr:sp>
      <xdr:nvSpPr>
        <xdr:cNvPr id="92" name="802"/>
        <xdr:cNvSpPr/>
      </xdr:nvSpPr>
      <xdr:spPr>
        <a:xfrm>
          <a:off x="4865040" y="5286600"/>
          <a:ext cx="307080" cy="153000"/>
        </a:xfrm>
        <a:prstGeom prst="rect">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spAutoFit/>
        </a:bodyPr>
        <a:p>
          <a:pPr algn="ctr"/>
          <a:r>
            <a:rPr b="0" lang="en-US" sz="800" strike="noStrike" u="none">
              <a:effectLst/>
              <a:uFillTx/>
              <a:latin typeface="Times New Roman"/>
            </a:rPr>
            <a:t>802</a:t>
          </a:r>
          <a:endParaRPr b="0" lang="en-US" sz="800" strike="noStrike" u="none">
            <a:effectLst/>
            <a:uFillTx/>
            <a:latin typeface="Times New Roman"/>
          </a:endParaRPr>
        </a:p>
      </xdr:txBody>
    </xdr:sp>
    <xdr:clientData/>
  </xdr:twoCellAnchor>
  <xdr:twoCellAnchor editAs="absolute">
    <xdr:from>
      <xdr:col>6</xdr:col>
      <xdr:colOff>127440</xdr:colOff>
      <xdr:row>24</xdr:row>
      <xdr:rowOff>190800</xdr:rowOff>
    </xdr:from>
    <xdr:to>
      <xdr:col>6</xdr:col>
      <xdr:colOff>434520</xdr:colOff>
      <xdr:row>25</xdr:row>
      <xdr:rowOff>143640</xdr:rowOff>
    </xdr:to>
    <xdr:sp>
      <xdr:nvSpPr>
        <xdr:cNvPr id="93" name="804"/>
        <xdr:cNvSpPr/>
      </xdr:nvSpPr>
      <xdr:spPr>
        <a:xfrm>
          <a:off x="5668920" y="5038920"/>
          <a:ext cx="307080" cy="153000"/>
        </a:xfrm>
        <a:prstGeom prst="rect">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spAutoFit/>
        </a:bodyPr>
        <a:p>
          <a:pPr algn="ctr"/>
          <a:r>
            <a:rPr b="0" lang="en-US" sz="800" strike="noStrike" u="none">
              <a:effectLst/>
              <a:uFillTx/>
              <a:latin typeface="Times New Roman"/>
            </a:rPr>
            <a:t>804</a:t>
          </a:r>
          <a:endParaRPr b="0" lang="en-US" sz="800" strike="noStrike" u="none">
            <a:effectLst/>
            <a:uFillTx/>
            <a:latin typeface="Times New Roman"/>
          </a:endParaRPr>
        </a:p>
      </xdr:txBody>
    </xdr:sp>
    <xdr:clientData/>
  </xdr:twoCellAnchor>
  <xdr:twoCellAnchor editAs="absolute">
    <xdr:from>
      <xdr:col>7</xdr:col>
      <xdr:colOff>0</xdr:colOff>
      <xdr:row>23</xdr:row>
      <xdr:rowOff>66240</xdr:rowOff>
    </xdr:from>
    <xdr:to>
      <xdr:col>7</xdr:col>
      <xdr:colOff>307080</xdr:colOff>
      <xdr:row>24</xdr:row>
      <xdr:rowOff>19440</xdr:rowOff>
    </xdr:to>
    <xdr:sp>
      <xdr:nvSpPr>
        <xdr:cNvPr id="94" name="806"/>
        <xdr:cNvSpPr/>
      </xdr:nvSpPr>
      <xdr:spPr>
        <a:xfrm>
          <a:off x="6302880" y="4714560"/>
          <a:ext cx="307080" cy="153000"/>
        </a:xfrm>
        <a:prstGeom prst="rect">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spAutoFit/>
        </a:bodyPr>
        <a:p>
          <a:pPr algn="ctr"/>
          <a:r>
            <a:rPr b="0" lang="en-US" sz="800" strike="noStrike" u="none">
              <a:effectLst/>
              <a:uFillTx/>
              <a:latin typeface="Times New Roman"/>
            </a:rPr>
            <a:t>806</a:t>
          </a:r>
          <a:endParaRPr b="0" lang="en-US" sz="800" strike="noStrike" u="none">
            <a:effectLst/>
            <a:uFillTx/>
            <a:latin typeface="Times New Roman"/>
          </a:endParaRPr>
        </a:p>
      </xdr:txBody>
    </xdr:sp>
    <xdr:clientData/>
  </xdr:twoCellAnchor>
  <xdr:twoCellAnchor editAs="absolute">
    <xdr:from>
      <xdr:col>8</xdr:col>
      <xdr:colOff>676800</xdr:colOff>
      <xdr:row>19</xdr:row>
      <xdr:rowOff>190800</xdr:rowOff>
    </xdr:from>
    <xdr:to>
      <xdr:col>9</xdr:col>
      <xdr:colOff>223200</xdr:colOff>
      <xdr:row>20</xdr:row>
      <xdr:rowOff>143640</xdr:rowOff>
    </xdr:to>
    <xdr:sp>
      <xdr:nvSpPr>
        <xdr:cNvPr id="95" name="809"/>
        <xdr:cNvSpPr/>
      </xdr:nvSpPr>
      <xdr:spPr>
        <a:xfrm>
          <a:off x="7741080" y="4038840"/>
          <a:ext cx="307800" cy="153000"/>
        </a:xfrm>
        <a:prstGeom prst="rect">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spAutoFit/>
        </a:bodyPr>
        <a:p>
          <a:pPr algn="ctr"/>
          <a:r>
            <a:rPr b="0" lang="en-US" sz="800" strike="noStrike" u="none">
              <a:effectLst/>
              <a:uFillTx/>
              <a:latin typeface="Times New Roman"/>
            </a:rPr>
            <a:t>809</a:t>
          </a:r>
          <a:endParaRPr b="0" lang="en-US" sz="800" strike="noStrike" u="none">
            <a:effectLst/>
            <a:uFillTx/>
            <a:latin typeface="Times New Roman"/>
          </a:endParaRPr>
        </a:p>
      </xdr:txBody>
    </xdr:sp>
    <xdr:clientData/>
  </xdr:twoCellAnchor>
  <xdr:twoCellAnchor editAs="absolute">
    <xdr:from>
      <xdr:col>9</xdr:col>
      <xdr:colOff>253440</xdr:colOff>
      <xdr:row>17</xdr:row>
      <xdr:rowOff>0</xdr:rowOff>
    </xdr:from>
    <xdr:to>
      <xdr:col>9</xdr:col>
      <xdr:colOff>719640</xdr:colOff>
      <xdr:row>17</xdr:row>
      <xdr:rowOff>153000</xdr:rowOff>
    </xdr:to>
    <xdr:sp>
      <xdr:nvSpPr>
        <xdr:cNvPr id="96" name="812"/>
        <xdr:cNvSpPr/>
      </xdr:nvSpPr>
      <xdr:spPr>
        <a:xfrm>
          <a:off x="8079120" y="3448080"/>
          <a:ext cx="466200" cy="153000"/>
        </a:xfrm>
        <a:prstGeom prst="rect">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spAutoFit/>
        </a:bodyPr>
        <a:p>
          <a:pPr algn="ctr"/>
          <a:r>
            <a:rPr b="0" lang="en-US" sz="800" strike="noStrike" u="none">
              <a:effectLst/>
              <a:uFillTx/>
              <a:latin typeface="Times New Roman"/>
            </a:rPr>
            <a:t>8121A</a:t>
          </a:r>
          <a:endParaRPr b="0" lang="en-US" sz="800" strike="noStrike" u="none">
            <a:effectLst/>
            <a:uFillTx/>
            <a:latin typeface="Times New Roman"/>
          </a:endParaRPr>
        </a:p>
      </xdr:txBody>
    </xdr:sp>
    <xdr:clientData/>
  </xdr:twoCellAnchor>
  <xdr:twoCellAnchor editAs="absolute">
    <xdr:from>
      <xdr:col>6</xdr:col>
      <xdr:colOff>550440</xdr:colOff>
      <xdr:row>11</xdr:row>
      <xdr:rowOff>123480</xdr:rowOff>
    </xdr:from>
    <xdr:to>
      <xdr:col>6</xdr:col>
      <xdr:colOff>667080</xdr:colOff>
      <xdr:row>12</xdr:row>
      <xdr:rowOff>142920</xdr:rowOff>
    </xdr:to>
    <xdr:sp>
      <xdr:nvSpPr>
        <xdr:cNvPr id="97" name="Line 98"/>
        <xdr:cNvSpPr/>
      </xdr:nvSpPr>
      <xdr:spPr>
        <a:xfrm>
          <a:off x="6091920" y="2371320"/>
          <a:ext cx="116640" cy="21960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absolute">
    <xdr:from>
      <xdr:col>4</xdr:col>
      <xdr:colOff>507600</xdr:colOff>
      <xdr:row>7</xdr:row>
      <xdr:rowOff>85680</xdr:rowOff>
    </xdr:from>
    <xdr:to>
      <xdr:col>5</xdr:col>
      <xdr:colOff>550800</xdr:colOff>
      <xdr:row>8</xdr:row>
      <xdr:rowOff>66240</xdr:rowOff>
    </xdr:to>
    <xdr:sp>
      <xdr:nvSpPr>
        <xdr:cNvPr id="98" name="16088"/>
        <xdr:cNvSpPr/>
      </xdr:nvSpPr>
      <xdr:spPr>
        <a:xfrm>
          <a:off x="4526640" y="1514520"/>
          <a:ext cx="804600" cy="190080"/>
        </a:xfrm>
        <a:prstGeom prst="roundRect">
          <a:avLst>
            <a:gd name="adj" fmla="val 50000"/>
          </a:avLst>
        </a:prstGeom>
        <a:solidFill>
          <a:srgbClr val="ffffff">
            <a:alpha val="50000"/>
          </a:srgbClr>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Dow Julliff</a:t>
          </a:r>
          <a:endParaRPr b="0" lang="en-US" sz="800" strike="noStrike" u="none">
            <a:effectLst/>
            <a:uFillTx/>
            <a:latin typeface="Times New Roman"/>
          </a:endParaRPr>
        </a:p>
      </xdr:txBody>
    </xdr:sp>
    <xdr:clientData/>
  </xdr:twoCellAnchor>
  <xdr:twoCellAnchor editAs="absolute">
    <xdr:from>
      <xdr:col>7</xdr:col>
      <xdr:colOff>370440</xdr:colOff>
      <xdr:row>1</xdr:row>
      <xdr:rowOff>9720</xdr:rowOff>
    </xdr:from>
    <xdr:to>
      <xdr:col>8</xdr:col>
      <xdr:colOff>328680</xdr:colOff>
      <xdr:row>1</xdr:row>
      <xdr:rowOff>180720</xdr:rowOff>
    </xdr:to>
    <xdr:sp>
      <xdr:nvSpPr>
        <xdr:cNvPr id="99" name="16297"/>
        <xdr:cNvSpPr/>
      </xdr:nvSpPr>
      <xdr:spPr>
        <a:xfrm>
          <a:off x="6673320" y="209880"/>
          <a:ext cx="719640" cy="171000"/>
        </a:xfrm>
        <a:prstGeom prst="rect">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Moss Bluff</a:t>
          </a:r>
          <a:endParaRPr b="0" lang="en-US" sz="800" strike="noStrike" u="none">
            <a:effectLst/>
            <a:uFillTx/>
            <a:latin typeface="Times New Roman"/>
          </a:endParaRPr>
        </a:p>
      </xdr:txBody>
    </xdr:sp>
    <xdr:clientData/>
  </xdr:twoCellAnchor>
  <xdr:twoCellAnchor editAs="absolute">
    <xdr:from>
      <xdr:col>8</xdr:col>
      <xdr:colOff>295920</xdr:colOff>
      <xdr:row>2</xdr:row>
      <xdr:rowOff>85680</xdr:rowOff>
    </xdr:from>
    <xdr:to>
      <xdr:col>8</xdr:col>
      <xdr:colOff>635040</xdr:colOff>
      <xdr:row>5</xdr:row>
      <xdr:rowOff>190440</xdr:rowOff>
    </xdr:to>
    <xdr:sp>
      <xdr:nvSpPr>
        <xdr:cNvPr id="100" name="MBIN"/>
        <xdr:cNvSpPr/>
      </xdr:nvSpPr>
      <xdr:spPr>
        <a:xfrm>
          <a:off x="7360200" y="495360"/>
          <a:ext cx="339120" cy="723960"/>
        </a:xfrm>
        <a:prstGeom prst="line">
          <a:avLst/>
        </a:prstGeom>
        <a:ln w="0">
          <a:solidFill>
            <a:srgbClr val="ff0000"/>
          </a:solidFill>
          <a:tailEnd len="med" type="triangle" w="med"/>
        </a:ln>
      </xdr:spPr>
      <xdr:style>
        <a:lnRef idx="0"/>
        <a:fillRef idx="0"/>
        <a:effectRef idx="0"/>
        <a:fontRef idx="minor"/>
      </xdr:style>
    </xdr:sp>
    <xdr:clientData/>
  </xdr:twoCellAnchor>
  <xdr:twoCellAnchor editAs="absolute">
    <xdr:from>
      <xdr:col>8</xdr:col>
      <xdr:colOff>52560</xdr:colOff>
      <xdr:row>1</xdr:row>
      <xdr:rowOff>190440</xdr:rowOff>
    </xdr:from>
    <xdr:to>
      <xdr:col>8</xdr:col>
      <xdr:colOff>677160</xdr:colOff>
      <xdr:row>5</xdr:row>
      <xdr:rowOff>152280</xdr:rowOff>
    </xdr:to>
    <xdr:sp>
      <xdr:nvSpPr>
        <xdr:cNvPr id="101" name="MBOUT"/>
        <xdr:cNvSpPr/>
      </xdr:nvSpPr>
      <xdr:spPr>
        <a:xfrm flipH="1" flipV="1">
          <a:off x="7116840" y="390600"/>
          <a:ext cx="624600" cy="790560"/>
        </a:xfrm>
        <a:prstGeom prst="line">
          <a:avLst/>
        </a:prstGeom>
        <a:ln w="0">
          <a:solidFill>
            <a:srgbClr val="008000"/>
          </a:solidFill>
          <a:tailEnd len="med" type="triangle" w="med"/>
        </a:ln>
      </xdr:spPr>
      <xdr:style>
        <a:lnRef idx="0"/>
        <a:fillRef idx="0"/>
        <a:effectRef idx="0"/>
        <a:fontRef idx="minor"/>
      </xdr:style>
    </xdr:sp>
    <xdr:clientData/>
  </xdr:twoCellAnchor>
  <xdr:twoCellAnchor editAs="absolute">
    <xdr:from>
      <xdr:col>0</xdr:col>
      <xdr:colOff>0</xdr:colOff>
      <xdr:row>0</xdr:row>
      <xdr:rowOff>0</xdr:rowOff>
    </xdr:from>
    <xdr:to>
      <xdr:col>1</xdr:col>
      <xdr:colOff>751680</xdr:colOff>
      <xdr:row>2</xdr:row>
      <xdr:rowOff>9360</xdr:rowOff>
    </xdr:to>
    <xdr:pic>
      <xdr:nvPicPr>
        <xdr:cNvPr id="102" name="Picture 98" descr=""/>
        <xdr:cNvPicPr/>
      </xdr:nvPicPr>
      <xdr:blipFill>
        <a:blip r:embed="rId1"/>
        <a:stretch/>
      </xdr:blipFill>
      <xdr:spPr>
        <a:xfrm>
          <a:off x="0" y="0"/>
          <a:ext cx="2401920" cy="419040"/>
        </a:xfrm>
        <a:prstGeom prst="rect">
          <a:avLst/>
        </a:prstGeom>
        <a:solidFill>
          <a:srgbClr val="ffffff"/>
        </a:solidFill>
        <a:ln w="9360">
          <a:solidFill>
            <a:srgbClr val="000000"/>
          </a:solidFill>
          <a:miter/>
        </a:ln>
        <a:effectLst>
          <a:outerShdw dist="17819" dir="2700000" blurRad="0" rotWithShape="0">
            <a:srgbClr val="000000"/>
          </a:outerShdw>
        </a:effectLst>
      </xdr:spPr>
    </xdr:pic>
    <xdr:clientData/>
  </xdr:twoCellAnchor>
  <xdr:twoCellAnchor editAs="absolute">
    <xdr:from>
      <xdr:col>0</xdr:col>
      <xdr:colOff>0</xdr:colOff>
      <xdr:row>2</xdr:row>
      <xdr:rowOff>47520</xdr:rowOff>
    </xdr:from>
    <xdr:to>
      <xdr:col>1</xdr:col>
      <xdr:colOff>751680</xdr:colOff>
      <xdr:row>3</xdr:row>
      <xdr:rowOff>104760</xdr:rowOff>
    </xdr:to>
    <xdr:sp>
      <xdr:nvSpPr>
        <xdr:cNvPr id="103" name="Text 99"/>
        <xdr:cNvSpPr/>
      </xdr:nvSpPr>
      <xdr:spPr>
        <a:xfrm>
          <a:off x="0" y="457200"/>
          <a:ext cx="2401920" cy="257040"/>
        </a:xfrm>
        <a:prstGeom prst="rect">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1" lang="en-US" sz="1400" strike="noStrike" u="none">
              <a:effectLst/>
              <a:uFillTx/>
              <a:latin typeface="Times New Roman"/>
            </a:rPr>
            <a:t>Channel A/S Pipeline</a:t>
          </a:r>
          <a:endParaRPr b="0" lang="en-US" sz="1400" strike="noStrike" u="none">
            <a:effectLst/>
            <a:uFillTx/>
            <a:latin typeface="Times New Roman"/>
          </a:endParaRPr>
        </a:p>
      </xdr:txBody>
    </xdr:sp>
    <xdr:clientData/>
  </xdr:twoCellAnchor>
  <xdr:twoCellAnchor editAs="absolute">
    <xdr:from>
      <xdr:col>8</xdr:col>
      <xdr:colOff>285480</xdr:colOff>
      <xdr:row>24</xdr:row>
      <xdr:rowOff>9360</xdr:rowOff>
    </xdr:from>
    <xdr:to>
      <xdr:col>11</xdr:col>
      <xdr:colOff>223200</xdr:colOff>
      <xdr:row>26</xdr:row>
      <xdr:rowOff>56880</xdr:rowOff>
    </xdr:to>
    <xdr:sp>
      <xdr:nvSpPr>
        <xdr:cNvPr id="104" name="Text 100"/>
        <xdr:cNvSpPr/>
      </xdr:nvSpPr>
      <xdr:spPr>
        <a:xfrm>
          <a:off x="7349760" y="4857480"/>
          <a:ext cx="2221920" cy="447840"/>
        </a:xfrm>
        <a:prstGeom prst="rect">
          <a:avLst/>
        </a:prstGeom>
        <a:noFill/>
        <a:ln w="0">
          <a:noFill/>
        </a:ln>
      </xdr:spPr>
      <xdr:style>
        <a:lnRef idx="0"/>
        <a:fillRef idx="0"/>
        <a:effectRef idx="0"/>
        <a:fontRef idx="minor"/>
      </xdr:style>
      <xdr:txBody>
        <a:bodyPr lIns="20160" rIns="20160" tIns="20160" bIns="20160" anchor="ctr">
          <a:noAutofit/>
        </a:bodyPr>
        <a:p>
          <a:r>
            <a:rPr b="1" i="1" lang="en-US" sz="2200" strike="noStrike" u="none">
              <a:effectLst/>
              <a:uFillTx/>
              <a:latin typeface="Times New Roman"/>
            </a:rPr>
            <a:t>Gulf of Mexico</a:t>
          </a:r>
          <a:endParaRPr b="0" lang="en-US" sz="2200" strike="noStrike" u="none">
            <a:effectLst/>
            <a:uFillTx/>
            <a:latin typeface="Times New Roman"/>
          </a:endParaRPr>
        </a:p>
      </xdr:txBody>
    </xdr:sp>
    <xdr:clientData/>
  </xdr:twoCellAnchor>
  <xdr:twoCellAnchor editAs="absolute">
    <xdr:from>
      <xdr:col>0</xdr:col>
      <xdr:colOff>370800</xdr:colOff>
      <xdr:row>22</xdr:row>
      <xdr:rowOff>95400</xdr:rowOff>
    </xdr:from>
    <xdr:to>
      <xdr:col>0</xdr:col>
      <xdr:colOff>1091160</xdr:colOff>
      <xdr:row>23</xdr:row>
      <xdr:rowOff>85680</xdr:rowOff>
    </xdr:to>
    <xdr:sp>
      <xdr:nvSpPr>
        <xdr:cNvPr id="105" name="26081"/>
        <xdr:cNvSpPr/>
      </xdr:nvSpPr>
      <xdr:spPr>
        <a:xfrm>
          <a:off x="370800" y="4543560"/>
          <a:ext cx="720360" cy="190440"/>
        </a:xfrm>
        <a:prstGeom prst="roundRect">
          <a:avLst>
            <a:gd name="adj" fmla="val 50000"/>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TGP A-D</a:t>
          </a:r>
          <a:endParaRPr b="0" lang="en-US" sz="800" strike="noStrike" u="none">
            <a:effectLst/>
            <a:uFillTx/>
            <a:latin typeface="Times New Roman"/>
          </a:endParaRPr>
        </a:p>
      </xdr:txBody>
    </xdr:sp>
    <xdr:clientData/>
  </xdr:twoCellAnchor>
  <xdr:twoCellAnchor editAs="absolute">
    <xdr:from>
      <xdr:col>0</xdr:col>
      <xdr:colOff>1047600</xdr:colOff>
      <xdr:row>22</xdr:row>
      <xdr:rowOff>123480</xdr:rowOff>
    </xdr:from>
    <xdr:to>
      <xdr:col>0</xdr:col>
      <xdr:colOff>1450440</xdr:colOff>
      <xdr:row>23</xdr:row>
      <xdr:rowOff>66240</xdr:rowOff>
    </xdr:to>
    <xdr:sp>
      <xdr:nvSpPr>
        <xdr:cNvPr id="106" name="PSAD"/>
        <xdr:cNvSpPr/>
      </xdr:nvSpPr>
      <xdr:spPr>
        <a:xfrm>
          <a:off x="1047600" y="4571640"/>
          <a:ext cx="402840" cy="142920"/>
        </a:xfrm>
        <a:prstGeom prst="rect">
          <a:avLst/>
        </a:prstGeom>
        <a:noFill/>
        <a:ln w="0">
          <a:noFill/>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1" lang="en-US" sz="800" strike="noStrike" u="none">
              <a:solidFill>
                <a:srgbClr val="008000"/>
              </a:solidFill>
              <a:effectLst/>
              <a:uFillTx/>
              <a:latin typeface="Times New Roman"/>
            </a:rPr>
            <a:t> 824 </a:t>
          </a:r>
          <a:endParaRPr b="0" lang="en-US" sz="800" strike="noStrike" u="none">
            <a:effectLst/>
            <a:uFillTx/>
            <a:latin typeface="Times New Roman"/>
          </a:endParaRPr>
        </a:p>
      </xdr:txBody>
    </xdr:sp>
    <xdr:clientData/>
  </xdr:twoCellAnchor>
  <xdr:twoCellAnchor editAs="absolute">
    <xdr:from>
      <xdr:col>5</xdr:col>
      <xdr:colOff>338040</xdr:colOff>
      <xdr:row>26</xdr:row>
      <xdr:rowOff>38160</xdr:rowOff>
    </xdr:from>
    <xdr:to>
      <xdr:col>5</xdr:col>
      <xdr:colOff>751680</xdr:colOff>
      <xdr:row>26</xdr:row>
      <xdr:rowOff>190440</xdr:rowOff>
    </xdr:to>
    <xdr:sp>
      <xdr:nvSpPr>
        <xdr:cNvPr id="107" name="p802d"/>
        <xdr:cNvSpPr/>
      </xdr:nvSpPr>
      <xdr:spPr>
        <a:xfrm>
          <a:off x="5118480" y="5286600"/>
          <a:ext cx="413640" cy="152280"/>
        </a:xfrm>
        <a:prstGeom prst="rect">
          <a:avLst/>
        </a:prstGeom>
        <a:noFill/>
        <a:ln w="0">
          <a:noFill/>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1" lang="en-US" sz="800" strike="noStrike" u="none">
              <a:solidFill>
                <a:srgbClr val="008000"/>
              </a:solidFill>
              <a:effectLst/>
              <a:uFillTx/>
              <a:latin typeface="Times New Roman"/>
            </a:rPr>
            <a:t> 787 </a:t>
          </a:r>
          <a:endParaRPr b="0" lang="en-US" sz="800" strike="noStrike" u="none">
            <a:effectLst/>
            <a:uFillTx/>
            <a:latin typeface="Times New Roman"/>
          </a:endParaRPr>
        </a:p>
      </xdr:txBody>
    </xdr:sp>
    <xdr:clientData/>
  </xdr:twoCellAnchor>
  <xdr:twoCellAnchor editAs="oneCell">
    <xdr:from>
      <xdr:col>7</xdr:col>
      <xdr:colOff>264960</xdr:colOff>
      <xdr:row>23</xdr:row>
      <xdr:rowOff>56880</xdr:rowOff>
    </xdr:from>
    <xdr:to>
      <xdr:col>7</xdr:col>
      <xdr:colOff>677520</xdr:colOff>
      <xdr:row>24</xdr:row>
      <xdr:rowOff>9360</xdr:rowOff>
    </xdr:to>
    <xdr:sp>
      <xdr:nvSpPr>
        <xdr:cNvPr id="108" name="p806d"/>
        <xdr:cNvSpPr/>
      </xdr:nvSpPr>
      <xdr:spPr>
        <a:xfrm>
          <a:off x="6567840" y="4705200"/>
          <a:ext cx="412560" cy="152280"/>
        </a:xfrm>
        <a:prstGeom prst="rect">
          <a:avLst/>
        </a:prstGeom>
        <a:noFill/>
        <a:ln w="0">
          <a:noFill/>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1" lang="en-US" sz="800" strike="noStrike" u="none">
              <a:solidFill>
                <a:srgbClr val="008000"/>
              </a:solidFill>
              <a:effectLst/>
              <a:uFillTx/>
              <a:latin typeface="Times New Roman"/>
            </a:rPr>
            <a:t> 889 </a:t>
          </a:r>
          <a:endParaRPr b="0" lang="en-US" sz="800" strike="noStrike" u="none">
            <a:effectLst/>
            <a:uFillTx/>
            <a:latin typeface="Times New Roman"/>
          </a:endParaRPr>
        </a:p>
      </xdr:txBody>
    </xdr:sp>
    <xdr:clientData/>
  </xdr:twoCellAnchor>
  <xdr:twoCellAnchor editAs="absolute">
    <xdr:from>
      <xdr:col>6</xdr:col>
      <xdr:colOff>338400</xdr:colOff>
      <xdr:row>23</xdr:row>
      <xdr:rowOff>56880</xdr:rowOff>
    </xdr:from>
    <xdr:to>
      <xdr:col>7</xdr:col>
      <xdr:colOff>720</xdr:colOff>
      <xdr:row>23</xdr:row>
      <xdr:rowOff>199800</xdr:rowOff>
    </xdr:to>
    <xdr:sp>
      <xdr:nvSpPr>
        <xdr:cNvPr id="109" name="p806s"/>
        <xdr:cNvSpPr/>
      </xdr:nvSpPr>
      <xdr:spPr>
        <a:xfrm>
          <a:off x="5879880" y="4705200"/>
          <a:ext cx="423720" cy="142920"/>
        </a:xfrm>
        <a:prstGeom prst="rect">
          <a:avLst/>
        </a:prstGeom>
        <a:noFill/>
        <a:ln w="0">
          <a:noFill/>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1" lang="en-US" sz="800" strike="noStrike" u="none">
              <a:solidFill>
                <a:srgbClr val="008000"/>
              </a:solidFill>
              <a:effectLst/>
              <a:uFillTx/>
              <a:latin typeface="Times New Roman"/>
            </a:rPr>
            <a:t> 700 </a:t>
          </a:r>
          <a:endParaRPr b="0" lang="en-US" sz="800" strike="noStrike" u="none">
            <a:effectLst/>
            <a:uFillTx/>
            <a:latin typeface="Times New Roman"/>
          </a:endParaRPr>
        </a:p>
      </xdr:txBody>
    </xdr:sp>
    <xdr:clientData/>
  </xdr:twoCellAnchor>
  <xdr:twoCellAnchor editAs="absolute">
    <xdr:from>
      <xdr:col>8</xdr:col>
      <xdr:colOff>285480</xdr:colOff>
      <xdr:row>19</xdr:row>
      <xdr:rowOff>161640</xdr:rowOff>
    </xdr:from>
    <xdr:to>
      <xdr:col>8</xdr:col>
      <xdr:colOff>720000</xdr:colOff>
      <xdr:row>20</xdr:row>
      <xdr:rowOff>114120</xdr:rowOff>
    </xdr:to>
    <xdr:sp>
      <xdr:nvSpPr>
        <xdr:cNvPr id="110" name="p809s"/>
        <xdr:cNvSpPr/>
      </xdr:nvSpPr>
      <xdr:spPr>
        <a:xfrm>
          <a:off x="7349760" y="4009680"/>
          <a:ext cx="434520" cy="152640"/>
        </a:xfrm>
        <a:prstGeom prst="rect">
          <a:avLst/>
        </a:prstGeom>
        <a:noFill/>
        <a:ln w="0">
          <a:noFill/>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1" lang="en-US" sz="800" strike="noStrike" u="none">
              <a:solidFill>
                <a:srgbClr val="008000"/>
              </a:solidFill>
              <a:effectLst/>
              <a:uFillTx/>
              <a:latin typeface="Times New Roman"/>
            </a:rPr>
            <a:t> 806 </a:t>
          </a:r>
          <a:endParaRPr b="0" lang="en-US" sz="800" strike="noStrike" u="none">
            <a:effectLst/>
            <a:uFillTx/>
            <a:latin typeface="Times New Roman"/>
          </a:endParaRPr>
        </a:p>
      </xdr:txBody>
    </xdr:sp>
    <xdr:clientData/>
  </xdr:twoCellAnchor>
  <xdr:twoCellAnchor editAs="absolute">
    <xdr:from>
      <xdr:col>9</xdr:col>
      <xdr:colOff>222480</xdr:colOff>
      <xdr:row>19</xdr:row>
      <xdr:rowOff>190800</xdr:rowOff>
    </xdr:from>
    <xdr:to>
      <xdr:col>9</xdr:col>
      <xdr:colOff>614160</xdr:colOff>
      <xdr:row>20</xdr:row>
      <xdr:rowOff>142920</xdr:rowOff>
    </xdr:to>
    <xdr:sp>
      <xdr:nvSpPr>
        <xdr:cNvPr id="111" name="p809d"/>
        <xdr:cNvSpPr/>
      </xdr:nvSpPr>
      <xdr:spPr>
        <a:xfrm>
          <a:off x="8048160" y="4038840"/>
          <a:ext cx="391680" cy="152280"/>
        </a:xfrm>
        <a:prstGeom prst="rect">
          <a:avLst/>
        </a:prstGeom>
        <a:noFill/>
        <a:ln w="0">
          <a:noFill/>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800" strike="noStrike" u="none">
              <a:solidFill>
                <a:srgbClr val="008000"/>
              </a:solidFill>
              <a:effectLst/>
              <a:uFillTx/>
              <a:latin typeface="Times New Roman"/>
            </a:rPr>
            <a:t> 804 </a:t>
          </a:r>
          <a:endParaRPr b="0" lang="en-US" sz="800" strike="noStrike" u="none">
            <a:effectLst/>
            <a:uFillTx/>
            <a:latin typeface="Times New Roman"/>
          </a:endParaRPr>
        </a:p>
      </xdr:txBody>
    </xdr:sp>
    <xdr:clientData/>
  </xdr:twoCellAnchor>
  <xdr:twoCellAnchor editAs="absolute">
    <xdr:from>
      <xdr:col>10</xdr:col>
      <xdr:colOff>264600</xdr:colOff>
      <xdr:row>14</xdr:row>
      <xdr:rowOff>171000</xdr:rowOff>
    </xdr:from>
    <xdr:to>
      <xdr:col>10</xdr:col>
      <xdr:colOff>667080</xdr:colOff>
      <xdr:row>15</xdr:row>
      <xdr:rowOff>171000</xdr:rowOff>
    </xdr:to>
    <xdr:sp>
      <xdr:nvSpPr>
        <xdr:cNvPr id="112" name="p813d"/>
        <xdr:cNvSpPr/>
      </xdr:nvSpPr>
      <xdr:spPr>
        <a:xfrm>
          <a:off x="8851680" y="3018960"/>
          <a:ext cx="402480" cy="200160"/>
        </a:xfrm>
        <a:prstGeom prst="rect">
          <a:avLst/>
        </a:prstGeom>
        <a:noFill/>
        <a:ln w="0">
          <a:noFill/>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1" lang="en-US" sz="800" strike="noStrike" u="none">
              <a:solidFill>
                <a:srgbClr val="008000"/>
              </a:solidFill>
              <a:effectLst/>
              <a:uFillTx/>
              <a:latin typeface="Times New Roman"/>
            </a:rPr>
            <a:t> 704 </a:t>
          </a:r>
          <a:endParaRPr b="0" lang="en-US" sz="800" strike="noStrike" u="none">
            <a:effectLst/>
            <a:uFillTx/>
            <a:latin typeface="Times New Roman"/>
          </a:endParaRPr>
        </a:p>
      </xdr:txBody>
    </xdr:sp>
    <xdr:clientData/>
  </xdr:twoCellAnchor>
  <xdr:twoCellAnchor editAs="absolute">
    <xdr:from>
      <xdr:col>10</xdr:col>
      <xdr:colOff>465480</xdr:colOff>
      <xdr:row>12</xdr:row>
      <xdr:rowOff>28800</xdr:rowOff>
    </xdr:from>
    <xdr:to>
      <xdr:col>11</xdr:col>
      <xdr:colOff>127800</xdr:colOff>
      <xdr:row>12</xdr:row>
      <xdr:rowOff>181080</xdr:rowOff>
    </xdr:to>
    <xdr:sp>
      <xdr:nvSpPr>
        <xdr:cNvPr id="113" name="LomaxP"/>
        <xdr:cNvSpPr/>
      </xdr:nvSpPr>
      <xdr:spPr>
        <a:xfrm>
          <a:off x="9052560" y="2476800"/>
          <a:ext cx="423720" cy="152280"/>
        </a:xfrm>
        <a:prstGeom prst="rect">
          <a:avLst/>
        </a:prstGeom>
        <a:noFill/>
        <a:ln w="0">
          <a:noFill/>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1" lang="en-US" sz="800" strike="noStrike" u="none">
              <a:solidFill>
                <a:srgbClr val="008000"/>
              </a:solidFill>
              <a:effectLst/>
              <a:uFillTx/>
              <a:latin typeface="Times New Roman"/>
            </a:rPr>
            <a:t> 633 </a:t>
          </a:r>
          <a:endParaRPr b="0" lang="en-US" sz="800" strike="noStrike" u="none">
            <a:effectLst/>
            <a:uFillTx/>
            <a:latin typeface="Times New Roman"/>
          </a:endParaRPr>
        </a:p>
      </xdr:txBody>
    </xdr:sp>
    <xdr:clientData/>
  </xdr:twoCellAnchor>
  <xdr:twoCellAnchor editAs="absolute">
    <xdr:from>
      <xdr:col>7</xdr:col>
      <xdr:colOff>412920</xdr:colOff>
      <xdr:row>19</xdr:row>
      <xdr:rowOff>57240</xdr:rowOff>
    </xdr:from>
    <xdr:to>
      <xdr:col>8</xdr:col>
      <xdr:colOff>106560</xdr:colOff>
      <xdr:row>20</xdr:row>
      <xdr:rowOff>18720</xdr:rowOff>
    </xdr:to>
    <xdr:sp>
      <xdr:nvSpPr>
        <xdr:cNvPr id="114" name="PBLESSd"/>
        <xdr:cNvSpPr/>
      </xdr:nvSpPr>
      <xdr:spPr>
        <a:xfrm>
          <a:off x="6715800" y="3905280"/>
          <a:ext cx="455040" cy="161640"/>
        </a:xfrm>
        <a:prstGeom prst="rect">
          <a:avLst/>
        </a:prstGeom>
        <a:noFill/>
        <a:ln w="0">
          <a:noFill/>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1" lang="en-US" sz="800" strike="noStrike" u="none">
              <a:solidFill>
                <a:srgbClr val="ff0000"/>
              </a:solidFill>
              <a:effectLst/>
              <a:uFillTx/>
              <a:latin typeface="Times New Roman"/>
            </a:rPr>
            <a:t> 843 </a:t>
          </a:r>
          <a:endParaRPr b="0" lang="en-US" sz="800" strike="noStrike" u="none">
            <a:effectLst/>
            <a:uFillTx/>
            <a:latin typeface="Times New Roman"/>
          </a:endParaRPr>
        </a:p>
      </xdr:txBody>
    </xdr:sp>
    <xdr:clientData/>
  </xdr:twoCellAnchor>
  <xdr:twoCellAnchor editAs="absolute">
    <xdr:from>
      <xdr:col>0</xdr:col>
      <xdr:colOff>635040</xdr:colOff>
      <xdr:row>31</xdr:row>
      <xdr:rowOff>180360</xdr:rowOff>
    </xdr:from>
    <xdr:to>
      <xdr:col>1</xdr:col>
      <xdr:colOff>1080</xdr:colOff>
      <xdr:row>32</xdr:row>
      <xdr:rowOff>170640</xdr:rowOff>
    </xdr:to>
    <xdr:sp>
      <xdr:nvSpPr>
        <xdr:cNvPr id="115" name="16127"/>
        <xdr:cNvSpPr/>
      </xdr:nvSpPr>
      <xdr:spPr>
        <a:xfrm flipV="1">
          <a:off x="635040" y="6428520"/>
          <a:ext cx="1016280" cy="199800"/>
        </a:xfrm>
        <a:prstGeom prst="roundRect">
          <a:avLst>
            <a:gd name="adj" fmla="val 50000"/>
          </a:avLst>
        </a:prstGeom>
        <a:solidFill>
          <a:srgbClr val="ffffff">
            <a:alpha val="50000"/>
          </a:srgbClr>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Mobil La Gloria</a:t>
          </a:r>
          <a:endParaRPr b="0" lang="en-US" sz="800" strike="noStrike" u="none">
            <a:effectLst/>
            <a:uFillTx/>
            <a:latin typeface="Times New Roman"/>
          </a:endParaRPr>
        </a:p>
      </xdr:txBody>
    </xdr:sp>
    <xdr:clientData/>
  </xdr:twoCellAnchor>
  <xdr:twoCellAnchor editAs="absolute">
    <xdr:from>
      <xdr:col>0</xdr:col>
      <xdr:colOff>878400</xdr:colOff>
      <xdr:row>31</xdr:row>
      <xdr:rowOff>18360</xdr:rowOff>
    </xdr:from>
    <xdr:to>
      <xdr:col>0</xdr:col>
      <xdr:colOff>1239480</xdr:colOff>
      <xdr:row>31</xdr:row>
      <xdr:rowOff>151920</xdr:rowOff>
    </xdr:to>
    <xdr:sp>
      <xdr:nvSpPr>
        <xdr:cNvPr id="116" name="Text 30"/>
        <xdr:cNvSpPr/>
      </xdr:nvSpPr>
      <xdr:spPr>
        <a:xfrm flipV="1">
          <a:off x="878400" y="6266520"/>
          <a:ext cx="361080" cy="133560"/>
        </a:xfrm>
        <a:prstGeom prst="rect">
          <a:avLst/>
        </a:prstGeom>
        <a:solidFill>
          <a:srgbClr val="ffffff"/>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18.5 </a:t>
          </a:r>
          <a:endParaRPr b="0" lang="en-US" sz="800" strike="noStrike" u="none">
            <a:effectLst/>
            <a:uFillTx/>
            <a:latin typeface="Times New Roman"/>
          </a:endParaRPr>
        </a:p>
      </xdr:txBody>
    </xdr:sp>
    <xdr:clientData/>
  </xdr:twoCellAnchor>
  <xdr:twoCellAnchor editAs="absolute">
    <xdr:from>
      <xdr:col>0</xdr:col>
      <xdr:colOff>730080</xdr:colOff>
      <xdr:row>30</xdr:row>
      <xdr:rowOff>47160</xdr:rowOff>
    </xdr:from>
    <xdr:to>
      <xdr:col>0</xdr:col>
      <xdr:colOff>879840</xdr:colOff>
      <xdr:row>31</xdr:row>
      <xdr:rowOff>170640</xdr:rowOff>
    </xdr:to>
    <xdr:sp>
      <xdr:nvSpPr>
        <xdr:cNvPr id="117" name="Line 118"/>
        <xdr:cNvSpPr/>
      </xdr:nvSpPr>
      <xdr:spPr>
        <a:xfrm flipH="1" flipV="1">
          <a:off x="730080" y="6095520"/>
          <a:ext cx="149760" cy="32364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absolute">
    <xdr:from>
      <xdr:col>1</xdr:col>
      <xdr:colOff>295920</xdr:colOff>
      <xdr:row>27</xdr:row>
      <xdr:rowOff>152280</xdr:rowOff>
    </xdr:from>
    <xdr:to>
      <xdr:col>2</xdr:col>
      <xdr:colOff>539640</xdr:colOff>
      <xdr:row>29</xdr:row>
      <xdr:rowOff>162000</xdr:rowOff>
    </xdr:to>
    <xdr:sp>
      <xdr:nvSpPr>
        <xdr:cNvPr id="118" name="26091"/>
        <xdr:cNvSpPr/>
      </xdr:nvSpPr>
      <xdr:spPr>
        <a:xfrm flipV="1">
          <a:off x="1946160" y="5600520"/>
          <a:ext cx="1089720" cy="409680"/>
        </a:xfrm>
        <a:prstGeom prst="roundRect">
          <a:avLst>
            <a:gd name="adj" fmla="val 50000"/>
          </a:avLst>
        </a:prstGeom>
        <a:solidFill>
          <a:srgbClr val="ffffff">
            <a:alpha val="50000"/>
          </a:srgbClr>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Hoechest (king &amp; Prem)</a:t>
          </a:r>
          <a:endParaRPr b="0" lang="en-US" sz="800" strike="noStrike" u="none">
            <a:effectLst/>
            <a:uFillTx/>
            <a:latin typeface="Times New Roman"/>
          </a:endParaRPr>
        </a:p>
      </xdr:txBody>
    </xdr:sp>
    <xdr:clientData/>
  </xdr:twoCellAnchor>
  <xdr:twoCellAnchor editAs="absolute">
    <xdr:from>
      <xdr:col>1</xdr:col>
      <xdr:colOff>158760</xdr:colOff>
      <xdr:row>27</xdr:row>
      <xdr:rowOff>28800</xdr:rowOff>
    </xdr:from>
    <xdr:to>
      <xdr:col>1</xdr:col>
      <xdr:colOff>349560</xdr:colOff>
      <xdr:row>28</xdr:row>
      <xdr:rowOff>9360</xdr:rowOff>
    </xdr:to>
    <xdr:sp>
      <xdr:nvSpPr>
        <xdr:cNvPr id="119" name="Line 120"/>
        <xdr:cNvSpPr/>
      </xdr:nvSpPr>
      <xdr:spPr>
        <a:xfrm>
          <a:off x="1809000" y="5477040"/>
          <a:ext cx="190800" cy="18072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absolute">
    <xdr:from>
      <xdr:col>0</xdr:col>
      <xdr:colOff>338400</xdr:colOff>
      <xdr:row>25</xdr:row>
      <xdr:rowOff>66240</xdr:rowOff>
    </xdr:from>
    <xdr:to>
      <xdr:col>0</xdr:col>
      <xdr:colOff>1112040</xdr:colOff>
      <xdr:row>27</xdr:row>
      <xdr:rowOff>47880</xdr:rowOff>
    </xdr:to>
    <xdr:sp>
      <xdr:nvSpPr>
        <xdr:cNvPr id="120" name="16066"/>
        <xdr:cNvSpPr/>
      </xdr:nvSpPr>
      <xdr:spPr>
        <a:xfrm flipV="1">
          <a:off x="338400" y="5114520"/>
          <a:ext cx="773640" cy="381600"/>
        </a:xfrm>
        <a:prstGeom prst="roundRect">
          <a:avLst>
            <a:gd name="adj" fmla="val 50000"/>
          </a:avLst>
        </a:prstGeom>
        <a:solidFill>
          <a:srgbClr val="ffffff">
            <a:alpha val="50000"/>
          </a:srgbClr>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UPRC Gulf Plains</a:t>
          </a:r>
          <a:endParaRPr b="0" lang="en-US" sz="800" strike="noStrike" u="none">
            <a:effectLst/>
            <a:uFillTx/>
            <a:latin typeface="Times New Roman"/>
          </a:endParaRPr>
        </a:p>
      </xdr:txBody>
    </xdr:sp>
    <xdr:clientData/>
  </xdr:twoCellAnchor>
  <xdr:twoCellAnchor editAs="absolute">
    <xdr:from>
      <xdr:col>0</xdr:col>
      <xdr:colOff>1131480</xdr:colOff>
      <xdr:row>26</xdr:row>
      <xdr:rowOff>47520</xdr:rowOff>
    </xdr:from>
    <xdr:to>
      <xdr:col>1</xdr:col>
      <xdr:colOff>286920</xdr:colOff>
      <xdr:row>26</xdr:row>
      <xdr:rowOff>66240</xdr:rowOff>
    </xdr:to>
    <xdr:sp>
      <xdr:nvSpPr>
        <xdr:cNvPr id="121" name="Line 122"/>
        <xdr:cNvSpPr/>
      </xdr:nvSpPr>
      <xdr:spPr>
        <a:xfrm>
          <a:off x="1131480" y="5295960"/>
          <a:ext cx="805680" cy="1872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absolute">
    <xdr:from>
      <xdr:col>3</xdr:col>
      <xdr:colOff>686880</xdr:colOff>
      <xdr:row>27</xdr:row>
      <xdr:rowOff>133560</xdr:rowOff>
    </xdr:from>
    <xdr:to>
      <xdr:col>4</xdr:col>
      <xdr:colOff>751680</xdr:colOff>
      <xdr:row>28</xdr:row>
      <xdr:rowOff>161640</xdr:rowOff>
    </xdr:to>
    <xdr:sp>
      <xdr:nvSpPr>
        <xdr:cNvPr id="122" name="16244"/>
        <xdr:cNvSpPr/>
      </xdr:nvSpPr>
      <xdr:spPr>
        <a:xfrm>
          <a:off x="3944520" y="5581800"/>
          <a:ext cx="826200" cy="228240"/>
        </a:xfrm>
        <a:prstGeom prst="roundRect">
          <a:avLst>
            <a:gd name="adj" fmla="val 50000"/>
          </a:avLst>
        </a:prstGeom>
        <a:solidFill>
          <a:srgbClr val="ffffff">
            <a:alpha val="50000"/>
          </a:srgbClr>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Conoco A-D</a:t>
          </a:r>
          <a:endParaRPr b="0" lang="en-US" sz="800" strike="noStrike" u="none">
            <a:effectLst/>
            <a:uFillTx/>
            <a:latin typeface="Times New Roman"/>
          </a:endParaRPr>
        </a:p>
      </xdr:txBody>
    </xdr:sp>
    <xdr:clientData/>
  </xdr:twoCellAnchor>
  <xdr:twoCellAnchor editAs="absolute">
    <xdr:from>
      <xdr:col>3</xdr:col>
      <xdr:colOff>285480</xdr:colOff>
      <xdr:row>25</xdr:row>
      <xdr:rowOff>9000</xdr:rowOff>
    </xdr:from>
    <xdr:to>
      <xdr:col>3</xdr:col>
      <xdr:colOff>677160</xdr:colOff>
      <xdr:row>25</xdr:row>
      <xdr:rowOff>161280</xdr:rowOff>
    </xdr:to>
    <xdr:sp>
      <xdr:nvSpPr>
        <xdr:cNvPr id="123" name="Text 30"/>
        <xdr:cNvSpPr/>
      </xdr:nvSpPr>
      <xdr:spPr>
        <a:xfrm flipV="1">
          <a:off x="3543120" y="5056920"/>
          <a:ext cx="391680" cy="15228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56.7 </a:t>
          </a:r>
          <a:endParaRPr b="0" lang="en-US" sz="800" strike="noStrike" u="none">
            <a:effectLst/>
            <a:uFillTx/>
            <a:latin typeface="Times New Roman"/>
          </a:endParaRPr>
        </a:p>
      </xdr:txBody>
    </xdr:sp>
    <xdr:clientData/>
  </xdr:twoCellAnchor>
  <xdr:twoCellAnchor editAs="absolute">
    <xdr:from>
      <xdr:col>3</xdr:col>
      <xdr:colOff>285480</xdr:colOff>
      <xdr:row>26</xdr:row>
      <xdr:rowOff>142560</xdr:rowOff>
    </xdr:from>
    <xdr:to>
      <xdr:col>3</xdr:col>
      <xdr:colOff>677160</xdr:colOff>
      <xdr:row>27</xdr:row>
      <xdr:rowOff>104400</xdr:rowOff>
    </xdr:to>
    <xdr:sp>
      <xdr:nvSpPr>
        <xdr:cNvPr id="124" name="Text 30"/>
        <xdr:cNvSpPr/>
      </xdr:nvSpPr>
      <xdr:spPr>
        <a:xfrm flipV="1">
          <a:off x="3543120" y="5390640"/>
          <a:ext cx="391680" cy="16164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65.5 </a:t>
          </a:r>
          <a:endParaRPr b="0" lang="en-US" sz="800" strike="noStrike" u="none">
            <a:effectLst/>
            <a:uFillTx/>
            <a:latin typeface="Times New Roman"/>
          </a:endParaRPr>
        </a:p>
      </xdr:txBody>
    </xdr:sp>
    <xdr:clientData/>
  </xdr:twoCellAnchor>
  <xdr:twoCellAnchor editAs="absolute">
    <xdr:from>
      <xdr:col>2</xdr:col>
      <xdr:colOff>222120</xdr:colOff>
      <xdr:row>24</xdr:row>
      <xdr:rowOff>181440</xdr:rowOff>
    </xdr:from>
    <xdr:to>
      <xdr:col>3</xdr:col>
      <xdr:colOff>211680</xdr:colOff>
      <xdr:row>26</xdr:row>
      <xdr:rowOff>9360</xdr:rowOff>
    </xdr:to>
    <xdr:sp>
      <xdr:nvSpPr>
        <xdr:cNvPr id="125" name="Line 126"/>
        <xdr:cNvSpPr/>
      </xdr:nvSpPr>
      <xdr:spPr>
        <a:xfrm flipH="1" flipV="1">
          <a:off x="2718360" y="5029560"/>
          <a:ext cx="750960" cy="22824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absolute">
    <xdr:from>
      <xdr:col>5</xdr:col>
      <xdr:colOff>179640</xdr:colOff>
      <xdr:row>20</xdr:row>
      <xdr:rowOff>123120</xdr:rowOff>
    </xdr:from>
    <xdr:to>
      <xdr:col>5</xdr:col>
      <xdr:colOff>582120</xdr:colOff>
      <xdr:row>21</xdr:row>
      <xdr:rowOff>85680</xdr:rowOff>
    </xdr:to>
    <xdr:sp>
      <xdr:nvSpPr>
        <xdr:cNvPr id="126" name="Text 30"/>
        <xdr:cNvSpPr/>
      </xdr:nvSpPr>
      <xdr:spPr>
        <a:xfrm flipV="1">
          <a:off x="4960080" y="4170960"/>
          <a:ext cx="402480" cy="16236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6.0 </a:t>
          </a:r>
          <a:endParaRPr b="0" lang="en-US" sz="800" strike="noStrike" u="none">
            <a:effectLst/>
            <a:uFillTx/>
            <a:latin typeface="Times New Roman"/>
          </a:endParaRPr>
        </a:p>
      </xdr:txBody>
    </xdr:sp>
    <xdr:clientData/>
  </xdr:twoCellAnchor>
  <xdr:twoCellAnchor editAs="absolute">
    <xdr:from>
      <xdr:col>5</xdr:col>
      <xdr:colOff>179640</xdr:colOff>
      <xdr:row>22</xdr:row>
      <xdr:rowOff>104400</xdr:rowOff>
    </xdr:from>
    <xdr:to>
      <xdr:col>5</xdr:col>
      <xdr:colOff>582120</xdr:colOff>
      <xdr:row>23</xdr:row>
      <xdr:rowOff>56520</xdr:rowOff>
    </xdr:to>
    <xdr:sp>
      <xdr:nvSpPr>
        <xdr:cNvPr id="127" name="Text 30"/>
        <xdr:cNvSpPr/>
      </xdr:nvSpPr>
      <xdr:spPr>
        <a:xfrm flipV="1">
          <a:off x="4960080" y="4552200"/>
          <a:ext cx="402480" cy="15228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14.0 </a:t>
          </a:r>
          <a:endParaRPr b="0" lang="en-US" sz="800" strike="noStrike" u="none">
            <a:effectLst/>
            <a:uFillTx/>
            <a:latin typeface="Times New Roman"/>
          </a:endParaRPr>
        </a:p>
      </xdr:txBody>
    </xdr:sp>
    <xdr:clientData/>
  </xdr:twoCellAnchor>
  <xdr:twoCellAnchor editAs="absolute">
    <xdr:from>
      <xdr:col>5</xdr:col>
      <xdr:colOff>115920</xdr:colOff>
      <xdr:row>21</xdr:row>
      <xdr:rowOff>86040</xdr:rowOff>
    </xdr:from>
    <xdr:to>
      <xdr:col>5</xdr:col>
      <xdr:colOff>666720</xdr:colOff>
      <xdr:row>22</xdr:row>
      <xdr:rowOff>86040</xdr:rowOff>
    </xdr:to>
    <xdr:sp>
      <xdr:nvSpPr>
        <xdr:cNvPr id="128" name="16290"/>
        <xdr:cNvSpPr/>
      </xdr:nvSpPr>
      <xdr:spPr>
        <a:xfrm>
          <a:off x="4896360" y="4334040"/>
          <a:ext cx="550800" cy="200160"/>
        </a:xfrm>
        <a:prstGeom prst="roundRect">
          <a:avLst>
            <a:gd name="adj" fmla="val 50000"/>
          </a:avLst>
        </a:prstGeom>
        <a:solidFill>
          <a:srgbClr val="ffffff">
            <a:alpha val="50000"/>
          </a:srgbClr>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Tomcat</a:t>
          </a:r>
          <a:endParaRPr b="0" lang="en-US" sz="800" strike="noStrike" u="none">
            <a:effectLst/>
            <a:uFillTx/>
            <a:latin typeface="Times New Roman"/>
          </a:endParaRPr>
        </a:p>
      </xdr:txBody>
    </xdr:sp>
    <xdr:clientData/>
  </xdr:twoCellAnchor>
  <xdr:twoCellAnchor editAs="absolute">
    <xdr:from>
      <xdr:col>4</xdr:col>
      <xdr:colOff>412560</xdr:colOff>
      <xdr:row>18</xdr:row>
      <xdr:rowOff>85320</xdr:rowOff>
    </xdr:from>
    <xdr:to>
      <xdr:col>5</xdr:col>
      <xdr:colOff>170280</xdr:colOff>
      <xdr:row>21</xdr:row>
      <xdr:rowOff>95040</xdr:rowOff>
    </xdr:to>
    <xdr:sp>
      <xdr:nvSpPr>
        <xdr:cNvPr id="129" name="Line 130"/>
        <xdr:cNvSpPr/>
      </xdr:nvSpPr>
      <xdr:spPr>
        <a:xfrm flipH="1" flipV="1">
          <a:off x="4431600" y="3733560"/>
          <a:ext cx="519120" cy="60948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absolute">
    <xdr:from>
      <xdr:col>6</xdr:col>
      <xdr:colOff>443880</xdr:colOff>
      <xdr:row>18</xdr:row>
      <xdr:rowOff>56520</xdr:rowOff>
    </xdr:from>
    <xdr:to>
      <xdr:col>7</xdr:col>
      <xdr:colOff>96120</xdr:colOff>
      <xdr:row>19</xdr:row>
      <xdr:rowOff>9000</xdr:rowOff>
    </xdr:to>
    <xdr:sp>
      <xdr:nvSpPr>
        <xdr:cNvPr id="130" name="Text 30"/>
        <xdr:cNvSpPr/>
      </xdr:nvSpPr>
      <xdr:spPr>
        <a:xfrm flipV="1">
          <a:off x="5985360" y="3704400"/>
          <a:ext cx="413640" cy="15228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167.8 </a:t>
          </a:r>
          <a:endParaRPr b="0" lang="en-US" sz="800" strike="noStrike" u="none">
            <a:effectLst/>
            <a:uFillTx/>
            <a:latin typeface="Times New Roman"/>
          </a:endParaRPr>
        </a:p>
      </xdr:txBody>
    </xdr:sp>
    <xdr:clientData/>
  </xdr:twoCellAnchor>
  <xdr:twoCellAnchor editAs="absolute">
    <xdr:from>
      <xdr:col>6</xdr:col>
      <xdr:colOff>443880</xdr:colOff>
      <xdr:row>20</xdr:row>
      <xdr:rowOff>28440</xdr:rowOff>
    </xdr:from>
    <xdr:to>
      <xdr:col>7</xdr:col>
      <xdr:colOff>96120</xdr:colOff>
      <xdr:row>20</xdr:row>
      <xdr:rowOff>170640</xdr:rowOff>
    </xdr:to>
    <xdr:sp>
      <xdr:nvSpPr>
        <xdr:cNvPr id="131" name="Text 30"/>
        <xdr:cNvSpPr/>
      </xdr:nvSpPr>
      <xdr:spPr>
        <a:xfrm flipV="1">
          <a:off x="5985360" y="4076280"/>
          <a:ext cx="413640" cy="14220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125.6 </a:t>
          </a:r>
          <a:endParaRPr b="0" lang="en-US" sz="800" strike="noStrike" u="none">
            <a:effectLst/>
            <a:uFillTx/>
            <a:latin typeface="Times New Roman"/>
          </a:endParaRPr>
        </a:p>
      </xdr:txBody>
    </xdr:sp>
    <xdr:clientData/>
  </xdr:twoCellAnchor>
  <xdr:twoCellAnchor editAs="absolute">
    <xdr:from>
      <xdr:col>6</xdr:col>
      <xdr:colOff>158400</xdr:colOff>
      <xdr:row>19</xdr:row>
      <xdr:rowOff>0</xdr:rowOff>
    </xdr:from>
    <xdr:to>
      <xdr:col>7</xdr:col>
      <xdr:colOff>497520</xdr:colOff>
      <xdr:row>20</xdr:row>
      <xdr:rowOff>18720</xdr:rowOff>
    </xdr:to>
    <xdr:sp>
      <xdr:nvSpPr>
        <xdr:cNvPr id="132" name="16354"/>
        <xdr:cNvSpPr/>
      </xdr:nvSpPr>
      <xdr:spPr>
        <a:xfrm>
          <a:off x="5699880" y="3848040"/>
          <a:ext cx="1100520" cy="218880"/>
        </a:xfrm>
        <a:prstGeom prst="roundRect">
          <a:avLst>
            <a:gd name="adj" fmla="val 50000"/>
          </a:avLst>
        </a:prstGeom>
        <a:solidFill>
          <a:srgbClr val="ffffff">
            <a:alpha val="50000"/>
          </a:srgbClr>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Seahawk Blessing TTL</a:t>
          </a:r>
          <a:endParaRPr b="0" lang="en-US" sz="800" strike="noStrike" u="none">
            <a:effectLst/>
            <a:uFillTx/>
            <a:latin typeface="Times New Roman"/>
          </a:endParaRPr>
        </a:p>
      </xdr:txBody>
    </xdr:sp>
    <xdr:clientData/>
  </xdr:twoCellAnchor>
  <xdr:twoCellAnchor editAs="absolute">
    <xdr:from>
      <xdr:col>5</xdr:col>
      <xdr:colOff>210960</xdr:colOff>
      <xdr:row>15</xdr:row>
      <xdr:rowOff>142560</xdr:rowOff>
    </xdr:from>
    <xdr:to>
      <xdr:col>6</xdr:col>
      <xdr:colOff>223200</xdr:colOff>
      <xdr:row>18</xdr:row>
      <xdr:rowOff>170640</xdr:rowOff>
    </xdr:to>
    <xdr:sp>
      <xdr:nvSpPr>
        <xdr:cNvPr id="133" name="Line 134"/>
        <xdr:cNvSpPr/>
      </xdr:nvSpPr>
      <xdr:spPr>
        <a:xfrm flipH="1" flipV="1">
          <a:off x="4991400" y="3190680"/>
          <a:ext cx="773280" cy="62820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absolute">
    <xdr:from>
      <xdr:col>0</xdr:col>
      <xdr:colOff>1057320</xdr:colOff>
      <xdr:row>23</xdr:row>
      <xdr:rowOff>123480</xdr:rowOff>
    </xdr:from>
    <xdr:to>
      <xdr:col>1</xdr:col>
      <xdr:colOff>455400</xdr:colOff>
      <xdr:row>25</xdr:row>
      <xdr:rowOff>86040</xdr:rowOff>
    </xdr:to>
    <xdr:sp>
      <xdr:nvSpPr>
        <xdr:cNvPr id="134" name="Line 135"/>
        <xdr:cNvSpPr/>
      </xdr:nvSpPr>
      <xdr:spPr>
        <a:xfrm>
          <a:off x="1057320" y="4771800"/>
          <a:ext cx="1048320" cy="362520"/>
        </a:xfrm>
        <a:prstGeom prst="line">
          <a:avLst/>
        </a:prstGeom>
        <a:ln w="9360">
          <a:solidFill>
            <a:srgbClr val="000000"/>
          </a:solidFill>
          <a:miter/>
          <a:headEnd len="med" type="triangle" w="med"/>
          <a:tailEnd len="med" type="triangle" w="med"/>
        </a:ln>
      </xdr:spPr>
      <xdr:style>
        <a:lnRef idx="0"/>
        <a:fillRef idx="0"/>
        <a:effectRef idx="0"/>
        <a:fontRef idx="minor"/>
      </xdr:style>
    </xdr:sp>
    <xdr:clientData/>
  </xdr:twoCellAnchor>
  <xdr:twoCellAnchor editAs="absolute">
    <xdr:from>
      <xdr:col>0</xdr:col>
      <xdr:colOff>1237680</xdr:colOff>
      <xdr:row>21</xdr:row>
      <xdr:rowOff>143280</xdr:rowOff>
    </xdr:from>
    <xdr:to>
      <xdr:col>0</xdr:col>
      <xdr:colOff>1640520</xdr:colOff>
      <xdr:row>22</xdr:row>
      <xdr:rowOff>86040</xdr:rowOff>
    </xdr:to>
    <xdr:sp>
      <xdr:nvSpPr>
        <xdr:cNvPr id="135" name="TGPAGUAS"/>
        <xdr:cNvSpPr/>
      </xdr:nvSpPr>
      <xdr:spPr>
        <a:xfrm>
          <a:off x="1237680" y="4391280"/>
          <a:ext cx="402840" cy="14292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99.1 </a:t>
          </a:r>
          <a:endParaRPr b="0" lang="en-US" sz="800" strike="noStrike" u="none">
            <a:effectLst/>
            <a:uFillTx/>
            <a:latin typeface="Times New Roman"/>
          </a:endParaRPr>
        </a:p>
      </xdr:txBody>
    </xdr:sp>
    <xdr:clientData/>
  </xdr:twoCellAnchor>
  <xdr:twoCellAnchor editAs="absolute">
    <xdr:from>
      <xdr:col>0</xdr:col>
      <xdr:colOff>1237680</xdr:colOff>
      <xdr:row>20</xdr:row>
      <xdr:rowOff>9360</xdr:rowOff>
    </xdr:from>
    <xdr:to>
      <xdr:col>0</xdr:col>
      <xdr:colOff>1640520</xdr:colOff>
      <xdr:row>20</xdr:row>
      <xdr:rowOff>161640</xdr:rowOff>
    </xdr:to>
    <xdr:sp>
      <xdr:nvSpPr>
        <xdr:cNvPr id="136" name="TGPAGUAS"/>
        <xdr:cNvSpPr/>
      </xdr:nvSpPr>
      <xdr:spPr>
        <a:xfrm>
          <a:off x="1237680" y="4057560"/>
          <a:ext cx="402840" cy="15228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84.2 </a:t>
          </a:r>
          <a:endParaRPr b="0" lang="en-US" sz="800" strike="noStrike" u="none">
            <a:effectLst/>
            <a:uFillTx/>
            <a:latin typeface="Times New Roman"/>
          </a:endParaRPr>
        </a:p>
      </xdr:txBody>
    </xdr:sp>
    <xdr:clientData/>
  </xdr:twoCellAnchor>
  <xdr:twoCellAnchor editAs="absolute">
    <xdr:from>
      <xdr:col>0</xdr:col>
      <xdr:colOff>1142640</xdr:colOff>
      <xdr:row>20</xdr:row>
      <xdr:rowOff>142920</xdr:rowOff>
    </xdr:from>
    <xdr:to>
      <xdr:col>1</xdr:col>
      <xdr:colOff>128160</xdr:colOff>
      <xdr:row>21</xdr:row>
      <xdr:rowOff>143280</xdr:rowOff>
    </xdr:to>
    <xdr:sp>
      <xdr:nvSpPr>
        <xdr:cNvPr id="137" name="26205"/>
        <xdr:cNvSpPr/>
      </xdr:nvSpPr>
      <xdr:spPr>
        <a:xfrm>
          <a:off x="1142640" y="4191120"/>
          <a:ext cx="635760" cy="200160"/>
        </a:xfrm>
        <a:prstGeom prst="roundRect">
          <a:avLst>
            <a:gd name="adj" fmla="val 50000"/>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HPL A-D</a:t>
          </a:r>
          <a:endParaRPr b="0" lang="en-US" sz="800" strike="noStrike" u="none">
            <a:effectLst/>
            <a:uFillTx/>
            <a:latin typeface="Times New Roman"/>
          </a:endParaRPr>
        </a:p>
      </xdr:txBody>
    </xdr:sp>
    <xdr:clientData/>
  </xdr:twoCellAnchor>
  <xdr:twoCellAnchor editAs="absolute">
    <xdr:from>
      <xdr:col>1</xdr:col>
      <xdr:colOff>95040</xdr:colOff>
      <xdr:row>21</xdr:row>
      <xdr:rowOff>123480</xdr:rowOff>
    </xdr:from>
    <xdr:to>
      <xdr:col>1</xdr:col>
      <xdr:colOff>624600</xdr:colOff>
      <xdr:row>24</xdr:row>
      <xdr:rowOff>171360</xdr:rowOff>
    </xdr:to>
    <xdr:sp>
      <xdr:nvSpPr>
        <xdr:cNvPr id="138" name="Line 139"/>
        <xdr:cNvSpPr/>
      </xdr:nvSpPr>
      <xdr:spPr>
        <a:xfrm>
          <a:off x="1745280" y="4371480"/>
          <a:ext cx="529560" cy="64800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absolute">
    <xdr:from>
      <xdr:col>0</xdr:col>
      <xdr:colOff>1089360</xdr:colOff>
      <xdr:row>18</xdr:row>
      <xdr:rowOff>181080</xdr:rowOff>
    </xdr:from>
    <xdr:to>
      <xdr:col>0</xdr:col>
      <xdr:colOff>1535760</xdr:colOff>
      <xdr:row>19</xdr:row>
      <xdr:rowOff>133560</xdr:rowOff>
    </xdr:to>
    <xdr:sp>
      <xdr:nvSpPr>
        <xdr:cNvPr id="139" name="TGPAGUAS"/>
        <xdr:cNvSpPr/>
      </xdr:nvSpPr>
      <xdr:spPr>
        <a:xfrm>
          <a:off x="1089360" y="3829320"/>
          <a:ext cx="446400" cy="15228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18.7 </a:t>
          </a:r>
          <a:endParaRPr b="0" lang="en-US" sz="800" strike="noStrike" u="none">
            <a:effectLst/>
            <a:uFillTx/>
            <a:latin typeface="Times New Roman"/>
          </a:endParaRPr>
        </a:p>
      </xdr:txBody>
    </xdr:sp>
    <xdr:clientData/>
  </xdr:twoCellAnchor>
  <xdr:twoCellAnchor editAs="absolute">
    <xdr:from>
      <xdr:col>0</xdr:col>
      <xdr:colOff>1152360</xdr:colOff>
      <xdr:row>17</xdr:row>
      <xdr:rowOff>28800</xdr:rowOff>
    </xdr:from>
    <xdr:to>
      <xdr:col>0</xdr:col>
      <xdr:colOff>1513440</xdr:colOff>
      <xdr:row>17</xdr:row>
      <xdr:rowOff>190440</xdr:rowOff>
    </xdr:to>
    <xdr:sp>
      <xdr:nvSpPr>
        <xdr:cNvPr id="140" name="TGPAGUAS"/>
        <xdr:cNvSpPr/>
      </xdr:nvSpPr>
      <xdr:spPr>
        <a:xfrm>
          <a:off x="1152360" y="3476880"/>
          <a:ext cx="361080" cy="16164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18.4 </a:t>
          </a:r>
          <a:endParaRPr b="0" lang="en-US" sz="800" strike="noStrike" u="none">
            <a:effectLst/>
            <a:uFillTx/>
            <a:latin typeface="Times New Roman"/>
          </a:endParaRPr>
        </a:p>
      </xdr:txBody>
    </xdr:sp>
    <xdr:clientData/>
  </xdr:twoCellAnchor>
  <xdr:twoCellAnchor editAs="absolute">
    <xdr:from>
      <xdr:col>0</xdr:col>
      <xdr:colOff>941400</xdr:colOff>
      <xdr:row>17</xdr:row>
      <xdr:rowOff>171000</xdr:rowOff>
    </xdr:from>
    <xdr:to>
      <xdr:col>1</xdr:col>
      <xdr:colOff>181080</xdr:colOff>
      <xdr:row>18</xdr:row>
      <xdr:rowOff>181080</xdr:rowOff>
    </xdr:to>
    <xdr:sp>
      <xdr:nvSpPr>
        <xdr:cNvPr id="141" name="16222"/>
        <xdr:cNvSpPr/>
      </xdr:nvSpPr>
      <xdr:spPr>
        <a:xfrm>
          <a:off x="941400" y="3619080"/>
          <a:ext cx="889920" cy="210240"/>
        </a:xfrm>
        <a:prstGeom prst="roundRect">
          <a:avLst>
            <a:gd name="adj" fmla="val 50000"/>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PGE Cardwell</a:t>
          </a:r>
          <a:endParaRPr b="0" lang="en-US" sz="800" strike="noStrike" u="none">
            <a:effectLst/>
            <a:uFillTx/>
            <a:latin typeface="Times New Roman"/>
          </a:endParaRPr>
        </a:p>
      </xdr:txBody>
    </xdr:sp>
    <xdr:clientData/>
  </xdr:twoCellAnchor>
  <xdr:twoCellAnchor editAs="absolute">
    <xdr:from>
      <xdr:col>1</xdr:col>
      <xdr:colOff>137160</xdr:colOff>
      <xdr:row>18</xdr:row>
      <xdr:rowOff>171000</xdr:rowOff>
    </xdr:from>
    <xdr:to>
      <xdr:col>1</xdr:col>
      <xdr:colOff>835920</xdr:colOff>
      <xdr:row>24</xdr:row>
      <xdr:rowOff>9360</xdr:rowOff>
    </xdr:to>
    <xdr:sp>
      <xdr:nvSpPr>
        <xdr:cNvPr id="142" name="Line 143"/>
        <xdr:cNvSpPr/>
      </xdr:nvSpPr>
      <xdr:spPr>
        <a:xfrm>
          <a:off x="1787400" y="3819240"/>
          <a:ext cx="698760" cy="103824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absolute">
    <xdr:from>
      <xdr:col>1</xdr:col>
      <xdr:colOff>560160</xdr:colOff>
      <xdr:row>20</xdr:row>
      <xdr:rowOff>114120</xdr:rowOff>
    </xdr:from>
    <xdr:to>
      <xdr:col>2</xdr:col>
      <xdr:colOff>53640</xdr:colOff>
      <xdr:row>21</xdr:row>
      <xdr:rowOff>38520</xdr:rowOff>
    </xdr:to>
    <xdr:sp>
      <xdr:nvSpPr>
        <xdr:cNvPr id="143" name="TGPAGUAS"/>
        <xdr:cNvSpPr/>
      </xdr:nvSpPr>
      <xdr:spPr>
        <a:xfrm>
          <a:off x="2210400" y="4162320"/>
          <a:ext cx="339480" cy="12420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0.0 </a:t>
          </a:r>
          <a:endParaRPr b="0" lang="en-US" sz="800" strike="noStrike" u="none">
            <a:effectLst/>
            <a:uFillTx/>
            <a:latin typeface="Times New Roman"/>
          </a:endParaRPr>
        </a:p>
      </xdr:txBody>
    </xdr:sp>
    <xdr:clientData/>
  </xdr:twoCellAnchor>
  <xdr:twoCellAnchor editAs="absolute">
    <xdr:from>
      <xdr:col>1</xdr:col>
      <xdr:colOff>539640</xdr:colOff>
      <xdr:row>18</xdr:row>
      <xdr:rowOff>161640</xdr:rowOff>
    </xdr:from>
    <xdr:to>
      <xdr:col>2</xdr:col>
      <xdr:colOff>116640</xdr:colOff>
      <xdr:row>19</xdr:row>
      <xdr:rowOff>86040</xdr:rowOff>
    </xdr:to>
    <xdr:sp>
      <xdr:nvSpPr>
        <xdr:cNvPr id="144" name="TGPAGUAS"/>
        <xdr:cNvSpPr/>
      </xdr:nvSpPr>
      <xdr:spPr>
        <a:xfrm>
          <a:off x="2189880" y="3809880"/>
          <a:ext cx="423000" cy="12420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0.0 </a:t>
          </a:r>
          <a:endParaRPr b="0" lang="en-US" sz="800" strike="noStrike" u="none">
            <a:effectLst/>
            <a:uFillTx/>
            <a:latin typeface="Times New Roman"/>
          </a:endParaRPr>
        </a:p>
      </xdr:txBody>
    </xdr:sp>
    <xdr:clientData/>
  </xdr:twoCellAnchor>
  <xdr:twoCellAnchor editAs="absolute">
    <xdr:from>
      <xdr:col>1</xdr:col>
      <xdr:colOff>412200</xdr:colOff>
      <xdr:row>19</xdr:row>
      <xdr:rowOff>95400</xdr:rowOff>
    </xdr:from>
    <xdr:to>
      <xdr:col>2</xdr:col>
      <xdr:colOff>254160</xdr:colOff>
      <xdr:row>20</xdr:row>
      <xdr:rowOff>104760</xdr:rowOff>
    </xdr:to>
    <xdr:sp>
      <xdr:nvSpPr>
        <xdr:cNvPr id="145" name="16069"/>
        <xdr:cNvSpPr/>
      </xdr:nvSpPr>
      <xdr:spPr>
        <a:xfrm>
          <a:off x="2062440" y="3943440"/>
          <a:ext cx="687960" cy="209520"/>
        </a:xfrm>
        <a:prstGeom prst="roundRect">
          <a:avLst>
            <a:gd name="adj" fmla="val 50000"/>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HPL Odem</a:t>
          </a:r>
          <a:endParaRPr b="0" lang="en-US" sz="800" strike="noStrike" u="none">
            <a:effectLst/>
            <a:uFillTx/>
            <a:latin typeface="Times New Roman"/>
          </a:endParaRPr>
        </a:p>
      </xdr:txBody>
    </xdr:sp>
    <xdr:clientData/>
  </xdr:twoCellAnchor>
  <xdr:twoCellAnchor editAs="absolute">
    <xdr:from>
      <xdr:col>2</xdr:col>
      <xdr:colOff>10440</xdr:colOff>
      <xdr:row>20</xdr:row>
      <xdr:rowOff>133560</xdr:rowOff>
    </xdr:from>
    <xdr:to>
      <xdr:col>2</xdr:col>
      <xdr:colOff>201600</xdr:colOff>
      <xdr:row>23</xdr:row>
      <xdr:rowOff>104760</xdr:rowOff>
    </xdr:to>
    <xdr:sp>
      <xdr:nvSpPr>
        <xdr:cNvPr id="146" name="Line 147"/>
        <xdr:cNvSpPr/>
      </xdr:nvSpPr>
      <xdr:spPr>
        <a:xfrm>
          <a:off x="2506680" y="4181760"/>
          <a:ext cx="191160" cy="57132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absolute">
    <xdr:from>
      <xdr:col>2</xdr:col>
      <xdr:colOff>115920</xdr:colOff>
      <xdr:row>18</xdr:row>
      <xdr:rowOff>66240</xdr:rowOff>
    </xdr:from>
    <xdr:to>
      <xdr:col>2</xdr:col>
      <xdr:colOff>539640</xdr:colOff>
      <xdr:row>19</xdr:row>
      <xdr:rowOff>28800</xdr:rowOff>
    </xdr:to>
    <xdr:sp>
      <xdr:nvSpPr>
        <xdr:cNvPr id="147" name="TGPAGUAS"/>
        <xdr:cNvSpPr/>
      </xdr:nvSpPr>
      <xdr:spPr>
        <a:xfrm>
          <a:off x="2612160" y="3714480"/>
          <a:ext cx="423720" cy="16236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(10.1)</a:t>
          </a:r>
          <a:endParaRPr b="0" lang="en-US" sz="800" strike="noStrike" u="none">
            <a:effectLst/>
            <a:uFillTx/>
            <a:latin typeface="Times New Roman"/>
          </a:endParaRPr>
        </a:p>
      </xdr:txBody>
    </xdr:sp>
    <xdr:clientData/>
  </xdr:twoCellAnchor>
  <xdr:twoCellAnchor editAs="absolute">
    <xdr:from>
      <xdr:col>2</xdr:col>
      <xdr:colOff>115920</xdr:colOff>
      <xdr:row>16</xdr:row>
      <xdr:rowOff>114120</xdr:rowOff>
    </xdr:from>
    <xdr:to>
      <xdr:col>2</xdr:col>
      <xdr:colOff>529200</xdr:colOff>
      <xdr:row>17</xdr:row>
      <xdr:rowOff>66240</xdr:rowOff>
    </xdr:to>
    <xdr:sp>
      <xdr:nvSpPr>
        <xdr:cNvPr id="148" name="TGPAGUAS"/>
        <xdr:cNvSpPr/>
      </xdr:nvSpPr>
      <xdr:spPr>
        <a:xfrm>
          <a:off x="2612160" y="3362040"/>
          <a:ext cx="413280" cy="15228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(20.4)</a:t>
          </a:r>
          <a:endParaRPr b="0" lang="en-US" sz="800" strike="noStrike" u="none">
            <a:effectLst/>
            <a:uFillTx/>
            <a:latin typeface="Times New Roman"/>
          </a:endParaRPr>
        </a:p>
      </xdr:txBody>
    </xdr:sp>
    <xdr:clientData/>
  </xdr:twoCellAnchor>
  <xdr:twoCellAnchor editAs="absolute">
    <xdr:from>
      <xdr:col>2</xdr:col>
      <xdr:colOff>42480</xdr:colOff>
      <xdr:row>17</xdr:row>
      <xdr:rowOff>66240</xdr:rowOff>
    </xdr:from>
    <xdr:to>
      <xdr:col>3</xdr:col>
      <xdr:colOff>159120</xdr:colOff>
      <xdr:row>18</xdr:row>
      <xdr:rowOff>66240</xdr:rowOff>
    </xdr:to>
    <xdr:sp>
      <xdr:nvSpPr>
        <xdr:cNvPr id="149" name="26191"/>
        <xdr:cNvSpPr/>
      </xdr:nvSpPr>
      <xdr:spPr>
        <a:xfrm>
          <a:off x="2538720" y="3514320"/>
          <a:ext cx="878040" cy="200160"/>
        </a:xfrm>
        <a:prstGeom prst="roundRect">
          <a:avLst>
            <a:gd name="adj" fmla="val 50000"/>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HPL Gregory</a:t>
          </a:r>
          <a:endParaRPr b="0" lang="en-US" sz="800" strike="noStrike" u="none">
            <a:effectLst/>
            <a:uFillTx/>
            <a:latin typeface="Times New Roman"/>
          </a:endParaRPr>
        </a:p>
      </xdr:txBody>
    </xdr:sp>
    <xdr:clientData/>
  </xdr:twoCellAnchor>
  <xdr:twoCellAnchor editAs="absolute">
    <xdr:from>
      <xdr:col>2</xdr:col>
      <xdr:colOff>560520</xdr:colOff>
      <xdr:row>18</xdr:row>
      <xdr:rowOff>104400</xdr:rowOff>
    </xdr:from>
    <xdr:to>
      <xdr:col>2</xdr:col>
      <xdr:colOff>603720</xdr:colOff>
      <xdr:row>22</xdr:row>
      <xdr:rowOff>18720</xdr:rowOff>
    </xdr:to>
    <xdr:sp>
      <xdr:nvSpPr>
        <xdr:cNvPr id="150" name="Line 151"/>
        <xdr:cNvSpPr/>
      </xdr:nvSpPr>
      <xdr:spPr>
        <a:xfrm>
          <a:off x="3056760" y="3752640"/>
          <a:ext cx="43200" cy="714240"/>
        </a:xfrm>
        <a:prstGeom prst="line">
          <a:avLst/>
        </a:prstGeom>
        <a:ln w="9360">
          <a:solidFill>
            <a:srgbClr val="000000"/>
          </a:solidFill>
          <a:miter/>
          <a:headEnd len="med" type="triangle" w="med"/>
          <a:tailEnd len="med" type="triangle" w="med"/>
        </a:ln>
      </xdr:spPr>
      <xdr:style>
        <a:lnRef idx="0"/>
        <a:fillRef idx="0"/>
        <a:effectRef idx="0"/>
        <a:fontRef idx="minor"/>
      </xdr:style>
    </xdr:sp>
    <xdr:clientData/>
  </xdr:twoCellAnchor>
  <xdr:twoCellAnchor editAs="absolute">
    <xdr:from>
      <xdr:col>2</xdr:col>
      <xdr:colOff>666000</xdr:colOff>
      <xdr:row>15</xdr:row>
      <xdr:rowOff>161640</xdr:rowOff>
    </xdr:from>
    <xdr:to>
      <xdr:col>3</xdr:col>
      <xdr:colOff>254160</xdr:colOff>
      <xdr:row>16</xdr:row>
      <xdr:rowOff>123480</xdr:rowOff>
    </xdr:to>
    <xdr:sp>
      <xdr:nvSpPr>
        <xdr:cNvPr id="151" name="TGPAGUAS"/>
        <xdr:cNvSpPr/>
      </xdr:nvSpPr>
      <xdr:spPr>
        <a:xfrm>
          <a:off x="3162240" y="3209760"/>
          <a:ext cx="349560" cy="16164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0.0 </a:t>
          </a:r>
          <a:endParaRPr b="0" lang="en-US" sz="800" strike="noStrike" u="none">
            <a:effectLst/>
            <a:uFillTx/>
            <a:latin typeface="Times New Roman"/>
          </a:endParaRPr>
        </a:p>
      </xdr:txBody>
    </xdr:sp>
    <xdr:clientData/>
  </xdr:twoCellAnchor>
  <xdr:twoCellAnchor editAs="absolute">
    <xdr:from>
      <xdr:col>2</xdr:col>
      <xdr:colOff>666000</xdr:colOff>
      <xdr:row>14</xdr:row>
      <xdr:rowOff>28800</xdr:rowOff>
    </xdr:from>
    <xdr:to>
      <xdr:col>3</xdr:col>
      <xdr:colOff>254160</xdr:colOff>
      <xdr:row>14</xdr:row>
      <xdr:rowOff>171000</xdr:rowOff>
    </xdr:to>
    <xdr:sp>
      <xdr:nvSpPr>
        <xdr:cNvPr id="152" name="TGPAGUAS"/>
        <xdr:cNvSpPr/>
      </xdr:nvSpPr>
      <xdr:spPr>
        <a:xfrm>
          <a:off x="3162240" y="2876760"/>
          <a:ext cx="349560" cy="14220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1.3 </a:t>
          </a:r>
          <a:endParaRPr b="0" lang="en-US" sz="800" strike="noStrike" u="none">
            <a:effectLst/>
            <a:uFillTx/>
            <a:latin typeface="Times New Roman"/>
          </a:endParaRPr>
        </a:p>
      </xdr:txBody>
    </xdr:sp>
    <xdr:clientData/>
  </xdr:twoCellAnchor>
  <xdr:twoCellAnchor editAs="absolute">
    <xdr:from>
      <xdr:col>2</xdr:col>
      <xdr:colOff>496440</xdr:colOff>
      <xdr:row>14</xdr:row>
      <xdr:rowOff>161640</xdr:rowOff>
    </xdr:from>
    <xdr:to>
      <xdr:col>3</xdr:col>
      <xdr:colOff>751680</xdr:colOff>
      <xdr:row>15</xdr:row>
      <xdr:rowOff>161640</xdr:rowOff>
    </xdr:to>
    <xdr:sp>
      <xdr:nvSpPr>
        <xdr:cNvPr id="153" name="16210"/>
        <xdr:cNvSpPr/>
      </xdr:nvSpPr>
      <xdr:spPr>
        <a:xfrm>
          <a:off x="2992680" y="3009600"/>
          <a:ext cx="1016640" cy="200160"/>
        </a:xfrm>
        <a:prstGeom prst="roundRect">
          <a:avLst>
            <a:gd name="adj" fmla="val 50000"/>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North N Tivoli</a:t>
          </a:r>
          <a:endParaRPr b="0" lang="en-US" sz="800" strike="noStrike" u="none">
            <a:effectLst/>
            <a:uFillTx/>
            <a:latin typeface="Times New Roman"/>
          </a:endParaRPr>
        </a:p>
      </xdr:txBody>
    </xdr:sp>
    <xdr:clientData/>
  </xdr:twoCellAnchor>
  <xdr:twoCellAnchor editAs="absolute">
    <xdr:from>
      <xdr:col>3</xdr:col>
      <xdr:colOff>496440</xdr:colOff>
      <xdr:row>15</xdr:row>
      <xdr:rowOff>171000</xdr:rowOff>
    </xdr:from>
    <xdr:to>
      <xdr:col>4</xdr:col>
      <xdr:colOff>85320</xdr:colOff>
      <xdr:row>18</xdr:row>
      <xdr:rowOff>9360</xdr:rowOff>
    </xdr:to>
    <xdr:sp>
      <xdr:nvSpPr>
        <xdr:cNvPr id="154" name="Line 155"/>
        <xdr:cNvSpPr/>
      </xdr:nvSpPr>
      <xdr:spPr>
        <a:xfrm>
          <a:off x="3754080" y="3219120"/>
          <a:ext cx="350280" cy="43848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absolute">
    <xdr:from>
      <xdr:col>3</xdr:col>
      <xdr:colOff>32040</xdr:colOff>
      <xdr:row>11</xdr:row>
      <xdr:rowOff>152280</xdr:rowOff>
    </xdr:from>
    <xdr:to>
      <xdr:col>3</xdr:col>
      <xdr:colOff>466200</xdr:colOff>
      <xdr:row>12</xdr:row>
      <xdr:rowOff>105120</xdr:rowOff>
    </xdr:to>
    <xdr:sp>
      <xdr:nvSpPr>
        <xdr:cNvPr id="155" name="TGPAGUAS"/>
        <xdr:cNvSpPr/>
      </xdr:nvSpPr>
      <xdr:spPr>
        <a:xfrm>
          <a:off x="3289680" y="2400120"/>
          <a:ext cx="434160" cy="153000"/>
        </a:xfrm>
        <a:prstGeom prst="rect">
          <a:avLst/>
        </a:prstGeom>
        <a:solidFill>
          <a:srgbClr val="ffffff"/>
        </a:solidFill>
        <a:ln w="0">
          <a:noFill/>
        </a:ln>
      </xdr:spPr>
      <xdr:style>
        <a:lnRef idx="0"/>
        <a:fillRef idx="0"/>
        <a:effectRef idx="0"/>
        <a:fontRef idx="minor"/>
      </xdr:style>
      <xdr:txBody>
        <a:bodyPr lIns="20160" rIns="20160" tIns="20160" bIns="20160" anchor="ctr">
          <a:spAutoFit/>
        </a:bodyPr>
        <a:p>
          <a:pPr algn="ctr"/>
          <a:r>
            <a:rPr b="0" lang="en-US" sz="800" strike="noStrike" u="none">
              <a:effectLst/>
              <a:uFillTx/>
              <a:latin typeface="Times New Roman"/>
            </a:rPr>
            <a:t>(17.7)</a:t>
          </a:r>
          <a:endParaRPr b="0" lang="en-US" sz="800" strike="noStrike" u="none">
            <a:effectLst/>
            <a:uFillTx/>
            <a:latin typeface="Times New Roman"/>
          </a:endParaRPr>
        </a:p>
      </xdr:txBody>
    </xdr:sp>
    <xdr:clientData/>
  </xdr:twoCellAnchor>
  <xdr:twoCellAnchor editAs="absolute">
    <xdr:from>
      <xdr:col>3</xdr:col>
      <xdr:colOff>42120</xdr:colOff>
      <xdr:row>9</xdr:row>
      <xdr:rowOff>152280</xdr:rowOff>
    </xdr:from>
    <xdr:to>
      <xdr:col>3</xdr:col>
      <xdr:colOff>476640</xdr:colOff>
      <xdr:row>10</xdr:row>
      <xdr:rowOff>105120</xdr:rowOff>
    </xdr:to>
    <xdr:sp>
      <xdr:nvSpPr>
        <xdr:cNvPr id="156" name="TGPAGUAS"/>
        <xdr:cNvSpPr/>
      </xdr:nvSpPr>
      <xdr:spPr>
        <a:xfrm>
          <a:off x="3299760" y="2000160"/>
          <a:ext cx="434520" cy="153000"/>
        </a:xfrm>
        <a:prstGeom prst="rect">
          <a:avLst/>
        </a:prstGeom>
        <a:solidFill>
          <a:srgbClr val="ffffff"/>
        </a:solidFill>
        <a:ln w="0">
          <a:noFill/>
        </a:ln>
      </xdr:spPr>
      <xdr:style>
        <a:lnRef idx="0"/>
        <a:fillRef idx="0"/>
        <a:effectRef idx="0"/>
        <a:fontRef idx="minor"/>
      </xdr:style>
      <xdr:txBody>
        <a:bodyPr lIns="20160" rIns="20160" tIns="20160" bIns="20160" anchor="ctr">
          <a:spAutoFit/>
        </a:bodyPr>
        <a:p>
          <a:pPr algn="ctr"/>
          <a:r>
            <a:rPr b="0" lang="en-US" sz="800" strike="noStrike" u="none">
              <a:effectLst/>
              <a:uFillTx/>
              <a:latin typeface="Times New Roman"/>
            </a:rPr>
            <a:t>(13.3)</a:t>
          </a:r>
          <a:endParaRPr b="0" lang="en-US" sz="800" strike="noStrike" u="none">
            <a:effectLst/>
            <a:uFillTx/>
            <a:latin typeface="Times New Roman"/>
          </a:endParaRPr>
        </a:p>
      </xdr:txBody>
    </xdr:sp>
    <xdr:clientData/>
  </xdr:twoCellAnchor>
  <xdr:twoCellAnchor editAs="absolute">
    <xdr:from>
      <xdr:col>2</xdr:col>
      <xdr:colOff>338400</xdr:colOff>
      <xdr:row>10</xdr:row>
      <xdr:rowOff>123120</xdr:rowOff>
    </xdr:from>
    <xdr:to>
      <xdr:col>4</xdr:col>
      <xdr:colOff>74880</xdr:colOff>
      <xdr:row>11</xdr:row>
      <xdr:rowOff>123480</xdr:rowOff>
    </xdr:to>
    <xdr:sp>
      <xdr:nvSpPr>
        <xdr:cNvPr id="157" name="26184"/>
        <xdr:cNvSpPr/>
      </xdr:nvSpPr>
      <xdr:spPr>
        <a:xfrm>
          <a:off x="2834640" y="2171160"/>
          <a:ext cx="1259280" cy="200160"/>
        </a:xfrm>
        <a:prstGeom prst="roundRect">
          <a:avLst>
            <a:gd name="adj" fmla="val 50000"/>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Formosa Pt Comfort</a:t>
          </a:r>
          <a:endParaRPr b="0" lang="en-US" sz="800" strike="noStrike" u="none">
            <a:effectLst/>
            <a:uFillTx/>
            <a:latin typeface="Times New Roman"/>
          </a:endParaRPr>
        </a:p>
      </xdr:txBody>
    </xdr:sp>
    <xdr:clientData/>
  </xdr:twoCellAnchor>
  <xdr:twoCellAnchor editAs="absolute">
    <xdr:from>
      <xdr:col>3</xdr:col>
      <xdr:colOff>496440</xdr:colOff>
      <xdr:row>11</xdr:row>
      <xdr:rowOff>190440</xdr:rowOff>
    </xdr:from>
    <xdr:to>
      <xdr:col>4</xdr:col>
      <xdr:colOff>455760</xdr:colOff>
      <xdr:row>16</xdr:row>
      <xdr:rowOff>56880</xdr:rowOff>
    </xdr:to>
    <xdr:sp>
      <xdr:nvSpPr>
        <xdr:cNvPr id="158" name="Line 159"/>
        <xdr:cNvSpPr/>
      </xdr:nvSpPr>
      <xdr:spPr>
        <a:xfrm flipH="1" flipV="1">
          <a:off x="3754080" y="2438280"/>
          <a:ext cx="720720" cy="86652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absolute">
    <xdr:from>
      <xdr:col>4</xdr:col>
      <xdr:colOff>423000</xdr:colOff>
      <xdr:row>13</xdr:row>
      <xdr:rowOff>29160</xdr:rowOff>
    </xdr:from>
    <xdr:to>
      <xdr:col>5</xdr:col>
      <xdr:colOff>95760</xdr:colOff>
      <xdr:row>13</xdr:row>
      <xdr:rowOff>182160</xdr:rowOff>
    </xdr:to>
    <xdr:sp>
      <xdr:nvSpPr>
        <xdr:cNvPr id="159" name="TGPAGUAS"/>
        <xdr:cNvSpPr/>
      </xdr:nvSpPr>
      <xdr:spPr>
        <a:xfrm>
          <a:off x="4442040" y="2676960"/>
          <a:ext cx="434160" cy="153000"/>
        </a:xfrm>
        <a:prstGeom prst="rect">
          <a:avLst/>
        </a:prstGeom>
        <a:solidFill>
          <a:srgbClr val="ffffff"/>
        </a:solidFill>
        <a:ln w="0">
          <a:noFill/>
        </a:ln>
      </xdr:spPr>
      <xdr:style>
        <a:lnRef idx="0"/>
        <a:fillRef idx="0"/>
        <a:effectRef idx="0"/>
        <a:fontRef idx="minor"/>
      </xdr:style>
      <xdr:txBody>
        <a:bodyPr lIns="20160" rIns="20160" tIns="20160" bIns="20160" anchor="ctr">
          <a:spAutoFit/>
        </a:bodyPr>
        <a:p>
          <a:pPr algn="ctr"/>
          <a:r>
            <a:rPr b="0" lang="en-US" sz="800" strike="noStrike" u="none">
              <a:effectLst/>
              <a:uFillTx/>
              <a:latin typeface="Times New Roman"/>
            </a:rPr>
            <a:t>(16.8)</a:t>
          </a:r>
          <a:endParaRPr b="0" lang="en-US" sz="800" strike="noStrike" u="none">
            <a:effectLst/>
            <a:uFillTx/>
            <a:latin typeface="Times New Roman"/>
          </a:endParaRPr>
        </a:p>
      </xdr:txBody>
    </xdr:sp>
    <xdr:clientData/>
  </xdr:twoCellAnchor>
  <xdr:twoCellAnchor editAs="absolute">
    <xdr:from>
      <xdr:col>4</xdr:col>
      <xdr:colOff>423000</xdr:colOff>
      <xdr:row>11</xdr:row>
      <xdr:rowOff>66600</xdr:rowOff>
    </xdr:from>
    <xdr:to>
      <xdr:col>5</xdr:col>
      <xdr:colOff>95760</xdr:colOff>
      <xdr:row>12</xdr:row>
      <xdr:rowOff>19440</xdr:rowOff>
    </xdr:to>
    <xdr:sp>
      <xdr:nvSpPr>
        <xdr:cNvPr id="160" name="TGPAGUAS"/>
        <xdr:cNvSpPr/>
      </xdr:nvSpPr>
      <xdr:spPr>
        <a:xfrm>
          <a:off x="4442040" y="2314440"/>
          <a:ext cx="434160" cy="153000"/>
        </a:xfrm>
        <a:prstGeom prst="rect">
          <a:avLst/>
        </a:prstGeom>
        <a:solidFill>
          <a:srgbClr val="ffffff"/>
        </a:solidFill>
        <a:ln w="0">
          <a:noFill/>
        </a:ln>
      </xdr:spPr>
      <xdr:style>
        <a:lnRef idx="0"/>
        <a:fillRef idx="0"/>
        <a:effectRef idx="0"/>
        <a:fontRef idx="minor"/>
      </xdr:style>
      <xdr:txBody>
        <a:bodyPr lIns="20160" rIns="20160" tIns="20160" bIns="20160" anchor="ctr">
          <a:spAutoFit/>
        </a:bodyPr>
        <a:p>
          <a:pPr algn="ctr"/>
          <a:r>
            <a:rPr b="0" lang="en-US" sz="800" strike="noStrike" u="none">
              <a:effectLst/>
              <a:uFillTx/>
              <a:latin typeface="Times New Roman"/>
            </a:rPr>
            <a:t>(25.2)</a:t>
          </a:r>
          <a:endParaRPr b="0" lang="en-US" sz="800" strike="noStrike" u="none">
            <a:effectLst/>
            <a:uFillTx/>
            <a:latin typeface="Times New Roman"/>
          </a:endParaRPr>
        </a:p>
      </xdr:txBody>
    </xdr:sp>
    <xdr:clientData/>
  </xdr:twoCellAnchor>
  <xdr:twoCellAnchor editAs="absolute">
    <xdr:from>
      <xdr:col>4</xdr:col>
      <xdr:colOff>127080</xdr:colOff>
      <xdr:row>12</xdr:row>
      <xdr:rowOff>9360</xdr:rowOff>
    </xdr:from>
    <xdr:to>
      <xdr:col>5</xdr:col>
      <xdr:colOff>370800</xdr:colOff>
      <xdr:row>12</xdr:row>
      <xdr:rowOff>199800</xdr:rowOff>
    </xdr:to>
    <xdr:sp>
      <xdr:nvSpPr>
        <xdr:cNvPr id="161" name="26073"/>
        <xdr:cNvSpPr/>
      </xdr:nvSpPr>
      <xdr:spPr>
        <a:xfrm>
          <a:off x="4146120" y="2457360"/>
          <a:ext cx="1005120" cy="190440"/>
        </a:xfrm>
        <a:prstGeom prst="roundRect">
          <a:avLst>
            <a:gd name="adj" fmla="val 50000"/>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HPLSwan Lake</a:t>
          </a:r>
          <a:endParaRPr b="0" lang="en-US" sz="800" strike="noStrike" u="none">
            <a:effectLst/>
            <a:uFillTx/>
            <a:latin typeface="Times New Roman"/>
          </a:endParaRPr>
        </a:p>
      </xdr:txBody>
    </xdr:sp>
    <xdr:clientData/>
  </xdr:twoCellAnchor>
  <xdr:twoCellAnchor editAs="absolute">
    <xdr:from>
      <xdr:col>4</xdr:col>
      <xdr:colOff>295920</xdr:colOff>
      <xdr:row>13</xdr:row>
      <xdr:rowOff>47880</xdr:rowOff>
    </xdr:from>
    <xdr:to>
      <xdr:col>4</xdr:col>
      <xdr:colOff>709200</xdr:colOff>
      <xdr:row>15</xdr:row>
      <xdr:rowOff>171000</xdr:rowOff>
    </xdr:to>
    <xdr:sp>
      <xdr:nvSpPr>
        <xdr:cNvPr id="162" name="Line 163"/>
        <xdr:cNvSpPr/>
      </xdr:nvSpPr>
      <xdr:spPr>
        <a:xfrm flipH="1" flipV="1">
          <a:off x="4314960" y="2695680"/>
          <a:ext cx="413280" cy="52344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absolute">
    <xdr:from>
      <xdr:col>5</xdr:col>
      <xdr:colOff>433440</xdr:colOff>
      <xdr:row>11</xdr:row>
      <xdr:rowOff>161640</xdr:rowOff>
    </xdr:from>
    <xdr:to>
      <xdr:col>6</xdr:col>
      <xdr:colOff>64080</xdr:colOff>
      <xdr:row>12</xdr:row>
      <xdr:rowOff>123480</xdr:rowOff>
    </xdr:to>
    <xdr:sp>
      <xdr:nvSpPr>
        <xdr:cNvPr id="163" name="Text 30"/>
        <xdr:cNvSpPr/>
      </xdr:nvSpPr>
      <xdr:spPr>
        <a:xfrm flipV="1">
          <a:off x="5213880" y="2409480"/>
          <a:ext cx="391680" cy="16200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0.0 </a:t>
          </a:r>
          <a:endParaRPr b="0" lang="en-US" sz="800" strike="noStrike" u="none">
            <a:effectLst/>
            <a:uFillTx/>
            <a:latin typeface="Times New Roman"/>
          </a:endParaRPr>
        </a:p>
      </xdr:txBody>
    </xdr:sp>
    <xdr:clientData/>
  </xdr:twoCellAnchor>
  <xdr:twoCellAnchor editAs="absolute">
    <xdr:from>
      <xdr:col>5</xdr:col>
      <xdr:colOff>433440</xdr:colOff>
      <xdr:row>9</xdr:row>
      <xdr:rowOff>180720</xdr:rowOff>
    </xdr:from>
    <xdr:to>
      <xdr:col>6</xdr:col>
      <xdr:colOff>64080</xdr:colOff>
      <xdr:row>10</xdr:row>
      <xdr:rowOff>122760</xdr:rowOff>
    </xdr:to>
    <xdr:sp>
      <xdr:nvSpPr>
        <xdr:cNvPr id="164" name="Text 30"/>
        <xdr:cNvSpPr/>
      </xdr:nvSpPr>
      <xdr:spPr>
        <a:xfrm flipV="1">
          <a:off x="5213880" y="2028240"/>
          <a:ext cx="391680" cy="14220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0.0 </a:t>
          </a:r>
          <a:endParaRPr b="0" lang="en-US" sz="800" strike="noStrike" u="none">
            <a:effectLst/>
            <a:uFillTx/>
            <a:latin typeface="Times New Roman"/>
          </a:endParaRPr>
        </a:p>
      </xdr:txBody>
    </xdr:sp>
    <xdr:clientData/>
  </xdr:twoCellAnchor>
  <xdr:twoCellAnchor editAs="absolute">
    <xdr:from>
      <xdr:col>5</xdr:col>
      <xdr:colOff>115920</xdr:colOff>
      <xdr:row>10</xdr:row>
      <xdr:rowOff>133560</xdr:rowOff>
    </xdr:from>
    <xdr:to>
      <xdr:col>6</xdr:col>
      <xdr:colOff>286560</xdr:colOff>
      <xdr:row>11</xdr:row>
      <xdr:rowOff>161640</xdr:rowOff>
    </xdr:to>
    <xdr:sp>
      <xdr:nvSpPr>
        <xdr:cNvPr id="165" name="16273"/>
        <xdr:cNvSpPr/>
      </xdr:nvSpPr>
      <xdr:spPr>
        <a:xfrm>
          <a:off x="4896360" y="2181600"/>
          <a:ext cx="931680" cy="227880"/>
        </a:xfrm>
        <a:prstGeom prst="roundRect">
          <a:avLst>
            <a:gd name="adj" fmla="val 50000"/>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HPL Manville</a:t>
          </a:r>
          <a:endParaRPr b="0" lang="en-US" sz="800" strike="noStrike" u="none">
            <a:effectLst/>
            <a:uFillTx/>
            <a:latin typeface="Times New Roman"/>
          </a:endParaRPr>
        </a:p>
      </xdr:txBody>
    </xdr:sp>
    <xdr:clientData/>
  </xdr:twoCellAnchor>
  <xdr:twoCellAnchor editAs="absolute">
    <xdr:from>
      <xdr:col>6</xdr:col>
      <xdr:colOff>306360</xdr:colOff>
      <xdr:row>10</xdr:row>
      <xdr:rowOff>47160</xdr:rowOff>
    </xdr:from>
    <xdr:to>
      <xdr:col>7</xdr:col>
      <xdr:colOff>53640</xdr:colOff>
      <xdr:row>10</xdr:row>
      <xdr:rowOff>180720</xdr:rowOff>
    </xdr:to>
    <xdr:sp>
      <xdr:nvSpPr>
        <xdr:cNvPr id="166" name="Line 167"/>
        <xdr:cNvSpPr/>
      </xdr:nvSpPr>
      <xdr:spPr>
        <a:xfrm flipV="1">
          <a:off x="5847840" y="2095200"/>
          <a:ext cx="508680" cy="13356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absolute">
    <xdr:from>
      <xdr:col>6</xdr:col>
      <xdr:colOff>708840</xdr:colOff>
      <xdr:row>13</xdr:row>
      <xdr:rowOff>171000</xdr:rowOff>
    </xdr:from>
    <xdr:to>
      <xdr:col>7</xdr:col>
      <xdr:colOff>381600</xdr:colOff>
      <xdr:row>14</xdr:row>
      <xdr:rowOff>161280</xdr:rowOff>
    </xdr:to>
    <xdr:sp>
      <xdr:nvSpPr>
        <xdr:cNvPr id="167" name="Text 30"/>
        <xdr:cNvSpPr/>
      </xdr:nvSpPr>
      <xdr:spPr>
        <a:xfrm flipV="1">
          <a:off x="6250320" y="2818440"/>
          <a:ext cx="434160" cy="19044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(0.8)</a:t>
          </a:r>
          <a:endParaRPr b="0" lang="en-US" sz="800" strike="noStrike" u="none">
            <a:effectLst/>
            <a:uFillTx/>
            <a:latin typeface="Times New Roman"/>
          </a:endParaRPr>
        </a:p>
      </xdr:txBody>
    </xdr:sp>
    <xdr:clientData/>
  </xdr:twoCellAnchor>
  <xdr:twoCellAnchor editAs="absolute">
    <xdr:from>
      <xdr:col>6</xdr:col>
      <xdr:colOff>666360</xdr:colOff>
      <xdr:row>12</xdr:row>
      <xdr:rowOff>161640</xdr:rowOff>
    </xdr:from>
    <xdr:to>
      <xdr:col>7</xdr:col>
      <xdr:colOff>709560</xdr:colOff>
      <xdr:row>13</xdr:row>
      <xdr:rowOff>171360</xdr:rowOff>
    </xdr:to>
    <xdr:sp>
      <xdr:nvSpPr>
        <xdr:cNvPr id="168" name="26160"/>
        <xdr:cNvSpPr/>
      </xdr:nvSpPr>
      <xdr:spPr>
        <a:xfrm>
          <a:off x="6207840" y="2609640"/>
          <a:ext cx="804600" cy="209520"/>
        </a:xfrm>
        <a:prstGeom prst="roundRect">
          <a:avLst>
            <a:gd name="adj" fmla="val 50000"/>
          </a:avLst>
        </a:prstGeom>
        <a:solidFill>
          <a:srgbClr val="ffffff">
            <a:alpha val="50000"/>
          </a:srgbClr>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HPL Pledger</a:t>
          </a:r>
          <a:endParaRPr b="0" lang="en-US" sz="800" strike="noStrike" u="none">
            <a:effectLst/>
            <a:uFillTx/>
            <a:latin typeface="Times New Roman"/>
          </a:endParaRPr>
        </a:p>
      </xdr:txBody>
    </xdr:sp>
    <xdr:clientData/>
  </xdr:twoCellAnchor>
  <xdr:twoCellAnchor editAs="absolute">
    <xdr:from>
      <xdr:col>6</xdr:col>
      <xdr:colOff>0</xdr:colOff>
      <xdr:row>8</xdr:row>
      <xdr:rowOff>162000</xdr:rowOff>
    </xdr:from>
    <xdr:to>
      <xdr:col>7</xdr:col>
      <xdr:colOff>32760</xdr:colOff>
      <xdr:row>9</xdr:row>
      <xdr:rowOff>161640</xdr:rowOff>
    </xdr:to>
    <xdr:sp>
      <xdr:nvSpPr>
        <xdr:cNvPr id="169" name="julbypass2"/>
        <xdr:cNvSpPr/>
      </xdr:nvSpPr>
      <xdr:spPr>
        <a:xfrm>
          <a:off x="5541480" y="1800360"/>
          <a:ext cx="794160" cy="209160"/>
        </a:xfrm>
        <a:prstGeom prst="line">
          <a:avLst/>
        </a:prstGeom>
        <a:ln w="9360">
          <a:solidFill>
            <a:srgbClr val="008000"/>
          </a:solidFill>
          <a:miter/>
          <a:tailEnd len="med" type="triangle" w="med"/>
        </a:ln>
      </xdr:spPr>
      <xdr:style>
        <a:lnRef idx="0"/>
        <a:fillRef idx="0"/>
        <a:effectRef idx="0"/>
        <a:fontRef idx="minor"/>
      </xdr:style>
    </xdr:sp>
    <xdr:clientData/>
  </xdr:twoCellAnchor>
  <xdr:twoCellAnchor editAs="absolute">
    <xdr:from>
      <xdr:col>7</xdr:col>
      <xdr:colOff>455040</xdr:colOff>
      <xdr:row>11</xdr:row>
      <xdr:rowOff>171000</xdr:rowOff>
    </xdr:from>
    <xdr:to>
      <xdr:col>8</xdr:col>
      <xdr:colOff>85680</xdr:colOff>
      <xdr:row>12</xdr:row>
      <xdr:rowOff>123480</xdr:rowOff>
    </xdr:to>
    <xdr:sp>
      <xdr:nvSpPr>
        <xdr:cNvPr id="170" name="Text 30"/>
        <xdr:cNvSpPr/>
      </xdr:nvSpPr>
      <xdr:spPr>
        <a:xfrm flipV="1">
          <a:off x="6757920" y="2418840"/>
          <a:ext cx="392040" cy="15264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0.0 </a:t>
          </a:r>
          <a:endParaRPr b="0" lang="en-US" sz="800" strike="noStrike" u="none">
            <a:effectLst/>
            <a:uFillTx/>
            <a:latin typeface="Times New Roman"/>
          </a:endParaRPr>
        </a:p>
      </xdr:txBody>
    </xdr:sp>
    <xdr:clientData/>
  </xdr:twoCellAnchor>
  <xdr:twoCellAnchor editAs="absolute">
    <xdr:from>
      <xdr:col>7</xdr:col>
      <xdr:colOff>423360</xdr:colOff>
      <xdr:row>10</xdr:row>
      <xdr:rowOff>18360</xdr:rowOff>
    </xdr:from>
    <xdr:to>
      <xdr:col>8</xdr:col>
      <xdr:colOff>53640</xdr:colOff>
      <xdr:row>10</xdr:row>
      <xdr:rowOff>170640</xdr:rowOff>
    </xdr:to>
    <xdr:sp>
      <xdr:nvSpPr>
        <xdr:cNvPr id="171" name="Text 30"/>
        <xdr:cNvSpPr/>
      </xdr:nvSpPr>
      <xdr:spPr>
        <a:xfrm flipV="1">
          <a:off x="6726240" y="2066040"/>
          <a:ext cx="391680" cy="15228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0.0 </a:t>
          </a:r>
          <a:endParaRPr b="0" lang="en-US" sz="800" strike="noStrike" u="none">
            <a:effectLst/>
            <a:uFillTx/>
            <a:latin typeface="Times New Roman"/>
          </a:endParaRPr>
        </a:p>
      </xdr:txBody>
    </xdr:sp>
    <xdr:clientData/>
  </xdr:twoCellAnchor>
  <xdr:twoCellAnchor editAs="absolute">
    <xdr:from>
      <xdr:col>7</xdr:col>
      <xdr:colOff>348840</xdr:colOff>
      <xdr:row>10</xdr:row>
      <xdr:rowOff>161640</xdr:rowOff>
    </xdr:from>
    <xdr:to>
      <xdr:col>8</xdr:col>
      <xdr:colOff>434160</xdr:colOff>
      <xdr:row>11</xdr:row>
      <xdr:rowOff>161640</xdr:rowOff>
    </xdr:to>
    <xdr:sp>
      <xdr:nvSpPr>
        <xdr:cNvPr id="172" name="16296"/>
        <xdr:cNvSpPr/>
      </xdr:nvSpPr>
      <xdr:spPr>
        <a:xfrm>
          <a:off x="6651720" y="2209680"/>
          <a:ext cx="846720" cy="199800"/>
        </a:xfrm>
        <a:prstGeom prst="roundRect">
          <a:avLst>
            <a:gd name="adj" fmla="val 50000"/>
          </a:avLst>
        </a:prstGeom>
        <a:solidFill>
          <a:srgbClr val="ffffff">
            <a:alpha val="50000"/>
          </a:srgbClr>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HPL Hastings</a:t>
          </a:r>
          <a:endParaRPr b="0" lang="en-US" sz="800" strike="noStrike" u="none">
            <a:effectLst/>
            <a:uFillTx/>
            <a:latin typeface="Times New Roman"/>
          </a:endParaRPr>
        </a:p>
      </xdr:txBody>
    </xdr:sp>
    <xdr:clientData/>
  </xdr:twoCellAnchor>
  <xdr:twoCellAnchor editAs="absolute">
    <xdr:from>
      <xdr:col>7</xdr:col>
      <xdr:colOff>370080</xdr:colOff>
      <xdr:row>9</xdr:row>
      <xdr:rowOff>123480</xdr:rowOff>
    </xdr:from>
    <xdr:to>
      <xdr:col>7</xdr:col>
      <xdr:colOff>423720</xdr:colOff>
      <xdr:row>10</xdr:row>
      <xdr:rowOff>161640</xdr:rowOff>
    </xdr:to>
    <xdr:sp>
      <xdr:nvSpPr>
        <xdr:cNvPr id="173" name="Line 174"/>
        <xdr:cNvSpPr/>
      </xdr:nvSpPr>
      <xdr:spPr>
        <a:xfrm flipH="1" flipV="1">
          <a:off x="6672960" y="1971360"/>
          <a:ext cx="53640" cy="23832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absolute">
    <xdr:from>
      <xdr:col>6</xdr:col>
      <xdr:colOff>475920</xdr:colOff>
      <xdr:row>7</xdr:row>
      <xdr:rowOff>38160</xdr:rowOff>
    </xdr:from>
    <xdr:to>
      <xdr:col>7</xdr:col>
      <xdr:colOff>128160</xdr:colOff>
      <xdr:row>7</xdr:row>
      <xdr:rowOff>190440</xdr:rowOff>
    </xdr:to>
    <xdr:sp>
      <xdr:nvSpPr>
        <xdr:cNvPr id="174" name="Text 30"/>
        <xdr:cNvSpPr/>
      </xdr:nvSpPr>
      <xdr:spPr>
        <a:xfrm flipV="1">
          <a:off x="6017400" y="1466640"/>
          <a:ext cx="413640" cy="15228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(0.2)</a:t>
          </a:r>
          <a:endParaRPr b="0" lang="en-US" sz="800" strike="noStrike" u="none">
            <a:effectLst/>
            <a:uFillTx/>
            <a:latin typeface="Times New Roman"/>
          </a:endParaRPr>
        </a:p>
      </xdr:txBody>
    </xdr:sp>
    <xdr:clientData/>
  </xdr:twoCellAnchor>
  <xdr:twoCellAnchor editAs="absolute">
    <xdr:from>
      <xdr:col>6</xdr:col>
      <xdr:colOff>475920</xdr:colOff>
      <xdr:row>5</xdr:row>
      <xdr:rowOff>75960</xdr:rowOff>
    </xdr:from>
    <xdr:to>
      <xdr:col>7</xdr:col>
      <xdr:colOff>128160</xdr:colOff>
      <xdr:row>6</xdr:row>
      <xdr:rowOff>18360</xdr:rowOff>
    </xdr:to>
    <xdr:sp>
      <xdr:nvSpPr>
        <xdr:cNvPr id="175" name="Text 30"/>
        <xdr:cNvSpPr/>
      </xdr:nvSpPr>
      <xdr:spPr>
        <a:xfrm flipV="1">
          <a:off x="6017400" y="1104480"/>
          <a:ext cx="413640" cy="14220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0.0 </a:t>
          </a:r>
          <a:endParaRPr b="0" lang="en-US" sz="800" strike="noStrike" u="none">
            <a:effectLst/>
            <a:uFillTx/>
            <a:latin typeface="Times New Roman"/>
          </a:endParaRPr>
        </a:p>
      </xdr:txBody>
    </xdr:sp>
    <xdr:clientData/>
  </xdr:twoCellAnchor>
  <xdr:twoCellAnchor editAs="absolute">
    <xdr:from>
      <xdr:col>6</xdr:col>
      <xdr:colOff>285840</xdr:colOff>
      <xdr:row>6</xdr:row>
      <xdr:rowOff>28800</xdr:rowOff>
    </xdr:from>
    <xdr:to>
      <xdr:col>7</xdr:col>
      <xdr:colOff>413640</xdr:colOff>
      <xdr:row>7</xdr:row>
      <xdr:rowOff>28440</xdr:rowOff>
    </xdr:to>
    <xdr:sp>
      <xdr:nvSpPr>
        <xdr:cNvPr id="176" name="26018"/>
        <xdr:cNvSpPr/>
      </xdr:nvSpPr>
      <xdr:spPr>
        <a:xfrm>
          <a:off x="5827320" y="1257480"/>
          <a:ext cx="889200" cy="199800"/>
        </a:xfrm>
        <a:prstGeom prst="roundRect">
          <a:avLst>
            <a:gd name="adj" fmla="val 50000"/>
          </a:avLst>
        </a:prstGeom>
        <a:solidFill>
          <a:srgbClr val="ffffff">
            <a:alpha val="50000"/>
          </a:srgbClr>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HPL Pearland</a:t>
          </a:r>
          <a:endParaRPr b="0" lang="en-US" sz="800" strike="noStrike" u="none">
            <a:effectLst/>
            <a:uFillTx/>
            <a:latin typeface="Times New Roman"/>
          </a:endParaRPr>
        </a:p>
      </xdr:txBody>
    </xdr:sp>
    <xdr:clientData/>
  </xdr:twoCellAnchor>
  <xdr:twoCellAnchor editAs="absolute">
    <xdr:from>
      <xdr:col>7</xdr:col>
      <xdr:colOff>200520</xdr:colOff>
      <xdr:row>7</xdr:row>
      <xdr:rowOff>65880</xdr:rowOff>
    </xdr:from>
    <xdr:to>
      <xdr:col>7</xdr:col>
      <xdr:colOff>254160</xdr:colOff>
      <xdr:row>9</xdr:row>
      <xdr:rowOff>123120</xdr:rowOff>
    </xdr:to>
    <xdr:sp>
      <xdr:nvSpPr>
        <xdr:cNvPr id="177" name="Line 178"/>
        <xdr:cNvSpPr/>
      </xdr:nvSpPr>
      <xdr:spPr>
        <a:xfrm flipH="1" flipV="1">
          <a:off x="6503400" y="1494720"/>
          <a:ext cx="53640" cy="47628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absolute">
    <xdr:from>
      <xdr:col>9</xdr:col>
      <xdr:colOff>84960</xdr:colOff>
      <xdr:row>12</xdr:row>
      <xdr:rowOff>104400</xdr:rowOff>
    </xdr:from>
    <xdr:to>
      <xdr:col>9</xdr:col>
      <xdr:colOff>508680</xdr:colOff>
      <xdr:row>13</xdr:row>
      <xdr:rowOff>85680</xdr:rowOff>
    </xdr:to>
    <xdr:sp>
      <xdr:nvSpPr>
        <xdr:cNvPr id="178" name="Text 30"/>
        <xdr:cNvSpPr/>
      </xdr:nvSpPr>
      <xdr:spPr>
        <a:xfrm flipV="1">
          <a:off x="7910640" y="2552040"/>
          <a:ext cx="423720" cy="18108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37.8 </a:t>
          </a:r>
          <a:endParaRPr b="0" lang="en-US" sz="800" strike="noStrike" u="none">
            <a:effectLst/>
            <a:uFillTx/>
            <a:latin typeface="Times New Roman"/>
          </a:endParaRPr>
        </a:p>
      </xdr:txBody>
    </xdr:sp>
    <xdr:clientData/>
  </xdr:twoCellAnchor>
  <xdr:twoCellAnchor editAs="absolute">
    <xdr:from>
      <xdr:col>9</xdr:col>
      <xdr:colOff>84960</xdr:colOff>
      <xdr:row>10</xdr:row>
      <xdr:rowOff>142560</xdr:rowOff>
    </xdr:from>
    <xdr:to>
      <xdr:col>9</xdr:col>
      <xdr:colOff>466200</xdr:colOff>
      <xdr:row>11</xdr:row>
      <xdr:rowOff>133200</xdr:rowOff>
    </xdr:to>
    <xdr:sp>
      <xdr:nvSpPr>
        <xdr:cNvPr id="179" name="Text 30"/>
        <xdr:cNvSpPr/>
      </xdr:nvSpPr>
      <xdr:spPr>
        <a:xfrm flipV="1">
          <a:off x="7910640" y="2190240"/>
          <a:ext cx="381240" cy="19044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37.7 </a:t>
          </a:r>
          <a:endParaRPr b="0" lang="en-US" sz="800" strike="noStrike" u="none">
            <a:effectLst/>
            <a:uFillTx/>
            <a:latin typeface="Times New Roman"/>
          </a:endParaRPr>
        </a:p>
      </xdr:txBody>
    </xdr:sp>
    <xdr:clientData/>
  </xdr:twoCellAnchor>
  <xdr:twoCellAnchor editAs="absolute">
    <xdr:from>
      <xdr:col>8</xdr:col>
      <xdr:colOff>708840</xdr:colOff>
      <xdr:row>11</xdr:row>
      <xdr:rowOff>95400</xdr:rowOff>
    </xdr:from>
    <xdr:to>
      <xdr:col>10</xdr:col>
      <xdr:colOff>116640</xdr:colOff>
      <xdr:row>12</xdr:row>
      <xdr:rowOff>86040</xdr:rowOff>
    </xdr:to>
    <xdr:sp>
      <xdr:nvSpPr>
        <xdr:cNvPr id="180" name="16058"/>
        <xdr:cNvSpPr/>
      </xdr:nvSpPr>
      <xdr:spPr>
        <a:xfrm>
          <a:off x="7773120" y="2343240"/>
          <a:ext cx="930600" cy="190800"/>
        </a:xfrm>
        <a:prstGeom prst="roundRect">
          <a:avLst>
            <a:gd name="adj" fmla="val 50000"/>
          </a:avLst>
        </a:prstGeom>
        <a:solidFill>
          <a:srgbClr val="ffffff">
            <a:alpha val="50000"/>
          </a:srgbClr>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Exx Clearlake</a:t>
          </a:r>
          <a:endParaRPr b="0" lang="en-US" sz="800" strike="noStrike" u="none">
            <a:effectLst/>
            <a:uFillTx/>
            <a:latin typeface="Times New Roman"/>
          </a:endParaRPr>
        </a:p>
      </xdr:txBody>
    </xdr:sp>
    <xdr:clientData/>
  </xdr:twoCellAnchor>
  <xdr:twoCellAnchor editAs="absolute">
    <xdr:from>
      <xdr:col>7</xdr:col>
      <xdr:colOff>729360</xdr:colOff>
      <xdr:row>8</xdr:row>
      <xdr:rowOff>86040</xdr:rowOff>
    </xdr:from>
    <xdr:to>
      <xdr:col>9</xdr:col>
      <xdr:colOff>720</xdr:colOff>
      <xdr:row>11</xdr:row>
      <xdr:rowOff>95400</xdr:rowOff>
    </xdr:to>
    <xdr:sp>
      <xdr:nvSpPr>
        <xdr:cNvPr id="181" name="Line 182"/>
        <xdr:cNvSpPr/>
      </xdr:nvSpPr>
      <xdr:spPr>
        <a:xfrm>
          <a:off x="7032240" y="1724400"/>
          <a:ext cx="794160" cy="618840"/>
        </a:xfrm>
        <a:prstGeom prst="line">
          <a:avLst/>
        </a:prstGeom>
        <a:ln w="9360">
          <a:solidFill>
            <a:srgbClr val="000000"/>
          </a:solidFill>
          <a:miter/>
          <a:headEnd len="med" type="triangle" w="med"/>
        </a:ln>
      </xdr:spPr>
      <xdr:style>
        <a:lnRef idx="0"/>
        <a:fillRef idx="0"/>
        <a:effectRef idx="0"/>
        <a:fontRef idx="minor"/>
      </xdr:style>
    </xdr:sp>
    <xdr:clientData/>
  </xdr:twoCellAnchor>
  <xdr:twoCellAnchor editAs="absolute">
    <xdr:from>
      <xdr:col>10</xdr:col>
      <xdr:colOff>306360</xdr:colOff>
      <xdr:row>10</xdr:row>
      <xdr:rowOff>113760</xdr:rowOff>
    </xdr:from>
    <xdr:to>
      <xdr:col>10</xdr:col>
      <xdr:colOff>656640</xdr:colOff>
      <xdr:row>11</xdr:row>
      <xdr:rowOff>66600</xdr:rowOff>
    </xdr:to>
    <xdr:sp>
      <xdr:nvSpPr>
        <xdr:cNvPr id="182" name="Text 30"/>
        <xdr:cNvSpPr/>
      </xdr:nvSpPr>
      <xdr:spPr>
        <a:xfrm flipV="1">
          <a:off x="8893440" y="2161800"/>
          <a:ext cx="350280" cy="15264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7.9 </a:t>
          </a:r>
          <a:endParaRPr b="0" lang="en-US" sz="800" strike="noStrike" u="none">
            <a:effectLst/>
            <a:uFillTx/>
            <a:latin typeface="Times New Roman"/>
          </a:endParaRPr>
        </a:p>
      </xdr:txBody>
    </xdr:sp>
    <xdr:clientData/>
  </xdr:twoCellAnchor>
  <xdr:twoCellAnchor editAs="absolute">
    <xdr:from>
      <xdr:col>10</xdr:col>
      <xdr:colOff>285480</xdr:colOff>
      <xdr:row>8</xdr:row>
      <xdr:rowOff>161640</xdr:rowOff>
    </xdr:from>
    <xdr:to>
      <xdr:col>10</xdr:col>
      <xdr:colOff>646200</xdr:colOff>
      <xdr:row>9</xdr:row>
      <xdr:rowOff>133200</xdr:rowOff>
    </xdr:to>
    <xdr:sp>
      <xdr:nvSpPr>
        <xdr:cNvPr id="183" name="Text 30"/>
        <xdr:cNvSpPr/>
      </xdr:nvSpPr>
      <xdr:spPr>
        <a:xfrm flipV="1">
          <a:off x="8872560" y="1799640"/>
          <a:ext cx="360720" cy="18108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9.8 </a:t>
          </a:r>
          <a:endParaRPr b="0" lang="en-US" sz="800" strike="noStrike" u="none">
            <a:effectLst/>
            <a:uFillTx/>
            <a:latin typeface="Times New Roman"/>
          </a:endParaRPr>
        </a:p>
      </xdr:txBody>
    </xdr:sp>
    <xdr:clientData/>
  </xdr:twoCellAnchor>
  <xdr:twoCellAnchor editAs="absolute">
    <xdr:from>
      <xdr:col>10</xdr:col>
      <xdr:colOff>158400</xdr:colOff>
      <xdr:row>9</xdr:row>
      <xdr:rowOff>104760</xdr:rowOff>
    </xdr:from>
    <xdr:to>
      <xdr:col>11</xdr:col>
      <xdr:colOff>455760</xdr:colOff>
      <xdr:row>10</xdr:row>
      <xdr:rowOff>104400</xdr:rowOff>
    </xdr:to>
    <xdr:sp>
      <xdr:nvSpPr>
        <xdr:cNvPr id="184" name="16355"/>
        <xdr:cNvSpPr/>
      </xdr:nvSpPr>
      <xdr:spPr>
        <a:xfrm>
          <a:off x="8745480" y="1952640"/>
          <a:ext cx="1058760" cy="199800"/>
        </a:xfrm>
        <a:prstGeom prst="roundRect">
          <a:avLst>
            <a:gd name="adj" fmla="val 50000"/>
          </a:avLst>
        </a:prstGeom>
        <a:solidFill>
          <a:srgbClr val="ffffff">
            <a:alpha val="50000"/>
          </a:srgbClr>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Vintage Baytown</a:t>
          </a:r>
          <a:endParaRPr b="0" lang="en-US" sz="800" strike="noStrike" u="none">
            <a:effectLst/>
            <a:uFillTx/>
            <a:latin typeface="Times New Roman"/>
          </a:endParaRPr>
        </a:p>
      </xdr:txBody>
    </xdr:sp>
    <xdr:clientData/>
  </xdr:twoCellAnchor>
  <xdr:twoCellAnchor editAs="absolute">
    <xdr:from>
      <xdr:col>8</xdr:col>
      <xdr:colOff>295920</xdr:colOff>
      <xdr:row>7</xdr:row>
      <xdr:rowOff>104760</xdr:rowOff>
    </xdr:from>
    <xdr:to>
      <xdr:col>10</xdr:col>
      <xdr:colOff>138240</xdr:colOff>
      <xdr:row>9</xdr:row>
      <xdr:rowOff>171000</xdr:rowOff>
    </xdr:to>
    <xdr:sp>
      <xdr:nvSpPr>
        <xdr:cNvPr id="185" name="Line 186"/>
        <xdr:cNvSpPr/>
      </xdr:nvSpPr>
      <xdr:spPr>
        <a:xfrm flipH="1" flipV="1">
          <a:off x="7360200" y="1533600"/>
          <a:ext cx="1365120" cy="48528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absolute">
    <xdr:from>
      <xdr:col>7</xdr:col>
      <xdr:colOff>528840</xdr:colOff>
      <xdr:row>5</xdr:row>
      <xdr:rowOff>85320</xdr:rowOff>
    </xdr:from>
    <xdr:to>
      <xdr:col>8</xdr:col>
      <xdr:colOff>180720</xdr:colOff>
      <xdr:row>6</xdr:row>
      <xdr:rowOff>28440</xdr:rowOff>
    </xdr:to>
    <xdr:sp>
      <xdr:nvSpPr>
        <xdr:cNvPr id="186" name="Text 30"/>
        <xdr:cNvSpPr/>
      </xdr:nvSpPr>
      <xdr:spPr>
        <a:xfrm flipV="1">
          <a:off x="6831720" y="1113840"/>
          <a:ext cx="413280" cy="14292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(50.0)</a:t>
          </a:r>
          <a:endParaRPr b="0" lang="en-US" sz="800" strike="noStrike" u="none">
            <a:effectLst/>
            <a:uFillTx/>
            <a:latin typeface="Times New Roman"/>
          </a:endParaRPr>
        </a:p>
      </xdr:txBody>
    </xdr:sp>
    <xdr:clientData/>
  </xdr:twoCellAnchor>
  <xdr:twoCellAnchor editAs="absolute">
    <xdr:from>
      <xdr:col>8</xdr:col>
      <xdr:colOff>306360</xdr:colOff>
      <xdr:row>5</xdr:row>
      <xdr:rowOff>133200</xdr:rowOff>
    </xdr:from>
    <xdr:to>
      <xdr:col>8</xdr:col>
      <xdr:colOff>307080</xdr:colOff>
      <xdr:row>6</xdr:row>
      <xdr:rowOff>142560</xdr:rowOff>
    </xdr:to>
    <xdr:sp>
      <xdr:nvSpPr>
        <xdr:cNvPr id="187" name="Line 188"/>
        <xdr:cNvSpPr/>
      </xdr:nvSpPr>
      <xdr:spPr>
        <a:xfrm flipV="1">
          <a:off x="7370640" y="1162080"/>
          <a:ext cx="720" cy="20916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absolute">
    <xdr:from>
      <xdr:col>9</xdr:col>
      <xdr:colOff>539280</xdr:colOff>
      <xdr:row>8</xdr:row>
      <xdr:rowOff>142920</xdr:rowOff>
    </xdr:from>
    <xdr:to>
      <xdr:col>10</xdr:col>
      <xdr:colOff>223200</xdr:colOff>
      <xdr:row>9</xdr:row>
      <xdr:rowOff>85680</xdr:rowOff>
    </xdr:to>
    <xdr:sp>
      <xdr:nvSpPr>
        <xdr:cNvPr id="188" name="Text 30"/>
        <xdr:cNvSpPr/>
      </xdr:nvSpPr>
      <xdr:spPr>
        <a:xfrm flipV="1">
          <a:off x="8364960" y="1780920"/>
          <a:ext cx="445320" cy="15228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(18.2)</a:t>
          </a:r>
          <a:endParaRPr b="0" lang="en-US" sz="800" strike="noStrike" u="none">
            <a:effectLst/>
            <a:uFillTx/>
            <a:latin typeface="Times New Roman"/>
          </a:endParaRPr>
        </a:p>
      </xdr:txBody>
    </xdr:sp>
    <xdr:clientData/>
  </xdr:twoCellAnchor>
  <xdr:twoCellAnchor editAs="absolute">
    <xdr:from>
      <xdr:col>9</xdr:col>
      <xdr:colOff>539280</xdr:colOff>
      <xdr:row>6</xdr:row>
      <xdr:rowOff>161280</xdr:rowOff>
    </xdr:from>
    <xdr:to>
      <xdr:col>10</xdr:col>
      <xdr:colOff>212040</xdr:colOff>
      <xdr:row>7</xdr:row>
      <xdr:rowOff>114120</xdr:rowOff>
    </xdr:to>
    <xdr:sp>
      <xdr:nvSpPr>
        <xdr:cNvPr id="189" name="Text 30"/>
        <xdr:cNvSpPr/>
      </xdr:nvSpPr>
      <xdr:spPr>
        <a:xfrm flipV="1">
          <a:off x="8364960" y="1389600"/>
          <a:ext cx="434160" cy="15300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(20.4)</a:t>
          </a:r>
          <a:endParaRPr b="0" lang="en-US" sz="800" strike="noStrike" u="none">
            <a:effectLst/>
            <a:uFillTx/>
            <a:latin typeface="Times New Roman"/>
          </a:endParaRPr>
        </a:p>
      </xdr:txBody>
    </xdr:sp>
    <xdr:clientData/>
  </xdr:twoCellAnchor>
  <xdr:twoCellAnchor editAs="absolute">
    <xdr:from>
      <xdr:col>9</xdr:col>
      <xdr:colOff>433440</xdr:colOff>
      <xdr:row>7</xdr:row>
      <xdr:rowOff>123480</xdr:rowOff>
    </xdr:from>
    <xdr:to>
      <xdr:col>10</xdr:col>
      <xdr:colOff>497520</xdr:colOff>
      <xdr:row>8</xdr:row>
      <xdr:rowOff>123480</xdr:rowOff>
    </xdr:to>
    <xdr:sp>
      <xdr:nvSpPr>
        <xdr:cNvPr id="190" name="26026"/>
        <xdr:cNvSpPr/>
      </xdr:nvSpPr>
      <xdr:spPr>
        <a:xfrm>
          <a:off x="8259120" y="1552320"/>
          <a:ext cx="825480" cy="209520"/>
        </a:xfrm>
        <a:prstGeom prst="roundRect">
          <a:avLst>
            <a:gd name="adj" fmla="val 50000"/>
          </a:avLst>
        </a:prstGeom>
        <a:solidFill>
          <a:srgbClr val="ffffff">
            <a:alpha val="50000"/>
          </a:srgbClr>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HPL Warren</a:t>
          </a:r>
          <a:endParaRPr b="0" lang="en-US" sz="800" strike="noStrike" u="none">
            <a:effectLst/>
            <a:uFillTx/>
            <a:latin typeface="Times New Roman"/>
          </a:endParaRPr>
        </a:p>
      </xdr:txBody>
    </xdr:sp>
    <xdr:clientData/>
  </xdr:twoCellAnchor>
  <xdr:twoCellAnchor editAs="absolute">
    <xdr:from>
      <xdr:col>8</xdr:col>
      <xdr:colOff>581400</xdr:colOff>
      <xdr:row>6</xdr:row>
      <xdr:rowOff>86040</xdr:rowOff>
    </xdr:from>
    <xdr:to>
      <xdr:col>9</xdr:col>
      <xdr:colOff>434160</xdr:colOff>
      <xdr:row>7</xdr:row>
      <xdr:rowOff>162000</xdr:rowOff>
    </xdr:to>
    <xdr:sp>
      <xdr:nvSpPr>
        <xdr:cNvPr id="191" name="Line 192"/>
        <xdr:cNvSpPr/>
      </xdr:nvSpPr>
      <xdr:spPr>
        <a:xfrm>
          <a:off x="7645680" y="1314720"/>
          <a:ext cx="614160" cy="27612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absolute">
    <xdr:from>
      <xdr:col>8</xdr:col>
      <xdr:colOff>613440</xdr:colOff>
      <xdr:row>2</xdr:row>
      <xdr:rowOff>190080</xdr:rowOff>
    </xdr:from>
    <xdr:to>
      <xdr:col>9</xdr:col>
      <xdr:colOff>254520</xdr:colOff>
      <xdr:row>3</xdr:row>
      <xdr:rowOff>133200</xdr:rowOff>
    </xdr:to>
    <xdr:sp>
      <xdr:nvSpPr>
        <xdr:cNvPr id="192" name="Text 30"/>
        <xdr:cNvSpPr/>
      </xdr:nvSpPr>
      <xdr:spPr>
        <a:xfrm flipV="1">
          <a:off x="7677720" y="599400"/>
          <a:ext cx="402480" cy="14292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0.0 </a:t>
          </a:r>
          <a:endParaRPr b="0" lang="en-US" sz="800" strike="noStrike" u="none">
            <a:effectLst/>
            <a:uFillTx/>
            <a:latin typeface="Times New Roman"/>
          </a:endParaRPr>
        </a:p>
      </xdr:txBody>
    </xdr:sp>
    <xdr:clientData/>
  </xdr:twoCellAnchor>
  <xdr:twoCellAnchor editAs="absolute">
    <xdr:from>
      <xdr:col>8</xdr:col>
      <xdr:colOff>603000</xdr:colOff>
      <xdr:row>1</xdr:row>
      <xdr:rowOff>28080</xdr:rowOff>
    </xdr:from>
    <xdr:to>
      <xdr:col>9</xdr:col>
      <xdr:colOff>254520</xdr:colOff>
      <xdr:row>1</xdr:row>
      <xdr:rowOff>209160</xdr:rowOff>
    </xdr:to>
    <xdr:sp>
      <xdr:nvSpPr>
        <xdr:cNvPr id="193" name="Text 30"/>
        <xdr:cNvSpPr/>
      </xdr:nvSpPr>
      <xdr:spPr>
        <a:xfrm flipV="1">
          <a:off x="7667280" y="227520"/>
          <a:ext cx="412920" cy="18108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0.0 </a:t>
          </a:r>
          <a:endParaRPr b="0" lang="en-US" sz="800" strike="noStrike" u="none">
            <a:effectLst/>
            <a:uFillTx/>
            <a:latin typeface="Times New Roman"/>
          </a:endParaRPr>
        </a:p>
      </xdr:txBody>
    </xdr:sp>
    <xdr:clientData/>
  </xdr:twoCellAnchor>
  <xdr:twoCellAnchor editAs="absolute">
    <xdr:from>
      <xdr:col>8</xdr:col>
      <xdr:colOff>496800</xdr:colOff>
      <xdr:row>1</xdr:row>
      <xdr:rowOff>180720</xdr:rowOff>
    </xdr:from>
    <xdr:to>
      <xdr:col>9</xdr:col>
      <xdr:colOff>687960</xdr:colOff>
      <xdr:row>2</xdr:row>
      <xdr:rowOff>181080</xdr:rowOff>
    </xdr:to>
    <xdr:sp>
      <xdr:nvSpPr>
        <xdr:cNvPr id="194" name="16168"/>
        <xdr:cNvSpPr/>
      </xdr:nvSpPr>
      <xdr:spPr>
        <a:xfrm>
          <a:off x="7561080" y="380880"/>
          <a:ext cx="952560" cy="209880"/>
        </a:xfrm>
        <a:prstGeom prst="roundRect">
          <a:avLst>
            <a:gd name="adj" fmla="val 50000"/>
          </a:avLst>
        </a:prstGeom>
        <a:solidFill>
          <a:srgbClr val="ffffff">
            <a:alpha val="50000"/>
          </a:srgbClr>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Midcon Devers</a:t>
          </a:r>
          <a:endParaRPr b="0" lang="en-US" sz="800" strike="noStrike" u="none">
            <a:effectLst/>
            <a:uFillTx/>
            <a:latin typeface="Times New Roman"/>
          </a:endParaRPr>
        </a:p>
      </xdr:txBody>
    </xdr:sp>
    <xdr:clientData/>
  </xdr:twoCellAnchor>
  <xdr:twoCellAnchor editAs="absolute">
    <xdr:from>
      <xdr:col>9</xdr:col>
      <xdr:colOff>243360</xdr:colOff>
      <xdr:row>3</xdr:row>
      <xdr:rowOff>28800</xdr:rowOff>
    </xdr:from>
    <xdr:to>
      <xdr:col>9</xdr:col>
      <xdr:colOff>296640</xdr:colOff>
      <xdr:row>3</xdr:row>
      <xdr:rowOff>190800</xdr:rowOff>
    </xdr:to>
    <xdr:sp>
      <xdr:nvSpPr>
        <xdr:cNvPr id="195" name="Line 196"/>
        <xdr:cNvSpPr/>
      </xdr:nvSpPr>
      <xdr:spPr>
        <a:xfrm>
          <a:off x="8069040" y="638280"/>
          <a:ext cx="53280" cy="16200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absolute">
    <xdr:from>
      <xdr:col>11</xdr:col>
      <xdr:colOff>10440</xdr:colOff>
      <xdr:row>8</xdr:row>
      <xdr:rowOff>94680</xdr:rowOff>
    </xdr:from>
    <xdr:to>
      <xdr:col>11</xdr:col>
      <xdr:colOff>455760</xdr:colOff>
      <xdr:row>9</xdr:row>
      <xdr:rowOff>85680</xdr:rowOff>
    </xdr:to>
    <xdr:sp>
      <xdr:nvSpPr>
        <xdr:cNvPr id="196" name="Text 30"/>
        <xdr:cNvSpPr/>
      </xdr:nvSpPr>
      <xdr:spPr>
        <a:xfrm flipV="1">
          <a:off x="9358920" y="1732680"/>
          <a:ext cx="445320" cy="20052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(11.4)</a:t>
          </a:r>
          <a:endParaRPr b="0" lang="en-US" sz="800" strike="noStrike" u="none">
            <a:effectLst/>
            <a:uFillTx/>
            <a:latin typeface="Times New Roman"/>
          </a:endParaRPr>
        </a:p>
      </xdr:txBody>
    </xdr:sp>
    <xdr:clientData/>
  </xdr:twoCellAnchor>
  <xdr:twoCellAnchor editAs="absolute">
    <xdr:from>
      <xdr:col>10</xdr:col>
      <xdr:colOff>686880</xdr:colOff>
      <xdr:row>7</xdr:row>
      <xdr:rowOff>104760</xdr:rowOff>
    </xdr:from>
    <xdr:to>
      <xdr:col>12</xdr:col>
      <xdr:colOff>53640</xdr:colOff>
      <xdr:row>8</xdr:row>
      <xdr:rowOff>104760</xdr:rowOff>
    </xdr:to>
    <xdr:sp>
      <xdr:nvSpPr>
        <xdr:cNvPr id="197" name="26021"/>
        <xdr:cNvSpPr/>
      </xdr:nvSpPr>
      <xdr:spPr>
        <a:xfrm>
          <a:off x="9273960" y="1533600"/>
          <a:ext cx="889560" cy="209520"/>
        </a:xfrm>
        <a:prstGeom prst="roundRect">
          <a:avLst>
            <a:gd name="adj" fmla="val 50000"/>
          </a:avLst>
        </a:prstGeom>
        <a:solidFill>
          <a:srgbClr val="ffffff">
            <a:alpha val="50000"/>
          </a:srgbClr>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HPL Beaum</a:t>
          </a:r>
          <a:endParaRPr b="0" lang="en-US" sz="800" strike="noStrike" u="none">
            <a:effectLst/>
            <a:uFillTx/>
            <a:latin typeface="Times New Roman"/>
          </a:endParaRPr>
        </a:p>
      </xdr:txBody>
    </xdr:sp>
    <xdr:clientData/>
  </xdr:twoCellAnchor>
  <xdr:twoCellAnchor editAs="absolute">
    <xdr:from>
      <xdr:col>9</xdr:col>
      <xdr:colOff>423000</xdr:colOff>
      <xdr:row>4</xdr:row>
      <xdr:rowOff>66600</xdr:rowOff>
    </xdr:from>
    <xdr:to>
      <xdr:col>10</xdr:col>
      <xdr:colOff>719640</xdr:colOff>
      <xdr:row>7</xdr:row>
      <xdr:rowOff>123480</xdr:rowOff>
    </xdr:to>
    <xdr:sp>
      <xdr:nvSpPr>
        <xdr:cNvPr id="198" name="Line 199"/>
        <xdr:cNvSpPr/>
      </xdr:nvSpPr>
      <xdr:spPr>
        <a:xfrm>
          <a:off x="8248680" y="885600"/>
          <a:ext cx="1058040" cy="66672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absolute">
    <xdr:from>
      <xdr:col>9</xdr:col>
      <xdr:colOff>687240</xdr:colOff>
      <xdr:row>0</xdr:row>
      <xdr:rowOff>-360</xdr:rowOff>
    </xdr:from>
    <xdr:to>
      <xdr:col>10</xdr:col>
      <xdr:colOff>392040</xdr:colOff>
      <xdr:row>0</xdr:row>
      <xdr:rowOff>142560</xdr:rowOff>
    </xdr:to>
    <xdr:sp>
      <xdr:nvSpPr>
        <xdr:cNvPr id="199" name="Text 30"/>
        <xdr:cNvSpPr/>
      </xdr:nvSpPr>
      <xdr:spPr>
        <a:xfrm flipV="1">
          <a:off x="8512920" y="-720"/>
          <a:ext cx="466200" cy="14292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70.9 </a:t>
          </a:r>
          <a:endParaRPr b="0" lang="en-US" sz="800" strike="noStrike" u="none">
            <a:effectLst/>
            <a:uFillTx/>
            <a:latin typeface="Times New Roman"/>
          </a:endParaRPr>
        </a:p>
      </xdr:txBody>
    </xdr:sp>
    <xdr:clientData/>
  </xdr:twoCellAnchor>
  <xdr:twoCellAnchor editAs="absolute">
    <xdr:from>
      <xdr:col>9</xdr:col>
      <xdr:colOff>455040</xdr:colOff>
      <xdr:row>0</xdr:row>
      <xdr:rowOff>142920</xdr:rowOff>
    </xdr:from>
    <xdr:to>
      <xdr:col>10</xdr:col>
      <xdr:colOff>519120</xdr:colOff>
      <xdr:row>1</xdr:row>
      <xdr:rowOff>152280</xdr:rowOff>
    </xdr:to>
    <xdr:sp>
      <xdr:nvSpPr>
        <xdr:cNvPr id="200" name="16335"/>
        <xdr:cNvSpPr/>
      </xdr:nvSpPr>
      <xdr:spPr>
        <a:xfrm>
          <a:off x="8280720" y="142920"/>
          <a:ext cx="825480" cy="209520"/>
        </a:xfrm>
        <a:prstGeom prst="roundRect">
          <a:avLst>
            <a:gd name="adj" fmla="val 50000"/>
          </a:avLst>
        </a:prstGeom>
        <a:solidFill>
          <a:srgbClr val="ffffff">
            <a:alpha val="50000"/>
          </a:srgbClr>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HPL Texoma</a:t>
          </a:r>
          <a:endParaRPr b="0" lang="en-US" sz="800" strike="noStrike" u="none">
            <a:effectLst/>
            <a:uFillTx/>
            <a:latin typeface="Times New Roman"/>
          </a:endParaRPr>
        </a:p>
      </xdr:txBody>
    </xdr:sp>
    <xdr:clientData/>
  </xdr:twoCellAnchor>
  <xdr:twoCellAnchor editAs="absolute">
    <xdr:from>
      <xdr:col>9</xdr:col>
      <xdr:colOff>718560</xdr:colOff>
      <xdr:row>2</xdr:row>
      <xdr:rowOff>104760</xdr:rowOff>
    </xdr:from>
    <xdr:to>
      <xdr:col>10</xdr:col>
      <xdr:colOff>74880</xdr:colOff>
      <xdr:row>3</xdr:row>
      <xdr:rowOff>76320</xdr:rowOff>
    </xdr:to>
    <xdr:sp>
      <xdr:nvSpPr>
        <xdr:cNvPr id="201" name="Line 202"/>
        <xdr:cNvSpPr/>
      </xdr:nvSpPr>
      <xdr:spPr>
        <a:xfrm flipH="1">
          <a:off x="8544240" y="514440"/>
          <a:ext cx="117720" cy="17136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absolute">
    <xdr:from>
      <xdr:col>10</xdr:col>
      <xdr:colOff>200880</xdr:colOff>
      <xdr:row>5</xdr:row>
      <xdr:rowOff>56520</xdr:rowOff>
    </xdr:from>
    <xdr:to>
      <xdr:col>11</xdr:col>
      <xdr:colOff>11160</xdr:colOff>
      <xdr:row>6</xdr:row>
      <xdr:rowOff>28440</xdr:rowOff>
    </xdr:to>
    <xdr:sp>
      <xdr:nvSpPr>
        <xdr:cNvPr id="202" name="Text 30"/>
        <xdr:cNvSpPr/>
      </xdr:nvSpPr>
      <xdr:spPr>
        <a:xfrm flipV="1">
          <a:off x="8787960" y="1085040"/>
          <a:ext cx="571680" cy="17172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(37.9)</a:t>
          </a:r>
          <a:endParaRPr b="0" lang="en-US" sz="800" strike="noStrike" u="none">
            <a:effectLst/>
            <a:uFillTx/>
            <a:latin typeface="Times New Roman"/>
          </a:endParaRPr>
        </a:p>
      </xdr:txBody>
    </xdr:sp>
    <xdr:clientData/>
  </xdr:twoCellAnchor>
  <xdr:twoCellAnchor editAs="absolute">
    <xdr:from>
      <xdr:col>10</xdr:col>
      <xdr:colOff>243000</xdr:colOff>
      <xdr:row>3</xdr:row>
      <xdr:rowOff>114840</xdr:rowOff>
    </xdr:from>
    <xdr:to>
      <xdr:col>10</xdr:col>
      <xdr:colOff>730080</xdr:colOff>
      <xdr:row>4</xdr:row>
      <xdr:rowOff>86040</xdr:rowOff>
    </xdr:to>
    <xdr:sp>
      <xdr:nvSpPr>
        <xdr:cNvPr id="203" name="Text 30"/>
        <xdr:cNvSpPr/>
      </xdr:nvSpPr>
      <xdr:spPr>
        <a:xfrm flipV="1">
          <a:off x="8830080" y="724320"/>
          <a:ext cx="487080" cy="18072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(38.1)</a:t>
          </a:r>
          <a:endParaRPr b="0" lang="en-US" sz="800" strike="noStrike" u="none">
            <a:effectLst/>
            <a:uFillTx/>
            <a:latin typeface="Times New Roman"/>
          </a:endParaRPr>
        </a:p>
      </xdr:txBody>
    </xdr:sp>
    <xdr:clientData/>
  </xdr:twoCellAnchor>
  <xdr:twoCellAnchor editAs="absolute">
    <xdr:from>
      <xdr:col>10</xdr:col>
      <xdr:colOff>42480</xdr:colOff>
      <xdr:row>3</xdr:row>
      <xdr:rowOff>114840</xdr:rowOff>
    </xdr:from>
    <xdr:to>
      <xdr:col>10</xdr:col>
      <xdr:colOff>138240</xdr:colOff>
      <xdr:row>4</xdr:row>
      <xdr:rowOff>66600</xdr:rowOff>
    </xdr:to>
    <xdr:sp>
      <xdr:nvSpPr>
        <xdr:cNvPr id="204" name="Line 205"/>
        <xdr:cNvSpPr/>
      </xdr:nvSpPr>
      <xdr:spPr>
        <a:xfrm>
          <a:off x="8629560" y="724320"/>
          <a:ext cx="95760" cy="16128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absolute">
    <xdr:from>
      <xdr:col>11</xdr:col>
      <xdr:colOff>718920</xdr:colOff>
      <xdr:row>2</xdr:row>
      <xdr:rowOff>142920</xdr:rowOff>
    </xdr:from>
    <xdr:to>
      <xdr:col>12</xdr:col>
      <xdr:colOff>381240</xdr:colOff>
      <xdr:row>3</xdr:row>
      <xdr:rowOff>95040</xdr:rowOff>
    </xdr:to>
    <xdr:sp>
      <xdr:nvSpPr>
        <xdr:cNvPr id="205" name="Text 30"/>
        <xdr:cNvSpPr/>
      </xdr:nvSpPr>
      <xdr:spPr>
        <a:xfrm flipV="1">
          <a:off x="10067400" y="552600"/>
          <a:ext cx="423720" cy="15192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0.0 </a:t>
          </a:r>
          <a:endParaRPr b="0" lang="en-US" sz="800" strike="noStrike" u="none">
            <a:effectLst/>
            <a:uFillTx/>
            <a:latin typeface="Times New Roman"/>
          </a:endParaRPr>
        </a:p>
      </xdr:txBody>
    </xdr:sp>
    <xdr:clientData/>
  </xdr:twoCellAnchor>
  <xdr:twoCellAnchor editAs="absolute">
    <xdr:from>
      <xdr:col>11</xdr:col>
      <xdr:colOff>708480</xdr:colOff>
      <xdr:row>1</xdr:row>
      <xdr:rowOff>9360</xdr:rowOff>
    </xdr:from>
    <xdr:to>
      <xdr:col>12</xdr:col>
      <xdr:colOff>391680</xdr:colOff>
      <xdr:row>1</xdr:row>
      <xdr:rowOff>161640</xdr:rowOff>
    </xdr:to>
    <xdr:sp>
      <xdr:nvSpPr>
        <xdr:cNvPr id="206" name="Text 30"/>
        <xdr:cNvSpPr/>
      </xdr:nvSpPr>
      <xdr:spPr>
        <a:xfrm flipV="1">
          <a:off x="10056960" y="208800"/>
          <a:ext cx="444600" cy="15228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0.0 </a:t>
          </a:r>
          <a:endParaRPr b="0" lang="en-US" sz="800" strike="noStrike" u="none">
            <a:effectLst/>
            <a:uFillTx/>
            <a:latin typeface="Times New Roman"/>
          </a:endParaRPr>
        </a:p>
      </xdr:txBody>
    </xdr:sp>
    <xdr:clientData/>
  </xdr:twoCellAnchor>
  <xdr:twoCellAnchor editAs="absolute">
    <xdr:from>
      <xdr:col>11</xdr:col>
      <xdr:colOff>327960</xdr:colOff>
      <xdr:row>1</xdr:row>
      <xdr:rowOff>143280</xdr:rowOff>
    </xdr:from>
    <xdr:to>
      <xdr:col>12</xdr:col>
      <xdr:colOff>381240</xdr:colOff>
      <xdr:row>2</xdr:row>
      <xdr:rowOff>142920</xdr:rowOff>
    </xdr:to>
    <xdr:sp>
      <xdr:nvSpPr>
        <xdr:cNvPr id="207" name="16179"/>
        <xdr:cNvSpPr/>
      </xdr:nvSpPr>
      <xdr:spPr>
        <a:xfrm>
          <a:off x="9676440" y="343440"/>
          <a:ext cx="814680" cy="209160"/>
        </a:xfrm>
        <a:prstGeom prst="roundRect">
          <a:avLst>
            <a:gd name="adj" fmla="val 50000"/>
          </a:avLst>
        </a:prstGeom>
        <a:solidFill>
          <a:srgbClr val="ffffff">
            <a:alpha val="50000"/>
          </a:srgbClr>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TGP Sabine</a:t>
          </a:r>
          <a:endParaRPr b="0" lang="en-US" sz="800" strike="noStrike" u="none">
            <a:effectLst/>
            <a:uFillTx/>
            <a:latin typeface="Times New Roman"/>
          </a:endParaRPr>
        </a:p>
      </xdr:txBody>
    </xdr:sp>
    <xdr:clientData/>
  </xdr:twoCellAnchor>
  <xdr:twoCellAnchor editAs="absolute">
    <xdr:from>
      <xdr:col>11</xdr:col>
      <xdr:colOff>42120</xdr:colOff>
      <xdr:row>2</xdr:row>
      <xdr:rowOff>47520</xdr:rowOff>
    </xdr:from>
    <xdr:to>
      <xdr:col>11</xdr:col>
      <xdr:colOff>328320</xdr:colOff>
      <xdr:row>2</xdr:row>
      <xdr:rowOff>85680</xdr:rowOff>
    </xdr:to>
    <xdr:sp>
      <xdr:nvSpPr>
        <xdr:cNvPr id="208" name="Line 209"/>
        <xdr:cNvSpPr/>
      </xdr:nvSpPr>
      <xdr:spPr>
        <a:xfrm flipH="1">
          <a:off x="9390600" y="457200"/>
          <a:ext cx="286200" cy="38160"/>
        </a:xfrm>
        <a:prstGeom prst="line">
          <a:avLst/>
        </a:prstGeom>
        <a:ln w="9360">
          <a:solidFill>
            <a:srgbClr val="000000"/>
          </a:solidFill>
          <a:miter/>
          <a:headEnd len="med" type="triangle" w="med"/>
          <a:tailEnd len="med" type="triangle" w="med"/>
        </a:ln>
      </xdr:spPr>
      <xdr:style>
        <a:lnRef idx="0"/>
        <a:fillRef idx="0"/>
        <a:effectRef idx="0"/>
        <a:fontRef idx="minor"/>
      </xdr:style>
    </xdr:sp>
    <xdr:clientData/>
  </xdr:twoCellAnchor>
  <xdr:twoCellAnchor editAs="absolute">
    <xdr:from>
      <xdr:col>6</xdr:col>
      <xdr:colOff>10440</xdr:colOff>
      <xdr:row>2</xdr:row>
      <xdr:rowOff>190440</xdr:rowOff>
    </xdr:from>
    <xdr:to>
      <xdr:col>7</xdr:col>
      <xdr:colOff>159120</xdr:colOff>
      <xdr:row>4</xdr:row>
      <xdr:rowOff>95040</xdr:rowOff>
    </xdr:to>
    <xdr:sp>
      <xdr:nvSpPr>
        <xdr:cNvPr id="209" name="26006"/>
        <xdr:cNvSpPr/>
      </xdr:nvSpPr>
      <xdr:spPr>
        <a:xfrm>
          <a:off x="5551920" y="600120"/>
          <a:ext cx="910080" cy="313920"/>
        </a:xfrm>
        <a:prstGeom prst="wedgeRoundRectCallout">
          <a:avLst>
            <a:gd name="adj1" fmla="val 95347"/>
            <a:gd name="adj2" fmla="val 180300"/>
            <a:gd name="adj3" fmla="val 16667"/>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0" lang="en-US" sz="800" strike="noStrike" u="none">
              <a:effectLst/>
              <a:uFillTx/>
              <a:latin typeface="Times New Roman"/>
            </a:rPr>
            <a:t>Total 814-1A Ship Channel</a:t>
          </a:r>
          <a:endParaRPr b="0" lang="en-US" sz="800" strike="noStrike" u="none">
            <a:effectLst/>
            <a:uFillTx/>
            <a:latin typeface="Times New Roman"/>
          </a:endParaRPr>
        </a:p>
      </xdr:txBody>
    </xdr:sp>
    <xdr:clientData/>
  </xdr:twoCellAnchor>
  <xdr:twoCellAnchor editAs="absolute">
    <xdr:from>
      <xdr:col>10</xdr:col>
      <xdr:colOff>32040</xdr:colOff>
      <xdr:row>4</xdr:row>
      <xdr:rowOff>47520</xdr:rowOff>
    </xdr:from>
    <xdr:to>
      <xdr:col>11</xdr:col>
      <xdr:colOff>21600</xdr:colOff>
      <xdr:row>5</xdr:row>
      <xdr:rowOff>38160</xdr:rowOff>
    </xdr:to>
    <xdr:sp>
      <xdr:nvSpPr>
        <xdr:cNvPr id="210" name="26126"/>
        <xdr:cNvSpPr/>
      </xdr:nvSpPr>
      <xdr:spPr>
        <a:xfrm>
          <a:off x="8619120" y="866520"/>
          <a:ext cx="750960" cy="200520"/>
        </a:xfrm>
        <a:prstGeom prst="roundRect">
          <a:avLst>
            <a:gd name="adj" fmla="val 50000"/>
          </a:avLst>
        </a:prstGeom>
        <a:solidFill>
          <a:srgbClr val="ffffff">
            <a:alpha val="50000"/>
          </a:srgbClr>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Gulf States</a:t>
          </a:r>
          <a:endParaRPr b="0" lang="en-US" sz="800" strike="noStrike" u="none">
            <a:effectLst/>
            <a:uFillTx/>
            <a:latin typeface="Times New Roman"/>
          </a:endParaRPr>
        </a:p>
      </xdr:txBody>
    </xdr:sp>
    <xdr:clientData/>
  </xdr:twoCellAnchor>
  <xdr:twoCellAnchor editAs="absolute">
    <xdr:from>
      <xdr:col>6</xdr:col>
      <xdr:colOff>623880</xdr:colOff>
      <xdr:row>21</xdr:row>
      <xdr:rowOff>143280</xdr:rowOff>
    </xdr:from>
    <xdr:to>
      <xdr:col>6</xdr:col>
      <xdr:colOff>752040</xdr:colOff>
      <xdr:row>22</xdr:row>
      <xdr:rowOff>47520</xdr:rowOff>
    </xdr:to>
    <xdr:sp>
      <xdr:nvSpPr>
        <xdr:cNvPr id="211" name="806A01"/>
        <xdr:cNvSpPr/>
      </xdr:nvSpPr>
      <xdr:spPr>
        <a:xfrm>
          <a:off x="6165360" y="4391280"/>
          <a:ext cx="128160" cy="104400"/>
        </a:xfrm>
        <a:prstGeom prst="ellipse">
          <a:avLst/>
        </a:prstGeom>
        <a:solidFill>
          <a:srgbClr val="00ff00"/>
        </a:solid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twoCellAnchor editAs="absolute">
    <xdr:from>
      <xdr:col>7</xdr:col>
      <xdr:colOff>32040</xdr:colOff>
      <xdr:row>21</xdr:row>
      <xdr:rowOff>143280</xdr:rowOff>
    </xdr:from>
    <xdr:to>
      <xdr:col>7</xdr:col>
      <xdr:colOff>159120</xdr:colOff>
      <xdr:row>22</xdr:row>
      <xdr:rowOff>47520</xdr:rowOff>
    </xdr:to>
    <xdr:sp>
      <xdr:nvSpPr>
        <xdr:cNvPr id="212" name="806A02"/>
        <xdr:cNvSpPr/>
      </xdr:nvSpPr>
      <xdr:spPr>
        <a:xfrm>
          <a:off x="6334920" y="4391280"/>
          <a:ext cx="127080" cy="104400"/>
        </a:xfrm>
        <a:prstGeom prst="ellipse">
          <a:avLst/>
        </a:prstGeom>
        <a:solidFill>
          <a:srgbClr val="00ff00"/>
        </a:solid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twoCellAnchor editAs="absolute">
    <xdr:from>
      <xdr:col>7</xdr:col>
      <xdr:colOff>200880</xdr:colOff>
      <xdr:row>21</xdr:row>
      <xdr:rowOff>143280</xdr:rowOff>
    </xdr:from>
    <xdr:to>
      <xdr:col>7</xdr:col>
      <xdr:colOff>328680</xdr:colOff>
      <xdr:row>22</xdr:row>
      <xdr:rowOff>47520</xdr:rowOff>
    </xdr:to>
    <xdr:sp>
      <xdr:nvSpPr>
        <xdr:cNvPr id="213" name="806A03"/>
        <xdr:cNvSpPr/>
      </xdr:nvSpPr>
      <xdr:spPr>
        <a:xfrm>
          <a:off x="6503760" y="4391280"/>
          <a:ext cx="127800" cy="104400"/>
        </a:xfrm>
        <a:prstGeom prst="ellipse">
          <a:avLst/>
        </a:prstGeom>
        <a:solidFill>
          <a:srgbClr val="ffff00"/>
        </a:solid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twoCellAnchor editAs="absolute">
    <xdr:from>
      <xdr:col>8</xdr:col>
      <xdr:colOff>528840</xdr:colOff>
      <xdr:row>18</xdr:row>
      <xdr:rowOff>66240</xdr:rowOff>
    </xdr:from>
    <xdr:to>
      <xdr:col>8</xdr:col>
      <xdr:colOff>645480</xdr:colOff>
      <xdr:row>18</xdr:row>
      <xdr:rowOff>171000</xdr:rowOff>
    </xdr:to>
    <xdr:sp>
      <xdr:nvSpPr>
        <xdr:cNvPr id="214" name="809A02"/>
        <xdr:cNvSpPr/>
      </xdr:nvSpPr>
      <xdr:spPr>
        <a:xfrm>
          <a:off x="7593120" y="3714480"/>
          <a:ext cx="116640" cy="104760"/>
        </a:xfrm>
        <a:prstGeom prst="ellipse">
          <a:avLst/>
        </a:prstGeom>
        <a:solidFill>
          <a:srgbClr val="ff0000"/>
        </a:solid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twoCellAnchor editAs="absolute">
    <xdr:from>
      <xdr:col>8</xdr:col>
      <xdr:colOff>687240</xdr:colOff>
      <xdr:row>18</xdr:row>
      <xdr:rowOff>66240</xdr:rowOff>
    </xdr:from>
    <xdr:to>
      <xdr:col>9</xdr:col>
      <xdr:colOff>32760</xdr:colOff>
      <xdr:row>18</xdr:row>
      <xdr:rowOff>181080</xdr:rowOff>
    </xdr:to>
    <xdr:sp>
      <xdr:nvSpPr>
        <xdr:cNvPr id="215" name="809A03"/>
        <xdr:cNvSpPr/>
      </xdr:nvSpPr>
      <xdr:spPr>
        <a:xfrm>
          <a:off x="7751520" y="3714480"/>
          <a:ext cx="106920" cy="114840"/>
        </a:xfrm>
        <a:prstGeom prst="ellipse">
          <a:avLst/>
        </a:prstGeom>
        <a:solidFill>
          <a:srgbClr val="ff0000"/>
        </a:solid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twoCellAnchor editAs="absolute">
    <xdr:from>
      <xdr:col>9</xdr:col>
      <xdr:colOff>74520</xdr:colOff>
      <xdr:row>18</xdr:row>
      <xdr:rowOff>66240</xdr:rowOff>
    </xdr:from>
    <xdr:to>
      <xdr:col>9</xdr:col>
      <xdr:colOff>202320</xdr:colOff>
      <xdr:row>18</xdr:row>
      <xdr:rowOff>180360</xdr:rowOff>
    </xdr:to>
    <xdr:sp>
      <xdr:nvSpPr>
        <xdr:cNvPr id="216" name="809B01"/>
        <xdr:cNvSpPr/>
      </xdr:nvSpPr>
      <xdr:spPr>
        <a:xfrm>
          <a:off x="7900200" y="3714480"/>
          <a:ext cx="127800" cy="114120"/>
        </a:xfrm>
        <a:prstGeom prst="triangle">
          <a:avLst>
            <a:gd name="adj" fmla="val 50000"/>
          </a:avLst>
        </a:prstGeom>
        <a:solidFill>
          <a:srgbClr val="ff0000"/>
        </a:solid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twoCellAnchor editAs="absolute">
    <xdr:from>
      <xdr:col>5</xdr:col>
      <xdr:colOff>327600</xdr:colOff>
      <xdr:row>9</xdr:row>
      <xdr:rowOff>18720</xdr:rowOff>
    </xdr:from>
    <xdr:to>
      <xdr:col>5</xdr:col>
      <xdr:colOff>455760</xdr:colOff>
      <xdr:row>9</xdr:row>
      <xdr:rowOff>123480</xdr:rowOff>
    </xdr:to>
    <xdr:sp>
      <xdr:nvSpPr>
        <xdr:cNvPr id="217" name="812A01"/>
        <xdr:cNvSpPr/>
      </xdr:nvSpPr>
      <xdr:spPr>
        <a:xfrm>
          <a:off x="5108040" y="1866600"/>
          <a:ext cx="128160" cy="104760"/>
        </a:xfrm>
        <a:prstGeom prst="triangle">
          <a:avLst>
            <a:gd name="adj" fmla="val 50000"/>
          </a:avLst>
        </a:prstGeom>
        <a:solidFill>
          <a:srgbClr val="ff0000"/>
        </a:solid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twoCellAnchor editAs="absolute">
    <xdr:from>
      <xdr:col>5</xdr:col>
      <xdr:colOff>465120</xdr:colOff>
      <xdr:row>9</xdr:row>
      <xdr:rowOff>18720</xdr:rowOff>
    </xdr:from>
    <xdr:to>
      <xdr:col>5</xdr:col>
      <xdr:colOff>593280</xdr:colOff>
      <xdr:row>9</xdr:row>
      <xdr:rowOff>123480</xdr:rowOff>
    </xdr:to>
    <xdr:sp>
      <xdr:nvSpPr>
        <xdr:cNvPr id="218" name="812A02"/>
        <xdr:cNvSpPr/>
      </xdr:nvSpPr>
      <xdr:spPr>
        <a:xfrm>
          <a:off x="5245560" y="1866600"/>
          <a:ext cx="128160" cy="104760"/>
        </a:xfrm>
        <a:prstGeom prst="triangle">
          <a:avLst>
            <a:gd name="adj" fmla="val 50000"/>
          </a:avLst>
        </a:prstGeom>
        <a:solidFill>
          <a:srgbClr val="ff0000"/>
        </a:solid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twoCellAnchor editAs="absolute">
    <xdr:from>
      <xdr:col>5</xdr:col>
      <xdr:colOff>613080</xdr:colOff>
      <xdr:row>9</xdr:row>
      <xdr:rowOff>18720</xdr:rowOff>
    </xdr:from>
    <xdr:to>
      <xdr:col>5</xdr:col>
      <xdr:colOff>741240</xdr:colOff>
      <xdr:row>9</xdr:row>
      <xdr:rowOff>123480</xdr:rowOff>
    </xdr:to>
    <xdr:sp>
      <xdr:nvSpPr>
        <xdr:cNvPr id="219" name="812A03"/>
        <xdr:cNvSpPr/>
      </xdr:nvSpPr>
      <xdr:spPr>
        <a:xfrm>
          <a:off x="5393520" y="1866600"/>
          <a:ext cx="128160" cy="104760"/>
        </a:xfrm>
        <a:prstGeom prst="triangle">
          <a:avLst>
            <a:gd name="adj" fmla="val 50000"/>
          </a:avLst>
        </a:prstGeom>
        <a:solidFill>
          <a:srgbClr val="ff0000"/>
        </a:solid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twoCellAnchor editAs="absolute">
    <xdr:from>
      <xdr:col>6</xdr:col>
      <xdr:colOff>74520</xdr:colOff>
      <xdr:row>23</xdr:row>
      <xdr:rowOff>104760</xdr:rowOff>
    </xdr:from>
    <xdr:to>
      <xdr:col>6</xdr:col>
      <xdr:colOff>201600</xdr:colOff>
      <xdr:row>24</xdr:row>
      <xdr:rowOff>9360</xdr:rowOff>
    </xdr:to>
    <xdr:sp>
      <xdr:nvSpPr>
        <xdr:cNvPr id="220" name="804A01"/>
        <xdr:cNvSpPr/>
      </xdr:nvSpPr>
      <xdr:spPr>
        <a:xfrm>
          <a:off x="5616000" y="4753080"/>
          <a:ext cx="127080" cy="104400"/>
        </a:xfrm>
        <a:prstGeom prst="triangle">
          <a:avLst>
            <a:gd name="adj" fmla="val 50000"/>
          </a:avLst>
        </a:prstGeom>
        <a:solidFill>
          <a:srgbClr val="ff0000"/>
        </a:solid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twoCellAnchor editAs="absolute">
    <xdr:from>
      <xdr:col>6</xdr:col>
      <xdr:colOff>243360</xdr:colOff>
      <xdr:row>23</xdr:row>
      <xdr:rowOff>104760</xdr:rowOff>
    </xdr:from>
    <xdr:to>
      <xdr:col>6</xdr:col>
      <xdr:colOff>371160</xdr:colOff>
      <xdr:row>24</xdr:row>
      <xdr:rowOff>9360</xdr:rowOff>
    </xdr:to>
    <xdr:sp>
      <xdr:nvSpPr>
        <xdr:cNvPr id="221" name="804A02"/>
        <xdr:cNvSpPr/>
      </xdr:nvSpPr>
      <xdr:spPr>
        <a:xfrm>
          <a:off x="5784840" y="4753080"/>
          <a:ext cx="127800" cy="104400"/>
        </a:xfrm>
        <a:prstGeom prst="triangle">
          <a:avLst>
            <a:gd name="adj" fmla="val 50000"/>
          </a:avLst>
        </a:prstGeom>
        <a:solidFill>
          <a:srgbClr val="ff0000"/>
        </a:solid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twoCellAnchor editAs="absolute">
    <xdr:from>
      <xdr:col>3</xdr:col>
      <xdr:colOff>200520</xdr:colOff>
      <xdr:row>25</xdr:row>
      <xdr:rowOff>142920</xdr:rowOff>
    </xdr:from>
    <xdr:to>
      <xdr:col>4</xdr:col>
      <xdr:colOff>201240</xdr:colOff>
      <xdr:row>26</xdr:row>
      <xdr:rowOff>133560</xdr:rowOff>
    </xdr:to>
    <xdr:sp>
      <xdr:nvSpPr>
        <xdr:cNvPr id="222" name="16130"/>
        <xdr:cNvSpPr/>
      </xdr:nvSpPr>
      <xdr:spPr>
        <a:xfrm>
          <a:off x="3458160" y="5191200"/>
          <a:ext cx="762120" cy="190800"/>
        </a:xfrm>
        <a:prstGeom prst="roundRect">
          <a:avLst>
            <a:gd name="adj" fmla="val 50000"/>
          </a:avLst>
        </a:prstGeom>
        <a:solidFill>
          <a:srgbClr val="ffffff">
            <a:alpha val="50000"/>
          </a:srgbClr>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PG&amp;E A-D</a:t>
          </a:r>
          <a:endParaRPr b="0" lang="en-US" sz="800" strike="noStrike" u="none">
            <a:effectLst/>
            <a:uFillTx/>
            <a:latin typeface="Times New Roman"/>
          </a:endParaRPr>
        </a:p>
      </xdr:txBody>
    </xdr:sp>
    <xdr:clientData/>
  </xdr:twoCellAnchor>
  <xdr:twoCellAnchor editAs="absolute">
    <xdr:from>
      <xdr:col>11</xdr:col>
      <xdr:colOff>338400</xdr:colOff>
      <xdr:row>15</xdr:row>
      <xdr:rowOff>123480</xdr:rowOff>
    </xdr:from>
    <xdr:to>
      <xdr:col>12</xdr:col>
      <xdr:colOff>513000</xdr:colOff>
      <xdr:row>19</xdr:row>
      <xdr:rowOff>165600</xdr:rowOff>
    </xdr:to>
    <xdr:grpSp>
      <xdr:nvGrpSpPr>
        <xdr:cNvPr id="223" name="Group 229"/>
        <xdr:cNvGrpSpPr/>
      </xdr:nvGrpSpPr>
      <xdr:grpSpPr>
        <a:xfrm>
          <a:off x="9686880" y="3171600"/>
          <a:ext cx="936000" cy="842040"/>
          <a:chOff x="9686880" y="3171600"/>
          <a:chExt cx="936000" cy="842040"/>
        </a:xfrm>
      </xdr:grpSpPr>
      <xdr:sp>
        <xdr:nvSpPr>
          <xdr:cNvPr id="224" name="AutoShape 230"/>
          <xdr:cNvSpPr/>
        </xdr:nvSpPr>
        <xdr:spPr>
          <a:xfrm>
            <a:off x="9686880" y="3171600"/>
            <a:ext cx="936000" cy="745560"/>
          </a:xfrm>
          <a:custGeom>
            <a:avLst/>
            <a:gdLst>
              <a:gd name="textAreaLeft" fmla="*/ 213480 w 936000"/>
              <a:gd name="textAreaRight" fmla="*/ 722520 w 936000"/>
              <a:gd name="textAreaTop" fmla="*/ 170280 h 745560"/>
              <a:gd name="textAreaBottom" fmla="*/ 575280 h 745560"/>
            </a:gdLst>
            <a:ahLst/>
            <a:cxnLst/>
            <a:rect l="textAreaLeft" t="textAreaTop" r="textAreaRight" b="textAreaBottom"/>
            <a:pathLst>
              <a:path w="21600" h="21600">
                <a:moveTo>
                  <a:pt x="0" y="10800"/>
                </a:moveTo>
                <a:lnTo>
                  <a:pt x="2652" y="12384"/>
                </a:lnTo>
                <a:lnTo>
                  <a:pt x="786" y="14846"/>
                </a:lnTo>
                <a:lnTo>
                  <a:pt x="3839" y="15321"/>
                </a:lnTo>
                <a:lnTo>
                  <a:pt x="3163" y="18437"/>
                </a:lnTo>
                <a:lnTo>
                  <a:pt x="6159" y="17681"/>
                </a:lnTo>
                <a:lnTo>
                  <a:pt x="6580" y="20741"/>
                </a:lnTo>
                <a:lnTo>
                  <a:pt x="9074" y="18919"/>
                </a:lnTo>
                <a:lnTo>
                  <a:pt x="10800" y="21600"/>
                </a:lnTo>
                <a:lnTo>
                  <a:pt x="12384" y="18948"/>
                </a:lnTo>
                <a:lnTo>
                  <a:pt x="14846" y="20814"/>
                </a:lnTo>
                <a:lnTo>
                  <a:pt x="15321" y="17761"/>
                </a:lnTo>
                <a:lnTo>
                  <a:pt x="18437" y="18437"/>
                </a:lnTo>
                <a:lnTo>
                  <a:pt x="17681" y="15441"/>
                </a:lnTo>
                <a:lnTo>
                  <a:pt x="20741" y="15020"/>
                </a:lnTo>
                <a:lnTo>
                  <a:pt x="18919" y="12526"/>
                </a:lnTo>
                <a:lnTo>
                  <a:pt x="21600" y="10800"/>
                </a:lnTo>
                <a:lnTo>
                  <a:pt x="18948" y="9216"/>
                </a:lnTo>
                <a:lnTo>
                  <a:pt x="20814" y="6754"/>
                </a:lnTo>
                <a:lnTo>
                  <a:pt x="17761" y="6279"/>
                </a:lnTo>
                <a:lnTo>
                  <a:pt x="18437" y="3163"/>
                </a:lnTo>
                <a:lnTo>
                  <a:pt x="15441" y="3919"/>
                </a:lnTo>
                <a:lnTo>
                  <a:pt x="15020" y="859"/>
                </a:lnTo>
                <a:lnTo>
                  <a:pt x="12526" y="2681"/>
                </a:lnTo>
                <a:lnTo>
                  <a:pt x="10800" y="0"/>
                </a:lnTo>
                <a:lnTo>
                  <a:pt x="9216" y="2652"/>
                </a:lnTo>
                <a:lnTo>
                  <a:pt x="6754" y="786"/>
                </a:lnTo>
                <a:lnTo>
                  <a:pt x="6279" y="3839"/>
                </a:lnTo>
                <a:lnTo>
                  <a:pt x="3163" y="3163"/>
                </a:lnTo>
                <a:lnTo>
                  <a:pt x="3919" y="6159"/>
                </a:lnTo>
                <a:lnTo>
                  <a:pt x="859" y="6580"/>
                </a:lnTo>
                <a:lnTo>
                  <a:pt x="2681" y="9074"/>
                </a:lnTo>
                <a:lnTo>
                  <a:pt x="0" y="10800"/>
                </a:lnTo>
                <a:close/>
              </a:path>
            </a:pathLst>
          </a:custGeom>
          <a:solidFill>
            <a:srgbClr val="ffff00"/>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solidFill>
                  <a:srgbClr val="0000ff"/>
                </a:solidFill>
                <a:effectLst/>
                <a:uFillTx/>
                <a:latin typeface="Times New Roman"/>
              </a:rPr>
              <a:t>Check Weather</a:t>
            </a:r>
            <a:endParaRPr b="0" lang="en-US" sz="800" strike="noStrike" u="none">
              <a:effectLst/>
              <a:uFillTx/>
              <a:latin typeface="Times New Roman"/>
            </a:endParaRPr>
          </a:p>
        </xdr:txBody>
      </xdr:sp>
      <xdr:sp>
        <xdr:nvSpPr>
          <xdr:cNvPr id="225" name="AutoShape 231"/>
          <xdr:cNvSpPr/>
        </xdr:nvSpPr>
        <xdr:spPr>
          <a:xfrm>
            <a:off x="10008720" y="3632760"/>
            <a:ext cx="614160" cy="380880"/>
          </a:xfrm>
          <a:prstGeom prst="cloudCallout">
            <a:avLst>
              <a:gd name="adj1" fmla="val -36365"/>
              <a:gd name="adj2" fmla="val -27421"/>
            </a:avLst>
          </a:prstGeom>
          <a:solidFill>
            <a:srgbClr val="969696"/>
          </a:solidFill>
          <a:ln w="9360">
            <a:solidFill>
              <a:srgbClr val="c0c0c0"/>
            </a:solidFill>
            <a:miter/>
          </a:ln>
          <a:effectLst>
            <a:outerShdw dist="17819" dir="2700000" blurRad="0" rotWithShape="0">
              <a:srgbClr val="000000"/>
            </a:outerShdw>
          </a:effectLst>
        </xdr:spPr>
        <xdr:style>
          <a:lnRef idx="0"/>
          <a:fillRef idx="0"/>
          <a:effectRef idx="0"/>
          <a:fontRef idx="minor"/>
        </xdr:style>
      </xdr:sp>
    </xdr:grpSp>
    <xdr:clientData/>
  </xdr:twoCellAnchor>
  <xdr:twoCellAnchor editAs="absolute">
    <xdr:from>
      <xdr:col>9</xdr:col>
      <xdr:colOff>581400</xdr:colOff>
      <xdr:row>22</xdr:row>
      <xdr:rowOff>0</xdr:rowOff>
    </xdr:from>
    <xdr:to>
      <xdr:col>11</xdr:col>
      <xdr:colOff>466200</xdr:colOff>
      <xdr:row>23</xdr:row>
      <xdr:rowOff>35280</xdr:rowOff>
    </xdr:to>
    <xdr:sp>
      <xdr:nvSpPr>
        <xdr:cNvPr id="226" name="AutoShape 232">
          <a:hlinkClick r:id="rId2"/>
        </xdr:cNvPr>
        <xdr:cNvSpPr/>
      </xdr:nvSpPr>
      <xdr:spPr>
        <a:xfrm>
          <a:off x="8407080" y="4448160"/>
          <a:ext cx="1407600" cy="235440"/>
        </a:xfrm>
        <a:prstGeom prst="cloudCallout">
          <a:avLst>
            <a:gd name="adj1" fmla="val -40310"/>
            <a:gd name="adj2" fmla="val 120685"/>
          </a:avLst>
        </a:prstGeom>
        <a:solidFill>
          <a:srgbClr val="808080"/>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spAutoFit/>
        </a:bodyPr>
        <a:p>
          <a:pPr algn="ctr"/>
          <a:r>
            <a:rPr b="0" lang="en-US" sz="800" strike="noStrike" u="none">
              <a:solidFill>
                <a:srgbClr val="ffffff"/>
              </a:solidFill>
              <a:effectLst/>
              <a:uFillTx/>
              <a:latin typeface="Times New Roman"/>
            </a:rPr>
            <a:t>Hurricane Watch</a:t>
          </a:r>
          <a:endParaRPr b="0" lang="en-US" sz="800" strike="noStrike" u="none">
            <a:effectLst/>
            <a:uFillTx/>
            <a:latin typeface="Times New Roman"/>
          </a:endParaRPr>
        </a:p>
      </xdr:txBody>
    </xdr:sp>
    <xdr:clientData/>
  </xdr:twoCellAnchor>
  <xdr:twoCellAnchor editAs="absolute">
    <xdr:from>
      <xdr:col>5</xdr:col>
      <xdr:colOff>528480</xdr:colOff>
      <xdr:row>19</xdr:row>
      <xdr:rowOff>57240</xdr:rowOff>
    </xdr:from>
    <xdr:to>
      <xdr:col>6</xdr:col>
      <xdr:colOff>244080</xdr:colOff>
      <xdr:row>20</xdr:row>
      <xdr:rowOff>9360</xdr:rowOff>
    </xdr:to>
    <xdr:sp>
      <xdr:nvSpPr>
        <xdr:cNvPr id="227" name="PBLESSs"/>
        <xdr:cNvSpPr/>
      </xdr:nvSpPr>
      <xdr:spPr>
        <a:xfrm>
          <a:off x="5308920" y="3905280"/>
          <a:ext cx="476640" cy="152280"/>
        </a:xfrm>
        <a:prstGeom prst="rect">
          <a:avLst/>
        </a:prstGeom>
        <a:noFill/>
        <a:ln w="0">
          <a:noFill/>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1" lang="en-US" sz="800" strike="noStrike" u="none">
              <a:solidFill>
                <a:srgbClr val="ff0000"/>
              </a:solidFill>
              <a:effectLst/>
              <a:uFillTx/>
              <a:latin typeface="Times New Roman"/>
            </a:rPr>
            <a:t> 846 </a:t>
          </a:r>
          <a:endParaRPr b="0" lang="en-US" sz="800" strike="noStrike" u="none">
            <a:effectLst/>
            <a:uFillTx/>
            <a:latin typeface="Times New Roman"/>
          </a:endParaRPr>
        </a:p>
      </xdr:txBody>
    </xdr:sp>
    <xdr:clientData/>
  </xdr:twoCellAnchor>
  <xdr:twoCellAnchor editAs="absolute">
    <xdr:from>
      <xdr:col>7</xdr:col>
      <xdr:colOff>84960</xdr:colOff>
      <xdr:row>2</xdr:row>
      <xdr:rowOff>95040</xdr:rowOff>
    </xdr:from>
    <xdr:to>
      <xdr:col>7</xdr:col>
      <xdr:colOff>476640</xdr:colOff>
      <xdr:row>3</xdr:row>
      <xdr:rowOff>38520</xdr:rowOff>
    </xdr:to>
    <xdr:sp>
      <xdr:nvSpPr>
        <xdr:cNvPr id="228" name="p26114d"/>
        <xdr:cNvSpPr/>
      </xdr:nvSpPr>
      <xdr:spPr>
        <a:xfrm>
          <a:off x="6387840" y="504720"/>
          <a:ext cx="391680" cy="143280"/>
        </a:xfrm>
        <a:prstGeom prst="rect">
          <a:avLst/>
        </a:prstGeom>
        <a:noFill/>
        <a:ln w="0">
          <a:noFill/>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800" strike="noStrike" u="none">
              <a:solidFill>
                <a:srgbClr val="008000"/>
              </a:solidFill>
              <a:effectLst/>
              <a:uFillTx/>
              <a:latin typeface="Times New Roman"/>
            </a:rPr>
            <a:t> 595 </a:t>
          </a:r>
          <a:endParaRPr b="0" lang="en-US" sz="800" strike="noStrike" u="none">
            <a:effectLst/>
            <a:uFillTx/>
            <a:latin typeface="Times New Roman"/>
          </a:endParaRPr>
        </a:p>
      </xdr:txBody>
    </xdr:sp>
    <xdr:clientData/>
  </xdr:twoCellAnchor>
  <xdr:twoCellAnchor editAs="absolute">
    <xdr:from>
      <xdr:col>11</xdr:col>
      <xdr:colOff>52920</xdr:colOff>
      <xdr:row>5</xdr:row>
      <xdr:rowOff>181080</xdr:rowOff>
    </xdr:from>
    <xdr:to>
      <xdr:col>11</xdr:col>
      <xdr:colOff>550800</xdr:colOff>
      <xdr:row>6</xdr:row>
      <xdr:rowOff>123480</xdr:rowOff>
    </xdr:to>
    <xdr:sp>
      <xdr:nvSpPr>
        <xdr:cNvPr id="229" name="p26167d"/>
        <xdr:cNvSpPr/>
      </xdr:nvSpPr>
      <xdr:spPr>
        <a:xfrm>
          <a:off x="9401400" y="1209960"/>
          <a:ext cx="497880" cy="142200"/>
        </a:xfrm>
        <a:prstGeom prst="rect">
          <a:avLst/>
        </a:prstGeom>
        <a:noFill/>
        <a:ln w="0">
          <a:noFill/>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800" strike="noStrike" u="none">
              <a:solidFill>
                <a:srgbClr val="008000"/>
              </a:solidFill>
              <a:effectLst/>
              <a:uFillTx/>
              <a:latin typeface="Times New Roman"/>
            </a:rPr>
            <a:t> 635 </a:t>
          </a:r>
          <a:endParaRPr b="0" lang="en-US" sz="800" strike="noStrike" u="none">
            <a:effectLst/>
            <a:uFillTx/>
            <a:latin typeface="Times New Roman"/>
          </a:endParaRPr>
        </a:p>
      </xdr:txBody>
    </xdr:sp>
    <xdr:clientData/>
  </xdr:twoCellAnchor>
  <xdr:twoCellAnchor editAs="absolute">
    <xdr:from>
      <xdr:col>4</xdr:col>
      <xdr:colOff>455040</xdr:colOff>
      <xdr:row>26</xdr:row>
      <xdr:rowOff>38160</xdr:rowOff>
    </xdr:from>
    <xdr:to>
      <xdr:col>5</xdr:col>
      <xdr:colOff>138240</xdr:colOff>
      <xdr:row>26</xdr:row>
      <xdr:rowOff>190440</xdr:rowOff>
    </xdr:to>
    <xdr:sp>
      <xdr:nvSpPr>
        <xdr:cNvPr id="230" name="p802s"/>
        <xdr:cNvSpPr/>
      </xdr:nvSpPr>
      <xdr:spPr>
        <a:xfrm>
          <a:off x="4474080" y="5286600"/>
          <a:ext cx="444600" cy="152280"/>
        </a:xfrm>
        <a:prstGeom prst="rect">
          <a:avLst/>
        </a:prstGeom>
        <a:noFill/>
        <a:ln w="0">
          <a:noFill/>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1" lang="en-US" sz="800" strike="noStrike" u="none">
              <a:solidFill>
                <a:srgbClr val="008000"/>
              </a:solidFill>
              <a:effectLst/>
              <a:uFillTx/>
              <a:latin typeface="Times New Roman"/>
            </a:rPr>
            <a:t> 787 </a:t>
          </a:r>
          <a:endParaRPr b="0" lang="en-US" sz="800" strike="noStrike" u="none">
            <a:effectLst/>
            <a:uFillTx/>
            <a:latin typeface="Times New Roman"/>
          </a:endParaRPr>
        </a:p>
      </xdr:txBody>
    </xdr:sp>
    <xdr:clientData/>
  </xdr:twoCellAnchor>
  <xdr:twoCellAnchor editAs="absolute">
    <xdr:from>
      <xdr:col>5</xdr:col>
      <xdr:colOff>496440</xdr:colOff>
      <xdr:row>25</xdr:row>
      <xdr:rowOff>0</xdr:rowOff>
    </xdr:from>
    <xdr:to>
      <xdr:col>6</xdr:col>
      <xdr:colOff>159120</xdr:colOff>
      <xdr:row>25</xdr:row>
      <xdr:rowOff>152280</xdr:rowOff>
    </xdr:to>
    <xdr:sp>
      <xdr:nvSpPr>
        <xdr:cNvPr id="231" name="p804s"/>
        <xdr:cNvSpPr/>
      </xdr:nvSpPr>
      <xdr:spPr>
        <a:xfrm>
          <a:off x="5276880" y="5048280"/>
          <a:ext cx="423720" cy="152280"/>
        </a:xfrm>
        <a:prstGeom prst="rect">
          <a:avLst/>
        </a:prstGeom>
        <a:noFill/>
        <a:ln w="0">
          <a:noFill/>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1" lang="en-US" sz="800" strike="noStrike" u="none">
              <a:solidFill>
                <a:srgbClr val="008000"/>
              </a:solidFill>
              <a:effectLst/>
              <a:uFillTx/>
              <a:latin typeface="Times New Roman"/>
            </a:rPr>
            <a:t> 738 </a:t>
          </a:r>
          <a:endParaRPr b="0" lang="en-US" sz="800" strike="noStrike" u="none">
            <a:effectLst/>
            <a:uFillTx/>
            <a:latin typeface="Times New Roman"/>
          </a:endParaRPr>
        </a:p>
      </xdr:txBody>
    </xdr:sp>
    <xdr:clientData/>
  </xdr:twoCellAnchor>
  <xdr:twoCellAnchor editAs="absolute">
    <xdr:from>
      <xdr:col>6</xdr:col>
      <xdr:colOff>391320</xdr:colOff>
      <xdr:row>25</xdr:row>
      <xdr:rowOff>0</xdr:rowOff>
    </xdr:from>
    <xdr:to>
      <xdr:col>7</xdr:col>
      <xdr:colOff>53640</xdr:colOff>
      <xdr:row>25</xdr:row>
      <xdr:rowOff>161640</xdr:rowOff>
    </xdr:to>
    <xdr:sp>
      <xdr:nvSpPr>
        <xdr:cNvPr id="232" name="p804d"/>
        <xdr:cNvSpPr/>
      </xdr:nvSpPr>
      <xdr:spPr>
        <a:xfrm>
          <a:off x="5932800" y="5048280"/>
          <a:ext cx="423720" cy="161640"/>
        </a:xfrm>
        <a:prstGeom prst="rect">
          <a:avLst/>
        </a:prstGeom>
        <a:noFill/>
        <a:ln w="0">
          <a:noFill/>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1" lang="en-US" sz="800" strike="noStrike" u="none">
              <a:solidFill>
                <a:srgbClr val="008000"/>
              </a:solidFill>
              <a:effectLst/>
              <a:uFillTx/>
              <a:latin typeface="Times New Roman"/>
            </a:rPr>
            <a:t> 736 </a:t>
          </a:r>
          <a:endParaRPr b="0" lang="en-US" sz="800" strike="noStrike" u="none">
            <a:effectLst/>
            <a:uFillTx/>
            <a:latin typeface="Times New Roman"/>
          </a:endParaRPr>
        </a:p>
      </xdr:txBody>
    </xdr:sp>
    <xdr:clientData/>
  </xdr:twoCellAnchor>
  <xdr:twoCellAnchor editAs="absolute">
    <xdr:from>
      <xdr:col>11</xdr:col>
      <xdr:colOff>390960</xdr:colOff>
      <xdr:row>4</xdr:row>
      <xdr:rowOff>133560</xdr:rowOff>
    </xdr:from>
    <xdr:to>
      <xdr:col>12</xdr:col>
      <xdr:colOff>53640</xdr:colOff>
      <xdr:row>5</xdr:row>
      <xdr:rowOff>95040</xdr:rowOff>
    </xdr:to>
    <xdr:sp>
      <xdr:nvSpPr>
        <xdr:cNvPr id="233" name="Text 30"/>
        <xdr:cNvSpPr/>
      </xdr:nvSpPr>
      <xdr:spPr>
        <a:xfrm flipV="1">
          <a:off x="9739440" y="952560"/>
          <a:ext cx="424080" cy="17136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0.0 </a:t>
          </a:r>
          <a:endParaRPr b="0" lang="en-US" sz="800" strike="noStrike" u="none">
            <a:effectLst/>
            <a:uFillTx/>
            <a:latin typeface="Times New Roman"/>
          </a:endParaRPr>
        </a:p>
      </xdr:txBody>
    </xdr:sp>
    <xdr:clientData/>
  </xdr:twoCellAnchor>
  <xdr:twoCellAnchor editAs="absolute">
    <xdr:from>
      <xdr:col>11</xdr:col>
      <xdr:colOff>390960</xdr:colOff>
      <xdr:row>3</xdr:row>
      <xdr:rowOff>18720</xdr:rowOff>
    </xdr:from>
    <xdr:to>
      <xdr:col>12</xdr:col>
      <xdr:colOff>53640</xdr:colOff>
      <xdr:row>3</xdr:row>
      <xdr:rowOff>171000</xdr:rowOff>
    </xdr:to>
    <xdr:sp>
      <xdr:nvSpPr>
        <xdr:cNvPr id="234" name="Text 30"/>
        <xdr:cNvSpPr/>
      </xdr:nvSpPr>
      <xdr:spPr>
        <a:xfrm flipV="1">
          <a:off x="9739440" y="627840"/>
          <a:ext cx="424080" cy="15228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0.0 </a:t>
          </a:r>
          <a:endParaRPr b="0" lang="en-US" sz="800" strike="noStrike" u="none">
            <a:effectLst/>
            <a:uFillTx/>
            <a:latin typeface="Times New Roman"/>
          </a:endParaRPr>
        </a:p>
      </xdr:txBody>
    </xdr:sp>
    <xdr:clientData/>
  </xdr:twoCellAnchor>
  <xdr:twoCellAnchor editAs="absolute">
    <xdr:from>
      <xdr:col>11</xdr:col>
      <xdr:colOff>264600</xdr:colOff>
      <xdr:row>3</xdr:row>
      <xdr:rowOff>143280</xdr:rowOff>
    </xdr:from>
    <xdr:to>
      <xdr:col>12</xdr:col>
      <xdr:colOff>434160</xdr:colOff>
      <xdr:row>4</xdr:row>
      <xdr:rowOff>133560</xdr:rowOff>
    </xdr:to>
    <xdr:sp>
      <xdr:nvSpPr>
        <xdr:cNvPr id="235" name="26169"/>
        <xdr:cNvSpPr/>
      </xdr:nvSpPr>
      <xdr:spPr>
        <a:xfrm>
          <a:off x="9613080" y="752760"/>
          <a:ext cx="930960" cy="199800"/>
        </a:xfrm>
        <a:prstGeom prst="roundRect">
          <a:avLst>
            <a:gd name="adj" fmla="val 50000"/>
          </a:avLst>
        </a:prstGeom>
        <a:solidFill>
          <a:srgbClr val="ffffff">
            <a:alpha val="50000"/>
          </a:srgbClr>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Sabine Orange</a:t>
          </a:r>
          <a:endParaRPr b="0" lang="en-US" sz="800" strike="noStrike" u="none">
            <a:effectLst/>
            <a:uFillTx/>
            <a:latin typeface="Times New Roman"/>
          </a:endParaRPr>
        </a:p>
      </xdr:txBody>
    </xdr:sp>
    <xdr:clientData/>
  </xdr:twoCellAnchor>
  <xdr:twoCellAnchor editAs="oneCell">
    <xdr:from>
      <xdr:col>10</xdr:col>
      <xdr:colOff>581400</xdr:colOff>
      <xdr:row>2</xdr:row>
      <xdr:rowOff>123480</xdr:rowOff>
    </xdr:from>
    <xdr:to>
      <xdr:col>11</xdr:col>
      <xdr:colOff>455760</xdr:colOff>
      <xdr:row>5</xdr:row>
      <xdr:rowOff>181080</xdr:rowOff>
    </xdr:to>
    <xdr:sp>
      <xdr:nvSpPr>
        <xdr:cNvPr id="236" name="Line 242"/>
        <xdr:cNvSpPr/>
      </xdr:nvSpPr>
      <xdr:spPr>
        <a:xfrm>
          <a:off x="9168480" y="533160"/>
          <a:ext cx="635760" cy="67680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oneCell">
    <xdr:from>
      <xdr:col>10</xdr:col>
      <xdr:colOff>718920</xdr:colOff>
      <xdr:row>2</xdr:row>
      <xdr:rowOff>142560</xdr:rowOff>
    </xdr:from>
    <xdr:to>
      <xdr:col>12</xdr:col>
      <xdr:colOff>265320</xdr:colOff>
      <xdr:row>8</xdr:row>
      <xdr:rowOff>28080</xdr:rowOff>
    </xdr:to>
    <xdr:sp>
      <xdr:nvSpPr>
        <xdr:cNvPr id="237" name="Line 243"/>
        <xdr:cNvSpPr/>
      </xdr:nvSpPr>
      <xdr:spPr>
        <a:xfrm flipH="1" flipV="1">
          <a:off x="9306000" y="552240"/>
          <a:ext cx="1069200" cy="1114200"/>
        </a:xfrm>
        <a:prstGeom prst="line">
          <a:avLst/>
        </a:prstGeom>
        <a:ln w="9360">
          <a:solidFill>
            <a:srgbClr val="000000"/>
          </a:solidFill>
          <a:prstDash val="dash"/>
          <a:miter/>
        </a:ln>
      </xdr:spPr>
      <xdr:style>
        <a:lnRef idx="0"/>
        <a:fillRef idx="0"/>
        <a:effectRef idx="0"/>
        <a:fontRef idx="minor"/>
      </xdr:style>
    </xdr:sp>
    <xdr:clientData/>
  </xdr:twoCellAnchor>
  <xdr:twoCellAnchor editAs="absolute">
    <xdr:from>
      <xdr:col>8</xdr:col>
      <xdr:colOff>581400</xdr:colOff>
      <xdr:row>16</xdr:row>
      <xdr:rowOff>190800</xdr:rowOff>
    </xdr:from>
    <xdr:to>
      <xdr:col>9</xdr:col>
      <xdr:colOff>244080</xdr:colOff>
      <xdr:row>17</xdr:row>
      <xdr:rowOff>123480</xdr:rowOff>
    </xdr:to>
    <xdr:sp>
      <xdr:nvSpPr>
        <xdr:cNvPr id="238" name="p8121as"/>
        <xdr:cNvSpPr/>
      </xdr:nvSpPr>
      <xdr:spPr>
        <a:xfrm>
          <a:off x="7645680" y="3438720"/>
          <a:ext cx="424080" cy="132840"/>
        </a:xfrm>
        <a:prstGeom prst="rect">
          <a:avLst/>
        </a:prstGeom>
        <a:noFill/>
        <a:ln w="0">
          <a:noFill/>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1" lang="en-US" sz="800" strike="noStrike" u="none">
              <a:solidFill>
                <a:srgbClr val="008000"/>
              </a:solidFill>
              <a:effectLst/>
              <a:uFillTx/>
              <a:latin typeface="Times New Roman"/>
            </a:rPr>
            <a:t> 730 </a:t>
          </a:r>
          <a:endParaRPr b="0" lang="en-US" sz="800" strike="noStrike" u="none">
            <a:effectLst/>
            <a:uFillTx/>
            <a:latin typeface="Times New Roman"/>
          </a:endParaRPr>
        </a:p>
      </xdr:txBody>
    </xdr:sp>
    <xdr:clientData/>
  </xdr:twoCellAnchor>
  <xdr:twoCellAnchor editAs="absolute">
    <xdr:from>
      <xdr:col>9</xdr:col>
      <xdr:colOff>645480</xdr:colOff>
      <xdr:row>16</xdr:row>
      <xdr:rowOff>190800</xdr:rowOff>
    </xdr:from>
    <xdr:to>
      <xdr:col>10</xdr:col>
      <xdr:colOff>286200</xdr:colOff>
      <xdr:row>17</xdr:row>
      <xdr:rowOff>142920</xdr:rowOff>
    </xdr:to>
    <xdr:sp>
      <xdr:nvSpPr>
        <xdr:cNvPr id="239" name="p8121ad"/>
        <xdr:cNvSpPr/>
      </xdr:nvSpPr>
      <xdr:spPr>
        <a:xfrm>
          <a:off x="8471160" y="3438720"/>
          <a:ext cx="402120" cy="152280"/>
        </a:xfrm>
        <a:prstGeom prst="rect">
          <a:avLst/>
        </a:prstGeom>
        <a:noFill/>
        <a:ln w="0">
          <a:noFill/>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1" lang="en-US" sz="800" strike="noStrike" u="none">
              <a:solidFill>
                <a:srgbClr val="008000"/>
              </a:solidFill>
              <a:effectLst/>
              <a:uFillTx/>
              <a:latin typeface="Times New Roman"/>
            </a:rPr>
            <a:t> 722 </a:t>
          </a:r>
          <a:endParaRPr b="0" lang="en-US" sz="800" strike="noStrike" u="none">
            <a:effectLst/>
            <a:uFillTx/>
            <a:latin typeface="Times New Roman"/>
          </a:endParaRPr>
        </a:p>
      </xdr:txBody>
    </xdr:sp>
    <xdr:clientData/>
  </xdr:twoCellAnchor>
  <xdr:twoCellAnchor editAs="absolute">
    <xdr:from>
      <xdr:col>11</xdr:col>
      <xdr:colOff>666360</xdr:colOff>
      <xdr:row>11</xdr:row>
      <xdr:rowOff>171000</xdr:rowOff>
    </xdr:from>
    <xdr:to>
      <xdr:col>12</xdr:col>
      <xdr:colOff>402120</xdr:colOff>
      <xdr:row>12</xdr:row>
      <xdr:rowOff>171000</xdr:rowOff>
    </xdr:to>
    <xdr:sp>
      <xdr:nvSpPr>
        <xdr:cNvPr id="240" name="Text 120"/>
        <xdr:cNvSpPr/>
      </xdr:nvSpPr>
      <xdr:spPr>
        <a:xfrm>
          <a:off x="10014840" y="2418840"/>
          <a:ext cx="497160" cy="20016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(14.0)</a:t>
          </a:r>
          <a:endParaRPr b="0" lang="en-US" sz="800" strike="noStrike" u="none">
            <a:effectLst/>
            <a:uFillTx/>
            <a:latin typeface="Times New Roman"/>
          </a:endParaRPr>
        </a:p>
      </xdr:txBody>
    </xdr:sp>
    <xdr:clientData/>
  </xdr:twoCellAnchor>
  <xdr:twoCellAnchor editAs="absolute">
    <xdr:from>
      <xdr:col>11</xdr:col>
      <xdr:colOff>645480</xdr:colOff>
      <xdr:row>10</xdr:row>
      <xdr:rowOff>28800</xdr:rowOff>
    </xdr:from>
    <xdr:to>
      <xdr:col>12</xdr:col>
      <xdr:colOff>370800</xdr:colOff>
      <xdr:row>10</xdr:row>
      <xdr:rowOff>199800</xdr:rowOff>
    </xdr:to>
    <xdr:sp>
      <xdr:nvSpPr>
        <xdr:cNvPr id="241" name="Text 107"/>
        <xdr:cNvSpPr/>
      </xdr:nvSpPr>
      <xdr:spPr>
        <a:xfrm>
          <a:off x="9993960" y="2076840"/>
          <a:ext cx="486720" cy="17100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(18.9)</a:t>
          </a:r>
          <a:endParaRPr b="0" lang="en-US" sz="800" strike="noStrike" u="none">
            <a:effectLst/>
            <a:uFillTx/>
            <a:latin typeface="Times New Roman"/>
          </a:endParaRPr>
        </a:p>
      </xdr:txBody>
    </xdr:sp>
    <xdr:clientData/>
  </xdr:twoCellAnchor>
  <xdr:twoCellAnchor editAs="absolute">
    <xdr:from>
      <xdr:col>12</xdr:col>
      <xdr:colOff>42480</xdr:colOff>
      <xdr:row>11</xdr:row>
      <xdr:rowOff>0</xdr:rowOff>
    </xdr:from>
    <xdr:to>
      <xdr:col>12</xdr:col>
      <xdr:colOff>349560</xdr:colOff>
      <xdr:row>11</xdr:row>
      <xdr:rowOff>153000</xdr:rowOff>
    </xdr:to>
    <xdr:sp>
      <xdr:nvSpPr>
        <xdr:cNvPr id="242" name="816"/>
        <xdr:cNvSpPr/>
      </xdr:nvSpPr>
      <xdr:spPr>
        <a:xfrm>
          <a:off x="10152360" y="2247840"/>
          <a:ext cx="307080" cy="153000"/>
        </a:xfrm>
        <a:prstGeom prst="rect">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spAutoFit/>
        </a:bodyPr>
        <a:p>
          <a:pPr algn="ctr"/>
          <a:r>
            <a:rPr b="0" lang="en-US" sz="800" strike="noStrike" u="none">
              <a:effectLst/>
              <a:uFillTx/>
              <a:latin typeface="Times New Roman"/>
            </a:rPr>
            <a:t>816</a:t>
          </a:r>
          <a:endParaRPr b="0" lang="en-US" sz="800" strike="noStrike" u="none">
            <a:effectLst/>
            <a:uFillTx/>
            <a:latin typeface="Times New Roman"/>
          </a:endParaRPr>
        </a:p>
      </xdr:txBody>
    </xdr:sp>
    <xdr:clientData/>
  </xdr:twoCellAnchor>
  <xdr:twoCellAnchor editAs="absolute">
    <xdr:from>
      <xdr:col>8</xdr:col>
      <xdr:colOff>633960</xdr:colOff>
      <xdr:row>6</xdr:row>
      <xdr:rowOff>47880</xdr:rowOff>
    </xdr:from>
    <xdr:to>
      <xdr:col>11</xdr:col>
      <xdr:colOff>729720</xdr:colOff>
      <xdr:row>10</xdr:row>
      <xdr:rowOff>171000</xdr:rowOff>
    </xdr:to>
    <xdr:sp>
      <xdr:nvSpPr>
        <xdr:cNvPr id="243" name="Line 250"/>
        <xdr:cNvSpPr/>
      </xdr:nvSpPr>
      <xdr:spPr>
        <a:xfrm flipH="1" flipV="1">
          <a:off x="7698240" y="1276560"/>
          <a:ext cx="2379960" cy="942480"/>
        </a:xfrm>
        <a:prstGeom prst="line">
          <a:avLst/>
        </a:prstGeom>
        <a:ln w="9360">
          <a:solidFill>
            <a:srgbClr val="000000"/>
          </a:solidFill>
          <a:prstDash val="dash"/>
          <a:miter/>
        </a:ln>
      </xdr:spPr>
      <xdr:style>
        <a:lnRef idx="0"/>
        <a:fillRef idx="0"/>
        <a:effectRef idx="0"/>
        <a:fontRef idx="minor"/>
      </xdr:style>
    </xdr:sp>
    <xdr:clientData/>
  </xdr:twoCellAnchor>
  <xdr:twoCellAnchor editAs="absolute">
    <xdr:from>
      <xdr:col>8</xdr:col>
      <xdr:colOff>581400</xdr:colOff>
      <xdr:row>5</xdr:row>
      <xdr:rowOff>181080</xdr:rowOff>
    </xdr:from>
    <xdr:to>
      <xdr:col>8</xdr:col>
      <xdr:colOff>667080</xdr:colOff>
      <xdr:row>6</xdr:row>
      <xdr:rowOff>66600</xdr:rowOff>
    </xdr:to>
    <xdr:sp>
      <xdr:nvSpPr>
        <xdr:cNvPr id="244" name="Rectangle 251"/>
        <xdr:cNvSpPr/>
      </xdr:nvSpPr>
      <xdr:spPr>
        <a:xfrm>
          <a:off x="7645680" y="1209960"/>
          <a:ext cx="85680" cy="85320"/>
        </a:xfrm>
        <a:prstGeom prst="rect">
          <a:avLst/>
        </a:prstGeom>
        <a:solidFill>
          <a:srgbClr val="008000"/>
        </a:solid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twoCellAnchor editAs="absolute">
    <xdr:from>
      <xdr:col>6</xdr:col>
      <xdr:colOff>370440</xdr:colOff>
      <xdr:row>26</xdr:row>
      <xdr:rowOff>142920</xdr:rowOff>
    </xdr:from>
    <xdr:to>
      <xdr:col>7</xdr:col>
      <xdr:colOff>11160</xdr:colOff>
      <xdr:row>27</xdr:row>
      <xdr:rowOff>95400</xdr:rowOff>
    </xdr:to>
    <xdr:sp>
      <xdr:nvSpPr>
        <xdr:cNvPr id="245" name="AutoShape 252"/>
        <xdr:cNvSpPr/>
      </xdr:nvSpPr>
      <xdr:spPr>
        <a:xfrm>
          <a:off x="5911920" y="5391360"/>
          <a:ext cx="402120" cy="152280"/>
        </a:xfrm>
        <a:prstGeom prst="wedgeRectCallout">
          <a:avLst>
            <a:gd name="adj1" fmla="val -7893"/>
            <a:gd name="adj2" fmla="val -143750"/>
          </a:avLst>
        </a:prstGeom>
        <a:solidFill>
          <a:srgbClr val="ffffff"/>
        </a:solidFill>
        <a:ln w="9360">
          <a:solidFill>
            <a:srgbClr val="ff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0" lang="en-US" sz="800" strike="noStrike" u="none">
              <a:effectLst/>
              <a:uFillTx/>
              <a:latin typeface="Times New Roman"/>
            </a:rPr>
            <a:t>271.9</a:t>
          </a:r>
          <a:endParaRPr b="0" lang="en-US" sz="800" strike="noStrike" u="none">
            <a:effectLst/>
            <a:uFillTx/>
            <a:latin typeface="Times New Roman"/>
          </a:endParaRPr>
        </a:p>
      </xdr:txBody>
    </xdr:sp>
    <xdr:clientData/>
  </xdr:twoCellAnchor>
  <xdr:twoCellAnchor editAs="absolute">
    <xdr:from>
      <xdr:col>9</xdr:col>
      <xdr:colOff>623880</xdr:colOff>
      <xdr:row>18</xdr:row>
      <xdr:rowOff>123120</xdr:rowOff>
    </xdr:from>
    <xdr:to>
      <xdr:col>10</xdr:col>
      <xdr:colOff>328680</xdr:colOff>
      <xdr:row>19</xdr:row>
      <xdr:rowOff>47880</xdr:rowOff>
    </xdr:to>
    <xdr:sp>
      <xdr:nvSpPr>
        <xdr:cNvPr id="246" name="AutoShape 253"/>
        <xdr:cNvSpPr/>
      </xdr:nvSpPr>
      <xdr:spPr>
        <a:xfrm>
          <a:off x="8449560" y="3771360"/>
          <a:ext cx="466200" cy="124560"/>
        </a:xfrm>
        <a:prstGeom prst="wedgeRectCallout">
          <a:avLst>
            <a:gd name="adj1" fmla="val -12791"/>
            <a:gd name="adj2" fmla="val -180768"/>
          </a:avLst>
        </a:prstGeom>
        <a:solidFill>
          <a:srgbClr val="ffffff"/>
        </a:solidFill>
        <a:ln w="9360">
          <a:solidFill>
            <a:srgbClr val="ff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0" lang="en-US" sz="800" strike="noStrike" u="none">
              <a:effectLst/>
              <a:uFillTx/>
              <a:latin typeface="Times New Roman"/>
            </a:rPr>
            <a:t>357.5</a:t>
          </a:r>
          <a:endParaRPr b="0" lang="en-US" sz="800" strike="noStrike" u="none">
            <a:effectLst/>
            <a:uFillTx/>
            <a:latin typeface="Times New Roman"/>
          </a:endParaRPr>
        </a:p>
      </xdr:txBody>
    </xdr:sp>
    <xdr:clientData/>
  </xdr:twoCellAnchor>
  <xdr:twoCellAnchor editAs="absolute">
    <xdr:from>
      <xdr:col>12</xdr:col>
      <xdr:colOff>243000</xdr:colOff>
      <xdr:row>12</xdr:row>
      <xdr:rowOff>181080</xdr:rowOff>
    </xdr:from>
    <xdr:to>
      <xdr:col>12</xdr:col>
      <xdr:colOff>646200</xdr:colOff>
      <xdr:row>13</xdr:row>
      <xdr:rowOff>123480</xdr:rowOff>
    </xdr:to>
    <xdr:sp>
      <xdr:nvSpPr>
        <xdr:cNvPr id="247" name="AutoShape 254"/>
        <xdr:cNvSpPr/>
      </xdr:nvSpPr>
      <xdr:spPr>
        <a:xfrm>
          <a:off x="10352880" y="2629080"/>
          <a:ext cx="403200" cy="142200"/>
        </a:xfrm>
        <a:prstGeom prst="wedgeRectCallout">
          <a:avLst>
            <a:gd name="adj1" fmla="val -7893"/>
            <a:gd name="adj2" fmla="val -143333"/>
          </a:avLst>
        </a:prstGeom>
        <a:solidFill>
          <a:srgbClr val="ffffff"/>
        </a:solidFill>
        <a:ln w="9360">
          <a:solidFill>
            <a:srgbClr val="ff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0" lang="en-US" sz="800" strike="noStrike" u="none">
              <a:effectLst/>
              <a:uFillTx/>
              <a:latin typeface="Times New Roman"/>
            </a:rPr>
            <a:t>-19.3</a:t>
          </a:r>
          <a:endParaRPr b="0" lang="en-US" sz="800" strike="noStrike" u="none">
            <a:effectLst/>
            <a:uFillTx/>
            <a:latin typeface="Times New Roman"/>
          </a:endParaRPr>
        </a:p>
      </xdr:txBody>
    </xdr:sp>
    <xdr:clientData/>
  </xdr:twoCellAnchor>
  <xdr:twoCellAnchor editAs="absolute">
    <xdr:from>
      <xdr:col>4</xdr:col>
      <xdr:colOff>496440</xdr:colOff>
      <xdr:row>32</xdr:row>
      <xdr:rowOff>18720</xdr:rowOff>
    </xdr:from>
    <xdr:to>
      <xdr:col>5</xdr:col>
      <xdr:colOff>138240</xdr:colOff>
      <xdr:row>32</xdr:row>
      <xdr:rowOff>162000</xdr:rowOff>
    </xdr:to>
    <xdr:sp>
      <xdr:nvSpPr>
        <xdr:cNvPr id="248" name="AutoShape 255"/>
        <xdr:cNvSpPr/>
      </xdr:nvSpPr>
      <xdr:spPr>
        <a:xfrm>
          <a:off x="4515480" y="6476760"/>
          <a:ext cx="403200" cy="143280"/>
        </a:xfrm>
        <a:prstGeom prst="wedgeRectCallout">
          <a:avLst>
            <a:gd name="adj1" fmla="val -7893"/>
            <a:gd name="adj2" fmla="val -143333"/>
          </a:avLst>
        </a:prstGeom>
        <a:solidFill>
          <a:srgbClr val="ffffff"/>
        </a:solidFill>
        <a:ln w="9360">
          <a:solidFill>
            <a:srgbClr val="ff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0" lang="en-US" sz="800" strike="noStrike" u="none">
              <a:effectLst/>
              <a:uFillTx/>
              <a:latin typeface="Times New Roman"/>
            </a:rPr>
            <a:t>49.4</a:t>
          </a:r>
          <a:endParaRPr b="0" lang="en-US" sz="800" strike="noStrike" u="none">
            <a:effectLst/>
            <a:uFillTx/>
            <a:latin typeface="Times New Roman"/>
          </a:endParaRPr>
        </a:p>
      </xdr:txBody>
    </xdr:sp>
    <xdr:clientData/>
  </xdr:twoCellAnchor>
  <xdr:twoCellAnchor editAs="absolute">
    <xdr:from>
      <xdr:col>7</xdr:col>
      <xdr:colOff>348840</xdr:colOff>
      <xdr:row>14</xdr:row>
      <xdr:rowOff>104400</xdr:rowOff>
    </xdr:from>
    <xdr:to>
      <xdr:col>8</xdr:col>
      <xdr:colOff>11160</xdr:colOff>
      <xdr:row>15</xdr:row>
      <xdr:rowOff>56520</xdr:rowOff>
    </xdr:to>
    <xdr:sp>
      <xdr:nvSpPr>
        <xdr:cNvPr id="249" name="Text 30"/>
        <xdr:cNvSpPr/>
      </xdr:nvSpPr>
      <xdr:spPr>
        <a:xfrm flipV="1">
          <a:off x="6651720" y="2952000"/>
          <a:ext cx="423720" cy="15228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10.8 </a:t>
          </a:r>
          <a:endParaRPr b="0" lang="en-US" sz="800" strike="noStrike" u="none">
            <a:effectLst/>
            <a:uFillTx/>
            <a:latin typeface="Times New Roman"/>
          </a:endParaRPr>
        </a:p>
      </xdr:txBody>
    </xdr:sp>
    <xdr:clientData/>
  </xdr:twoCellAnchor>
  <xdr:twoCellAnchor editAs="absolute">
    <xdr:from>
      <xdr:col>7</xdr:col>
      <xdr:colOff>370440</xdr:colOff>
      <xdr:row>16</xdr:row>
      <xdr:rowOff>76320</xdr:rowOff>
    </xdr:from>
    <xdr:to>
      <xdr:col>8</xdr:col>
      <xdr:colOff>21600</xdr:colOff>
      <xdr:row>17</xdr:row>
      <xdr:rowOff>28440</xdr:rowOff>
    </xdr:to>
    <xdr:sp>
      <xdr:nvSpPr>
        <xdr:cNvPr id="250" name="Text 30"/>
        <xdr:cNvSpPr/>
      </xdr:nvSpPr>
      <xdr:spPr>
        <a:xfrm flipV="1">
          <a:off x="6673320" y="3323880"/>
          <a:ext cx="412560" cy="15228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0.0 </a:t>
          </a:r>
          <a:endParaRPr b="0" lang="en-US" sz="800" strike="noStrike" u="none">
            <a:effectLst/>
            <a:uFillTx/>
            <a:latin typeface="Times New Roman"/>
          </a:endParaRPr>
        </a:p>
      </xdr:txBody>
    </xdr:sp>
    <xdr:clientData/>
  </xdr:twoCellAnchor>
  <xdr:twoCellAnchor editAs="absolute">
    <xdr:from>
      <xdr:col>7</xdr:col>
      <xdr:colOff>200880</xdr:colOff>
      <xdr:row>15</xdr:row>
      <xdr:rowOff>47520</xdr:rowOff>
    </xdr:from>
    <xdr:to>
      <xdr:col>8</xdr:col>
      <xdr:colOff>540000</xdr:colOff>
      <xdr:row>16</xdr:row>
      <xdr:rowOff>66600</xdr:rowOff>
    </xdr:to>
    <xdr:sp>
      <xdr:nvSpPr>
        <xdr:cNvPr id="251" name="16247"/>
        <xdr:cNvSpPr/>
      </xdr:nvSpPr>
      <xdr:spPr>
        <a:xfrm>
          <a:off x="6503760" y="3095640"/>
          <a:ext cx="1100520" cy="218880"/>
        </a:xfrm>
        <a:prstGeom prst="roundRect">
          <a:avLst>
            <a:gd name="adj" fmla="val 50000"/>
          </a:avLst>
        </a:prstGeom>
        <a:solidFill>
          <a:srgbClr val="ffffff">
            <a:alpha val="50000"/>
          </a:srgbClr>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Transco Markham</a:t>
          </a:r>
          <a:endParaRPr b="0" lang="en-US" sz="800" strike="noStrike" u="none">
            <a:effectLst/>
            <a:uFillTx/>
            <a:latin typeface="Times New Roman"/>
          </a:endParaRPr>
        </a:p>
      </xdr:txBody>
    </xdr:sp>
    <xdr:clientData/>
  </xdr:twoCellAnchor>
  <xdr:twoCellAnchor editAs="absolute">
    <xdr:from>
      <xdr:col>5</xdr:col>
      <xdr:colOff>750600</xdr:colOff>
      <xdr:row>15</xdr:row>
      <xdr:rowOff>9360</xdr:rowOff>
    </xdr:from>
    <xdr:to>
      <xdr:col>7</xdr:col>
      <xdr:colOff>265320</xdr:colOff>
      <xdr:row>15</xdr:row>
      <xdr:rowOff>56880</xdr:rowOff>
    </xdr:to>
    <xdr:sp>
      <xdr:nvSpPr>
        <xdr:cNvPr id="252" name="Line 259"/>
        <xdr:cNvSpPr/>
      </xdr:nvSpPr>
      <xdr:spPr>
        <a:xfrm flipH="1" flipV="1">
          <a:off x="5531040" y="3057480"/>
          <a:ext cx="1037160" cy="4752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absolute">
    <xdr:from>
      <xdr:col>6</xdr:col>
      <xdr:colOff>666360</xdr:colOff>
      <xdr:row>0</xdr:row>
      <xdr:rowOff>28800</xdr:rowOff>
    </xdr:from>
    <xdr:to>
      <xdr:col>7</xdr:col>
      <xdr:colOff>371160</xdr:colOff>
      <xdr:row>0</xdr:row>
      <xdr:rowOff>181440</xdr:rowOff>
    </xdr:to>
    <xdr:sp>
      <xdr:nvSpPr>
        <xdr:cNvPr id="253" name="AutoShape 260"/>
        <xdr:cNvSpPr/>
      </xdr:nvSpPr>
      <xdr:spPr>
        <a:xfrm>
          <a:off x="6207840" y="28800"/>
          <a:ext cx="466200" cy="152640"/>
        </a:xfrm>
        <a:prstGeom prst="wedgeRectCallout">
          <a:avLst>
            <a:gd name="adj1" fmla="val 50000"/>
            <a:gd name="adj2" fmla="val 118750"/>
          </a:avLst>
        </a:prstGeom>
        <a:gradFill rotWithShape="0">
          <a:gsLst>
            <a:gs pos="0">
              <a:srgbClr val="ffffff"/>
            </a:gs>
            <a:gs pos="100000">
              <a:srgbClr val="3366ff"/>
            </a:gs>
          </a:gsLst>
          <a:lin ang="5400000"/>
        </a:gradFill>
        <a:ln w="9360">
          <a:solidFill>
            <a:srgbClr val="000000"/>
          </a:solidFill>
          <a:miter/>
        </a:ln>
        <a:effectLst>
          <a:outerShdw dist="17819" dir="2700000" blurRad="0" rotWithShape="0">
            <a:srgbClr val="80808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262.5</a:t>
          </a:r>
          <a:endParaRPr b="0" lang="en-US" sz="800" strike="noStrike" u="none">
            <a:effectLst/>
            <a:uFillTx/>
            <a:latin typeface="Times New Roman"/>
          </a:endParaRPr>
        </a:p>
      </xdr:txBody>
    </xdr:sp>
    <xdr:clientData/>
  </xdr:twoCellAnchor>
  <xdr:twoCellAnchor editAs="absolute">
    <xdr:from>
      <xdr:col>0</xdr:col>
      <xdr:colOff>1386000</xdr:colOff>
      <xdr:row>28</xdr:row>
      <xdr:rowOff>171000</xdr:rowOff>
    </xdr:from>
    <xdr:to>
      <xdr:col>1</xdr:col>
      <xdr:colOff>265320</xdr:colOff>
      <xdr:row>29</xdr:row>
      <xdr:rowOff>9360</xdr:rowOff>
    </xdr:to>
    <xdr:sp>
      <xdr:nvSpPr>
        <xdr:cNvPr id="254" name="Line 261"/>
        <xdr:cNvSpPr/>
      </xdr:nvSpPr>
      <xdr:spPr>
        <a:xfrm flipV="1">
          <a:off x="1386000" y="5819400"/>
          <a:ext cx="529560" cy="3816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absolute">
    <xdr:from>
      <xdr:col>7</xdr:col>
      <xdr:colOff>455040</xdr:colOff>
      <xdr:row>8</xdr:row>
      <xdr:rowOff>162000</xdr:rowOff>
    </xdr:from>
    <xdr:to>
      <xdr:col>7</xdr:col>
      <xdr:colOff>540000</xdr:colOff>
      <xdr:row>9</xdr:row>
      <xdr:rowOff>47520</xdr:rowOff>
    </xdr:to>
    <xdr:sp>
      <xdr:nvSpPr>
        <xdr:cNvPr id="255" name="Rectangle 264"/>
        <xdr:cNvSpPr/>
      </xdr:nvSpPr>
      <xdr:spPr>
        <a:xfrm>
          <a:off x="6757920" y="1800360"/>
          <a:ext cx="84960" cy="95040"/>
        </a:xfrm>
        <a:prstGeom prst="rect">
          <a:avLst/>
        </a:prstGeom>
        <a:solidFill>
          <a:srgbClr val="008000"/>
        </a:solid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twoCellAnchor editAs="absolute">
    <xdr:from>
      <xdr:col>7</xdr:col>
      <xdr:colOff>708840</xdr:colOff>
      <xdr:row>7</xdr:row>
      <xdr:rowOff>171000</xdr:rowOff>
    </xdr:from>
    <xdr:to>
      <xdr:col>8</xdr:col>
      <xdr:colOff>32760</xdr:colOff>
      <xdr:row>8</xdr:row>
      <xdr:rowOff>57240</xdr:rowOff>
    </xdr:to>
    <xdr:sp>
      <xdr:nvSpPr>
        <xdr:cNvPr id="256" name="Rectangle 265"/>
        <xdr:cNvSpPr/>
      </xdr:nvSpPr>
      <xdr:spPr>
        <a:xfrm>
          <a:off x="7011720" y="1599840"/>
          <a:ext cx="85320" cy="95760"/>
        </a:xfrm>
        <a:prstGeom prst="rect">
          <a:avLst/>
        </a:prstGeom>
        <a:solidFill>
          <a:srgbClr val="008000"/>
        </a:solid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mc:AlternateContent xmlns:mc="http://schemas.openxmlformats.org/markup-compatibility/2006">
    <mc:Choice xmlns:a14="http://schemas.microsoft.com/office/drawing/2010/main" Requires="a14">
      <xdr:twoCellAnchor editAs="oneCell">
        <xdr:from>
          <xdr:col>12</xdr:col>
          <xdr:colOff>295920</xdr:colOff>
          <xdr:row>34</xdr:row>
          <xdr:rowOff>161640</xdr:rowOff>
        </xdr:from>
        <xdr:to>
          <xdr:col>13</xdr:col>
          <xdr:colOff>-126360</xdr:colOff>
          <xdr:row>35</xdr:row>
          <xdr:rowOff>162360</xdr:rowOff>
        </xdr:to>
        <xdr:sp>
          <xdr:nvSpPr>
            <xdr:cNvPr id="1001" name="checkboxSaveDailyData" descr="" hidden="0"/>
            <xdr:cNvSpPr/>
          </xdr:nvSpPr>
          <xdr:spPr>
            <a:xfrm>
              <a:off x="0" y="0"/>
              <a:ext cx="0" cy="0"/>
            </a:xfrm>
            <a:prstGeom prst="rect">
              <a:avLst/>
            </a:prstGeom>
          </xdr:spPr>
          <xdr:txBody>
            <a:bodyPr anchor="ctr">
              <a:noAutofit/>
            </a:bodyPr>
            <a:p>
              <a:r>
                <a:t/>
              </a:r>
            </a:p>
          </xdr:txBody>
        </xdr:sp>
        <xdr:clientData/>
      </xdr:twoCellAnchor>
    </mc:Choice>
  </mc:AlternateContent>
  <xdr:twoCellAnchor editAs="absolute">
    <xdr:from>
      <xdr:col>12</xdr:col>
      <xdr:colOff>127080</xdr:colOff>
      <xdr:row>6</xdr:row>
      <xdr:rowOff>142920</xdr:rowOff>
    </xdr:from>
    <xdr:to>
      <xdr:col>12</xdr:col>
      <xdr:colOff>550800</xdr:colOff>
      <xdr:row>7</xdr:row>
      <xdr:rowOff>104760</xdr:rowOff>
    </xdr:to>
    <xdr:sp>
      <xdr:nvSpPr>
        <xdr:cNvPr id="257" name="Text 30"/>
        <xdr:cNvSpPr/>
      </xdr:nvSpPr>
      <xdr:spPr>
        <a:xfrm flipV="1">
          <a:off x="10236960" y="1371600"/>
          <a:ext cx="423720" cy="16200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0.0 </a:t>
          </a:r>
          <a:endParaRPr b="0" lang="en-US" sz="800" strike="noStrike" u="none">
            <a:effectLst/>
            <a:uFillTx/>
            <a:latin typeface="Times New Roman"/>
          </a:endParaRPr>
        </a:p>
      </xdr:txBody>
    </xdr:sp>
    <xdr:clientData/>
  </xdr:twoCellAnchor>
  <xdr:twoCellAnchor editAs="absolute">
    <xdr:from>
      <xdr:col>11</xdr:col>
      <xdr:colOff>433440</xdr:colOff>
      <xdr:row>5</xdr:row>
      <xdr:rowOff>142920</xdr:rowOff>
    </xdr:from>
    <xdr:to>
      <xdr:col>12</xdr:col>
      <xdr:colOff>635040</xdr:colOff>
      <xdr:row>6</xdr:row>
      <xdr:rowOff>142920</xdr:rowOff>
    </xdr:to>
    <xdr:sp>
      <xdr:nvSpPr>
        <xdr:cNvPr id="258" name="26167"/>
        <xdr:cNvSpPr/>
      </xdr:nvSpPr>
      <xdr:spPr>
        <a:xfrm>
          <a:off x="9781920" y="1171800"/>
          <a:ext cx="963000" cy="199800"/>
        </a:xfrm>
        <a:prstGeom prst="roundRect">
          <a:avLst>
            <a:gd name="adj" fmla="val 50000"/>
          </a:avLst>
        </a:prstGeom>
        <a:solidFill>
          <a:srgbClr val="ffffff">
            <a:alpha val="50000"/>
          </a:srgbClr>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Centana Orange</a:t>
          </a:r>
          <a:endParaRPr b="0" lang="en-US" sz="800" strike="noStrike" u="none">
            <a:effectLst/>
            <a:uFillTx/>
            <a:latin typeface="Times New Roman"/>
          </a:endParaRPr>
        </a:p>
      </xdr:txBody>
    </xdr:sp>
    <xdr:clientData/>
  </xdr:twoCellAnchor>
  <xdr:twoCellAnchor editAs="oneCell">
    <xdr:from>
      <xdr:col>10</xdr:col>
      <xdr:colOff>603000</xdr:colOff>
      <xdr:row>2</xdr:row>
      <xdr:rowOff>104760</xdr:rowOff>
    </xdr:from>
    <xdr:to>
      <xdr:col>11</xdr:col>
      <xdr:colOff>307080</xdr:colOff>
      <xdr:row>3</xdr:row>
      <xdr:rowOff>114840</xdr:rowOff>
    </xdr:to>
    <xdr:sp>
      <xdr:nvSpPr>
        <xdr:cNvPr id="259" name="Line 270"/>
        <xdr:cNvSpPr/>
      </xdr:nvSpPr>
      <xdr:spPr>
        <a:xfrm>
          <a:off x="9190080" y="514440"/>
          <a:ext cx="465480" cy="20988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absolute">
    <xdr:from>
      <xdr:col>11</xdr:col>
      <xdr:colOff>52920</xdr:colOff>
      <xdr:row>0</xdr:row>
      <xdr:rowOff>0</xdr:rowOff>
    </xdr:from>
    <xdr:to>
      <xdr:col>12</xdr:col>
      <xdr:colOff>391680</xdr:colOff>
      <xdr:row>1</xdr:row>
      <xdr:rowOff>57240</xdr:rowOff>
    </xdr:to>
    <xdr:sp>
      <xdr:nvSpPr>
        <xdr:cNvPr id="260" name="Text 83"/>
        <xdr:cNvSpPr/>
      </xdr:nvSpPr>
      <xdr:spPr>
        <a:xfrm>
          <a:off x="9401400" y="0"/>
          <a:ext cx="1100160" cy="257400"/>
        </a:xfrm>
        <a:prstGeom prst="rect">
          <a:avLst/>
        </a:prstGeom>
        <a:noFill/>
        <a:ln w="0">
          <a:noFill/>
        </a:ln>
      </xdr:spPr>
      <xdr:style>
        <a:lnRef idx="0"/>
        <a:fillRef idx="0"/>
        <a:effectRef idx="0"/>
        <a:fontRef idx="minor"/>
      </xdr:style>
      <xdr:txBody>
        <a:bodyPr lIns="20160" rIns="20160" tIns="20160" bIns="20160" anchor="t">
          <a:noAutofit/>
        </a:bodyPr>
        <a:p>
          <a:pPr algn="r"/>
          <a:r>
            <a:rPr b="1" i="1" lang="en-US" sz="1600" strike="noStrike" u="none">
              <a:effectLst/>
              <a:uFillTx/>
              <a:latin typeface="Times New Roman"/>
            </a:rPr>
            <a:t>Louisiana</a:t>
          </a:r>
          <a:endParaRPr b="0" lang="en-US" sz="1600" strike="noStrike" u="none">
            <a:effectLst/>
            <a:uFillTx/>
            <a:latin typeface="Times New Roman"/>
          </a:endParaRPr>
        </a:p>
      </xdr:txBody>
    </xdr:sp>
    <xdr:clientData/>
  </xdr:twoCellAnchor>
  <xdr:twoCellAnchor editAs="absolute">
    <xdr:from>
      <xdr:col>12</xdr:col>
      <xdr:colOff>210960</xdr:colOff>
      <xdr:row>9</xdr:row>
      <xdr:rowOff>47520</xdr:rowOff>
    </xdr:from>
    <xdr:to>
      <xdr:col>12</xdr:col>
      <xdr:colOff>719640</xdr:colOff>
      <xdr:row>9</xdr:row>
      <xdr:rowOff>181080</xdr:rowOff>
    </xdr:to>
    <xdr:sp>
      <xdr:nvSpPr>
        <xdr:cNvPr id="261" name="Text 120"/>
        <xdr:cNvSpPr/>
      </xdr:nvSpPr>
      <xdr:spPr>
        <a:xfrm>
          <a:off x="10320840" y="1895400"/>
          <a:ext cx="508680" cy="13356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(12.1)</a:t>
          </a:r>
          <a:endParaRPr b="0" lang="en-US" sz="800" strike="noStrike" u="none">
            <a:effectLst/>
            <a:uFillTx/>
            <a:latin typeface="Times New Roman"/>
          </a:endParaRPr>
        </a:p>
      </xdr:txBody>
    </xdr:sp>
    <xdr:clientData/>
  </xdr:twoCellAnchor>
  <xdr:twoCellAnchor editAs="absolute">
    <xdr:from>
      <xdr:col>12</xdr:col>
      <xdr:colOff>338400</xdr:colOff>
      <xdr:row>8</xdr:row>
      <xdr:rowOff>66240</xdr:rowOff>
    </xdr:from>
    <xdr:to>
      <xdr:col>12</xdr:col>
      <xdr:colOff>646200</xdr:colOff>
      <xdr:row>9</xdr:row>
      <xdr:rowOff>9720</xdr:rowOff>
    </xdr:to>
    <xdr:sp>
      <xdr:nvSpPr>
        <xdr:cNvPr id="262" name="820"/>
        <xdr:cNvSpPr/>
      </xdr:nvSpPr>
      <xdr:spPr>
        <a:xfrm>
          <a:off x="10448280" y="1704600"/>
          <a:ext cx="307800" cy="153000"/>
        </a:xfrm>
        <a:prstGeom prst="rect">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spAutoFit/>
        </a:bodyPr>
        <a:p>
          <a:pPr algn="ctr"/>
          <a:r>
            <a:rPr b="0" lang="en-US" sz="800" strike="noStrike" u="none">
              <a:effectLst/>
              <a:uFillTx/>
              <a:latin typeface="Times New Roman"/>
            </a:rPr>
            <a:t>820</a:t>
          </a:r>
          <a:endParaRPr b="0" lang="en-US" sz="800" strike="noStrike" u="none">
            <a:effectLst/>
            <a:uFillTx/>
            <a:latin typeface="Times New Roman"/>
          </a:endParaRPr>
        </a:p>
      </xdr:txBody>
    </xdr:sp>
    <xdr:clientData/>
  </xdr:twoCellAnchor>
  <xdr:twoCellAnchor editAs="absolute">
    <xdr:from>
      <xdr:col>0</xdr:col>
      <xdr:colOff>201600</xdr:colOff>
      <xdr:row>30</xdr:row>
      <xdr:rowOff>133560</xdr:rowOff>
    </xdr:from>
    <xdr:to>
      <xdr:col>0</xdr:col>
      <xdr:colOff>328680</xdr:colOff>
      <xdr:row>31</xdr:row>
      <xdr:rowOff>28440</xdr:rowOff>
    </xdr:to>
    <xdr:sp>
      <xdr:nvSpPr>
        <xdr:cNvPr id="263" name="402A01"/>
        <xdr:cNvSpPr/>
      </xdr:nvSpPr>
      <xdr:spPr>
        <a:xfrm>
          <a:off x="201600" y="6181920"/>
          <a:ext cx="127080" cy="95040"/>
        </a:xfrm>
        <a:prstGeom prst="triangle">
          <a:avLst>
            <a:gd name="adj" fmla="val 50000"/>
          </a:avLst>
        </a:prstGeom>
        <a:solidFill>
          <a:srgbClr val="ff0000"/>
        </a:solid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twoCellAnchor editAs="absolute">
    <xdr:from>
      <xdr:col>0</xdr:col>
      <xdr:colOff>370800</xdr:colOff>
      <xdr:row>30</xdr:row>
      <xdr:rowOff>133560</xdr:rowOff>
    </xdr:from>
    <xdr:to>
      <xdr:col>0</xdr:col>
      <xdr:colOff>499680</xdr:colOff>
      <xdr:row>31</xdr:row>
      <xdr:rowOff>28440</xdr:rowOff>
    </xdr:to>
    <xdr:sp>
      <xdr:nvSpPr>
        <xdr:cNvPr id="264" name="402A02"/>
        <xdr:cNvSpPr/>
      </xdr:nvSpPr>
      <xdr:spPr>
        <a:xfrm>
          <a:off x="370800" y="6181920"/>
          <a:ext cx="128880" cy="95040"/>
        </a:xfrm>
        <a:prstGeom prst="triangle">
          <a:avLst>
            <a:gd name="adj" fmla="val 50000"/>
          </a:avLst>
        </a:prstGeom>
        <a:solidFill>
          <a:srgbClr val="ff0000"/>
        </a:solid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twoCellAnchor editAs="absolute">
    <xdr:from>
      <xdr:col>0</xdr:col>
      <xdr:colOff>380520</xdr:colOff>
      <xdr:row>31</xdr:row>
      <xdr:rowOff>85680</xdr:rowOff>
    </xdr:from>
    <xdr:to>
      <xdr:col>0</xdr:col>
      <xdr:colOff>625320</xdr:colOff>
      <xdr:row>32</xdr:row>
      <xdr:rowOff>9720</xdr:rowOff>
    </xdr:to>
    <xdr:sp>
      <xdr:nvSpPr>
        <xdr:cNvPr id="265" name="Line 276"/>
        <xdr:cNvSpPr/>
      </xdr:nvSpPr>
      <xdr:spPr>
        <a:xfrm>
          <a:off x="380520" y="6334200"/>
          <a:ext cx="244800" cy="13356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absolute">
    <xdr:from>
      <xdr:col>0</xdr:col>
      <xdr:colOff>127440</xdr:colOff>
      <xdr:row>29</xdr:row>
      <xdr:rowOff>38520</xdr:rowOff>
    </xdr:from>
    <xdr:to>
      <xdr:col>0</xdr:col>
      <xdr:colOff>520560</xdr:colOff>
      <xdr:row>29</xdr:row>
      <xdr:rowOff>191520</xdr:rowOff>
    </xdr:to>
    <xdr:sp>
      <xdr:nvSpPr>
        <xdr:cNvPr id="266" name="402C"/>
        <xdr:cNvSpPr/>
      </xdr:nvSpPr>
      <xdr:spPr>
        <a:xfrm>
          <a:off x="127440" y="5886720"/>
          <a:ext cx="393120" cy="153000"/>
        </a:xfrm>
        <a:prstGeom prst="rect">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spAutoFit/>
        </a:bodyPr>
        <a:p>
          <a:pPr algn="ctr"/>
          <a:r>
            <a:rPr b="0" lang="en-US" sz="800" strike="noStrike" u="none">
              <a:effectLst/>
              <a:uFillTx/>
              <a:latin typeface="Times New Roman"/>
            </a:rPr>
            <a:t>402C</a:t>
          </a:r>
          <a:endParaRPr b="0" lang="en-US" sz="800" strike="noStrike" u="none">
            <a:effectLst/>
            <a:uFillTx/>
            <a:latin typeface="Times New Roman"/>
          </a:endParaRPr>
        </a:p>
      </xdr:txBody>
    </xdr:sp>
    <xdr:clientData/>
  </xdr:twoCellAnchor>
  <xdr:twoCellAnchor editAs="absolute">
    <xdr:from>
      <xdr:col>3</xdr:col>
      <xdr:colOff>412560</xdr:colOff>
      <xdr:row>30</xdr:row>
      <xdr:rowOff>104760</xdr:rowOff>
    </xdr:from>
    <xdr:to>
      <xdr:col>4</xdr:col>
      <xdr:colOff>74880</xdr:colOff>
      <xdr:row>31</xdr:row>
      <xdr:rowOff>47520</xdr:rowOff>
    </xdr:to>
    <xdr:sp>
      <xdr:nvSpPr>
        <xdr:cNvPr id="267" name="p800s"/>
        <xdr:cNvSpPr/>
      </xdr:nvSpPr>
      <xdr:spPr>
        <a:xfrm>
          <a:off x="3670200" y="6153120"/>
          <a:ext cx="423720" cy="142920"/>
        </a:xfrm>
        <a:prstGeom prst="rect">
          <a:avLst/>
        </a:prstGeom>
        <a:noFill/>
        <a:ln w="0">
          <a:noFill/>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1" lang="en-US" sz="800" strike="noStrike" u="none">
              <a:solidFill>
                <a:srgbClr val="008000"/>
              </a:solidFill>
              <a:effectLst/>
              <a:uFillTx/>
              <a:latin typeface="Times New Roman"/>
            </a:rPr>
            <a:t> 825 </a:t>
          </a:r>
          <a:endParaRPr b="0" lang="en-US" sz="800" strike="noStrike" u="none">
            <a:effectLst/>
            <a:uFillTx/>
            <a:latin typeface="Times New Roman"/>
          </a:endParaRPr>
        </a:p>
      </xdr:txBody>
    </xdr:sp>
    <xdr:clientData/>
  </xdr:twoCellAnchor>
  <xdr:twoCellAnchor editAs="absolute">
    <xdr:from>
      <xdr:col>10</xdr:col>
      <xdr:colOff>750960</xdr:colOff>
      <xdr:row>1</xdr:row>
      <xdr:rowOff>104760</xdr:rowOff>
    </xdr:from>
    <xdr:to>
      <xdr:col>11</xdr:col>
      <xdr:colOff>381240</xdr:colOff>
      <xdr:row>2</xdr:row>
      <xdr:rowOff>56880</xdr:rowOff>
    </xdr:to>
    <xdr:sp>
      <xdr:nvSpPr>
        <xdr:cNvPr id="268" name="p26156d"/>
        <xdr:cNvSpPr/>
      </xdr:nvSpPr>
      <xdr:spPr>
        <a:xfrm>
          <a:off x="9338040" y="304920"/>
          <a:ext cx="391680" cy="161640"/>
        </a:xfrm>
        <a:prstGeom prst="rect">
          <a:avLst/>
        </a:prstGeom>
        <a:noFill/>
        <a:ln w="0">
          <a:noFill/>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800" strike="noStrike" u="none">
              <a:solidFill>
                <a:srgbClr val="008000"/>
              </a:solidFill>
              <a:effectLst/>
              <a:uFillTx/>
              <a:latin typeface="Times New Roman"/>
            </a:rPr>
            <a:t> 876 </a:t>
          </a:r>
          <a:endParaRPr b="0" lang="en-US" sz="800" strike="noStrike" u="none">
            <a:effectLst/>
            <a:uFillTx/>
            <a:latin typeface="Times New Roman"/>
          </a:endParaRPr>
        </a:p>
      </xdr:txBody>
    </xdr:sp>
    <xdr:clientData/>
  </xdr:twoCellAnchor>
  <xdr:twoCellAnchor editAs="absolute">
    <xdr:from>
      <xdr:col>4</xdr:col>
      <xdr:colOff>676440</xdr:colOff>
      <xdr:row>3</xdr:row>
      <xdr:rowOff>180720</xdr:rowOff>
    </xdr:from>
    <xdr:to>
      <xdr:col>5</xdr:col>
      <xdr:colOff>328320</xdr:colOff>
      <xdr:row>4</xdr:row>
      <xdr:rowOff>142920</xdr:rowOff>
    </xdr:to>
    <xdr:sp>
      <xdr:nvSpPr>
        <xdr:cNvPr id="269" name="Text 30"/>
        <xdr:cNvSpPr/>
      </xdr:nvSpPr>
      <xdr:spPr>
        <a:xfrm flipV="1">
          <a:off x="4695480" y="789840"/>
          <a:ext cx="413280" cy="17172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0.0 </a:t>
          </a:r>
          <a:endParaRPr b="0" lang="en-US" sz="800" strike="noStrike" u="none">
            <a:effectLst/>
            <a:uFillTx/>
            <a:latin typeface="Times New Roman"/>
          </a:endParaRPr>
        </a:p>
      </xdr:txBody>
    </xdr:sp>
    <xdr:clientData/>
  </xdr:twoCellAnchor>
  <xdr:twoCellAnchor editAs="absolute">
    <xdr:from>
      <xdr:col>5</xdr:col>
      <xdr:colOff>380520</xdr:colOff>
      <xdr:row>4</xdr:row>
      <xdr:rowOff>19080</xdr:rowOff>
    </xdr:from>
    <xdr:to>
      <xdr:col>6</xdr:col>
      <xdr:colOff>138600</xdr:colOff>
      <xdr:row>6</xdr:row>
      <xdr:rowOff>86040</xdr:rowOff>
    </xdr:to>
    <xdr:sp>
      <xdr:nvSpPr>
        <xdr:cNvPr id="270" name="Line 281"/>
        <xdr:cNvSpPr/>
      </xdr:nvSpPr>
      <xdr:spPr>
        <a:xfrm flipH="1" flipV="1">
          <a:off x="5160960" y="838080"/>
          <a:ext cx="519120" cy="47664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absolute">
    <xdr:from>
      <xdr:col>4</xdr:col>
      <xdr:colOff>633960</xdr:colOff>
      <xdr:row>5</xdr:row>
      <xdr:rowOff>180720</xdr:rowOff>
    </xdr:from>
    <xdr:to>
      <xdr:col>5</xdr:col>
      <xdr:colOff>286200</xdr:colOff>
      <xdr:row>6</xdr:row>
      <xdr:rowOff>142560</xdr:rowOff>
    </xdr:to>
    <xdr:sp>
      <xdr:nvSpPr>
        <xdr:cNvPr id="271" name="Text 30"/>
        <xdr:cNvSpPr/>
      </xdr:nvSpPr>
      <xdr:spPr>
        <a:xfrm flipV="1">
          <a:off x="4653000" y="1209240"/>
          <a:ext cx="413640" cy="16164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(13.8)</a:t>
          </a:r>
          <a:endParaRPr b="0" lang="en-US" sz="800" strike="noStrike" u="none">
            <a:effectLst/>
            <a:uFillTx/>
            <a:latin typeface="Times New Roman"/>
          </a:endParaRPr>
        </a:p>
      </xdr:txBody>
    </xdr:sp>
    <xdr:clientData/>
  </xdr:twoCellAnchor>
  <xdr:twoCellAnchor editAs="absolute">
    <xdr:from>
      <xdr:col>4</xdr:col>
      <xdr:colOff>581400</xdr:colOff>
      <xdr:row>3</xdr:row>
      <xdr:rowOff>0</xdr:rowOff>
    </xdr:from>
    <xdr:to>
      <xdr:col>5</xdr:col>
      <xdr:colOff>434160</xdr:colOff>
      <xdr:row>3</xdr:row>
      <xdr:rowOff>171360</xdr:rowOff>
    </xdr:to>
    <xdr:sp>
      <xdr:nvSpPr>
        <xdr:cNvPr id="272" name="16297"/>
        <xdr:cNvSpPr/>
      </xdr:nvSpPr>
      <xdr:spPr>
        <a:xfrm>
          <a:off x="4600440" y="609480"/>
          <a:ext cx="614160" cy="171360"/>
        </a:xfrm>
        <a:prstGeom prst="rect">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TGP Katy</a:t>
          </a:r>
          <a:endParaRPr b="0" lang="en-US" sz="800" strike="noStrike" u="none">
            <a:effectLst/>
            <a:uFillTx/>
            <a:latin typeface="Times New Roman"/>
          </a:endParaRPr>
        </a:p>
      </xdr:txBody>
    </xdr:sp>
    <xdr:clientData/>
  </xdr:twoCellAnchor>
  <xdr:twoCellAnchor editAs="absolute">
    <xdr:from>
      <xdr:col>4</xdr:col>
      <xdr:colOff>0</xdr:colOff>
      <xdr:row>5</xdr:row>
      <xdr:rowOff>18720</xdr:rowOff>
    </xdr:from>
    <xdr:to>
      <xdr:col>5</xdr:col>
      <xdr:colOff>243720</xdr:colOff>
      <xdr:row>5</xdr:row>
      <xdr:rowOff>181080</xdr:rowOff>
    </xdr:to>
    <xdr:sp>
      <xdr:nvSpPr>
        <xdr:cNvPr id="273" name="16297"/>
        <xdr:cNvSpPr/>
      </xdr:nvSpPr>
      <xdr:spPr>
        <a:xfrm>
          <a:off x="4019040" y="1047600"/>
          <a:ext cx="1005120" cy="162360"/>
        </a:xfrm>
        <a:prstGeom prst="rect">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Parish Plt  //   DT</a:t>
          </a:r>
          <a:endParaRPr b="0" lang="en-US" sz="800" strike="noStrike" u="none">
            <a:effectLst/>
            <a:uFillTx/>
            <a:latin typeface="Times New Roman"/>
          </a:endParaRPr>
        </a:p>
      </xdr:txBody>
    </xdr:sp>
    <xdr:clientData/>
  </xdr:twoCellAnchor>
  <xdr:twoCellAnchor editAs="absolute">
    <xdr:from>
      <xdr:col>5</xdr:col>
      <xdr:colOff>253440</xdr:colOff>
      <xdr:row>6</xdr:row>
      <xdr:rowOff>9360</xdr:rowOff>
    </xdr:from>
    <xdr:to>
      <xdr:col>6</xdr:col>
      <xdr:colOff>604080</xdr:colOff>
      <xdr:row>9</xdr:row>
      <xdr:rowOff>47520</xdr:rowOff>
    </xdr:to>
    <xdr:sp>
      <xdr:nvSpPr>
        <xdr:cNvPr id="274" name="Line 285"/>
        <xdr:cNvSpPr/>
      </xdr:nvSpPr>
      <xdr:spPr>
        <a:xfrm flipH="1" flipV="1">
          <a:off x="5033880" y="1238040"/>
          <a:ext cx="1111680" cy="65736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absolute">
    <xdr:from>
      <xdr:col>4</xdr:col>
      <xdr:colOff>370080</xdr:colOff>
      <xdr:row>6</xdr:row>
      <xdr:rowOff>57240</xdr:rowOff>
    </xdr:from>
    <xdr:to>
      <xdr:col>4</xdr:col>
      <xdr:colOff>635760</xdr:colOff>
      <xdr:row>6</xdr:row>
      <xdr:rowOff>57240</xdr:rowOff>
    </xdr:to>
    <xdr:sp>
      <xdr:nvSpPr>
        <xdr:cNvPr id="275" name="Line 286"/>
        <xdr:cNvSpPr/>
      </xdr:nvSpPr>
      <xdr:spPr>
        <a:xfrm flipH="1">
          <a:off x="4389120" y="1285920"/>
          <a:ext cx="265680" cy="0"/>
        </a:xfrm>
        <a:prstGeom prst="line">
          <a:avLst/>
        </a:prstGeom>
        <a:ln w="9360">
          <a:solidFill>
            <a:srgbClr val="008000"/>
          </a:solidFill>
          <a:miter/>
          <a:tailEnd len="med" type="triangle" w="med"/>
        </a:ln>
      </xdr:spPr>
      <xdr:style>
        <a:lnRef idx="0"/>
        <a:fillRef idx="0"/>
        <a:effectRef idx="0"/>
        <a:fontRef idx="minor"/>
      </xdr:style>
    </xdr:sp>
    <xdr:clientData/>
  </xdr:twoCellAnchor>
  <xdr:twoCellAnchor editAs="absolute">
    <xdr:from>
      <xdr:col>5</xdr:col>
      <xdr:colOff>127080</xdr:colOff>
      <xdr:row>8</xdr:row>
      <xdr:rowOff>143280</xdr:rowOff>
    </xdr:from>
    <xdr:to>
      <xdr:col>5</xdr:col>
      <xdr:colOff>445320</xdr:colOff>
      <xdr:row>8</xdr:row>
      <xdr:rowOff>143280</xdr:rowOff>
    </xdr:to>
    <xdr:sp>
      <xdr:nvSpPr>
        <xdr:cNvPr id="276" name="julbypass"/>
        <xdr:cNvSpPr/>
      </xdr:nvSpPr>
      <xdr:spPr>
        <a:xfrm>
          <a:off x="4907520" y="1781640"/>
          <a:ext cx="318240" cy="0"/>
        </a:xfrm>
        <a:prstGeom prst="line">
          <a:avLst/>
        </a:prstGeom>
        <a:ln w="9360">
          <a:solidFill>
            <a:srgbClr val="008000"/>
          </a:solidFill>
          <a:miter/>
          <a:tailEnd len="med" type="triangle" w="med"/>
        </a:ln>
      </xdr:spPr>
      <xdr:style>
        <a:lnRef idx="0"/>
        <a:fillRef idx="0"/>
        <a:effectRef idx="0"/>
        <a:fontRef idx="minor"/>
      </xdr:style>
    </xdr:sp>
    <xdr:clientData/>
  </xdr:twoCellAnchor>
  <xdr:twoCellAnchor editAs="absolute">
    <xdr:from>
      <xdr:col>4</xdr:col>
      <xdr:colOff>686880</xdr:colOff>
      <xdr:row>8</xdr:row>
      <xdr:rowOff>199800</xdr:rowOff>
    </xdr:from>
    <xdr:to>
      <xdr:col>5</xdr:col>
      <xdr:colOff>328320</xdr:colOff>
      <xdr:row>9</xdr:row>
      <xdr:rowOff>86040</xdr:rowOff>
    </xdr:to>
    <xdr:sp>
      <xdr:nvSpPr>
        <xdr:cNvPr id="277" name="julturb"/>
        <xdr:cNvSpPr/>
      </xdr:nvSpPr>
      <xdr:spPr>
        <a:xfrm>
          <a:off x="4705920" y="1838160"/>
          <a:ext cx="402840" cy="95760"/>
        </a:xfrm>
        <a:prstGeom prst="line">
          <a:avLst/>
        </a:prstGeom>
        <a:ln w="9360">
          <a:solidFill>
            <a:srgbClr val="008000"/>
          </a:solidFill>
          <a:miter/>
          <a:tailEnd len="med" type="triangle" w="med"/>
        </a:ln>
      </xdr:spPr>
      <xdr:style>
        <a:lnRef idx="0"/>
        <a:fillRef idx="0"/>
        <a:effectRef idx="0"/>
        <a:fontRef idx="minor"/>
      </xdr:style>
    </xdr:sp>
    <xdr:clientData/>
  </xdr:twoCellAnchor>
  <xdr:twoCellAnchor editAs="absolute">
    <xdr:from>
      <xdr:col>6</xdr:col>
      <xdr:colOff>42480</xdr:colOff>
      <xdr:row>9</xdr:row>
      <xdr:rowOff>123480</xdr:rowOff>
    </xdr:from>
    <xdr:to>
      <xdr:col>7</xdr:col>
      <xdr:colOff>75240</xdr:colOff>
      <xdr:row>9</xdr:row>
      <xdr:rowOff>161640</xdr:rowOff>
    </xdr:to>
    <xdr:sp>
      <xdr:nvSpPr>
        <xdr:cNvPr id="278" name="julturb2"/>
        <xdr:cNvSpPr/>
      </xdr:nvSpPr>
      <xdr:spPr>
        <a:xfrm>
          <a:off x="5583960" y="1971360"/>
          <a:ext cx="794160" cy="38160"/>
        </a:xfrm>
        <a:prstGeom prst="line">
          <a:avLst/>
        </a:prstGeom>
        <a:ln w="9360">
          <a:solidFill>
            <a:srgbClr val="008000"/>
          </a:solidFill>
          <a:miter/>
          <a:tailEnd len="med" type="triangle" w="med"/>
        </a:ln>
      </xdr:spPr>
      <xdr:style>
        <a:lnRef idx="0"/>
        <a:fillRef idx="0"/>
        <a:effectRef idx="0"/>
        <a:fontRef idx="minor"/>
      </xdr:style>
    </xdr:sp>
    <xdr:clientData/>
  </xdr:twoCellAnchor>
  <xdr:twoCellAnchor editAs="absolute">
    <xdr:from>
      <xdr:col>4</xdr:col>
      <xdr:colOff>158400</xdr:colOff>
      <xdr:row>7</xdr:row>
      <xdr:rowOff>123480</xdr:rowOff>
    </xdr:from>
    <xdr:to>
      <xdr:col>4</xdr:col>
      <xdr:colOff>561240</xdr:colOff>
      <xdr:row>8</xdr:row>
      <xdr:rowOff>75960</xdr:rowOff>
    </xdr:to>
    <xdr:sp>
      <xdr:nvSpPr>
        <xdr:cNvPr id="279" name="p812s"/>
        <xdr:cNvSpPr/>
      </xdr:nvSpPr>
      <xdr:spPr>
        <a:xfrm>
          <a:off x="4177440" y="1552320"/>
          <a:ext cx="402840" cy="162000"/>
        </a:xfrm>
        <a:prstGeom prst="rect">
          <a:avLst/>
        </a:prstGeom>
        <a:noFill/>
        <a:ln w="0">
          <a:noFill/>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1" lang="en-US" sz="800" strike="noStrike" u="none">
              <a:solidFill>
                <a:srgbClr val="ff0000"/>
              </a:solidFill>
              <a:effectLst/>
              <a:uFillTx/>
              <a:latin typeface="Times New Roman"/>
            </a:rPr>
            <a:t> 724 </a:t>
          </a:r>
          <a:endParaRPr b="0" lang="en-US" sz="800" strike="noStrike" u="none">
            <a:effectLst/>
            <a:uFillTx/>
            <a:latin typeface="Times New Roman"/>
          </a:endParaRPr>
        </a:p>
      </xdr:txBody>
    </xdr:sp>
    <xdr:clientData/>
  </xdr:twoCellAnchor>
  <xdr:twoCellAnchor editAs="absolute">
    <xdr:from>
      <xdr:col>5</xdr:col>
      <xdr:colOff>496440</xdr:colOff>
      <xdr:row>7</xdr:row>
      <xdr:rowOff>123480</xdr:rowOff>
    </xdr:from>
    <xdr:to>
      <xdr:col>6</xdr:col>
      <xdr:colOff>180720</xdr:colOff>
      <xdr:row>8</xdr:row>
      <xdr:rowOff>47520</xdr:rowOff>
    </xdr:to>
    <xdr:sp>
      <xdr:nvSpPr>
        <xdr:cNvPr id="280" name="p812d"/>
        <xdr:cNvSpPr/>
      </xdr:nvSpPr>
      <xdr:spPr>
        <a:xfrm>
          <a:off x="5276880" y="1552320"/>
          <a:ext cx="445320" cy="133560"/>
        </a:xfrm>
        <a:prstGeom prst="rect">
          <a:avLst/>
        </a:prstGeom>
        <a:noFill/>
        <a:ln w="0">
          <a:noFill/>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1" lang="en-US" sz="800" strike="noStrike" u="none">
              <a:solidFill>
                <a:srgbClr val="ff0000"/>
              </a:solidFill>
              <a:effectLst/>
              <a:uFillTx/>
              <a:latin typeface="Times New Roman"/>
            </a:rPr>
            <a:t> 719 </a:t>
          </a:r>
          <a:endParaRPr b="0" lang="en-US" sz="800" strike="noStrike" u="none">
            <a:effectLst/>
            <a:uFillTx/>
            <a:latin typeface="Times New Roman"/>
          </a:endParaRPr>
        </a:p>
      </xdr:txBody>
    </xdr:sp>
    <xdr:clientData/>
  </xdr:twoCellAnchor>
  <xdr:twoCellAnchor editAs="absolute">
    <xdr:from>
      <xdr:col>3</xdr:col>
      <xdr:colOff>390960</xdr:colOff>
      <xdr:row>5</xdr:row>
      <xdr:rowOff>28800</xdr:rowOff>
    </xdr:from>
    <xdr:to>
      <xdr:col>4</xdr:col>
      <xdr:colOff>32760</xdr:colOff>
      <xdr:row>5</xdr:row>
      <xdr:rowOff>190440</xdr:rowOff>
    </xdr:to>
    <xdr:sp>
      <xdr:nvSpPr>
        <xdr:cNvPr id="281" name="p6148d"/>
        <xdr:cNvSpPr/>
      </xdr:nvSpPr>
      <xdr:spPr>
        <a:xfrm>
          <a:off x="3648600" y="1057680"/>
          <a:ext cx="403200" cy="161640"/>
        </a:xfrm>
        <a:prstGeom prst="rect">
          <a:avLst/>
        </a:prstGeom>
        <a:noFill/>
        <a:ln w="0">
          <a:noFill/>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1" lang="en-US" sz="800" strike="noStrike" u="none">
              <a:solidFill>
                <a:srgbClr val="008000"/>
              </a:solidFill>
              <a:effectLst/>
              <a:uFillTx/>
              <a:latin typeface="Times New Roman"/>
            </a:rPr>
            <a:t> 464 </a:t>
          </a:r>
          <a:endParaRPr b="0" lang="en-US" sz="800" strike="noStrike" u="none">
            <a:effectLst/>
            <a:uFillTx/>
            <a:latin typeface="Times New Roman"/>
          </a:endParaRPr>
        </a:p>
      </xdr:txBody>
    </xdr:sp>
    <xdr:clientData/>
  </xdr:twoCellAnchor>
  <xdr:twoCellAnchor editAs="absolute">
    <xdr:from>
      <xdr:col>5</xdr:col>
      <xdr:colOff>200520</xdr:colOff>
      <xdr:row>5</xdr:row>
      <xdr:rowOff>28800</xdr:rowOff>
    </xdr:from>
    <xdr:to>
      <xdr:col>5</xdr:col>
      <xdr:colOff>603000</xdr:colOff>
      <xdr:row>5</xdr:row>
      <xdr:rowOff>190440</xdr:rowOff>
    </xdr:to>
    <xdr:sp>
      <xdr:nvSpPr>
        <xdr:cNvPr id="282" name="p56015d"/>
        <xdr:cNvSpPr/>
      </xdr:nvSpPr>
      <xdr:spPr>
        <a:xfrm>
          <a:off x="4980960" y="1057680"/>
          <a:ext cx="402480" cy="161640"/>
        </a:xfrm>
        <a:prstGeom prst="rect">
          <a:avLst/>
        </a:prstGeom>
        <a:noFill/>
        <a:ln w="0">
          <a:noFill/>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1" lang="en-US" sz="800" strike="noStrike" u="none">
              <a:solidFill>
                <a:srgbClr val="008000"/>
              </a:solidFill>
              <a:effectLst/>
              <a:uFillTx/>
              <a:latin typeface="Times New Roman"/>
            </a:rPr>
            <a:t> 482 </a:t>
          </a:r>
          <a:endParaRPr b="0" lang="en-US" sz="800" strike="noStrike" u="none">
            <a:effectLst/>
            <a:uFillTx/>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0</xdr:col>
          <xdr:colOff>32400</xdr:colOff>
          <xdr:row>3</xdr:row>
          <xdr:rowOff>66600</xdr:rowOff>
        </xdr:from>
        <xdr:to>
          <xdr:col>1</xdr:col>
          <xdr:colOff>-410760</xdr:colOff>
          <xdr:row>4</xdr:row>
          <xdr:rowOff>76320</xdr:rowOff>
        </xdr:to>
        <xdr:sp>
          <xdr:nvSpPr>
            <xdr:cNvPr id="1002" name="Check Box 294" descr="Print on Updates" hidden="0"/>
            <xdr:cNvSpPr/>
          </xdr:nvSpPr>
          <xdr:spPr>
            <a:xfrm>
              <a:off x="0" y="0"/>
              <a:ext cx="0" cy="0"/>
            </a:xfrm>
            <a:prstGeom prst="rect">
              <a:avLst/>
            </a:prstGeom>
          </xdr:spPr>
          <xdr:txBody>
            <a:bodyPr anchor="ctr">
              <a:noAutofit/>
            </a:bodyPr>
            <a:p>
              <a:r>
                <a:t>Print on Updates</a:t>
              </a:r>
            </a:p>
          </xdr:txBody>
        </xdr:sp>
        <xdr:clientData/>
      </xdr:twoCellAnchor>
    </mc:Choice>
  </mc:AlternateContent>
  <xdr:twoCellAnchor editAs="absolute">
    <xdr:from>
      <xdr:col>8</xdr:col>
      <xdr:colOff>95400</xdr:colOff>
      <xdr:row>5</xdr:row>
      <xdr:rowOff>142920</xdr:rowOff>
    </xdr:from>
    <xdr:to>
      <xdr:col>8</xdr:col>
      <xdr:colOff>244080</xdr:colOff>
      <xdr:row>7</xdr:row>
      <xdr:rowOff>66240</xdr:rowOff>
    </xdr:to>
    <xdr:sp>
      <xdr:nvSpPr>
        <xdr:cNvPr id="283" name="Line 295"/>
        <xdr:cNvSpPr/>
      </xdr:nvSpPr>
      <xdr:spPr>
        <a:xfrm flipV="1">
          <a:off x="7159680" y="1171800"/>
          <a:ext cx="148680" cy="32328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absolute">
    <xdr:from>
      <xdr:col>7</xdr:col>
      <xdr:colOff>264960</xdr:colOff>
      <xdr:row>3</xdr:row>
      <xdr:rowOff>123840</xdr:rowOff>
    </xdr:from>
    <xdr:to>
      <xdr:col>9</xdr:col>
      <xdr:colOff>43200</xdr:colOff>
      <xdr:row>5</xdr:row>
      <xdr:rowOff>76320</xdr:rowOff>
    </xdr:to>
    <xdr:sp>
      <xdr:nvSpPr>
        <xdr:cNvPr id="284" name="26106"/>
        <xdr:cNvSpPr/>
      </xdr:nvSpPr>
      <xdr:spPr>
        <a:xfrm>
          <a:off x="6567840" y="733320"/>
          <a:ext cx="1301040" cy="371880"/>
        </a:xfrm>
        <a:prstGeom prst="roundRect">
          <a:avLst>
            <a:gd name="adj" fmla="val 50000"/>
          </a:avLst>
        </a:prstGeom>
        <a:solidFill>
          <a:srgbClr val="ffffff">
            <a:alpha val="50000"/>
          </a:srgbClr>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TTL HL&amp;P Cedar Bayou/Red Bluff CIG </a:t>
          </a:r>
          <a:endParaRPr b="0" lang="en-US" sz="800" strike="noStrike" u="none">
            <a:effectLst/>
            <a:uFillTx/>
            <a:latin typeface="Times New Roman"/>
          </a:endParaRPr>
        </a:p>
      </xdr:txBody>
    </xdr:sp>
    <xdr:clientData/>
  </xdr:twoCellAnchor>
  <xdr:twoCellAnchor editAs="oneCell">
    <xdr:from>
      <xdr:col>0</xdr:col>
      <xdr:colOff>20880</xdr:colOff>
      <xdr:row>9</xdr:row>
      <xdr:rowOff>18720</xdr:rowOff>
    </xdr:from>
    <xdr:to>
      <xdr:col>2</xdr:col>
      <xdr:colOff>127800</xdr:colOff>
      <xdr:row>16</xdr:row>
      <xdr:rowOff>142920</xdr:rowOff>
    </xdr:to>
    <xdr:graphicFrame>
      <xdr:nvGraphicFramePr>
        <xdr:cNvPr id="285" name="Chart 298"/>
        <xdr:cNvGraphicFramePr/>
      </xdr:nvGraphicFramePr>
      <xdr:xfrm>
        <a:off x="20880" y="1866600"/>
        <a:ext cx="2603160" cy="15242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absolute">
    <xdr:from>
      <xdr:col>5</xdr:col>
      <xdr:colOff>295920</xdr:colOff>
      <xdr:row>9</xdr:row>
      <xdr:rowOff>85680</xdr:rowOff>
    </xdr:from>
    <xdr:to>
      <xdr:col>6</xdr:col>
      <xdr:colOff>43200</xdr:colOff>
      <xdr:row>10</xdr:row>
      <xdr:rowOff>76680</xdr:rowOff>
    </xdr:to>
    <xdr:sp>
      <xdr:nvSpPr>
        <xdr:cNvPr id="286" name="Text 30"/>
        <xdr:cNvSpPr/>
      </xdr:nvSpPr>
      <xdr:spPr>
        <a:xfrm flipV="1">
          <a:off x="4991760" y="1905120"/>
          <a:ext cx="508680" cy="19080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(174.8)</a:t>
          </a:r>
          <a:endParaRPr b="0" lang="en-US" sz="800" strike="noStrike" u="none">
            <a:effectLst/>
            <a:uFillTx/>
            <a:latin typeface="Times New Roman"/>
          </a:endParaRPr>
        </a:p>
      </xdr:txBody>
    </xdr:sp>
    <xdr:clientData/>
  </xdr:twoCellAnchor>
  <xdr:twoCellAnchor editAs="absolute">
    <xdr:from>
      <xdr:col>6</xdr:col>
      <xdr:colOff>666000</xdr:colOff>
      <xdr:row>1</xdr:row>
      <xdr:rowOff>0</xdr:rowOff>
    </xdr:from>
    <xdr:to>
      <xdr:col>7</xdr:col>
      <xdr:colOff>318240</xdr:colOff>
      <xdr:row>1</xdr:row>
      <xdr:rowOff>133560</xdr:rowOff>
    </xdr:to>
    <xdr:sp>
      <xdr:nvSpPr>
        <xdr:cNvPr id="287" name="Text 97"/>
        <xdr:cNvSpPr/>
      </xdr:nvSpPr>
      <xdr:spPr>
        <a:xfrm>
          <a:off x="6123240" y="200160"/>
          <a:ext cx="413640" cy="13356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1" lang="en-US" sz="800" strike="noStrike" u="none">
              <a:solidFill>
                <a:srgbClr val="008000"/>
              </a:solidFill>
              <a:effectLst/>
              <a:uFillTx/>
              <a:latin typeface="Times New Roman"/>
            </a:rPr>
            <a:t> 702 </a:t>
          </a:r>
          <a:endParaRPr b="0" lang="en-US" sz="800" strike="noStrike" u="none">
            <a:effectLst/>
            <a:uFillTx/>
            <a:latin typeface="Times New Roman"/>
          </a:endParaRPr>
        </a:p>
      </xdr:txBody>
    </xdr:sp>
    <xdr:clientData/>
  </xdr:twoCellAnchor>
  <xdr:twoCellAnchor editAs="absolute">
    <xdr:from>
      <xdr:col>11</xdr:col>
      <xdr:colOff>127440</xdr:colOff>
      <xdr:row>6</xdr:row>
      <xdr:rowOff>161280</xdr:rowOff>
    </xdr:from>
    <xdr:to>
      <xdr:col>11</xdr:col>
      <xdr:colOff>561600</xdr:colOff>
      <xdr:row>7</xdr:row>
      <xdr:rowOff>151920</xdr:rowOff>
    </xdr:to>
    <xdr:sp>
      <xdr:nvSpPr>
        <xdr:cNvPr id="288" name="Text 30"/>
        <xdr:cNvSpPr/>
      </xdr:nvSpPr>
      <xdr:spPr>
        <a:xfrm flipV="1">
          <a:off x="9391320" y="1361160"/>
          <a:ext cx="434160" cy="19044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(13.3)</a:t>
          </a:r>
          <a:endParaRPr b="0" lang="en-US" sz="800" strike="noStrike" u="none">
            <a:effectLst/>
            <a:uFillTx/>
            <a:latin typeface="Times New Roman"/>
          </a:endParaRPr>
        </a:p>
      </xdr:txBody>
    </xdr:sp>
    <xdr:clientData/>
  </xdr:twoCellAnchor>
  <xdr:twoCellAnchor editAs="absolute">
    <xdr:from>
      <xdr:col>4</xdr:col>
      <xdr:colOff>327960</xdr:colOff>
      <xdr:row>9</xdr:row>
      <xdr:rowOff>104400</xdr:rowOff>
    </xdr:from>
    <xdr:to>
      <xdr:col>5</xdr:col>
      <xdr:colOff>43200</xdr:colOff>
      <xdr:row>10</xdr:row>
      <xdr:rowOff>66600</xdr:rowOff>
    </xdr:to>
    <xdr:sp>
      <xdr:nvSpPr>
        <xdr:cNvPr id="289" name="Text 30"/>
        <xdr:cNvSpPr/>
      </xdr:nvSpPr>
      <xdr:spPr>
        <a:xfrm flipV="1">
          <a:off x="4262400" y="1923840"/>
          <a:ext cx="476640" cy="16200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(190.2)</a:t>
          </a:r>
          <a:endParaRPr b="0" lang="en-US" sz="800" strike="noStrike" u="none">
            <a:effectLst/>
            <a:uFillTx/>
            <a:latin typeface="Times New Roman"/>
          </a:endParaRPr>
        </a:p>
      </xdr:txBody>
    </xdr:sp>
    <xdr:clientData/>
  </xdr:twoCellAnchor>
  <xdr:twoCellAnchor editAs="absolute">
    <xdr:from>
      <xdr:col>7</xdr:col>
      <xdr:colOff>581400</xdr:colOff>
      <xdr:row>6</xdr:row>
      <xdr:rowOff>76320</xdr:rowOff>
    </xdr:from>
    <xdr:to>
      <xdr:col>8</xdr:col>
      <xdr:colOff>222840</xdr:colOff>
      <xdr:row>8</xdr:row>
      <xdr:rowOff>38520</xdr:rowOff>
    </xdr:to>
    <xdr:sp>
      <xdr:nvSpPr>
        <xdr:cNvPr id="290" name="Oval 5"/>
        <xdr:cNvSpPr/>
      </xdr:nvSpPr>
      <xdr:spPr>
        <a:xfrm>
          <a:off x="6800040" y="1276560"/>
          <a:ext cx="402840" cy="371520"/>
        </a:xfrm>
        <a:prstGeom prst="ellipse">
          <a:avLst/>
        </a:prstGeom>
        <a:solidFill>
          <a:srgbClr val="ffffff">
            <a:alpha val="50000"/>
          </a:srgbClr>
        </a:solid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twoCellAnchor editAs="absolute">
    <xdr:from>
      <xdr:col>10</xdr:col>
      <xdr:colOff>84960</xdr:colOff>
      <xdr:row>1</xdr:row>
      <xdr:rowOff>170640</xdr:rowOff>
    </xdr:from>
    <xdr:to>
      <xdr:col>10</xdr:col>
      <xdr:colOff>551160</xdr:colOff>
      <xdr:row>2</xdr:row>
      <xdr:rowOff>104400</xdr:rowOff>
    </xdr:to>
    <xdr:sp>
      <xdr:nvSpPr>
        <xdr:cNvPr id="291" name="Text 30"/>
        <xdr:cNvSpPr/>
      </xdr:nvSpPr>
      <xdr:spPr>
        <a:xfrm flipV="1">
          <a:off x="8587440" y="370440"/>
          <a:ext cx="466200" cy="13356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63.4 </a:t>
          </a:r>
          <a:endParaRPr b="0" lang="en-US" sz="800" strike="noStrike" u="none">
            <a:effectLst/>
            <a:uFillTx/>
            <a:latin typeface="Times New Roman"/>
          </a:endParaRPr>
        </a:p>
      </xdr:txBody>
    </xdr:sp>
    <xdr:clientData/>
  </xdr:twoCellAnchor>
  <xdr:twoCellAnchor editAs="absolute">
    <xdr:from>
      <xdr:col>7</xdr:col>
      <xdr:colOff>623880</xdr:colOff>
      <xdr:row>3</xdr:row>
      <xdr:rowOff>-360</xdr:rowOff>
    </xdr:from>
    <xdr:to>
      <xdr:col>8</xdr:col>
      <xdr:colOff>370800</xdr:colOff>
      <xdr:row>3</xdr:row>
      <xdr:rowOff>180720</xdr:rowOff>
    </xdr:to>
    <xdr:sp>
      <xdr:nvSpPr>
        <xdr:cNvPr id="292" name="Text 30"/>
        <xdr:cNvSpPr/>
      </xdr:nvSpPr>
      <xdr:spPr>
        <a:xfrm flipV="1">
          <a:off x="6842520" y="599400"/>
          <a:ext cx="508320" cy="18108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0.0 </a:t>
          </a:r>
          <a:endParaRPr b="0" lang="en-US" sz="800" strike="noStrike" u="none">
            <a:effectLst/>
            <a:uFillTx/>
            <a:latin typeface="Times New Roman"/>
          </a:endParaRPr>
        </a:p>
      </xdr:txBody>
    </xdr:sp>
    <xdr:clientData/>
  </xdr:twoCellAnchor>
  <xdr:twoCellAnchor editAs="absolute">
    <xdr:from>
      <xdr:col>7</xdr:col>
      <xdr:colOff>750600</xdr:colOff>
      <xdr:row>7</xdr:row>
      <xdr:rowOff>190800</xdr:rowOff>
    </xdr:from>
    <xdr:to>
      <xdr:col>10</xdr:col>
      <xdr:colOff>624240</xdr:colOff>
      <xdr:row>13</xdr:row>
      <xdr:rowOff>104760</xdr:rowOff>
    </xdr:to>
    <xdr:sp>
      <xdr:nvSpPr>
        <xdr:cNvPr id="293" name="Line 8"/>
        <xdr:cNvSpPr/>
      </xdr:nvSpPr>
      <xdr:spPr>
        <a:xfrm flipH="1" flipV="1">
          <a:off x="6969240" y="1590840"/>
          <a:ext cx="2157480" cy="1133280"/>
        </a:xfrm>
        <a:prstGeom prst="line">
          <a:avLst/>
        </a:prstGeom>
        <a:ln w="9360">
          <a:solidFill>
            <a:srgbClr val="000000"/>
          </a:solidFill>
          <a:prstDash val="dash"/>
          <a:miter/>
        </a:ln>
      </xdr:spPr>
      <xdr:style>
        <a:lnRef idx="0"/>
        <a:fillRef idx="0"/>
        <a:effectRef idx="0"/>
        <a:fontRef idx="minor"/>
      </xdr:style>
    </xdr:sp>
    <xdr:clientData/>
  </xdr:twoCellAnchor>
  <xdr:twoCellAnchor editAs="absolute">
    <xdr:from>
      <xdr:col>7</xdr:col>
      <xdr:colOff>412560</xdr:colOff>
      <xdr:row>14</xdr:row>
      <xdr:rowOff>142560</xdr:rowOff>
    </xdr:from>
    <xdr:to>
      <xdr:col>8</xdr:col>
      <xdr:colOff>106200</xdr:colOff>
      <xdr:row>15</xdr:row>
      <xdr:rowOff>133200</xdr:rowOff>
    </xdr:to>
    <xdr:sp>
      <xdr:nvSpPr>
        <xdr:cNvPr id="294" name="Text 30"/>
        <xdr:cNvSpPr/>
      </xdr:nvSpPr>
      <xdr:spPr>
        <a:xfrm flipV="1">
          <a:off x="6631200" y="2961720"/>
          <a:ext cx="455040" cy="19044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(0.9)</a:t>
          </a:r>
          <a:endParaRPr b="0" lang="en-US" sz="800" strike="noStrike" u="none">
            <a:effectLst/>
            <a:uFillTx/>
            <a:latin typeface="Times New Roman"/>
          </a:endParaRPr>
        </a:p>
      </xdr:txBody>
    </xdr:sp>
    <xdr:clientData/>
  </xdr:twoCellAnchor>
  <xdr:twoCellAnchor editAs="absolute">
    <xdr:from>
      <xdr:col>1</xdr:col>
      <xdr:colOff>708840</xdr:colOff>
      <xdr:row>25</xdr:row>
      <xdr:rowOff>142560</xdr:rowOff>
    </xdr:from>
    <xdr:to>
      <xdr:col>3</xdr:col>
      <xdr:colOff>328680</xdr:colOff>
      <xdr:row>27</xdr:row>
      <xdr:rowOff>151920</xdr:rowOff>
    </xdr:to>
    <xdr:sp>
      <xdr:nvSpPr>
        <xdr:cNvPr id="295" name="Line 10"/>
        <xdr:cNvSpPr/>
      </xdr:nvSpPr>
      <xdr:spPr>
        <a:xfrm flipH="1" flipV="1">
          <a:off x="2359080" y="5162400"/>
          <a:ext cx="1142640" cy="40932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absolute">
    <xdr:from>
      <xdr:col>3</xdr:col>
      <xdr:colOff>507960</xdr:colOff>
      <xdr:row>26</xdr:row>
      <xdr:rowOff>123120</xdr:rowOff>
    </xdr:from>
    <xdr:to>
      <xdr:col>4</xdr:col>
      <xdr:colOff>148680</xdr:colOff>
      <xdr:row>27</xdr:row>
      <xdr:rowOff>75960</xdr:rowOff>
    </xdr:to>
    <xdr:sp>
      <xdr:nvSpPr>
        <xdr:cNvPr id="296" name="Text 30"/>
        <xdr:cNvSpPr/>
      </xdr:nvSpPr>
      <xdr:spPr>
        <a:xfrm flipV="1">
          <a:off x="3681000" y="5342400"/>
          <a:ext cx="402120" cy="15300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3.5 </a:t>
          </a:r>
          <a:endParaRPr b="0" lang="en-US" sz="800" strike="noStrike" u="none">
            <a:effectLst/>
            <a:uFillTx/>
            <a:latin typeface="Times New Roman"/>
          </a:endParaRPr>
        </a:p>
      </xdr:txBody>
    </xdr:sp>
    <xdr:clientData/>
  </xdr:twoCellAnchor>
  <xdr:twoCellAnchor editAs="absolute">
    <xdr:from>
      <xdr:col>3</xdr:col>
      <xdr:colOff>507960</xdr:colOff>
      <xdr:row>28</xdr:row>
      <xdr:rowOff>104760</xdr:rowOff>
    </xdr:from>
    <xdr:to>
      <xdr:col>4</xdr:col>
      <xdr:colOff>148680</xdr:colOff>
      <xdr:row>29</xdr:row>
      <xdr:rowOff>66600</xdr:rowOff>
    </xdr:to>
    <xdr:sp>
      <xdr:nvSpPr>
        <xdr:cNvPr id="297" name="Text 30"/>
        <xdr:cNvSpPr/>
      </xdr:nvSpPr>
      <xdr:spPr>
        <a:xfrm flipV="1">
          <a:off x="3681000" y="5724360"/>
          <a:ext cx="402120" cy="16200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3.5 </a:t>
          </a:r>
          <a:endParaRPr b="0" lang="en-US" sz="800" strike="noStrike" u="none">
            <a:effectLst/>
            <a:uFillTx/>
            <a:latin typeface="Times New Roman"/>
          </a:endParaRPr>
        </a:p>
      </xdr:txBody>
    </xdr:sp>
    <xdr:clientData/>
  </xdr:twoCellAnchor>
  <xdr:twoCellAnchor editAs="absolute">
    <xdr:from>
      <xdr:col>0</xdr:col>
      <xdr:colOff>475560</xdr:colOff>
      <xdr:row>23</xdr:row>
      <xdr:rowOff>114120</xdr:rowOff>
    </xdr:from>
    <xdr:to>
      <xdr:col>0</xdr:col>
      <xdr:colOff>847800</xdr:colOff>
      <xdr:row>24</xdr:row>
      <xdr:rowOff>66960</xdr:rowOff>
    </xdr:to>
    <xdr:sp>
      <xdr:nvSpPr>
        <xdr:cNvPr id="298" name="TGPAGUAS"/>
        <xdr:cNvSpPr/>
      </xdr:nvSpPr>
      <xdr:spPr>
        <a:xfrm>
          <a:off x="475560" y="4733640"/>
          <a:ext cx="372240" cy="153000"/>
        </a:xfrm>
        <a:prstGeom prst="rect">
          <a:avLst/>
        </a:prstGeom>
        <a:solidFill>
          <a:srgbClr val="ffffff"/>
        </a:solidFill>
        <a:ln w="0">
          <a:noFill/>
        </a:ln>
      </xdr:spPr>
      <xdr:style>
        <a:lnRef idx="0"/>
        <a:fillRef idx="0"/>
        <a:effectRef idx="0"/>
        <a:fontRef idx="minor"/>
      </xdr:style>
      <xdr:txBody>
        <a:bodyPr lIns="20160" rIns="20160" tIns="20160" bIns="20160" anchor="ctr">
          <a:spAutoFit/>
        </a:bodyPr>
        <a:p>
          <a:pPr algn="ctr"/>
          <a:r>
            <a:rPr b="0" lang="en-US" sz="800" strike="noStrike" u="none">
              <a:effectLst/>
              <a:uFillTx/>
              <a:latin typeface="Times New Roman"/>
            </a:rPr>
            <a:t>(0.4)</a:t>
          </a:r>
          <a:endParaRPr b="0" lang="en-US" sz="800" strike="noStrike" u="none">
            <a:effectLst/>
            <a:uFillTx/>
            <a:latin typeface="Times New Roman"/>
          </a:endParaRPr>
        </a:p>
      </xdr:txBody>
    </xdr:sp>
    <xdr:clientData/>
  </xdr:twoCellAnchor>
  <xdr:twoCellAnchor editAs="absolute">
    <xdr:from>
      <xdr:col>7</xdr:col>
      <xdr:colOff>200520</xdr:colOff>
      <xdr:row>1</xdr:row>
      <xdr:rowOff>161640</xdr:rowOff>
    </xdr:from>
    <xdr:to>
      <xdr:col>7</xdr:col>
      <xdr:colOff>709200</xdr:colOff>
      <xdr:row>2</xdr:row>
      <xdr:rowOff>104760</xdr:rowOff>
    </xdr:to>
    <xdr:sp>
      <xdr:nvSpPr>
        <xdr:cNvPr id="299" name="Text 121"/>
        <xdr:cNvSpPr/>
      </xdr:nvSpPr>
      <xdr:spPr>
        <a:xfrm>
          <a:off x="6419160" y="361800"/>
          <a:ext cx="508680" cy="14292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 -   </a:t>
          </a:r>
          <a:endParaRPr b="0" lang="en-US" sz="800" strike="noStrike" u="none">
            <a:effectLst/>
            <a:uFillTx/>
            <a:latin typeface="Times New Roman"/>
          </a:endParaRPr>
        </a:p>
      </xdr:txBody>
    </xdr:sp>
    <xdr:clientData/>
  </xdr:twoCellAnchor>
  <xdr:twoCellAnchor editAs="absolute">
    <xdr:from>
      <xdr:col>11</xdr:col>
      <xdr:colOff>200880</xdr:colOff>
      <xdr:row>12</xdr:row>
      <xdr:rowOff>190800</xdr:rowOff>
    </xdr:from>
    <xdr:to>
      <xdr:col>11</xdr:col>
      <xdr:colOff>624600</xdr:colOff>
      <xdr:row>13</xdr:row>
      <xdr:rowOff>114120</xdr:rowOff>
    </xdr:to>
    <xdr:sp>
      <xdr:nvSpPr>
        <xdr:cNvPr id="300" name="Text 119"/>
        <xdr:cNvSpPr/>
      </xdr:nvSpPr>
      <xdr:spPr>
        <a:xfrm>
          <a:off x="9464760" y="2610000"/>
          <a:ext cx="423720" cy="12348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(10.8)</a:t>
          </a:r>
          <a:endParaRPr b="0" lang="en-US" sz="800" strike="noStrike" u="none">
            <a:effectLst/>
            <a:uFillTx/>
            <a:latin typeface="Times New Roman"/>
          </a:endParaRPr>
        </a:p>
      </xdr:txBody>
    </xdr:sp>
    <xdr:clientData/>
  </xdr:twoCellAnchor>
  <xdr:twoCellAnchor editAs="absolute">
    <xdr:from>
      <xdr:col>10</xdr:col>
      <xdr:colOff>634320</xdr:colOff>
      <xdr:row>15</xdr:row>
      <xdr:rowOff>29160</xdr:rowOff>
    </xdr:from>
    <xdr:to>
      <xdr:col>11</xdr:col>
      <xdr:colOff>296640</xdr:colOff>
      <xdr:row>15</xdr:row>
      <xdr:rowOff>190800</xdr:rowOff>
    </xdr:to>
    <xdr:sp>
      <xdr:nvSpPr>
        <xdr:cNvPr id="301" name="Text 118"/>
        <xdr:cNvSpPr/>
      </xdr:nvSpPr>
      <xdr:spPr>
        <a:xfrm>
          <a:off x="9136800" y="3048480"/>
          <a:ext cx="423720" cy="16164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179.4 </a:t>
          </a:r>
          <a:endParaRPr b="0" lang="en-US" sz="800" strike="noStrike" u="none">
            <a:effectLst/>
            <a:uFillTx/>
            <a:latin typeface="Times New Roman"/>
          </a:endParaRPr>
        </a:p>
      </xdr:txBody>
    </xdr:sp>
    <xdr:clientData/>
  </xdr:twoCellAnchor>
  <xdr:twoCellAnchor editAs="absolute">
    <xdr:from>
      <xdr:col>9</xdr:col>
      <xdr:colOff>729360</xdr:colOff>
      <xdr:row>15</xdr:row>
      <xdr:rowOff>152640</xdr:rowOff>
    </xdr:from>
    <xdr:to>
      <xdr:col>10</xdr:col>
      <xdr:colOff>392040</xdr:colOff>
      <xdr:row>16</xdr:row>
      <xdr:rowOff>76680</xdr:rowOff>
    </xdr:to>
    <xdr:sp>
      <xdr:nvSpPr>
        <xdr:cNvPr id="302" name="Text 117"/>
        <xdr:cNvSpPr/>
      </xdr:nvSpPr>
      <xdr:spPr>
        <a:xfrm>
          <a:off x="8470800" y="3171960"/>
          <a:ext cx="423720" cy="12420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166.1 </a:t>
          </a:r>
          <a:endParaRPr b="0" lang="en-US" sz="800" strike="noStrike" u="none">
            <a:effectLst/>
            <a:uFillTx/>
            <a:latin typeface="Times New Roman"/>
          </a:endParaRPr>
        </a:p>
      </xdr:txBody>
    </xdr:sp>
    <xdr:clientData/>
  </xdr:twoCellAnchor>
  <xdr:twoCellAnchor editAs="absolute">
    <xdr:from>
      <xdr:col>9</xdr:col>
      <xdr:colOff>348480</xdr:colOff>
      <xdr:row>17</xdr:row>
      <xdr:rowOff>190440</xdr:rowOff>
    </xdr:from>
    <xdr:to>
      <xdr:col>10</xdr:col>
      <xdr:colOff>11160</xdr:colOff>
      <xdr:row>18</xdr:row>
      <xdr:rowOff>123480</xdr:rowOff>
    </xdr:to>
    <xdr:sp>
      <xdr:nvSpPr>
        <xdr:cNvPr id="303" name="Text 116"/>
        <xdr:cNvSpPr/>
      </xdr:nvSpPr>
      <xdr:spPr>
        <a:xfrm>
          <a:off x="8089920" y="3610080"/>
          <a:ext cx="423720" cy="13284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166.2 </a:t>
          </a:r>
          <a:endParaRPr b="0" lang="en-US" sz="800" strike="noStrike" u="none">
            <a:effectLst/>
            <a:uFillTx/>
            <a:latin typeface="Times New Roman"/>
          </a:endParaRPr>
        </a:p>
      </xdr:txBody>
    </xdr:sp>
    <xdr:clientData/>
  </xdr:twoCellAnchor>
  <xdr:twoCellAnchor editAs="absolute">
    <xdr:from>
      <xdr:col>9</xdr:col>
      <xdr:colOff>0</xdr:colOff>
      <xdr:row>20</xdr:row>
      <xdr:rowOff>190800</xdr:rowOff>
    </xdr:from>
    <xdr:to>
      <xdr:col>9</xdr:col>
      <xdr:colOff>423720</xdr:colOff>
      <xdr:row>21</xdr:row>
      <xdr:rowOff>143640</xdr:rowOff>
    </xdr:to>
    <xdr:sp>
      <xdr:nvSpPr>
        <xdr:cNvPr id="304" name="Text 115"/>
        <xdr:cNvSpPr/>
      </xdr:nvSpPr>
      <xdr:spPr>
        <a:xfrm>
          <a:off x="7741440" y="4210200"/>
          <a:ext cx="423720" cy="153000"/>
        </a:xfrm>
        <a:prstGeom prst="rect">
          <a:avLst/>
        </a:prstGeom>
        <a:solidFill>
          <a:srgbClr val="ffffff"/>
        </a:solidFill>
        <a:ln w="0">
          <a:noFill/>
        </a:ln>
      </xdr:spPr>
      <xdr:style>
        <a:lnRef idx="0"/>
        <a:fillRef idx="0"/>
        <a:effectRef idx="0"/>
        <a:fontRef idx="minor"/>
      </xdr:style>
      <xdr:txBody>
        <a:bodyPr lIns="20160" rIns="20160" tIns="20160" bIns="20160" anchor="ctr">
          <a:spAutoFit/>
        </a:bodyPr>
        <a:p>
          <a:pPr algn="ctr"/>
          <a:r>
            <a:rPr b="0" lang="en-US" sz="800" strike="noStrike" u="none">
              <a:effectLst/>
              <a:uFillTx/>
              <a:latin typeface="Times New Roman"/>
            </a:rPr>
            <a:t>170.3 </a:t>
          </a:r>
          <a:endParaRPr b="0" lang="en-US" sz="800" strike="noStrike" u="none">
            <a:effectLst/>
            <a:uFillTx/>
            <a:latin typeface="Times New Roman"/>
          </a:endParaRPr>
        </a:p>
      </xdr:txBody>
    </xdr:sp>
    <xdr:clientData/>
  </xdr:twoCellAnchor>
  <xdr:twoCellAnchor editAs="absolute">
    <xdr:from>
      <xdr:col>6</xdr:col>
      <xdr:colOff>750960</xdr:colOff>
      <xdr:row>24</xdr:row>
      <xdr:rowOff>9360</xdr:rowOff>
    </xdr:from>
    <xdr:to>
      <xdr:col>7</xdr:col>
      <xdr:colOff>413280</xdr:colOff>
      <xdr:row>24</xdr:row>
      <xdr:rowOff>142920</xdr:rowOff>
    </xdr:to>
    <xdr:sp>
      <xdr:nvSpPr>
        <xdr:cNvPr id="305" name="Text 114"/>
        <xdr:cNvSpPr/>
      </xdr:nvSpPr>
      <xdr:spPr>
        <a:xfrm>
          <a:off x="6208200" y="4829040"/>
          <a:ext cx="423720" cy="13356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86.8 </a:t>
          </a:r>
          <a:endParaRPr b="0" lang="en-US" sz="800" strike="noStrike" u="none">
            <a:effectLst/>
            <a:uFillTx/>
            <a:latin typeface="Times New Roman"/>
          </a:endParaRPr>
        </a:p>
      </xdr:txBody>
    </xdr:sp>
    <xdr:clientData/>
  </xdr:twoCellAnchor>
  <xdr:twoCellAnchor editAs="absolute">
    <xdr:from>
      <xdr:col>6</xdr:col>
      <xdr:colOff>180000</xdr:colOff>
      <xdr:row>25</xdr:row>
      <xdr:rowOff>181080</xdr:rowOff>
    </xdr:from>
    <xdr:to>
      <xdr:col>6</xdr:col>
      <xdr:colOff>603720</xdr:colOff>
      <xdr:row>26</xdr:row>
      <xdr:rowOff>104760</xdr:rowOff>
    </xdr:to>
    <xdr:sp>
      <xdr:nvSpPr>
        <xdr:cNvPr id="306" name="Text 113"/>
        <xdr:cNvSpPr/>
      </xdr:nvSpPr>
      <xdr:spPr>
        <a:xfrm>
          <a:off x="5637240" y="5200920"/>
          <a:ext cx="423720" cy="12348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90.3 </a:t>
          </a:r>
          <a:endParaRPr b="0" lang="en-US" sz="800" strike="noStrike" u="none">
            <a:effectLst/>
            <a:uFillTx/>
            <a:latin typeface="Times New Roman"/>
          </a:endParaRPr>
        </a:p>
      </xdr:txBody>
    </xdr:sp>
    <xdr:clientData/>
  </xdr:twoCellAnchor>
  <xdr:twoCellAnchor editAs="absolute">
    <xdr:from>
      <xdr:col>5</xdr:col>
      <xdr:colOff>115920</xdr:colOff>
      <xdr:row>27</xdr:row>
      <xdr:rowOff>9360</xdr:rowOff>
    </xdr:from>
    <xdr:to>
      <xdr:col>5</xdr:col>
      <xdr:colOff>539640</xdr:colOff>
      <xdr:row>27</xdr:row>
      <xdr:rowOff>142920</xdr:rowOff>
    </xdr:to>
    <xdr:sp>
      <xdr:nvSpPr>
        <xdr:cNvPr id="307" name="Text 112"/>
        <xdr:cNvSpPr/>
      </xdr:nvSpPr>
      <xdr:spPr>
        <a:xfrm>
          <a:off x="4811760" y="5429160"/>
          <a:ext cx="423720" cy="13356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101.3 </a:t>
          </a:r>
          <a:endParaRPr b="0" lang="en-US" sz="800" strike="noStrike" u="none">
            <a:effectLst/>
            <a:uFillTx/>
            <a:latin typeface="Times New Roman"/>
          </a:endParaRPr>
        </a:p>
      </xdr:txBody>
    </xdr:sp>
    <xdr:clientData/>
  </xdr:twoCellAnchor>
  <xdr:twoCellAnchor editAs="absolute">
    <xdr:from>
      <xdr:col>0</xdr:col>
      <xdr:colOff>475560</xdr:colOff>
      <xdr:row>21</xdr:row>
      <xdr:rowOff>190800</xdr:rowOff>
    </xdr:from>
    <xdr:to>
      <xdr:col>0</xdr:col>
      <xdr:colOff>847800</xdr:colOff>
      <xdr:row>22</xdr:row>
      <xdr:rowOff>143640</xdr:rowOff>
    </xdr:to>
    <xdr:sp>
      <xdr:nvSpPr>
        <xdr:cNvPr id="308" name="TGPAGUAS"/>
        <xdr:cNvSpPr/>
      </xdr:nvSpPr>
      <xdr:spPr>
        <a:xfrm>
          <a:off x="475560" y="4410360"/>
          <a:ext cx="372240" cy="153000"/>
        </a:xfrm>
        <a:prstGeom prst="rect">
          <a:avLst/>
        </a:prstGeom>
        <a:solidFill>
          <a:srgbClr val="ffffff"/>
        </a:solidFill>
        <a:ln w="0">
          <a:noFill/>
        </a:ln>
      </xdr:spPr>
      <xdr:style>
        <a:lnRef idx="0"/>
        <a:fillRef idx="0"/>
        <a:effectRef idx="0"/>
        <a:fontRef idx="minor"/>
      </xdr:style>
      <xdr:txBody>
        <a:bodyPr lIns="20160" rIns="20160" tIns="20160" bIns="20160" anchor="ctr">
          <a:spAutoFit/>
        </a:bodyPr>
        <a:p>
          <a:pPr algn="ctr"/>
          <a:r>
            <a:rPr b="0" lang="en-US" sz="800" strike="noStrike" u="none">
              <a:effectLst/>
              <a:uFillTx/>
              <a:latin typeface="Times New Roman"/>
            </a:rPr>
            <a:t>(0.4)</a:t>
          </a:r>
          <a:endParaRPr b="0" lang="en-US" sz="800" strike="noStrike" u="none">
            <a:effectLst/>
            <a:uFillTx/>
            <a:latin typeface="Times New Roman"/>
          </a:endParaRPr>
        </a:p>
      </xdr:txBody>
    </xdr:sp>
    <xdr:clientData/>
  </xdr:twoCellAnchor>
  <xdr:twoCellAnchor editAs="absolute">
    <xdr:from>
      <xdr:col>12</xdr:col>
      <xdr:colOff>158400</xdr:colOff>
      <xdr:row>7</xdr:row>
      <xdr:rowOff>28800</xdr:rowOff>
    </xdr:from>
    <xdr:to>
      <xdr:col>12</xdr:col>
      <xdr:colOff>582120</xdr:colOff>
      <xdr:row>7</xdr:row>
      <xdr:rowOff>172080</xdr:rowOff>
    </xdr:to>
    <xdr:sp>
      <xdr:nvSpPr>
        <xdr:cNvPr id="309" name="Text 107"/>
        <xdr:cNvSpPr/>
      </xdr:nvSpPr>
      <xdr:spPr>
        <a:xfrm>
          <a:off x="10183680" y="1428840"/>
          <a:ext cx="423720" cy="14328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0.0 </a:t>
          </a:r>
          <a:endParaRPr b="0" lang="en-US" sz="800" strike="noStrike" u="none">
            <a:effectLst/>
            <a:uFillTx/>
            <a:latin typeface="Times New Roman"/>
          </a:endParaRPr>
        </a:p>
      </xdr:txBody>
    </xdr:sp>
    <xdr:clientData/>
  </xdr:twoCellAnchor>
  <xdr:twoCellAnchor editAs="absolute">
    <xdr:from>
      <xdr:col>7</xdr:col>
      <xdr:colOff>243000</xdr:colOff>
      <xdr:row>0</xdr:row>
      <xdr:rowOff>38160</xdr:rowOff>
    </xdr:from>
    <xdr:to>
      <xdr:col>7</xdr:col>
      <xdr:colOff>698760</xdr:colOff>
      <xdr:row>0</xdr:row>
      <xdr:rowOff>200160</xdr:rowOff>
    </xdr:to>
    <xdr:sp>
      <xdr:nvSpPr>
        <xdr:cNvPr id="310" name="Text 97"/>
        <xdr:cNvSpPr/>
      </xdr:nvSpPr>
      <xdr:spPr>
        <a:xfrm>
          <a:off x="6461640" y="38160"/>
          <a:ext cx="455760" cy="16200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 -   </a:t>
          </a:r>
          <a:endParaRPr b="0" lang="en-US" sz="800" strike="noStrike" u="none">
            <a:effectLst/>
            <a:uFillTx/>
            <a:latin typeface="Times New Roman"/>
          </a:endParaRPr>
        </a:p>
      </xdr:txBody>
    </xdr:sp>
    <xdr:clientData/>
  </xdr:twoCellAnchor>
  <xdr:twoCellAnchor editAs="absolute">
    <xdr:from>
      <xdr:col>9</xdr:col>
      <xdr:colOff>729360</xdr:colOff>
      <xdr:row>14</xdr:row>
      <xdr:rowOff>0</xdr:rowOff>
    </xdr:from>
    <xdr:to>
      <xdr:col>10</xdr:col>
      <xdr:colOff>392040</xdr:colOff>
      <xdr:row>14</xdr:row>
      <xdr:rowOff>123480</xdr:rowOff>
    </xdr:to>
    <xdr:sp>
      <xdr:nvSpPr>
        <xdr:cNvPr id="311" name="Text 73"/>
        <xdr:cNvSpPr/>
      </xdr:nvSpPr>
      <xdr:spPr>
        <a:xfrm>
          <a:off x="8470800" y="2819520"/>
          <a:ext cx="423720" cy="12348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138.3 </a:t>
          </a:r>
          <a:endParaRPr b="0" lang="en-US" sz="800" strike="noStrike" u="none">
            <a:effectLst/>
            <a:uFillTx/>
            <a:latin typeface="Times New Roman"/>
          </a:endParaRPr>
        </a:p>
      </xdr:txBody>
    </xdr:sp>
    <xdr:clientData/>
  </xdr:twoCellAnchor>
  <xdr:twoCellAnchor editAs="absolute">
    <xdr:from>
      <xdr:col>11</xdr:col>
      <xdr:colOff>200880</xdr:colOff>
      <xdr:row>11</xdr:row>
      <xdr:rowOff>47520</xdr:rowOff>
    </xdr:from>
    <xdr:to>
      <xdr:col>11</xdr:col>
      <xdr:colOff>624600</xdr:colOff>
      <xdr:row>11</xdr:row>
      <xdr:rowOff>199800</xdr:rowOff>
    </xdr:to>
    <xdr:sp>
      <xdr:nvSpPr>
        <xdr:cNvPr id="312" name="Text 79"/>
        <xdr:cNvSpPr/>
      </xdr:nvSpPr>
      <xdr:spPr>
        <a:xfrm>
          <a:off x="9464760" y="2266920"/>
          <a:ext cx="423720" cy="15228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(23.3)</a:t>
          </a:r>
          <a:endParaRPr b="0" lang="en-US" sz="800" strike="noStrike" u="none">
            <a:effectLst/>
            <a:uFillTx/>
            <a:latin typeface="Times New Roman"/>
          </a:endParaRPr>
        </a:p>
      </xdr:txBody>
    </xdr:sp>
    <xdr:clientData/>
  </xdr:twoCellAnchor>
  <xdr:twoCellAnchor editAs="absolute">
    <xdr:from>
      <xdr:col>10</xdr:col>
      <xdr:colOff>634320</xdr:colOff>
      <xdr:row>13</xdr:row>
      <xdr:rowOff>104760</xdr:rowOff>
    </xdr:from>
    <xdr:to>
      <xdr:col>11</xdr:col>
      <xdr:colOff>296640</xdr:colOff>
      <xdr:row>14</xdr:row>
      <xdr:rowOff>66240</xdr:rowOff>
    </xdr:to>
    <xdr:sp>
      <xdr:nvSpPr>
        <xdr:cNvPr id="313" name="Text 75"/>
        <xdr:cNvSpPr/>
      </xdr:nvSpPr>
      <xdr:spPr>
        <a:xfrm>
          <a:off x="9136800" y="2724120"/>
          <a:ext cx="423720" cy="16164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151.5 </a:t>
          </a:r>
          <a:endParaRPr b="0" lang="en-US" sz="800" strike="noStrike" u="none">
            <a:effectLst/>
            <a:uFillTx/>
            <a:latin typeface="Times New Roman"/>
          </a:endParaRPr>
        </a:p>
      </xdr:txBody>
    </xdr:sp>
    <xdr:clientData/>
  </xdr:twoCellAnchor>
  <xdr:twoCellAnchor editAs="absolute">
    <xdr:from>
      <xdr:col>1</xdr:col>
      <xdr:colOff>708840</xdr:colOff>
      <xdr:row>5</xdr:row>
      <xdr:rowOff>9360</xdr:rowOff>
    </xdr:from>
    <xdr:to>
      <xdr:col>12</xdr:col>
      <xdr:colOff>646200</xdr:colOff>
      <xdr:row>35</xdr:row>
      <xdr:rowOff>208080</xdr:rowOff>
    </xdr:to>
    <xdr:grpSp>
      <xdr:nvGrpSpPr>
        <xdr:cNvPr id="314" name="Group 29"/>
        <xdr:cNvGrpSpPr/>
      </xdr:nvGrpSpPr>
      <xdr:grpSpPr>
        <a:xfrm>
          <a:off x="2359080" y="1009440"/>
          <a:ext cx="8312400" cy="6266160"/>
          <a:chOff x="2359080" y="1009440"/>
          <a:chExt cx="8312400" cy="6266160"/>
        </a:xfrm>
      </xdr:grpSpPr>
      <xdr:grpSp>
        <xdr:nvGrpSpPr>
          <xdr:cNvPr id="315" name="Group 30"/>
          <xdr:cNvGrpSpPr/>
        </xdr:nvGrpSpPr>
        <xdr:grpSpPr>
          <a:xfrm>
            <a:off x="2359080" y="1009440"/>
            <a:ext cx="8312400" cy="6266160"/>
            <a:chOff x="2359080" y="1009440"/>
            <a:chExt cx="8312400" cy="6266160"/>
          </a:xfrm>
        </xdr:grpSpPr>
        <xdr:sp>
          <xdr:nvSpPr>
            <xdr:cNvPr id="316" name="Drawing 8"/>
            <xdr:cNvSpPr/>
          </xdr:nvSpPr>
          <xdr:spPr>
            <a:xfrm>
              <a:off x="3797280" y="1009440"/>
              <a:ext cx="6874200" cy="3642480"/>
            </a:xfrm>
            <a:custGeom>
              <a:avLst/>
              <a:gdLst/>
              <a:ahLst/>
              <a:rect l="l" t="t" r="r" b="b"/>
              <a:pathLst>
                <a:path w="16384" h="16384">
                  <a:moveTo>
                    <a:pt x="16384" y="1638"/>
                  </a:moveTo>
                  <a:lnTo>
                    <a:pt x="16283" y="1695"/>
                  </a:lnTo>
                  <a:lnTo>
                    <a:pt x="16183" y="1695"/>
                  </a:lnTo>
                  <a:lnTo>
                    <a:pt x="16082" y="1638"/>
                  </a:lnTo>
                  <a:lnTo>
                    <a:pt x="15981" y="1525"/>
                  </a:lnTo>
                  <a:lnTo>
                    <a:pt x="15880" y="1356"/>
                  </a:lnTo>
                  <a:lnTo>
                    <a:pt x="15780" y="1356"/>
                  </a:lnTo>
                  <a:lnTo>
                    <a:pt x="15679" y="1299"/>
                  </a:lnTo>
                  <a:lnTo>
                    <a:pt x="15041" y="1299"/>
                  </a:lnTo>
                  <a:lnTo>
                    <a:pt x="14739" y="1469"/>
                  </a:lnTo>
                  <a:lnTo>
                    <a:pt x="14638" y="1469"/>
                  </a:lnTo>
                  <a:lnTo>
                    <a:pt x="14537" y="1525"/>
                  </a:lnTo>
                  <a:lnTo>
                    <a:pt x="14336" y="1525"/>
                  </a:lnTo>
                  <a:lnTo>
                    <a:pt x="14235" y="1582"/>
                  </a:lnTo>
                  <a:lnTo>
                    <a:pt x="13799" y="1582"/>
                  </a:lnTo>
                  <a:lnTo>
                    <a:pt x="13698" y="1638"/>
                  </a:lnTo>
                  <a:lnTo>
                    <a:pt x="13564" y="1695"/>
                  </a:lnTo>
                  <a:lnTo>
                    <a:pt x="13463" y="1695"/>
                  </a:lnTo>
                  <a:lnTo>
                    <a:pt x="13329" y="1751"/>
                  </a:lnTo>
                  <a:lnTo>
                    <a:pt x="12926" y="1977"/>
                  </a:lnTo>
                  <a:lnTo>
                    <a:pt x="12892" y="1808"/>
                  </a:lnTo>
                  <a:lnTo>
                    <a:pt x="12825" y="1638"/>
                  </a:lnTo>
                  <a:lnTo>
                    <a:pt x="12724" y="1525"/>
                  </a:lnTo>
                  <a:lnTo>
                    <a:pt x="12691" y="1356"/>
                  </a:lnTo>
                  <a:lnTo>
                    <a:pt x="12792" y="1243"/>
                  </a:lnTo>
                  <a:lnTo>
                    <a:pt x="12892" y="1186"/>
                  </a:lnTo>
                  <a:lnTo>
                    <a:pt x="13094" y="960"/>
                  </a:lnTo>
                  <a:lnTo>
                    <a:pt x="13127" y="791"/>
                  </a:lnTo>
                  <a:lnTo>
                    <a:pt x="13194" y="621"/>
                  </a:lnTo>
                  <a:lnTo>
                    <a:pt x="13228" y="452"/>
                  </a:lnTo>
                  <a:lnTo>
                    <a:pt x="13194" y="282"/>
                  </a:lnTo>
                  <a:lnTo>
                    <a:pt x="13127" y="113"/>
                  </a:lnTo>
                  <a:lnTo>
                    <a:pt x="13027" y="0"/>
                  </a:lnTo>
                  <a:lnTo>
                    <a:pt x="12926" y="0"/>
                  </a:lnTo>
                  <a:lnTo>
                    <a:pt x="12657" y="678"/>
                  </a:lnTo>
                  <a:lnTo>
                    <a:pt x="12557" y="791"/>
                  </a:lnTo>
                  <a:lnTo>
                    <a:pt x="12489" y="960"/>
                  </a:lnTo>
                  <a:lnTo>
                    <a:pt x="12489" y="1299"/>
                  </a:lnTo>
                  <a:lnTo>
                    <a:pt x="12590" y="1412"/>
                  </a:lnTo>
                  <a:lnTo>
                    <a:pt x="12792" y="1921"/>
                  </a:lnTo>
                  <a:lnTo>
                    <a:pt x="12825" y="2090"/>
                  </a:lnTo>
                  <a:lnTo>
                    <a:pt x="12825" y="2260"/>
                  </a:lnTo>
                  <a:lnTo>
                    <a:pt x="12624" y="2373"/>
                  </a:lnTo>
                  <a:lnTo>
                    <a:pt x="12523" y="2316"/>
                  </a:lnTo>
                  <a:lnTo>
                    <a:pt x="12221" y="2316"/>
                  </a:lnTo>
                  <a:lnTo>
                    <a:pt x="11818" y="2542"/>
                  </a:lnTo>
                  <a:lnTo>
                    <a:pt x="11516" y="2881"/>
                  </a:lnTo>
                  <a:lnTo>
                    <a:pt x="11382" y="2994"/>
                  </a:lnTo>
                  <a:lnTo>
                    <a:pt x="11281" y="3051"/>
                  </a:lnTo>
                  <a:lnTo>
                    <a:pt x="11180" y="3164"/>
                  </a:lnTo>
                  <a:lnTo>
                    <a:pt x="11046" y="3220"/>
                  </a:lnTo>
                  <a:lnTo>
                    <a:pt x="10945" y="3333"/>
                  </a:lnTo>
                  <a:lnTo>
                    <a:pt x="10844" y="3390"/>
                  </a:lnTo>
                  <a:lnTo>
                    <a:pt x="10710" y="3446"/>
                  </a:lnTo>
                  <a:lnTo>
                    <a:pt x="10609" y="3559"/>
                  </a:lnTo>
                  <a:lnTo>
                    <a:pt x="10475" y="3672"/>
                  </a:lnTo>
                  <a:lnTo>
                    <a:pt x="9971" y="3955"/>
                  </a:lnTo>
                  <a:lnTo>
                    <a:pt x="9871" y="4068"/>
                  </a:lnTo>
                  <a:lnTo>
                    <a:pt x="9770" y="4124"/>
                  </a:lnTo>
                  <a:lnTo>
                    <a:pt x="9669" y="4237"/>
                  </a:lnTo>
                  <a:lnTo>
                    <a:pt x="9468" y="4576"/>
                  </a:lnTo>
                  <a:lnTo>
                    <a:pt x="9401" y="4746"/>
                  </a:lnTo>
                  <a:lnTo>
                    <a:pt x="9300" y="4859"/>
                  </a:lnTo>
                  <a:lnTo>
                    <a:pt x="9199" y="5028"/>
                  </a:lnTo>
                  <a:lnTo>
                    <a:pt x="9098" y="5028"/>
                  </a:lnTo>
                  <a:lnTo>
                    <a:pt x="9065" y="4859"/>
                  </a:lnTo>
                  <a:lnTo>
                    <a:pt x="9132" y="4689"/>
                  </a:lnTo>
                  <a:lnTo>
                    <a:pt x="9233" y="4576"/>
                  </a:lnTo>
                  <a:lnTo>
                    <a:pt x="9334" y="4520"/>
                  </a:lnTo>
                  <a:lnTo>
                    <a:pt x="9401" y="4350"/>
                  </a:lnTo>
                  <a:lnTo>
                    <a:pt x="9501" y="4294"/>
                  </a:lnTo>
                  <a:lnTo>
                    <a:pt x="9602" y="4124"/>
                  </a:lnTo>
                  <a:lnTo>
                    <a:pt x="9703" y="4068"/>
                  </a:lnTo>
                  <a:lnTo>
                    <a:pt x="9804" y="3955"/>
                  </a:lnTo>
                  <a:lnTo>
                    <a:pt x="9804" y="3785"/>
                  </a:lnTo>
                  <a:lnTo>
                    <a:pt x="9770" y="3616"/>
                  </a:lnTo>
                  <a:lnTo>
                    <a:pt x="9837" y="3446"/>
                  </a:lnTo>
                  <a:lnTo>
                    <a:pt x="10039" y="3333"/>
                  </a:lnTo>
                  <a:lnTo>
                    <a:pt x="10005" y="3164"/>
                  </a:lnTo>
                  <a:lnTo>
                    <a:pt x="9904" y="3220"/>
                  </a:lnTo>
                  <a:lnTo>
                    <a:pt x="9804" y="3220"/>
                  </a:lnTo>
                  <a:lnTo>
                    <a:pt x="9703" y="3333"/>
                  </a:lnTo>
                  <a:lnTo>
                    <a:pt x="9602" y="3333"/>
                  </a:lnTo>
                  <a:lnTo>
                    <a:pt x="9501" y="3390"/>
                  </a:lnTo>
                  <a:lnTo>
                    <a:pt x="9199" y="3390"/>
                  </a:lnTo>
                  <a:lnTo>
                    <a:pt x="9300" y="2881"/>
                  </a:lnTo>
                  <a:lnTo>
                    <a:pt x="9300" y="2712"/>
                  </a:lnTo>
                  <a:lnTo>
                    <a:pt x="9367" y="2373"/>
                  </a:lnTo>
                  <a:lnTo>
                    <a:pt x="9334" y="2203"/>
                  </a:lnTo>
                  <a:lnTo>
                    <a:pt x="9233" y="2090"/>
                  </a:lnTo>
                  <a:lnTo>
                    <a:pt x="9199" y="1921"/>
                  </a:lnTo>
                  <a:lnTo>
                    <a:pt x="9132" y="1751"/>
                  </a:lnTo>
                  <a:lnTo>
                    <a:pt x="9031" y="1751"/>
                  </a:lnTo>
                  <a:lnTo>
                    <a:pt x="8931" y="1808"/>
                  </a:lnTo>
                  <a:lnTo>
                    <a:pt x="8830" y="1977"/>
                  </a:lnTo>
                  <a:lnTo>
                    <a:pt x="8696" y="2316"/>
                  </a:lnTo>
                  <a:lnTo>
                    <a:pt x="8628" y="2655"/>
                  </a:lnTo>
                  <a:lnTo>
                    <a:pt x="8528" y="2655"/>
                  </a:lnTo>
                  <a:lnTo>
                    <a:pt x="8326" y="2542"/>
                  </a:lnTo>
                  <a:lnTo>
                    <a:pt x="8226" y="2429"/>
                  </a:lnTo>
                  <a:lnTo>
                    <a:pt x="8158" y="2260"/>
                  </a:lnTo>
                  <a:lnTo>
                    <a:pt x="8058" y="2147"/>
                  </a:lnTo>
                  <a:lnTo>
                    <a:pt x="7957" y="1977"/>
                  </a:lnTo>
                  <a:lnTo>
                    <a:pt x="7856" y="1864"/>
                  </a:lnTo>
                  <a:lnTo>
                    <a:pt x="7756" y="1864"/>
                  </a:lnTo>
                  <a:lnTo>
                    <a:pt x="7856" y="1921"/>
                  </a:lnTo>
                  <a:lnTo>
                    <a:pt x="7856" y="2090"/>
                  </a:lnTo>
                  <a:lnTo>
                    <a:pt x="7890" y="2260"/>
                  </a:lnTo>
                  <a:lnTo>
                    <a:pt x="7789" y="2316"/>
                  </a:lnTo>
                  <a:lnTo>
                    <a:pt x="7688" y="2316"/>
                  </a:lnTo>
                  <a:lnTo>
                    <a:pt x="7386" y="2147"/>
                  </a:lnTo>
                  <a:lnTo>
                    <a:pt x="7286" y="2203"/>
                  </a:lnTo>
                  <a:lnTo>
                    <a:pt x="7588" y="2373"/>
                  </a:lnTo>
                  <a:lnTo>
                    <a:pt x="7688" y="2486"/>
                  </a:lnTo>
                  <a:lnTo>
                    <a:pt x="7789" y="2486"/>
                  </a:lnTo>
                  <a:lnTo>
                    <a:pt x="7890" y="2542"/>
                  </a:lnTo>
                  <a:lnTo>
                    <a:pt x="7991" y="2655"/>
                  </a:lnTo>
                  <a:lnTo>
                    <a:pt x="8024" y="2825"/>
                  </a:lnTo>
                  <a:lnTo>
                    <a:pt x="8125" y="2938"/>
                  </a:lnTo>
                  <a:lnTo>
                    <a:pt x="8192" y="3277"/>
                  </a:lnTo>
                  <a:lnTo>
                    <a:pt x="8091" y="3390"/>
                  </a:lnTo>
                  <a:lnTo>
                    <a:pt x="8158" y="3559"/>
                  </a:lnTo>
                  <a:lnTo>
                    <a:pt x="8259" y="3672"/>
                  </a:lnTo>
                  <a:lnTo>
                    <a:pt x="8326" y="3842"/>
                  </a:lnTo>
                  <a:lnTo>
                    <a:pt x="8427" y="3955"/>
                  </a:lnTo>
                  <a:lnTo>
                    <a:pt x="8494" y="4124"/>
                  </a:lnTo>
                  <a:lnTo>
                    <a:pt x="8293" y="4237"/>
                  </a:lnTo>
                  <a:lnTo>
                    <a:pt x="8393" y="4350"/>
                  </a:lnTo>
                  <a:lnTo>
                    <a:pt x="8494" y="4407"/>
                  </a:lnTo>
                  <a:lnTo>
                    <a:pt x="8528" y="4576"/>
                  </a:lnTo>
                  <a:lnTo>
                    <a:pt x="8595" y="4746"/>
                  </a:lnTo>
                  <a:lnTo>
                    <a:pt x="8696" y="4802"/>
                  </a:lnTo>
                  <a:lnTo>
                    <a:pt x="8796" y="4802"/>
                  </a:lnTo>
                  <a:lnTo>
                    <a:pt x="8998" y="4915"/>
                  </a:lnTo>
                  <a:lnTo>
                    <a:pt x="8897" y="4972"/>
                  </a:lnTo>
                  <a:lnTo>
                    <a:pt x="8696" y="4972"/>
                  </a:lnTo>
                  <a:lnTo>
                    <a:pt x="8662" y="5141"/>
                  </a:lnTo>
                  <a:lnTo>
                    <a:pt x="8561" y="5254"/>
                  </a:lnTo>
                  <a:lnTo>
                    <a:pt x="8528" y="5424"/>
                  </a:lnTo>
                  <a:lnTo>
                    <a:pt x="8427" y="5537"/>
                  </a:lnTo>
                  <a:lnTo>
                    <a:pt x="8326" y="5480"/>
                  </a:lnTo>
                  <a:lnTo>
                    <a:pt x="8326" y="5311"/>
                  </a:lnTo>
                  <a:lnTo>
                    <a:pt x="8393" y="5480"/>
                  </a:lnTo>
                  <a:lnTo>
                    <a:pt x="8192" y="5706"/>
                  </a:lnTo>
                  <a:lnTo>
                    <a:pt x="8226" y="5876"/>
                  </a:lnTo>
                  <a:lnTo>
                    <a:pt x="8125" y="5989"/>
                  </a:lnTo>
                  <a:lnTo>
                    <a:pt x="7991" y="6158"/>
                  </a:lnTo>
                  <a:lnTo>
                    <a:pt x="7923" y="6328"/>
                  </a:lnTo>
                  <a:lnTo>
                    <a:pt x="7923" y="6497"/>
                  </a:lnTo>
                  <a:lnTo>
                    <a:pt x="7823" y="6554"/>
                  </a:lnTo>
                  <a:lnTo>
                    <a:pt x="7688" y="6893"/>
                  </a:lnTo>
                  <a:lnTo>
                    <a:pt x="7588" y="7062"/>
                  </a:lnTo>
                  <a:lnTo>
                    <a:pt x="7521" y="7232"/>
                  </a:lnTo>
                  <a:lnTo>
                    <a:pt x="7453" y="7571"/>
                  </a:lnTo>
                  <a:lnTo>
                    <a:pt x="7353" y="7740"/>
                  </a:lnTo>
                  <a:lnTo>
                    <a:pt x="7252" y="7853"/>
                  </a:lnTo>
                  <a:lnTo>
                    <a:pt x="7252" y="8023"/>
                  </a:lnTo>
                  <a:lnTo>
                    <a:pt x="7218" y="8192"/>
                  </a:lnTo>
                  <a:lnTo>
                    <a:pt x="7118" y="8361"/>
                  </a:lnTo>
                  <a:lnTo>
                    <a:pt x="6916" y="8870"/>
                  </a:lnTo>
                  <a:lnTo>
                    <a:pt x="6815" y="8926"/>
                  </a:lnTo>
                  <a:lnTo>
                    <a:pt x="6312" y="9491"/>
                  </a:lnTo>
                  <a:lnTo>
                    <a:pt x="6178" y="9548"/>
                  </a:lnTo>
                  <a:lnTo>
                    <a:pt x="6077" y="9661"/>
                  </a:lnTo>
                  <a:lnTo>
                    <a:pt x="6010" y="9830"/>
                  </a:lnTo>
                  <a:lnTo>
                    <a:pt x="5909" y="9943"/>
                  </a:lnTo>
                  <a:lnTo>
                    <a:pt x="5808" y="10000"/>
                  </a:lnTo>
                  <a:lnTo>
                    <a:pt x="5708" y="10113"/>
                  </a:lnTo>
                  <a:lnTo>
                    <a:pt x="5573" y="10226"/>
                  </a:lnTo>
                  <a:lnTo>
                    <a:pt x="5473" y="10282"/>
                  </a:lnTo>
                  <a:lnTo>
                    <a:pt x="5372" y="10169"/>
                  </a:lnTo>
                  <a:lnTo>
                    <a:pt x="5271" y="10169"/>
                  </a:lnTo>
                  <a:lnTo>
                    <a:pt x="5170" y="10282"/>
                  </a:lnTo>
                  <a:lnTo>
                    <a:pt x="5070" y="10339"/>
                  </a:lnTo>
                  <a:lnTo>
                    <a:pt x="4969" y="10339"/>
                  </a:lnTo>
                  <a:lnTo>
                    <a:pt x="4868" y="10282"/>
                  </a:lnTo>
                  <a:lnTo>
                    <a:pt x="4767" y="10339"/>
                  </a:lnTo>
                  <a:lnTo>
                    <a:pt x="4700" y="10508"/>
                  </a:lnTo>
                  <a:lnTo>
                    <a:pt x="4600" y="10565"/>
                  </a:lnTo>
                  <a:lnTo>
                    <a:pt x="4499" y="10678"/>
                  </a:lnTo>
                  <a:lnTo>
                    <a:pt x="4398" y="10734"/>
                  </a:lnTo>
                  <a:lnTo>
                    <a:pt x="4365" y="10904"/>
                  </a:lnTo>
                  <a:lnTo>
                    <a:pt x="4264" y="11073"/>
                  </a:lnTo>
                  <a:lnTo>
                    <a:pt x="4264" y="11243"/>
                  </a:lnTo>
                  <a:lnTo>
                    <a:pt x="4365" y="11243"/>
                  </a:lnTo>
                  <a:lnTo>
                    <a:pt x="4432" y="11073"/>
                  </a:lnTo>
                  <a:lnTo>
                    <a:pt x="4633" y="10847"/>
                  </a:lnTo>
                  <a:lnTo>
                    <a:pt x="5137" y="10565"/>
                  </a:lnTo>
                  <a:lnTo>
                    <a:pt x="5070" y="10734"/>
                  </a:lnTo>
                  <a:lnTo>
                    <a:pt x="4767" y="10904"/>
                  </a:lnTo>
                  <a:lnTo>
                    <a:pt x="4365" y="11356"/>
                  </a:lnTo>
                  <a:lnTo>
                    <a:pt x="4264" y="11356"/>
                  </a:lnTo>
                  <a:lnTo>
                    <a:pt x="4163" y="11412"/>
                  </a:lnTo>
                  <a:lnTo>
                    <a:pt x="3928" y="11525"/>
                  </a:lnTo>
                  <a:lnTo>
                    <a:pt x="3928" y="11695"/>
                  </a:lnTo>
                  <a:lnTo>
                    <a:pt x="3727" y="11808"/>
                  </a:lnTo>
                  <a:lnTo>
                    <a:pt x="3592" y="11921"/>
                  </a:lnTo>
                  <a:lnTo>
                    <a:pt x="3492" y="12090"/>
                  </a:lnTo>
                  <a:lnTo>
                    <a:pt x="3458" y="12260"/>
                  </a:lnTo>
                  <a:lnTo>
                    <a:pt x="3257" y="12486"/>
                  </a:lnTo>
                  <a:lnTo>
                    <a:pt x="3190" y="12655"/>
                  </a:lnTo>
                  <a:lnTo>
                    <a:pt x="3089" y="12825"/>
                  </a:lnTo>
                  <a:lnTo>
                    <a:pt x="2988" y="12881"/>
                  </a:lnTo>
                  <a:lnTo>
                    <a:pt x="2887" y="13051"/>
                  </a:lnTo>
                  <a:lnTo>
                    <a:pt x="2787" y="13164"/>
                  </a:lnTo>
                  <a:lnTo>
                    <a:pt x="2686" y="13220"/>
                  </a:lnTo>
                  <a:lnTo>
                    <a:pt x="2585" y="13333"/>
                  </a:lnTo>
                  <a:lnTo>
                    <a:pt x="2585" y="13164"/>
                  </a:lnTo>
                  <a:lnTo>
                    <a:pt x="2719" y="13051"/>
                  </a:lnTo>
                  <a:lnTo>
                    <a:pt x="2787" y="12881"/>
                  </a:lnTo>
                  <a:lnTo>
                    <a:pt x="2988" y="12655"/>
                  </a:lnTo>
                  <a:lnTo>
                    <a:pt x="3022" y="12486"/>
                  </a:lnTo>
                  <a:lnTo>
                    <a:pt x="3122" y="12429"/>
                  </a:lnTo>
                  <a:lnTo>
                    <a:pt x="3324" y="12203"/>
                  </a:lnTo>
                  <a:lnTo>
                    <a:pt x="3425" y="12034"/>
                  </a:lnTo>
                  <a:lnTo>
                    <a:pt x="3626" y="11921"/>
                  </a:lnTo>
                  <a:lnTo>
                    <a:pt x="3827" y="11695"/>
                  </a:lnTo>
                  <a:lnTo>
                    <a:pt x="3928" y="11638"/>
                  </a:lnTo>
                  <a:lnTo>
                    <a:pt x="4130" y="11412"/>
                  </a:lnTo>
                  <a:lnTo>
                    <a:pt x="4096" y="11243"/>
                  </a:lnTo>
                  <a:lnTo>
                    <a:pt x="3995" y="11130"/>
                  </a:lnTo>
                  <a:lnTo>
                    <a:pt x="3895" y="11186"/>
                  </a:lnTo>
                  <a:lnTo>
                    <a:pt x="3592" y="11525"/>
                  </a:lnTo>
                  <a:lnTo>
                    <a:pt x="3492" y="11582"/>
                  </a:lnTo>
                  <a:lnTo>
                    <a:pt x="3391" y="11582"/>
                  </a:lnTo>
                  <a:lnTo>
                    <a:pt x="3391" y="11412"/>
                  </a:lnTo>
                  <a:lnTo>
                    <a:pt x="3357" y="11243"/>
                  </a:lnTo>
                  <a:lnTo>
                    <a:pt x="3357" y="11073"/>
                  </a:lnTo>
                  <a:lnTo>
                    <a:pt x="3290" y="10734"/>
                  </a:lnTo>
                  <a:lnTo>
                    <a:pt x="3324" y="10565"/>
                  </a:lnTo>
                  <a:lnTo>
                    <a:pt x="3391" y="10395"/>
                  </a:lnTo>
                  <a:lnTo>
                    <a:pt x="3391" y="10226"/>
                  </a:lnTo>
                  <a:lnTo>
                    <a:pt x="3290" y="10395"/>
                  </a:lnTo>
                  <a:lnTo>
                    <a:pt x="3190" y="10508"/>
                  </a:lnTo>
                  <a:lnTo>
                    <a:pt x="3190" y="10678"/>
                  </a:lnTo>
                  <a:lnTo>
                    <a:pt x="3122" y="11017"/>
                  </a:lnTo>
                  <a:lnTo>
                    <a:pt x="3122" y="11186"/>
                  </a:lnTo>
                  <a:lnTo>
                    <a:pt x="3055" y="11356"/>
                  </a:lnTo>
                  <a:lnTo>
                    <a:pt x="3022" y="11525"/>
                  </a:lnTo>
                  <a:lnTo>
                    <a:pt x="3122" y="11638"/>
                  </a:lnTo>
                  <a:lnTo>
                    <a:pt x="3022" y="11695"/>
                  </a:lnTo>
                  <a:lnTo>
                    <a:pt x="2954" y="11525"/>
                  </a:lnTo>
                  <a:lnTo>
                    <a:pt x="2854" y="11356"/>
                  </a:lnTo>
                  <a:lnTo>
                    <a:pt x="2820" y="11186"/>
                  </a:lnTo>
                  <a:lnTo>
                    <a:pt x="2719" y="11073"/>
                  </a:lnTo>
                  <a:lnTo>
                    <a:pt x="2652" y="10904"/>
                  </a:lnTo>
                  <a:lnTo>
                    <a:pt x="2619" y="10734"/>
                  </a:lnTo>
                  <a:lnTo>
                    <a:pt x="2518" y="10621"/>
                  </a:lnTo>
                  <a:lnTo>
                    <a:pt x="2417" y="10565"/>
                  </a:lnTo>
                  <a:lnTo>
                    <a:pt x="2350" y="10395"/>
                  </a:lnTo>
                  <a:lnTo>
                    <a:pt x="2249" y="10226"/>
                  </a:lnTo>
                  <a:lnTo>
                    <a:pt x="2182" y="10395"/>
                  </a:lnTo>
                  <a:lnTo>
                    <a:pt x="2182" y="10734"/>
                  </a:lnTo>
                  <a:lnTo>
                    <a:pt x="2249" y="10904"/>
                  </a:lnTo>
                  <a:lnTo>
                    <a:pt x="2350" y="11017"/>
                  </a:lnTo>
                  <a:lnTo>
                    <a:pt x="2417" y="11186"/>
                  </a:lnTo>
                  <a:lnTo>
                    <a:pt x="2451" y="11356"/>
                  </a:lnTo>
                  <a:lnTo>
                    <a:pt x="2417" y="11525"/>
                  </a:lnTo>
                  <a:lnTo>
                    <a:pt x="2317" y="11582"/>
                  </a:lnTo>
                  <a:lnTo>
                    <a:pt x="2115" y="11808"/>
                  </a:lnTo>
                  <a:lnTo>
                    <a:pt x="2182" y="11638"/>
                  </a:lnTo>
                  <a:lnTo>
                    <a:pt x="2149" y="11469"/>
                  </a:lnTo>
                  <a:lnTo>
                    <a:pt x="2048" y="11356"/>
                  </a:lnTo>
                  <a:lnTo>
                    <a:pt x="2014" y="11525"/>
                  </a:lnTo>
                  <a:lnTo>
                    <a:pt x="2014" y="12034"/>
                  </a:lnTo>
                  <a:lnTo>
                    <a:pt x="1981" y="11864"/>
                  </a:lnTo>
                  <a:lnTo>
                    <a:pt x="1947" y="11638"/>
                  </a:lnTo>
                  <a:lnTo>
                    <a:pt x="1914" y="11469"/>
                  </a:lnTo>
                  <a:lnTo>
                    <a:pt x="1779" y="11130"/>
                  </a:lnTo>
                  <a:lnTo>
                    <a:pt x="1679" y="10621"/>
                  </a:lnTo>
                  <a:lnTo>
                    <a:pt x="1679" y="10452"/>
                  </a:lnTo>
                  <a:lnTo>
                    <a:pt x="1645" y="10621"/>
                  </a:lnTo>
                  <a:lnTo>
                    <a:pt x="1645" y="10791"/>
                  </a:lnTo>
                  <a:lnTo>
                    <a:pt x="1544" y="10904"/>
                  </a:lnTo>
                  <a:lnTo>
                    <a:pt x="1410" y="11243"/>
                  </a:lnTo>
                  <a:lnTo>
                    <a:pt x="1377" y="11412"/>
                  </a:lnTo>
                  <a:lnTo>
                    <a:pt x="1377" y="11751"/>
                  </a:lnTo>
                  <a:lnTo>
                    <a:pt x="1477" y="11921"/>
                  </a:lnTo>
                  <a:lnTo>
                    <a:pt x="1544" y="12090"/>
                  </a:lnTo>
                  <a:lnTo>
                    <a:pt x="1645" y="12147"/>
                  </a:lnTo>
                  <a:lnTo>
                    <a:pt x="2149" y="12147"/>
                  </a:lnTo>
                  <a:lnTo>
                    <a:pt x="2182" y="12316"/>
                  </a:lnTo>
                  <a:lnTo>
                    <a:pt x="1914" y="12994"/>
                  </a:lnTo>
                  <a:lnTo>
                    <a:pt x="1880" y="13164"/>
                  </a:lnTo>
                  <a:lnTo>
                    <a:pt x="2082" y="13277"/>
                  </a:lnTo>
                  <a:lnTo>
                    <a:pt x="2014" y="13446"/>
                  </a:lnTo>
                  <a:lnTo>
                    <a:pt x="1914" y="13503"/>
                  </a:lnTo>
                  <a:lnTo>
                    <a:pt x="1813" y="13616"/>
                  </a:lnTo>
                  <a:lnTo>
                    <a:pt x="1746" y="13785"/>
                  </a:lnTo>
                  <a:lnTo>
                    <a:pt x="1544" y="14011"/>
                  </a:lnTo>
                  <a:lnTo>
                    <a:pt x="1444" y="13955"/>
                  </a:lnTo>
                  <a:lnTo>
                    <a:pt x="1343" y="13842"/>
                  </a:lnTo>
                  <a:lnTo>
                    <a:pt x="1209" y="13503"/>
                  </a:lnTo>
                  <a:lnTo>
                    <a:pt x="1209" y="13164"/>
                  </a:lnTo>
                  <a:lnTo>
                    <a:pt x="1007" y="13164"/>
                  </a:lnTo>
                  <a:lnTo>
                    <a:pt x="906" y="13051"/>
                  </a:lnTo>
                  <a:lnTo>
                    <a:pt x="839" y="12712"/>
                  </a:lnTo>
                  <a:lnTo>
                    <a:pt x="940" y="12712"/>
                  </a:lnTo>
                  <a:lnTo>
                    <a:pt x="940" y="12881"/>
                  </a:lnTo>
                  <a:lnTo>
                    <a:pt x="839" y="13051"/>
                  </a:lnTo>
                  <a:lnTo>
                    <a:pt x="739" y="12994"/>
                  </a:lnTo>
                  <a:lnTo>
                    <a:pt x="638" y="13051"/>
                  </a:lnTo>
                  <a:lnTo>
                    <a:pt x="101" y="12147"/>
                  </a:lnTo>
                  <a:lnTo>
                    <a:pt x="235" y="12260"/>
                  </a:lnTo>
                  <a:lnTo>
                    <a:pt x="336" y="12316"/>
                  </a:lnTo>
                  <a:lnTo>
                    <a:pt x="436" y="12429"/>
                  </a:lnTo>
                  <a:lnTo>
                    <a:pt x="537" y="12599"/>
                  </a:lnTo>
                  <a:lnTo>
                    <a:pt x="638" y="12712"/>
                  </a:lnTo>
                  <a:lnTo>
                    <a:pt x="537" y="12768"/>
                  </a:lnTo>
                  <a:lnTo>
                    <a:pt x="403" y="12768"/>
                  </a:lnTo>
                  <a:lnTo>
                    <a:pt x="336" y="12938"/>
                  </a:lnTo>
                  <a:lnTo>
                    <a:pt x="436" y="12994"/>
                  </a:lnTo>
                  <a:lnTo>
                    <a:pt x="537" y="13107"/>
                  </a:lnTo>
                  <a:lnTo>
                    <a:pt x="571" y="13277"/>
                  </a:lnTo>
                  <a:lnTo>
                    <a:pt x="638" y="13446"/>
                  </a:lnTo>
                  <a:lnTo>
                    <a:pt x="705" y="13672"/>
                  </a:lnTo>
                  <a:lnTo>
                    <a:pt x="772" y="13842"/>
                  </a:lnTo>
                  <a:lnTo>
                    <a:pt x="772" y="14011"/>
                  </a:lnTo>
                  <a:lnTo>
                    <a:pt x="705" y="14181"/>
                  </a:lnTo>
                  <a:lnTo>
                    <a:pt x="604" y="14181"/>
                  </a:lnTo>
                  <a:lnTo>
                    <a:pt x="739" y="14520"/>
                  </a:lnTo>
                  <a:lnTo>
                    <a:pt x="772" y="14689"/>
                  </a:lnTo>
                  <a:lnTo>
                    <a:pt x="739" y="14859"/>
                  </a:lnTo>
                  <a:lnTo>
                    <a:pt x="940" y="15424"/>
                  </a:lnTo>
                  <a:lnTo>
                    <a:pt x="974" y="15989"/>
                  </a:lnTo>
                  <a:lnTo>
                    <a:pt x="1041" y="16158"/>
                  </a:lnTo>
                  <a:lnTo>
                    <a:pt x="1142" y="16271"/>
                  </a:lnTo>
                  <a:lnTo>
                    <a:pt x="1007" y="16328"/>
                  </a:lnTo>
                  <a:lnTo>
                    <a:pt x="739" y="16328"/>
                  </a:lnTo>
                  <a:lnTo>
                    <a:pt x="638" y="16384"/>
                  </a:lnTo>
                  <a:lnTo>
                    <a:pt x="604" y="16215"/>
                  </a:lnTo>
                  <a:lnTo>
                    <a:pt x="403" y="16102"/>
                  </a:lnTo>
                  <a:lnTo>
                    <a:pt x="302" y="15989"/>
                  </a:lnTo>
                  <a:lnTo>
                    <a:pt x="67" y="15989"/>
                  </a:lnTo>
                  <a:lnTo>
                    <a:pt x="0" y="16158"/>
                  </a:lnTo>
                </a:path>
              </a:pathLst>
            </a:custGeom>
            <a:noFill/>
            <a:ln w="9360">
              <a:solidFill>
                <a:srgbClr val="0000ff"/>
              </a:solidFill>
              <a:round/>
            </a:ln>
          </xdr:spPr>
          <xdr:style>
            <a:lnRef idx="0"/>
            <a:fillRef idx="0"/>
            <a:effectRef idx="0"/>
            <a:fontRef idx="minor"/>
          </xdr:style>
        </xdr:sp>
        <xdr:sp>
          <xdr:nvSpPr>
            <xdr:cNvPr id="317" name="Drawing 9"/>
            <xdr:cNvSpPr/>
          </xdr:nvSpPr>
          <xdr:spPr>
            <a:xfrm>
              <a:off x="2359080" y="4370040"/>
              <a:ext cx="1480320" cy="2905560"/>
            </a:xfrm>
            <a:custGeom>
              <a:avLst/>
              <a:gdLst/>
              <a:ahLst/>
              <a:rect l="l" t="t" r="r" b="b"/>
              <a:pathLst>
                <a:path w="16384" h="16384">
                  <a:moveTo>
                    <a:pt x="15760" y="1271"/>
                  </a:moveTo>
                  <a:lnTo>
                    <a:pt x="16228" y="1201"/>
                  </a:lnTo>
                  <a:lnTo>
                    <a:pt x="16384" y="989"/>
                  </a:lnTo>
                  <a:lnTo>
                    <a:pt x="15760" y="1271"/>
                  </a:lnTo>
                  <a:lnTo>
                    <a:pt x="16072" y="847"/>
                  </a:lnTo>
                  <a:lnTo>
                    <a:pt x="15760" y="636"/>
                  </a:lnTo>
                  <a:lnTo>
                    <a:pt x="15292" y="565"/>
                  </a:lnTo>
                  <a:lnTo>
                    <a:pt x="14824" y="353"/>
                  </a:lnTo>
                  <a:lnTo>
                    <a:pt x="14824" y="141"/>
                  </a:lnTo>
                  <a:lnTo>
                    <a:pt x="13887" y="0"/>
                  </a:lnTo>
                  <a:lnTo>
                    <a:pt x="12327" y="0"/>
                  </a:lnTo>
                  <a:lnTo>
                    <a:pt x="11859" y="71"/>
                  </a:lnTo>
                  <a:lnTo>
                    <a:pt x="12015" y="282"/>
                  </a:lnTo>
                  <a:lnTo>
                    <a:pt x="11859" y="494"/>
                  </a:lnTo>
                  <a:lnTo>
                    <a:pt x="12171" y="706"/>
                  </a:lnTo>
                  <a:lnTo>
                    <a:pt x="11703" y="918"/>
                  </a:lnTo>
                  <a:lnTo>
                    <a:pt x="11235" y="989"/>
                  </a:lnTo>
                  <a:lnTo>
                    <a:pt x="9986" y="1201"/>
                  </a:lnTo>
                  <a:lnTo>
                    <a:pt x="9050" y="1201"/>
                  </a:lnTo>
                  <a:lnTo>
                    <a:pt x="9518" y="1342"/>
                  </a:lnTo>
                  <a:lnTo>
                    <a:pt x="10923" y="1342"/>
                  </a:lnTo>
                  <a:lnTo>
                    <a:pt x="11391" y="1201"/>
                  </a:lnTo>
                  <a:lnTo>
                    <a:pt x="12327" y="1201"/>
                  </a:lnTo>
                  <a:lnTo>
                    <a:pt x="12795" y="1342"/>
                  </a:lnTo>
                  <a:lnTo>
                    <a:pt x="12795" y="1766"/>
                  </a:lnTo>
                  <a:lnTo>
                    <a:pt x="12327" y="1907"/>
                  </a:lnTo>
                  <a:lnTo>
                    <a:pt x="11859" y="1907"/>
                  </a:lnTo>
                  <a:lnTo>
                    <a:pt x="12327" y="1836"/>
                  </a:lnTo>
                  <a:lnTo>
                    <a:pt x="12795" y="1695"/>
                  </a:lnTo>
                  <a:lnTo>
                    <a:pt x="13731" y="1695"/>
                  </a:lnTo>
                  <a:lnTo>
                    <a:pt x="14199" y="1624"/>
                  </a:lnTo>
                  <a:lnTo>
                    <a:pt x="14356" y="1836"/>
                  </a:lnTo>
                  <a:lnTo>
                    <a:pt x="14356" y="2048"/>
                  </a:lnTo>
                  <a:lnTo>
                    <a:pt x="13887" y="2189"/>
                  </a:lnTo>
                  <a:lnTo>
                    <a:pt x="13575" y="2401"/>
                  </a:lnTo>
                  <a:lnTo>
                    <a:pt x="13731" y="2613"/>
                  </a:lnTo>
                  <a:lnTo>
                    <a:pt x="13263" y="2472"/>
                  </a:lnTo>
                  <a:lnTo>
                    <a:pt x="13263" y="2684"/>
                  </a:lnTo>
                  <a:lnTo>
                    <a:pt x="12639" y="2754"/>
                  </a:lnTo>
                  <a:lnTo>
                    <a:pt x="12483" y="2966"/>
                  </a:lnTo>
                  <a:lnTo>
                    <a:pt x="12015" y="3107"/>
                  </a:lnTo>
                  <a:lnTo>
                    <a:pt x="11547" y="3178"/>
                  </a:lnTo>
                  <a:lnTo>
                    <a:pt x="11079" y="3178"/>
                  </a:lnTo>
                  <a:lnTo>
                    <a:pt x="10611" y="3037"/>
                  </a:lnTo>
                  <a:lnTo>
                    <a:pt x="9518" y="3037"/>
                  </a:lnTo>
                  <a:lnTo>
                    <a:pt x="9050" y="3178"/>
                  </a:lnTo>
                  <a:lnTo>
                    <a:pt x="8582" y="3178"/>
                  </a:lnTo>
                  <a:lnTo>
                    <a:pt x="8114" y="3249"/>
                  </a:lnTo>
                  <a:lnTo>
                    <a:pt x="8114" y="3037"/>
                  </a:lnTo>
                  <a:lnTo>
                    <a:pt x="7958" y="2825"/>
                  </a:lnTo>
                  <a:lnTo>
                    <a:pt x="7490" y="2825"/>
                  </a:lnTo>
                  <a:lnTo>
                    <a:pt x="7178" y="3037"/>
                  </a:lnTo>
                  <a:lnTo>
                    <a:pt x="7178" y="3460"/>
                  </a:lnTo>
                  <a:lnTo>
                    <a:pt x="7334" y="3672"/>
                  </a:lnTo>
                  <a:lnTo>
                    <a:pt x="8270" y="4096"/>
                  </a:lnTo>
                  <a:lnTo>
                    <a:pt x="8582" y="4308"/>
                  </a:lnTo>
                  <a:lnTo>
                    <a:pt x="8894" y="4732"/>
                  </a:lnTo>
                  <a:lnTo>
                    <a:pt x="9362" y="4802"/>
                  </a:lnTo>
                  <a:lnTo>
                    <a:pt x="9830" y="4802"/>
                  </a:lnTo>
                  <a:lnTo>
                    <a:pt x="10299" y="4873"/>
                  </a:lnTo>
                  <a:lnTo>
                    <a:pt x="9986" y="5297"/>
                  </a:lnTo>
                  <a:lnTo>
                    <a:pt x="9362" y="5720"/>
                  </a:lnTo>
                  <a:lnTo>
                    <a:pt x="9206" y="5932"/>
                  </a:lnTo>
                  <a:lnTo>
                    <a:pt x="8894" y="6144"/>
                  </a:lnTo>
                  <a:lnTo>
                    <a:pt x="8738" y="6356"/>
                  </a:lnTo>
                  <a:lnTo>
                    <a:pt x="8738" y="6780"/>
                  </a:lnTo>
                  <a:lnTo>
                    <a:pt x="8114" y="7203"/>
                  </a:lnTo>
                  <a:lnTo>
                    <a:pt x="7958" y="7486"/>
                  </a:lnTo>
                  <a:lnTo>
                    <a:pt x="7802" y="7698"/>
                  </a:lnTo>
                  <a:lnTo>
                    <a:pt x="7802" y="8121"/>
                  </a:lnTo>
                  <a:lnTo>
                    <a:pt x="6866" y="8757"/>
                  </a:lnTo>
                  <a:lnTo>
                    <a:pt x="6710" y="8969"/>
                  </a:lnTo>
                  <a:lnTo>
                    <a:pt x="6242" y="8969"/>
                  </a:lnTo>
                  <a:lnTo>
                    <a:pt x="5773" y="8898"/>
                  </a:lnTo>
                  <a:lnTo>
                    <a:pt x="5773" y="8686"/>
                  </a:lnTo>
                  <a:lnTo>
                    <a:pt x="5929" y="8474"/>
                  </a:lnTo>
                  <a:lnTo>
                    <a:pt x="5929" y="7839"/>
                  </a:lnTo>
                  <a:lnTo>
                    <a:pt x="5617" y="7627"/>
                  </a:lnTo>
                  <a:lnTo>
                    <a:pt x="5149" y="7698"/>
                  </a:lnTo>
                  <a:lnTo>
                    <a:pt x="4681" y="7556"/>
                  </a:lnTo>
                  <a:lnTo>
                    <a:pt x="4369" y="7345"/>
                  </a:lnTo>
                  <a:lnTo>
                    <a:pt x="4993" y="7768"/>
                  </a:lnTo>
                  <a:lnTo>
                    <a:pt x="4681" y="7980"/>
                  </a:lnTo>
                  <a:lnTo>
                    <a:pt x="5149" y="8121"/>
                  </a:lnTo>
                  <a:lnTo>
                    <a:pt x="5305" y="8333"/>
                  </a:lnTo>
                  <a:lnTo>
                    <a:pt x="4837" y="8404"/>
                  </a:lnTo>
                  <a:lnTo>
                    <a:pt x="4525" y="8616"/>
                  </a:lnTo>
                  <a:lnTo>
                    <a:pt x="4057" y="8686"/>
                  </a:lnTo>
                  <a:lnTo>
                    <a:pt x="3121" y="8686"/>
                  </a:lnTo>
                  <a:lnTo>
                    <a:pt x="2965" y="8474"/>
                  </a:lnTo>
                  <a:lnTo>
                    <a:pt x="2497" y="8333"/>
                  </a:lnTo>
                  <a:lnTo>
                    <a:pt x="2028" y="8333"/>
                  </a:lnTo>
                  <a:lnTo>
                    <a:pt x="1872" y="8121"/>
                  </a:lnTo>
                  <a:lnTo>
                    <a:pt x="1404" y="8051"/>
                  </a:lnTo>
                  <a:lnTo>
                    <a:pt x="1248" y="7839"/>
                  </a:lnTo>
                  <a:lnTo>
                    <a:pt x="936" y="7627"/>
                  </a:lnTo>
                  <a:lnTo>
                    <a:pt x="0" y="7486"/>
                  </a:lnTo>
                  <a:lnTo>
                    <a:pt x="0" y="7698"/>
                  </a:lnTo>
                  <a:lnTo>
                    <a:pt x="468" y="7839"/>
                  </a:lnTo>
                  <a:lnTo>
                    <a:pt x="780" y="8051"/>
                  </a:lnTo>
                  <a:lnTo>
                    <a:pt x="780" y="8263"/>
                  </a:lnTo>
                  <a:lnTo>
                    <a:pt x="1404" y="8686"/>
                  </a:lnTo>
                  <a:lnTo>
                    <a:pt x="1872" y="8898"/>
                  </a:lnTo>
                  <a:lnTo>
                    <a:pt x="2028" y="9110"/>
                  </a:lnTo>
                  <a:lnTo>
                    <a:pt x="2497" y="9393"/>
                  </a:lnTo>
                  <a:lnTo>
                    <a:pt x="3433" y="9534"/>
                  </a:lnTo>
                  <a:lnTo>
                    <a:pt x="4369" y="9816"/>
                  </a:lnTo>
                  <a:lnTo>
                    <a:pt x="4837" y="10028"/>
                  </a:lnTo>
                  <a:lnTo>
                    <a:pt x="5305" y="10028"/>
                  </a:lnTo>
                  <a:lnTo>
                    <a:pt x="5461" y="9816"/>
                  </a:lnTo>
                  <a:lnTo>
                    <a:pt x="5461" y="9604"/>
                  </a:lnTo>
                  <a:lnTo>
                    <a:pt x="5929" y="9534"/>
                  </a:lnTo>
                  <a:lnTo>
                    <a:pt x="6866" y="9534"/>
                  </a:lnTo>
                  <a:lnTo>
                    <a:pt x="7178" y="9746"/>
                  </a:lnTo>
                  <a:lnTo>
                    <a:pt x="7178" y="9958"/>
                  </a:lnTo>
                  <a:lnTo>
                    <a:pt x="6710" y="10169"/>
                  </a:lnTo>
                  <a:lnTo>
                    <a:pt x="6398" y="10381"/>
                  </a:lnTo>
                  <a:lnTo>
                    <a:pt x="6085" y="10805"/>
                  </a:lnTo>
                  <a:lnTo>
                    <a:pt x="6242" y="11017"/>
                  </a:lnTo>
                  <a:lnTo>
                    <a:pt x="6710" y="11158"/>
                  </a:lnTo>
                  <a:lnTo>
                    <a:pt x="6242" y="11158"/>
                  </a:lnTo>
                  <a:lnTo>
                    <a:pt x="5617" y="11087"/>
                  </a:lnTo>
                  <a:lnTo>
                    <a:pt x="5929" y="11299"/>
                  </a:lnTo>
                  <a:lnTo>
                    <a:pt x="6242" y="11723"/>
                  </a:lnTo>
                  <a:lnTo>
                    <a:pt x="6085" y="11935"/>
                  </a:lnTo>
                  <a:lnTo>
                    <a:pt x="6242" y="12147"/>
                  </a:lnTo>
                  <a:lnTo>
                    <a:pt x="5773" y="12288"/>
                  </a:lnTo>
                  <a:lnTo>
                    <a:pt x="5305" y="12288"/>
                  </a:lnTo>
                  <a:lnTo>
                    <a:pt x="4837" y="12217"/>
                  </a:lnTo>
                  <a:lnTo>
                    <a:pt x="4369" y="12076"/>
                  </a:lnTo>
                  <a:lnTo>
                    <a:pt x="4993" y="12147"/>
                  </a:lnTo>
                  <a:lnTo>
                    <a:pt x="4993" y="12359"/>
                  </a:lnTo>
                  <a:lnTo>
                    <a:pt x="4837" y="12570"/>
                  </a:lnTo>
                  <a:lnTo>
                    <a:pt x="5461" y="12853"/>
                  </a:lnTo>
                  <a:lnTo>
                    <a:pt x="5305" y="13065"/>
                  </a:lnTo>
                  <a:lnTo>
                    <a:pt x="4681" y="13489"/>
                  </a:lnTo>
                  <a:lnTo>
                    <a:pt x="4681" y="13700"/>
                  </a:lnTo>
                  <a:lnTo>
                    <a:pt x="5305" y="14124"/>
                  </a:lnTo>
                  <a:lnTo>
                    <a:pt x="5773" y="14265"/>
                  </a:lnTo>
                  <a:lnTo>
                    <a:pt x="5929" y="14477"/>
                  </a:lnTo>
                  <a:lnTo>
                    <a:pt x="5929" y="14901"/>
                  </a:lnTo>
                  <a:lnTo>
                    <a:pt x="6085" y="15113"/>
                  </a:lnTo>
                  <a:lnTo>
                    <a:pt x="6085" y="15325"/>
                  </a:lnTo>
                  <a:lnTo>
                    <a:pt x="6398" y="15748"/>
                  </a:lnTo>
                  <a:lnTo>
                    <a:pt x="6398" y="16172"/>
                  </a:lnTo>
                  <a:lnTo>
                    <a:pt x="6710" y="16384"/>
                  </a:lnTo>
                </a:path>
              </a:pathLst>
            </a:custGeom>
            <a:noFill/>
            <a:ln w="9360">
              <a:solidFill>
                <a:srgbClr val="0000ff"/>
              </a:solidFill>
              <a:round/>
            </a:ln>
          </xdr:spPr>
          <xdr:style>
            <a:lnRef idx="0"/>
            <a:fillRef idx="0"/>
            <a:effectRef idx="0"/>
            <a:fontRef idx="minor"/>
          </xdr:style>
        </xdr:sp>
      </xdr:grpSp>
      <xdr:sp>
        <xdr:nvSpPr>
          <xdr:cNvPr id="318" name="Drawing 10"/>
          <xdr:cNvSpPr/>
        </xdr:nvSpPr>
        <xdr:spPr>
          <a:xfrm>
            <a:off x="3014640" y="3919680"/>
            <a:ext cx="1797840" cy="3333960"/>
          </a:xfrm>
          <a:custGeom>
            <a:avLst/>
            <a:gdLst/>
            <a:ahLst/>
            <a:rect l="l" t="t" r="r" b="b"/>
            <a:pathLst>
              <a:path w="16384" h="16384">
                <a:moveTo>
                  <a:pt x="1939" y="16384"/>
                </a:moveTo>
                <a:lnTo>
                  <a:pt x="2036" y="16242"/>
                </a:lnTo>
                <a:lnTo>
                  <a:pt x="1745" y="15816"/>
                </a:lnTo>
                <a:lnTo>
                  <a:pt x="1551" y="15674"/>
                </a:lnTo>
                <a:lnTo>
                  <a:pt x="1454" y="15532"/>
                </a:lnTo>
                <a:lnTo>
                  <a:pt x="1454" y="15390"/>
                </a:lnTo>
                <a:lnTo>
                  <a:pt x="1357" y="15248"/>
                </a:lnTo>
                <a:lnTo>
                  <a:pt x="1163" y="14869"/>
                </a:lnTo>
                <a:lnTo>
                  <a:pt x="1163" y="14727"/>
                </a:lnTo>
                <a:lnTo>
                  <a:pt x="873" y="14300"/>
                </a:lnTo>
                <a:lnTo>
                  <a:pt x="873" y="14111"/>
                </a:lnTo>
                <a:lnTo>
                  <a:pt x="776" y="13969"/>
                </a:lnTo>
                <a:lnTo>
                  <a:pt x="776" y="13685"/>
                </a:lnTo>
                <a:lnTo>
                  <a:pt x="679" y="13543"/>
                </a:lnTo>
                <a:lnTo>
                  <a:pt x="679" y="12927"/>
                </a:lnTo>
                <a:lnTo>
                  <a:pt x="582" y="12785"/>
                </a:lnTo>
                <a:lnTo>
                  <a:pt x="485" y="12596"/>
                </a:lnTo>
                <a:lnTo>
                  <a:pt x="485" y="12406"/>
                </a:lnTo>
                <a:lnTo>
                  <a:pt x="388" y="12217"/>
                </a:lnTo>
                <a:lnTo>
                  <a:pt x="388" y="11507"/>
                </a:lnTo>
                <a:lnTo>
                  <a:pt x="485" y="11365"/>
                </a:lnTo>
                <a:lnTo>
                  <a:pt x="485" y="11223"/>
                </a:lnTo>
                <a:lnTo>
                  <a:pt x="679" y="11081"/>
                </a:lnTo>
                <a:lnTo>
                  <a:pt x="873" y="10796"/>
                </a:lnTo>
                <a:lnTo>
                  <a:pt x="873" y="10654"/>
                </a:lnTo>
                <a:lnTo>
                  <a:pt x="1260" y="10086"/>
                </a:lnTo>
                <a:lnTo>
                  <a:pt x="1260" y="9944"/>
                </a:lnTo>
                <a:lnTo>
                  <a:pt x="1454" y="9755"/>
                </a:lnTo>
                <a:lnTo>
                  <a:pt x="1454" y="9613"/>
                </a:lnTo>
                <a:lnTo>
                  <a:pt x="1842" y="9044"/>
                </a:lnTo>
                <a:lnTo>
                  <a:pt x="1842" y="8902"/>
                </a:lnTo>
                <a:lnTo>
                  <a:pt x="2133" y="8476"/>
                </a:lnTo>
                <a:lnTo>
                  <a:pt x="2327" y="8334"/>
                </a:lnTo>
                <a:lnTo>
                  <a:pt x="2424" y="8192"/>
                </a:lnTo>
                <a:lnTo>
                  <a:pt x="2811" y="7908"/>
                </a:lnTo>
                <a:lnTo>
                  <a:pt x="3102" y="7766"/>
                </a:lnTo>
                <a:lnTo>
                  <a:pt x="3393" y="7340"/>
                </a:lnTo>
                <a:lnTo>
                  <a:pt x="3587" y="7198"/>
                </a:lnTo>
                <a:lnTo>
                  <a:pt x="3684" y="7056"/>
                </a:lnTo>
                <a:lnTo>
                  <a:pt x="3878" y="6913"/>
                </a:lnTo>
                <a:lnTo>
                  <a:pt x="3975" y="6771"/>
                </a:lnTo>
                <a:lnTo>
                  <a:pt x="4072" y="6582"/>
                </a:lnTo>
                <a:lnTo>
                  <a:pt x="4266" y="6440"/>
                </a:lnTo>
                <a:lnTo>
                  <a:pt x="4944" y="6108"/>
                </a:lnTo>
                <a:lnTo>
                  <a:pt x="5138" y="5824"/>
                </a:lnTo>
                <a:lnTo>
                  <a:pt x="5332" y="5682"/>
                </a:lnTo>
                <a:lnTo>
                  <a:pt x="5623" y="5588"/>
                </a:lnTo>
                <a:lnTo>
                  <a:pt x="5817" y="5446"/>
                </a:lnTo>
                <a:lnTo>
                  <a:pt x="6108" y="5398"/>
                </a:lnTo>
                <a:lnTo>
                  <a:pt x="6302" y="5256"/>
                </a:lnTo>
                <a:lnTo>
                  <a:pt x="6883" y="4972"/>
                </a:lnTo>
                <a:lnTo>
                  <a:pt x="7077" y="4830"/>
                </a:lnTo>
                <a:lnTo>
                  <a:pt x="6883" y="4688"/>
                </a:lnTo>
                <a:lnTo>
                  <a:pt x="6980" y="4498"/>
                </a:lnTo>
                <a:lnTo>
                  <a:pt x="7077" y="4356"/>
                </a:lnTo>
                <a:lnTo>
                  <a:pt x="7368" y="4262"/>
                </a:lnTo>
                <a:lnTo>
                  <a:pt x="7465" y="4120"/>
                </a:lnTo>
                <a:lnTo>
                  <a:pt x="7659" y="3978"/>
                </a:lnTo>
                <a:lnTo>
                  <a:pt x="7756" y="3836"/>
                </a:lnTo>
                <a:lnTo>
                  <a:pt x="8144" y="3551"/>
                </a:lnTo>
                <a:lnTo>
                  <a:pt x="9307" y="3173"/>
                </a:lnTo>
                <a:lnTo>
                  <a:pt x="9598" y="3125"/>
                </a:lnTo>
                <a:lnTo>
                  <a:pt x="9889" y="2983"/>
                </a:lnTo>
                <a:lnTo>
                  <a:pt x="10179" y="2889"/>
                </a:lnTo>
                <a:lnTo>
                  <a:pt x="10567" y="2604"/>
                </a:lnTo>
                <a:lnTo>
                  <a:pt x="10858" y="2557"/>
                </a:lnTo>
                <a:lnTo>
                  <a:pt x="11052" y="2415"/>
                </a:lnTo>
                <a:lnTo>
                  <a:pt x="11343" y="2368"/>
                </a:lnTo>
                <a:lnTo>
                  <a:pt x="11634" y="2226"/>
                </a:lnTo>
                <a:lnTo>
                  <a:pt x="12797" y="1847"/>
                </a:lnTo>
                <a:lnTo>
                  <a:pt x="13088" y="1799"/>
                </a:lnTo>
                <a:lnTo>
                  <a:pt x="13960" y="1515"/>
                </a:lnTo>
                <a:lnTo>
                  <a:pt x="14251" y="1468"/>
                </a:lnTo>
                <a:lnTo>
                  <a:pt x="14833" y="1279"/>
                </a:lnTo>
                <a:lnTo>
                  <a:pt x="15124" y="1231"/>
                </a:lnTo>
                <a:lnTo>
                  <a:pt x="15415" y="1089"/>
                </a:lnTo>
                <a:lnTo>
                  <a:pt x="15996" y="994"/>
                </a:lnTo>
                <a:lnTo>
                  <a:pt x="16287" y="852"/>
                </a:lnTo>
                <a:lnTo>
                  <a:pt x="16384" y="710"/>
                </a:lnTo>
                <a:lnTo>
                  <a:pt x="16287" y="521"/>
                </a:lnTo>
                <a:lnTo>
                  <a:pt x="15996" y="474"/>
                </a:lnTo>
                <a:lnTo>
                  <a:pt x="16093" y="331"/>
                </a:lnTo>
                <a:lnTo>
                  <a:pt x="16384" y="284"/>
                </a:lnTo>
                <a:lnTo>
                  <a:pt x="16287" y="142"/>
                </a:lnTo>
                <a:lnTo>
                  <a:pt x="16093" y="0"/>
                </a:lnTo>
                <a:lnTo>
                  <a:pt x="15802" y="95"/>
                </a:lnTo>
                <a:lnTo>
                  <a:pt x="15705" y="237"/>
                </a:lnTo>
                <a:lnTo>
                  <a:pt x="15705" y="379"/>
                </a:lnTo>
                <a:lnTo>
                  <a:pt x="15802" y="521"/>
                </a:lnTo>
                <a:lnTo>
                  <a:pt x="15802" y="663"/>
                </a:lnTo>
                <a:lnTo>
                  <a:pt x="15511" y="710"/>
                </a:lnTo>
                <a:lnTo>
                  <a:pt x="15221" y="710"/>
                </a:lnTo>
                <a:lnTo>
                  <a:pt x="13185" y="1042"/>
                </a:lnTo>
                <a:lnTo>
                  <a:pt x="12894" y="1136"/>
                </a:lnTo>
                <a:lnTo>
                  <a:pt x="12603" y="1279"/>
                </a:lnTo>
                <a:lnTo>
                  <a:pt x="12409" y="1421"/>
                </a:lnTo>
                <a:lnTo>
                  <a:pt x="12409" y="1563"/>
                </a:lnTo>
                <a:lnTo>
                  <a:pt x="12118" y="1657"/>
                </a:lnTo>
                <a:lnTo>
                  <a:pt x="11828" y="1705"/>
                </a:lnTo>
                <a:lnTo>
                  <a:pt x="11537" y="1705"/>
                </a:lnTo>
                <a:lnTo>
                  <a:pt x="11246" y="1799"/>
                </a:lnTo>
                <a:lnTo>
                  <a:pt x="10955" y="1941"/>
                </a:lnTo>
                <a:lnTo>
                  <a:pt x="10664" y="2036"/>
                </a:lnTo>
                <a:lnTo>
                  <a:pt x="10373" y="2084"/>
                </a:lnTo>
                <a:lnTo>
                  <a:pt x="9986" y="2178"/>
                </a:lnTo>
                <a:lnTo>
                  <a:pt x="9695" y="2226"/>
                </a:lnTo>
                <a:lnTo>
                  <a:pt x="9792" y="2368"/>
                </a:lnTo>
                <a:lnTo>
                  <a:pt x="9986" y="2510"/>
                </a:lnTo>
                <a:lnTo>
                  <a:pt x="9986" y="2652"/>
                </a:lnTo>
                <a:lnTo>
                  <a:pt x="9889" y="2794"/>
                </a:lnTo>
                <a:lnTo>
                  <a:pt x="9598" y="2889"/>
                </a:lnTo>
                <a:lnTo>
                  <a:pt x="9016" y="2936"/>
                </a:lnTo>
                <a:lnTo>
                  <a:pt x="8919" y="3078"/>
                </a:lnTo>
                <a:lnTo>
                  <a:pt x="8919" y="3362"/>
                </a:lnTo>
                <a:lnTo>
                  <a:pt x="8628" y="3504"/>
                </a:lnTo>
                <a:lnTo>
                  <a:pt x="8047" y="3599"/>
                </a:lnTo>
                <a:lnTo>
                  <a:pt x="7756" y="3741"/>
                </a:lnTo>
                <a:lnTo>
                  <a:pt x="7174" y="3930"/>
                </a:lnTo>
                <a:lnTo>
                  <a:pt x="6592" y="4214"/>
                </a:lnTo>
                <a:lnTo>
                  <a:pt x="6592" y="4641"/>
                </a:lnTo>
                <a:lnTo>
                  <a:pt x="6011" y="4830"/>
                </a:lnTo>
                <a:lnTo>
                  <a:pt x="5720" y="4972"/>
                </a:lnTo>
                <a:lnTo>
                  <a:pt x="5526" y="5114"/>
                </a:lnTo>
                <a:lnTo>
                  <a:pt x="5429" y="5256"/>
                </a:lnTo>
                <a:lnTo>
                  <a:pt x="5235" y="5398"/>
                </a:lnTo>
                <a:lnTo>
                  <a:pt x="5041" y="5588"/>
                </a:lnTo>
                <a:lnTo>
                  <a:pt x="4653" y="5872"/>
                </a:lnTo>
                <a:lnTo>
                  <a:pt x="4072" y="6061"/>
                </a:lnTo>
                <a:lnTo>
                  <a:pt x="3975" y="6203"/>
                </a:lnTo>
                <a:lnTo>
                  <a:pt x="3684" y="6345"/>
                </a:lnTo>
                <a:lnTo>
                  <a:pt x="3587" y="6487"/>
                </a:lnTo>
                <a:lnTo>
                  <a:pt x="3587" y="6771"/>
                </a:lnTo>
                <a:lnTo>
                  <a:pt x="3393" y="7056"/>
                </a:lnTo>
                <a:lnTo>
                  <a:pt x="3102" y="7150"/>
                </a:lnTo>
                <a:lnTo>
                  <a:pt x="2908" y="7008"/>
                </a:lnTo>
                <a:lnTo>
                  <a:pt x="2618" y="6961"/>
                </a:lnTo>
                <a:lnTo>
                  <a:pt x="2424" y="7103"/>
                </a:lnTo>
                <a:lnTo>
                  <a:pt x="2424" y="7245"/>
                </a:lnTo>
                <a:lnTo>
                  <a:pt x="2327" y="7387"/>
                </a:lnTo>
                <a:lnTo>
                  <a:pt x="2133" y="7529"/>
                </a:lnTo>
                <a:lnTo>
                  <a:pt x="1842" y="7624"/>
                </a:lnTo>
                <a:lnTo>
                  <a:pt x="1939" y="7766"/>
                </a:lnTo>
                <a:lnTo>
                  <a:pt x="1939" y="7908"/>
                </a:lnTo>
                <a:lnTo>
                  <a:pt x="1745" y="8192"/>
                </a:lnTo>
                <a:lnTo>
                  <a:pt x="1551" y="8334"/>
                </a:lnTo>
                <a:lnTo>
                  <a:pt x="1260" y="8760"/>
                </a:lnTo>
                <a:lnTo>
                  <a:pt x="1066" y="8902"/>
                </a:lnTo>
                <a:lnTo>
                  <a:pt x="969" y="9044"/>
                </a:lnTo>
                <a:lnTo>
                  <a:pt x="969" y="9186"/>
                </a:lnTo>
                <a:lnTo>
                  <a:pt x="873" y="9328"/>
                </a:lnTo>
                <a:lnTo>
                  <a:pt x="679" y="9471"/>
                </a:lnTo>
                <a:lnTo>
                  <a:pt x="679" y="9897"/>
                </a:lnTo>
                <a:lnTo>
                  <a:pt x="582" y="10086"/>
                </a:lnTo>
                <a:lnTo>
                  <a:pt x="582" y="10370"/>
                </a:lnTo>
                <a:lnTo>
                  <a:pt x="388" y="10654"/>
                </a:lnTo>
                <a:lnTo>
                  <a:pt x="388" y="10796"/>
                </a:lnTo>
                <a:lnTo>
                  <a:pt x="291" y="10938"/>
                </a:lnTo>
                <a:lnTo>
                  <a:pt x="291" y="11223"/>
                </a:lnTo>
                <a:lnTo>
                  <a:pt x="97" y="11507"/>
                </a:lnTo>
                <a:lnTo>
                  <a:pt x="97" y="11649"/>
                </a:lnTo>
                <a:lnTo>
                  <a:pt x="0" y="11791"/>
                </a:lnTo>
                <a:lnTo>
                  <a:pt x="194" y="12075"/>
                </a:lnTo>
                <a:lnTo>
                  <a:pt x="194" y="12643"/>
                </a:lnTo>
                <a:lnTo>
                  <a:pt x="97" y="12785"/>
                </a:lnTo>
                <a:lnTo>
                  <a:pt x="97" y="12927"/>
                </a:lnTo>
                <a:lnTo>
                  <a:pt x="291" y="13069"/>
                </a:lnTo>
                <a:lnTo>
                  <a:pt x="485" y="13353"/>
                </a:lnTo>
                <a:lnTo>
                  <a:pt x="485" y="13495"/>
                </a:lnTo>
                <a:lnTo>
                  <a:pt x="291" y="13780"/>
                </a:lnTo>
                <a:lnTo>
                  <a:pt x="291" y="13922"/>
                </a:lnTo>
                <a:lnTo>
                  <a:pt x="485" y="14206"/>
                </a:lnTo>
                <a:lnTo>
                  <a:pt x="388" y="14348"/>
                </a:lnTo>
                <a:lnTo>
                  <a:pt x="485" y="14490"/>
                </a:lnTo>
                <a:lnTo>
                  <a:pt x="485" y="14774"/>
                </a:lnTo>
                <a:lnTo>
                  <a:pt x="582" y="14916"/>
                </a:lnTo>
                <a:lnTo>
                  <a:pt x="776" y="15058"/>
                </a:lnTo>
                <a:lnTo>
                  <a:pt x="873" y="15248"/>
                </a:lnTo>
                <a:lnTo>
                  <a:pt x="873" y="15532"/>
                </a:lnTo>
                <a:lnTo>
                  <a:pt x="776" y="15674"/>
                </a:lnTo>
                <a:lnTo>
                  <a:pt x="776" y="15816"/>
                </a:lnTo>
                <a:lnTo>
                  <a:pt x="679" y="15958"/>
                </a:lnTo>
                <a:lnTo>
                  <a:pt x="969" y="16100"/>
                </a:lnTo>
                <a:lnTo>
                  <a:pt x="1260" y="16195"/>
                </a:lnTo>
                <a:lnTo>
                  <a:pt x="1939" y="16384"/>
                </a:lnTo>
              </a:path>
            </a:pathLst>
          </a:custGeom>
          <a:noFill/>
          <a:ln w="9360">
            <a:solidFill>
              <a:srgbClr val="0000ff"/>
            </a:solidFill>
            <a:round/>
          </a:ln>
        </xdr:spPr>
        <xdr:style>
          <a:lnRef idx="0"/>
          <a:fillRef idx="0"/>
          <a:effectRef idx="0"/>
          <a:fontRef idx="minor"/>
        </xdr:style>
      </xdr:sp>
    </xdr:grpSp>
    <xdr:clientData/>
  </xdr:twoCellAnchor>
  <xdr:twoCellAnchor editAs="absolute">
    <xdr:from>
      <xdr:col>1</xdr:col>
      <xdr:colOff>539280</xdr:colOff>
      <xdr:row>23</xdr:row>
      <xdr:rowOff>66600</xdr:rowOff>
    </xdr:from>
    <xdr:to>
      <xdr:col>2</xdr:col>
      <xdr:colOff>476640</xdr:colOff>
      <xdr:row>25</xdr:row>
      <xdr:rowOff>142920</xdr:rowOff>
    </xdr:to>
    <xdr:sp>
      <xdr:nvSpPr>
        <xdr:cNvPr id="319" name="line802"/>
        <xdr:cNvSpPr/>
      </xdr:nvSpPr>
      <xdr:spPr>
        <a:xfrm>
          <a:off x="2189520" y="4686120"/>
          <a:ext cx="698760" cy="476640"/>
        </a:xfrm>
        <a:custGeom>
          <a:avLst/>
          <a:gdLst/>
          <a:ahLst/>
          <a:rect l="l" t="t" r="r" b="b"/>
          <a:pathLst>
            <a:path w="16384" h="16384">
              <a:moveTo>
                <a:pt x="0" y="16063"/>
              </a:moveTo>
              <a:lnTo>
                <a:pt x="978" y="14135"/>
              </a:lnTo>
              <a:lnTo>
                <a:pt x="2445" y="13493"/>
              </a:lnTo>
              <a:lnTo>
                <a:pt x="2934" y="14778"/>
              </a:lnTo>
              <a:lnTo>
                <a:pt x="3179" y="16384"/>
              </a:lnTo>
              <a:lnTo>
                <a:pt x="2690" y="14778"/>
              </a:lnTo>
              <a:lnTo>
                <a:pt x="1467" y="13814"/>
              </a:lnTo>
              <a:lnTo>
                <a:pt x="3913" y="10601"/>
              </a:lnTo>
              <a:lnTo>
                <a:pt x="7581" y="8031"/>
              </a:lnTo>
              <a:lnTo>
                <a:pt x="10271" y="10280"/>
              </a:lnTo>
              <a:lnTo>
                <a:pt x="10760" y="8674"/>
              </a:lnTo>
              <a:lnTo>
                <a:pt x="10026" y="10601"/>
              </a:lnTo>
              <a:lnTo>
                <a:pt x="12471" y="11244"/>
              </a:lnTo>
              <a:lnTo>
                <a:pt x="7336" y="7389"/>
              </a:lnTo>
              <a:lnTo>
                <a:pt x="16384" y="0"/>
              </a:lnTo>
            </a:path>
          </a:pathLst>
        </a:custGeom>
        <a:noFill/>
        <a:ln w="24840">
          <a:solidFill>
            <a:srgbClr val="00ff00"/>
          </a:solidFill>
          <a:round/>
        </a:ln>
      </xdr:spPr>
      <xdr:style>
        <a:lnRef idx="0"/>
        <a:fillRef idx="0"/>
        <a:effectRef idx="0"/>
        <a:fontRef idx="minor"/>
      </xdr:style>
    </xdr:sp>
    <xdr:clientData/>
  </xdr:twoCellAnchor>
  <xdr:twoCellAnchor editAs="absolute">
    <xdr:from>
      <xdr:col>2</xdr:col>
      <xdr:colOff>475920</xdr:colOff>
      <xdr:row>20</xdr:row>
      <xdr:rowOff>76680</xdr:rowOff>
    </xdr:from>
    <xdr:to>
      <xdr:col>3</xdr:col>
      <xdr:colOff>582120</xdr:colOff>
      <xdr:row>24</xdr:row>
      <xdr:rowOff>66240</xdr:rowOff>
    </xdr:to>
    <xdr:sp>
      <xdr:nvSpPr>
        <xdr:cNvPr id="320" name="line804"/>
        <xdr:cNvSpPr/>
      </xdr:nvSpPr>
      <xdr:spPr>
        <a:xfrm>
          <a:off x="2887560" y="4096080"/>
          <a:ext cx="867600" cy="789840"/>
        </a:xfrm>
        <a:custGeom>
          <a:avLst/>
          <a:gdLst/>
          <a:ahLst/>
          <a:rect l="l" t="t" r="r" b="b"/>
          <a:pathLst>
            <a:path w="16384" h="16384">
              <a:moveTo>
                <a:pt x="0" y="12239"/>
              </a:moveTo>
              <a:lnTo>
                <a:pt x="1399" y="11449"/>
              </a:lnTo>
              <a:lnTo>
                <a:pt x="3596" y="14607"/>
              </a:lnTo>
              <a:lnTo>
                <a:pt x="2398" y="15594"/>
              </a:lnTo>
              <a:lnTo>
                <a:pt x="3397" y="14805"/>
              </a:lnTo>
              <a:lnTo>
                <a:pt x="4596" y="16384"/>
              </a:lnTo>
              <a:lnTo>
                <a:pt x="1199" y="11252"/>
              </a:lnTo>
              <a:lnTo>
                <a:pt x="3596" y="9870"/>
              </a:lnTo>
              <a:lnTo>
                <a:pt x="4396" y="8685"/>
              </a:lnTo>
              <a:lnTo>
                <a:pt x="5994" y="7896"/>
              </a:lnTo>
              <a:lnTo>
                <a:pt x="13986" y="0"/>
              </a:lnTo>
              <a:lnTo>
                <a:pt x="16384" y="4145"/>
              </a:lnTo>
              <a:lnTo>
                <a:pt x="15984" y="5922"/>
              </a:lnTo>
              <a:lnTo>
                <a:pt x="16384" y="4343"/>
              </a:lnTo>
              <a:lnTo>
                <a:pt x="13986" y="197"/>
              </a:lnTo>
            </a:path>
          </a:pathLst>
        </a:custGeom>
        <a:noFill/>
        <a:ln w="24840">
          <a:solidFill>
            <a:srgbClr val="00ff00"/>
          </a:solidFill>
          <a:round/>
        </a:ln>
      </xdr:spPr>
      <xdr:style>
        <a:lnRef idx="0"/>
        <a:fillRef idx="0"/>
        <a:effectRef idx="0"/>
        <a:fontRef idx="minor"/>
      </xdr:style>
    </xdr:sp>
    <xdr:clientData/>
  </xdr:twoCellAnchor>
  <xdr:twoCellAnchor editAs="absolute">
    <xdr:from>
      <xdr:col>3</xdr:col>
      <xdr:colOff>475920</xdr:colOff>
      <xdr:row>17</xdr:row>
      <xdr:rowOff>104400</xdr:rowOff>
    </xdr:from>
    <xdr:to>
      <xdr:col>4</xdr:col>
      <xdr:colOff>466200</xdr:colOff>
      <xdr:row>20</xdr:row>
      <xdr:rowOff>66600</xdr:rowOff>
    </xdr:to>
    <xdr:sp>
      <xdr:nvSpPr>
        <xdr:cNvPr id="321" name="line806"/>
        <xdr:cNvSpPr/>
      </xdr:nvSpPr>
      <xdr:spPr>
        <a:xfrm>
          <a:off x="3648960" y="3524040"/>
          <a:ext cx="751680" cy="561960"/>
        </a:xfrm>
        <a:custGeom>
          <a:avLst/>
          <a:gdLst/>
          <a:ahLst/>
          <a:rect l="l" t="t" r="r" b="b"/>
          <a:pathLst>
            <a:path w="16384" h="16384">
              <a:moveTo>
                <a:pt x="0" y="16384"/>
              </a:moveTo>
              <a:lnTo>
                <a:pt x="12923" y="2185"/>
              </a:lnTo>
              <a:lnTo>
                <a:pt x="14307" y="4096"/>
              </a:lnTo>
              <a:lnTo>
                <a:pt x="16384" y="4369"/>
              </a:lnTo>
              <a:lnTo>
                <a:pt x="14076" y="4096"/>
              </a:lnTo>
              <a:lnTo>
                <a:pt x="12923" y="2185"/>
              </a:lnTo>
              <a:lnTo>
                <a:pt x="14076" y="0"/>
              </a:lnTo>
            </a:path>
          </a:pathLst>
        </a:custGeom>
        <a:noFill/>
        <a:ln w="24840">
          <a:solidFill>
            <a:srgbClr val="00ff00"/>
          </a:solidFill>
          <a:round/>
        </a:ln>
      </xdr:spPr>
      <xdr:style>
        <a:lnRef idx="0"/>
        <a:fillRef idx="0"/>
        <a:effectRef idx="0"/>
        <a:fontRef idx="minor"/>
      </xdr:style>
    </xdr:sp>
    <xdr:clientData/>
  </xdr:twoCellAnchor>
  <xdr:twoCellAnchor editAs="absolute">
    <xdr:from>
      <xdr:col>4</xdr:col>
      <xdr:colOff>348840</xdr:colOff>
      <xdr:row>13</xdr:row>
      <xdr:rowOff>181440</xdr:rowOff>
    </xdr:from>
    <xdr:to>
      <xdr:col>6</xdr:col>
      <xdr:colOff>43200</xdr:colOff>
      <xdr:row>17</xdr:row>
      <xdr:rowOff>123120</xdr:rowOff>
    </xdr:to>
    <xdr:sp>
      <xdr:nvSpPr>
        <xdr:cNvPr id="322" name="line809"/>
        <xdr:cNvSpPr/>
      </xdr:nvSpPr>
      <xdr:spPr>
        <a:xfrm>
          <a:off x="4283280" y="2800800"/>
          <a:ext cx="1217160" cy="741960"/>
        </a:xfrm>
        <a:custGeom>
          <a:avLst/>
          <a:gdLst/>
          <a:ahLst/>
          <a:rect l="l" t="t" r="r" b="b"/>
          <a:pathLst>
            <a:path w="16384" h="16384">
              <a:moveTo>
                <a:pt x="0" y="16384"/>
              </a:moveTo>
              <a:lnTo>
                <a:pt x="3277" y="13895"/>
              </a:lnTo>
              <a:lnTo>
                <a:pt x="3847" y="15762"/>
              </a:lnTo>
              <a:lnTo>
                <a:pt x="3134" y="14103"/>
              </a:lnTo>
              <a:lnTo>
                <a:pt x="2280" y="11821"/>
              </a:lnTo>
              <a:lnTo>
                <a:pt x="3419" y="14310"/>
              </a:lnTo>
              <a:lnTo>
                <a:pt x="5699" y="9333"/>
              </a:lnTo>
              <a:lnTo>
                <a:pt x="8548" y="9955"/>
              </a:lnTo>
              <a:lnTo>
                <a:pt x="14817" y="2696"/>
              </a:lnTo>
              <a:lnTo>
                <a:pt x="15529" y="2696"/>
              </a:lnTo>
              <a:lnTo>
                <a:pt x="15529" y="4355"/>
              </a:lnTo>
              <a:lnTo>
                <a:pt x="16242" y="4563"/>
              </a:lnTo>
              <a:lnTo>
                <a:pt x="15957" y="6222"/>
              </a:lnTo>
              <a:lnTo>
                <a:pt x="15957" y="4355"/>
              </a:lnTo>
              <a:lnTo>
                <a:pt x="15529" y="4563"/>
              </a:lnTo>
              <a:lnTo>
                <a:pt x="15529" y="2696"/>
              </a:lnTo>
              <a:lnTo>
                <a:pt x="14389" y="2903"/>
              </a:lnTo>
              <a:lnTo>
                <a:pt x="15387" y="1659"/>
              </a:lnTo>
              <a:lnTo>
                <a:pt x="14389" y="0"/>
              </a:lnTo>
              <a:lnTo>
                <a:pt x="15102" y="1452"/>
              </a:lnTo>
              <a:lnTo>
                <a:pt x="16384" y="622"/>
              </a:lnTo>
            </a:path>
          </a:pathLst>
        </a:custGeom>
        <a:noFill/>
        <a:ln w="24840">
          <a:solidFill>
            <a:srgbClr val="00ff00"/>
          </a:solidFill>
          <a:round/>
        </a:ln>
      </xdr:spPr>
      <xdr:style>
        <a:lnRef idx="0"/>
        <a:fillRef idx="0"/>
        <a:effectRef idx="0"/>
        <a:fontRef idx="minor"/>
      </xdr:style>
    </xdr:sp>
    <xdr:clientData/>
  </xdr:twoCellAnchor>
  <xdr:twoCellAnchor editAs="absolute">
    <xdr:from>
      <xdr:col>5</xdr:col>
      <xdr:colOff>718920</xdr:colOff>
      <xdr:row>10</xdr:row>
      <xdr:rowOff>28800</xdr:rowOff>
    </xdr:from>
    <xdr:to>
      <xdr:col>7</xdr:col>
      <xdr:colOff>254160</xdr:colOff>
      <xdr:row>13</xdr:row>
      <xdr:rowOff>200160</xdr:rowOff>
    </xdr:to>
    <xdr:sp>
      <xdr:nvSpPr>
        <xdr:cNvPr id="323" name="line812"/>
        <xdr:cNvSpPr/>
      </xdr:nvSpPr>
      <xdr:spPr>
        <a:xfrm>
          <a:off x="5414760" y="2048040"/>
          <a:ext cx="1058040" cy="771480"/>
        </a:xfrm>
        <a:custGeom>
          <a:avLst/>
          <a:gdLst/>
          <a:ahLst/>
          <a:rect l="l" t="t" r="r" b="b"/>
          <a:pathLst>
            <a:path w="16384" h="16384">
              <a:moveTo>
                <a:pt x="1638" y="16384"/>
              </a:moveTo>
              <a:lnTo>
                <a:pt x="2130" y="15373"/>
              </a:lnTo>
              <a:lnTo>
                <a:pt x="0" y="11327"/>
              </a:lnTo>
              <a:lnTo>
                <a:pt x="2458" y="15170"/>
              </a:lnTo>
              <a:lnTo>
                <a:pt x="6062" y="10720"/>
              </a:lnTo>
              <a:lnTo>
                <a:pt x="7864" y="14361"/>
              </a:lnTo>
              <a:lnTo>
                <a:pt x="6062" y="10518"/>
              </a:lnTo>
              <a:lnTo>
                <a:pt x="16384" y="0"/>
              </a:lnTo>
            </a:path>
          </a:pathLst>
        </a:custGeom>
        <a:noFill/>
        <a:ln w="24840">
          <a:solidFill>
            <a:srgbClr val="00ff00"/>
          </a:solidFill>
          <a:round/>
        </a:ln>
      </xdr:spPr>
      <xdr:style>
        <a:lnRef idx="0"/>
        <a:fillRef idx="0"/>
        <a:effectRef idx="0"/>
        <a:fontRef idx="minor"/>
      </xdr:style>
    </xdr:sp>
    <xdr:clientData/>
  </xdr:twoCellAnchor>
  <xdr:twoCellAnchor editAs="absolute">
    <xdr:from>
      <xdr:col>7</xdr:col>
      <xdr:colOff>285480</xdr:colOff>
      <xdr:row>9</xdr:row>
      <xdr:rowOff>28800</xdr:rowOff>
    </xdr:from>
    <xdr:to>
      <xdr:col>7</xdr:col>
      <xdr:colOff>561240</xdr:colOff>
      <xdr:row>10</xdr:row>
      <xdr:rowOff>28800</xdr:rowOff>
    </xdr:to>
    <xdr:sp>
      <xdr:nvSpPr>
        <xdr:cNvPr id="324" name="line813"/>
        <xdr:cNvSpPr/>
      </xdr:nvSpPr>
      <xdr:spPr>
        <a:xfrm>
          <a:off x="6504120" y="1848240"/>
          <a:ext cx="275760" cy="199800"/>
        </a:xfrm>
        <a:custGeom>
          <a:avLst/>
          <a:gdLst/>
          <a:ahLst/>
          <a:rect l="l" t="t" r="r" b="b"/>
          <a:pathLst>
            <a:path w="16384" h="16384">
              <a:moveTo>
                <a:pt x="0" y="16384"/>
              </a:moveTo>
              <a:lnTo>
                <a:pt x="8192" y="10426"/>
              </a:lnTo>
              <a:lnTo>
                <a:pt x="11973" y="2979"/>
              </a:lnTo>
              <a:lnTo>
                <a:pt x="16384" y="0"/>
              </a:lnTo>
            </a:path>
          </a:pathLst>
        </a:custGeom>
        <a:noFill/>
        <a:ln w="24840">
          <a:solidFill>
            <a:srgbClr val="00ff00"/>
          </a:solidFill>
          <a:round/>
        </a:ln>
      </xdr:spPr>
      <xdr:style>
        <a:lnRef idx="0"/>
        <a:fillRef idx="0"/>
        <a:effectRef idx="0"/>
        <a:fontRef idx="minor"/>
      </xdr:style>
    </xdr:sp>
    <xdr:clientData/>
  </xdr:twoCellAnchor>
  <xdr:twoCellAnchor editAs="absolute">
    <xdr:from>
      <xdr:col>7</xdr:col>
      <xdr:colOff>591840</xdr:colOff>
      <xdr:row>8</xdr:row>
      <xdr:rowOff>38520</xdr:rowOff>
    </xdr:from>
    <xdr:to>
      <xdr:col>8</xdr:col>
      <xdr:colOff>85320</xdr:colOff>
      <xdr:row>9</xdr:row>
      <xdr:rowOff>9360</xdr:rowOff>
    </xdr:to>
    <xdr:sp>
      <xdr:nvSpPr>
        <xdr:cNvPr id="325" name="line814"/>
        <xdr:cNvSpPr/>
      </xdr:nvSpPr>
      <xdr:spPr>
        <a:xfrm>
          <a:off x="6810480" y="1648080"/>
          <a:ext cx="254880" cy="180720"/>
        </a:xfrm>
        <a:custGeom>
          <a:avLst/>
          <a:gdLst/>
          <a:ahLst/>
          <a:rect l="l" t="t" r="r" b="b"/>
          <a:pathLst>
            <a:path w="16384" h="16384">
              <a:moveTo>
                <a:pt x="0" y="16384"/>
              </a:moveTo>
              <a:lnTo>
                <a:pt x="16384" y="0"/>
              </a:lnTo>
            </a:path>
          </a:pathLst>
        </a:custGeom>
        <a:noFill/>
        <a:ln w="24840">
          <a:solidFill>
            <a:srgbClr val="00ff00"/>
          </a:solidFill>
          <a:round/>
        </a:ln>
      </xdr:spPr>
      <xdr:style>
        <a:lnRef idx="0"/>
        <a:fillRef idx="0"/>
        <a:effectRef idx="0"/>
        <a:fontRef idx="minor"/>
      </xdr:style>
    </xdr:sp>
    <xdr:clientData/>
  </xdr:twoCellAnchor>
  <xdr:twoCellAnchor editAs="absolute">
    <xdr:from>
      <xdr:col>7</xdr:col>
      <xdr:colOff>581400</xdr:colOff>
      <xdr:row>7</xdr:row>
      <xdr:rowOff>76320</xdr:rowOff>
    </xdr:from>
    <xdr:to>
      <xdr:col>8</xdr:col>
      <xdr:colOff>286200</xdr:colOff>
      <xdr:row>8</xdr:row>
      <xdr:rowOff>38520</xdr:rowOff>
    </xdr:to>
    <xdr:sp>
      <xdr:nvSpPr>
        <xdr:cNvPr id="326" name="line8141A"/>
        <xdr:cNvSpPr/>
      </xdr:nvSpPr>
      <xdr:spPr>
        <a:xfrm>
          <a:off x="6800040" y="1476360"/>
          <a:ext cx="466200" cy="171720"/>
        </a:xfrm>
        <a:custGeom>
          <a:avLst/>
          <a:gdLst/>
          <a:ahLst/>
          <a:rect l="l" t="t" r="r" b="b"/>
          <a:pathLst>
            <a:path w="16384" h="16384">
              <a:moveTo>
                <a:pt x="10054" y="16384"/>
              </a:moveTo>
              <a:lnTo>
                <a:pt x="11171" y="12529"/>
              </a:lnTo>
              <a:lnTo>
                <a:pt x="11171" y="6746"/>
              </a:lnTo>
              <a:lnTo>
                <a:pt x="8564" y="3855"/>
              </a:lnTo>
              <a:lnTo>
                <a:pt x="5958" y="964"/>
              </a:lnTo>
              <a:lnTo>
                <a:pt x="5213" y="3855"/>
              </a:lnTo>
              <a:lnTo>
                <a:pt x="3351" y="0"/>
              </a:lnTo>
              <a:lnTo>
                <a:pt x="0" y="964"/>
              </a:lnTo>
              <a:lnTo>
                <a:pt x="4096" y="0"/>
              </a:lnTo>
              <a:lnTo>
                <a:pt x="5958" y="3855"/>
              </a:lnTo>
              <a:lnTo>
                <a:pt x="8937" y="3855"/>
              </a:lnTo>
              <a:lnTo>
                <a:pt x="11171" y="4819"/>
              </a:lnTo>
              <a:lnTo>
                <a:pt x="11543" y="8674"/>
              </a:lnTo>
              <a:lnTo>
                <a:pt x="13777" y="7710"/>
              </a:lnTo>
              <a:lnTo>
                <a:pt x="15639" y="3855"/>
              </a:lnTo>
              <a:lnTo>
                <a:pt x="16384" y="2891"/>
              </a:lnTo>
            </a:path>
          </a:pathLst>
        </a:custGeom>
        <a:noFill/>
        <a:ln w="24840">
          <a:solidFill>
            <a:srgbClr val="00ff00"/>
          </a:solidFill>
          <a:round/>
        </a:ln>
      </xdr:spPr>
      <xdr:style>
        <a:lnRef idx="0"/>
        <a:fillRef idx="0"/>
        <a:effectRef idx="0"/>
        <a:fontRef idx="minor"/>
      </xdr:style>
    </xdr:sp>
    <xdr:clientData/>
  </xdr:twoCellAnchor>
  <xdr:twoCellAnchor editAs="absolute">
    <xdr:from>
      <xdr:col>8</xdr:col>
      <xdr:colOff>285480</xdr:colOff>
      <xdr:row>2</xdr:row>
      <xdr:rowOff>142920</xdr:rowOff>
    </xdr:from>
    <xdr:to>
      <xdr:col>10</xdr:col>
      <xdr:colOff>752040</xdr:colOff>
      <xdr:row>8</xdr:row>
      <xdr:rowOff>66600</xdr:rowOff>
    </xdr:to>
    <xdr:sp>
      <xdr:nvSpPr>
        <xdr:cNvPr id="327" name="line820"/>
        <xdr:cNvSpPr/>
      </xdr:nvSpPr>
      <xdr:spPr>
        <a:xfrm>
          <a:off x="7265520" y="542880"/>
          <a:ext cx="1989000" cy="1133280"/>
        </a:xfrm>
        <a:custGeom>
          <a:avLst/>
          <a:gdLst/>
          <a:ahLst/>
          <a:rect l="l" t="t" r="r" b="b"/>
          <a:pathLst>
            <a:path w="16384" h="16384">
              <a:moveTo>
                <a:pt x="0" y="14024"/>
              </a:moveTo>
              <a:lnTo>
                <a:pt x="87" y="14162"/>
              </a:lnTo>
              <a:lnTo>
                <a:pt x="784" y="13191"/>
              </a:lnTo>
              <a:lnTo>
                <a:pt x="697" y="12635"/>
              </a:lnTo>
              <a:lnTo>
                <a:pt x="697" y="13329"/>
              </a:lnTo>
              <a:lnTo>
                <a:pt x="871" y="15134"/>
              </a:lnTo>
              <a:lnTo>
                <a:pt x="1830" y="16384"/>
              </a:lnTo>
              <a:lnTo>
                <a:pt x="784" y="14996"/>
              </a:lnTo>
              <a:lnTo>
                <a:pt x="610" y="13329"/>
              </a:lnTo>
              <a:lnTo>
                <a:pt x="1917" y="11108"/>
              </a:lnTo>
              <a:lnTo>
                <a:pt x="2004" y="11108"/>
              </a:lnTo>
              <a:lnTo>
                <a:pt x="3399" y="10691"/>
              </a:lnTo>
              <a:lnTo>
                <a:pt x="3486" y="10691"/>
              </a:lnTo>
              <a:lnTo>
                <a:pt x="4445" y="9164"/>
              </a:lnTo>
              <a:lnTo>
                <a:pt x="3922" y="6942"/>
              </a:lnTo>
              <a:lnTo>
                <a:pt x="4532" y="8886"/>
              </a:lnTo>
              <a:lnTo>
                <a:pt x="7146" y="5970"/>
              </a:lnTo>
              <a:lnTo>
                <a:pt x="6798" y="4721"/>
              </a:lnTo>
              <a:lnTo>
                <a:pt x="7321" y="3610"/>
              </a:lnTo>
              <a:lnTo>
                <a:pt x="6798" y="4860"/>
              </a:lnTo>
              <a:lnTo>
                <a:pt x="7233" y="5970"/>
              </a:lnTo>
              <a:lnTo>
                <a:pt x="10371" y="2638"/>
              </a:lnTo>
              <a:lnTo>
                <a:pt x="11068" y="2360"/>
              </a:lnTo>
              <a:lnTo>
                <a:pt x="11591" y="2638"/>
              </a:lnTo>
              <a:lnTo>
                <a:pt x="13072" y="1388"/>
              </a:lnTo>
              <a:lnTo>
                <a:pt x="16384" y="0"/>
              </a:lnTo>
            </a:path>
          </a:pathLst>
        </a:custGeom>
        <a:noFill/>
        <a:ln w="24840">
          <a:solidFill>
            <a:srgbClr val="00ff00"/>
          </a:solidFill>
          <a:round/>
        </a:ln>
      </xdr:spPr>
      <xdr:style>
        <a:lnRef idx="0"/>
        <a:fillRef idx="0"/>
        <a:effectRef idx="0"/>
        <a:fontRef idx="minor"/>
      </xdr:style>
    </xdr:sp>
    <xdr:clientData/>
  </xdr:twoCellAnchor>
  <xdr:twoCellAnchor editAs="oneCell">
    <xdr:from>
      <xdr:col>10</xdr:col>
      <xdr:colOff>729720</xdr:colOff>
      <xdr:row>0</xdr:row>
      <xdr:rowOff>18720</xdr:rowOff>
    </xdr:from>
    <xdr:to>
      <xdr:col>11</xdr:col>
      <xdr:colOff>148680</xdr:colOff>
      <xdr:row>5</xdr:row>
      <xdr:rowOff>18720</xdr:rowOff>
    </xdr:to>
    <xdr:sp>
      <xdr:nvSpPr>
        <xdr:cNvPr id="328" name="Drawing 26"/>
        <xdr:cNvSpPr/>
      </xdr:nvSpPr>
      <xdr:spPr>
        <a:xfrm>
          <a:off x="9232200" y="18720"/>
          <a:ext cx="180360" cy="1000080"/>
        </a:xfrm>
        <a:custGeom>
          <a:avLst/>
          <a:gdLst/>
          <a:ahLst/>
          <a:rect l="l" t="t" r="r" b="b"/>
          <a:pathLst>
            <a:path w="16384" h="16384">
              <a:moveTo>
                <a:pt x="0" y="16384"/>
              </a:moveTo>
              <a:lnTo>
                <a:pt x="964" y="16384"/>
              </a:lnTo>
              <a:lnTo>
                <a:pt x="4819" y="15754"/>
              </a:lnTo>
              <a:lnTo>
                <a:pt x="0" y="16384"/>
              </a:lnTo>
              <a:lnTo>
                <a:pt x="4819" y="15439"/>
              </a:lnTo>
              <a:lnTo>
                <a:pt x="7710" y="15124"/>
              </a:lnTo>
              <a:lnTo>
                <a:pt x="8674" y="14651"/>
              </a:lnTo>
              <a:lnTo>
                <a:pt x="11565" y="14336"/>
              </a:lnTo>
              <a:lnTo>
                <a:pt x="13493" y="13863"/>
              </a:lnTo>
              <a:lnTo>
                <a:pt x="13493" y="12918"/>
              </a:lnTo>
              <a:lnTo>
                <a:pt x="15420" y="12446"/>
              </a:lnTo>
              <a:lnTo>
                <a:pt x="16384" y="11973"/>
              </a:lnTo>
              <a:lnTo>
                <a:pt x="16384" y="11028"/>
              </a:lnTo>
              <a:lnTo>
                <a:pt x="14456" y="10398"/>
              </a:lnTo>
              <a:lnTo>
                <a:pt x="12529" y="9925"/>
              </a:lnTo>
              <a:lnTo>
                <a:pt x="10601" y="8980"/>
              </a:lnTo>
              <a:lnTo>
                <a:pt x="6746" y="8034"/>
              </a:lnTo>
              <a:lnTo>
                <a:pt x="6746" y="7089"/>
              </a:lnTo>
              <a:lnTo>
                <a:pt x="2891" y="6144"/>
              </a:lnTo>
              <a:lnTo>
                <a:pt x="1928" y="5671"/>
              </a:lnTo>
              <a:lnTo>
                <a:pt x="4819" y="4254"/>
              </a:lnTo>
              <a:lnTo>
                <a:pt x="7710" y="3938"/>
              </a:lnTo>
              <a:lnTo>
                <a:pt x="7710" y="3466"/>
              </a:lnTo>
              <a:lnTo>
                <a:pt x="13493" y="2048"/>
              </a:lnTo>
              <a:lnTo>
                <a:pt x="13493" y="1890"/>
              </a:lnTo>
              <a:lnTo>
                <a:pt x="12529" y="1418"/>
              </a:lnTo>
              <a:lnTo>
                <a:pt x="9638" y="945"/>
              </a:lnTo>
              <a:lnTo>
                <a:pt x="9638" y="0"/>
              </a:lnTo>
              <a:lnTo>
                <a:pt x="9638" y="315"/>
              </a:lnTo>
            </a:path>
          </a:pathLst>
        </a:custGeom>
        <a:solidFill>
          <a:srgbClr val="ffffff"/>
        </a:solidFill>
        <a:ln w="9360">
          <a:solidFill>
            <a:srgbClr val="000000"/>
          </a:solidFill>
          <a:round/>
        </a:ln>
      </xdr:spPr>
      <xdr:style>
        <a:lnRef idx="0"/>
        <a:fillRef idx="0"/>
        <a:effectRef idx="0"/>
        <a:fontRef idx="minor"/>
      </xdr:style>
    </xdr:sp>
    <xdr:clientData/>
  </xdr:twoCellAnchor>
  <xdr:twoCellAnchor editAs="oneCell">
    <xdr:from>
      <xdr:col>7</xdr:col>
      <xdr:colOff>676440</xdr:colOff>
      <xdr:row>10</xdr:row>
      <xdr:rowOff>152280</xdr:rowOff>
    </xdr:from>
    <xdr:to>
      <xdr:col>8</xdr:col>
      <xdr:colOff>582120</xdr:colOff>
      <xdr:row>14</xdr:row>
      <xdr:rowOff>38160</xdr:rowOff>
    </xdr:to>
    <xdr:sp>
      <xdr:nvSpPr>
        <xdr:cNvPr id="329" name="Drawing 27"/>
        <xdr:cNvSpPr/>
      </xdr:nvSpPr>
      <xdr:spPr>
        <a:xfrm>
          <a:off x="6895080" y="2171520"/>
          <a:ext cx="667080" cy="686160"/>
        </a:xfrm>
        <a:custGeom>
          <a:avLst/>
          <a:gdLst/>
          <a:ahLst/>
          <a:rect l="l" t="t" r="r" b="b"/>
          <a:pathLst>
            <a:path w="16384" h="16384">
              <a:moveTo>
                <a:pt x="16124" y="0"/>
              </a:moveTo>
              <a:lnTo>
                <a:pt x="16124" y="228"/>
              </a:lnTo>
              <a:lnTo>
                <a:pt x="15344" y="455"/>
              </a:lnTo>
              <a:lnTo>
                <a:pt x="16124" y="0"/>
              </a:lnTo>
              <a:lnTo>
                <a:pt x="14564" y="683"/>
              </a:lnTo>
              <a:lnTo>
                <a:pt x="13783" y="1365"/>
              </a:lnTo>
              <a:lnTo>
                <a:pt x="13523" y="2048"/>
              </a:lnTo>
              <a:lnTo>
                <a:pt x="12743" y="2731"/>
              </a:lnTo>
              <a:lnTo>
                <a:pt x="11703" y="4096"/>
              </a:lnTo>
              <a:lnTo>
                <a:pt x="10923" y="4551"/>
              </a:lnTo>
              <a:lnTo>
                <a:pt x="10403" y="5234"/>
              </a:lnTo>
              <a:lnTo>
                <a:pt x="8842" y="6144"/>
              </a:lnTo>
              <a:lnTo>
                <a:pt x="8062" y="6827"/>
              </a:lnTo>
              <a:lnTo>
                <a:pt x="7542" y="7509"/>
              </a:lnTo>
              <a:lnTo>
                <a:pt x="6762" y="7964"/>
              </a:lnTo>
              <a:lnTo>
                <a:pt x="5981" y="8647"/>
              </a:lnTo>
              <a:lnTo>
                <a:pt x="5461" y="9330"/>
              </a:lnTo>
              <a:lnTo>
                <a:pt x="3901" y="10240"/>
              </a:lnTo>
              <a:lnTo>
                <a:pt x="3381" y="10923"/>
              </a:lnTo>
              <a:lnTo>
                <a:pt x="3121" y="11605"/>
              </a:lnTo>
              <a:lnTo>
                <a:pt x="2081" y="12971"/>
              </a:lnTo>
              <a:lnTo>
                <a:pt x="1820" y="13653"/>
              </a:lnTo>
              <a:lnTo>
                <a:pt x="1300" y="14336"/>
              </a:lnTo>
              <a:lnTo>
                <a:pt x="1040" y="15019"/>
              </a:lnTo>
              <a:lnTo>
                <a:pt x="260" y="15701"/>
              </a:lnTo>
              <a:lnTo>
                <a:pt x="0" y="16384"/>
              </a:lnTo>
              <a:lnTo>
                <a:pt x="780" y="16384"/>
              </a:lnTo>
              <a:lnTo>
                <a:pt x="2341" y="15474"/>
              </a:lnTo>
              <a:lnTo>
                <a:pt x="3121" y="15246"/>
              </a:lnTo>
              <a:lnTo>
                <a:pt x="3641" y="14564"/>
              </a:lnTo>
              <a:lnTo>
                <a:pt x="3901" y="13881"/>
              </a:lnTo>
              <a:lnTo>
                <a:pt x="4681" y="13198"/>
              </a:lnTo>
              <a:lnTo>
                <a:pt x="5201" y="12516"/>
              </a:lnTo>
              <a:lnTo>
                <a:pt x="5981" y="11833"/>
              </a:lnTo>
              <a:lnTo>
                <a:pt x="7022" y="10468"/>
              </a:lnTo>
              <a:lnTo>
                <a:pt x="7802" y="10012"/>
              </a:lnTo>
              <a:lnTo>
                <a:pt x="9362" y="8647"/>
              </a:lnTo>
              <a:lnTo>
                <a:pt x="9622" y="7964"/>
              </a:lnTo>
              <a:lnTo>
                <a:pt x="10142" y="7282"/>
              </a:lnTo>
              <a:lnTo>
                <a:pt x="10923" y="6827"/>
              </a:lnTo>
              <a:lnTo>
                <a:pt x="11703" y="6599"/>
              </a:lnTo>
              <a:lnTo>
                <a:pt x="12483" y="6144"/>
              </a:lnTo>
              <a:lnTo>
                <a:pt x="14043" y="4096"/>
              </a:lnTo>
              <a:lnTo>
                <a:pt x="14824" y="3868"/>
              </a:lnTo>
              <a:lnTo>
                <a:pt x="15604" y="3413"/>
              </a:lnTo>
              <a:lnTo>
                <a:pt x="16384" y="1365"/>
              </a:lnTo>
              <a:lnTo>
                <a:pt x="16124" y="0"/>
              </a:lnTo>
              <a:lnTo>
                <a:pt x="16124" y="0"/>
              </a:lnTo>
              <a:close/>
            </a:path>
          </a:pathLst>
        </a:custGeom>
        <a:noFill/>
        <a:ln w="9360">
          <a:solidFill>
            <a:srgbClr val="0000ff"/>
          </a:solidFill>
          <a:round/>
        </a:ln>
      </xdr:spPr>
      <xdr:style>
        <a:lnRef idx="0"/>
        <a:fillRef idx="0"/>
        <a:effectRef idx="0"/>
        <a:fontRef idx="minor"/>
      </xdr:style>
    </xdr:sp>
    <xdr:clientData/>
  </xdr:twoCellAnchor>
  <xdr:twoCellAnchor editAs="absolute">
    <xdr:from>
      <xdr:col>1</xdr:col>
      <xdr:colOff>496800</xdr:colOff>
      <xdr:row>25</xdr:row>
      <xdr:rowOff>104400</xdr:rowOff>
    </xdr:from>
    <xdr:to>
      <xdr:col>1</xdr:col>
      <xdr:colOff>582480</xdr:colOff>
      <xdr:row>25</xdr:row>
      <xdr:rowOff>190440</xdr:rowOff>
    </xdr:to>
    <xdr:sp>
      <xdr:nvSpPr>
        <xdr:cNvPr id="330" name="Rectangle 45"/>
        <xdr:cNvSpPr/>
      </xdr:nvSpPr>
      <xdr:spPr>
        <a:xfrm>
          <a:off x="2147040" y="5124240"/>
          <a:ext cx="85680" cy="86040"/>
        </a:xfrm>
        <a:prstGeom prst="rect">
          <a:avLst/>
        </a:prstGeom>
        <a:solidFill>
          <a:srgbClr val="008000"/>
        </a:solid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twoCellAnchor editAs="absolute">
    <xdr:from>
      <xdr:col>2</xdr:col>
      <xdr:colOff>412920</xdr:colOff>
      <xdr:row>23</xdr:row>
      <xdr:rowOff>38520</xdr:rowOff>
    </xdr:from>
    <xdr:to>
      <xdr:col>2</xdr:col>
      <xdr:colOff>498240</xdr:colOff>
      <xdr:row>23</xdr:row>
      <xdr:rowOff>142920</xdr:rowOff>
    </xdr:to>
    <xdr:sp>
      <xdr:nvSpPr>
        <xdr:cNvPr id="331" name="Rectangle 46"/>
        <xdr:cNvSpPr/>
      </xdr:nvSpPr>
      <xdr:spPr>
        <a:xfrm>
          <a:off x="2824560" y="4658040"/>
          <a:ext cx="85320" cy="104400"/>
        </a:xfrm>
        <a:prstGeom prst="rect">
          <a:avLst/>
        </a:prstGeom>
        <a:solidFill>
          <a:srgbClr val="008000"/>
        </a:solid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twoCellAnchor editAs="absolute">
    <xdr:from>
      <xdr:col>3</xdr:col>
      <xdr:colOff>412560</xdr:colOff>
      <xdr:row>20</xdr:row>
      <xdr:rowOff>29160</xdr:rowOff>
    </xdr:from>
    <xdr:to>
      <xdr:col>3</xdr:col>
      <xdr:colOff>498240</xdr:colOff>
      <xdr:row>20</xdr:row>
      <xdr:rowOff>114840</xdr:rowOff>
    </xdr:to>
    <xdr:sp>
      <xdr:nvSpPr>
        <xdr:cNvPr id="332" name="Rectangle 47"/>
        <xdr:cNvSpPr/>
      </xdr:nvSpPr>
      <xdr:spPr>
        <a:xfrm>
          <a:off x="3585600" y="4048560"/>
          <a:ext cx="85680" cy="85680"/>
        </a:xfrm>
        <a:prstGeom prst="rect">
          <a:avLst/>
        </a:prstGeom>
        <a:solidFill>
          <a:srgbClr val="008000"/>
        </a:solid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twoCellAnchor editAs="absolute">
    <xdr:from>
      <xdr:col>4</xdr:col>
      <xdr:colOff>338400</xdr:colOff>
      <xdr:row>17</xdr:row>
      <xdr:rowOff>76320</xdr:rowOff>
    </xdr:from>
    <xdr:to>
      <xdr:col>4</xdr:col>
      <xdr:colOff>423720</xdr:colOff>
      <xdr:row>17</xdr:row>
      <xdr:rowOff>162360</xdr:rowOff>
    </xdr:to>
    <xdr:sp>
      <xdr:nvSpPr>
        <xdr:cNvPr id="333" name="Rectangle 48"/>
        <xdr:cNvSpPr/>
      </xdr:nvSpPr>
      <xdr:spPr>
        <a:xfrm>
          <a:off x="4272840" y="3495960"/>
          <a:ext cx="85320" cy="86040"/>
        </a:xfrm>
        <a:prstGeom prst="rect">
          <a:avLst/>
        </a:prstGeom>
        <a:solidFill>
          <a:srgbClr val="008000"/>
        </a:solid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twoCellAnchor editAs="absolute">
    <xdr:from>
      <xdr:col>6</xdr:col>
      <xdr:colOff>0</xdr:colOff>
      <xdr:row>13</xdr:row>
      <xdr:rowOff>142920</xdr:rowOff>
    </xdr:from>
    <xdr:to>
      <xdr:col>6</xdr:col>
      <xdr:colOff>85320</xdr:colOff>
      <xdr:row>14</xdr:row>
      <xdr:rowOff>38160</xdr:rowOff>
    </xdr:to>
    <xdr:sp>
      <xdr:nvSpPr>
        <xdr:cNvPr id="334" name="Rectangle 49"/>
        <xdr:cNvSpPr/>
      </xdr:nvSpPr>
      <xdr:spPr>
        <a:xfrm>
          <a:off x="5457240" y="2762280"/>
          <a:ext cx="85320" cy="95400"/>
        </a:xfrm>
        <a:prstGeom prst="rect">
          <a:avLst/>
        </a:prstGeom>
        <a:solidFill>
          <a:srgbClr val="008000"/>
        </a:solid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twoCellAnchor editAs="absolute">
    <xdr:from>
      <xdr:col>8</xdr:col>
      <xdr:colOff>158400</xdr:colOff>
      <xdr:row>7</xdr:row>
      <xdr:rowOff>86040</xdr:rowOff>
    </xdr:from>
    <xdr:to>
      <xdr:col>8</xdr:col>
      <xdr:colOff>243720</xdr:colOff>
      <xdr:row>7</xdr:row>
      <xdr:rowOff>181080</xdr:rowOff>
    </xdr:to>
    <xdr:sp>
      <xdr:nvSpPr>
        <xdr:cNvPr id="335" name="Rectangle 50"/>
        <xdr:cNvSpPr/>
      </xdr:nvSpPr>
      <xdr:spPr>
        <a:xfrm>
          <a:off x="7138440" y="1486080"/>
          <a:ext cx="85320" cy="95040"/>
        </a:xfrm>
        <a:prstGeom prst="rect">
          <a:avLst/>
        </a:prstGeom>
        <a:solidFill>
          <a:srgbClr val="008000"/>
        </a:solid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twoCellAnchor editAs="absolute">
    <xdr:from>
      <xdr:col>7</xdr:col>
      <xdr:colOff>180000</xdr:colOff>
      <xdr:row>9</xdr:row>
      <xdr:rowOff>152280</xdr:rowOff>
    </xdr:from>
    <xdr:to>
      <xdr:col>7</xdr:col>
      <xdr:colOff>265320</xdr:colOff>
      <xdr:row>10</xdr:row>
      <xdr:rowOff>38520</xdr:rowOff>
    </xdr:to>
    <xdr:sp>
      <xdr:nvSpPr>
        <xdr:cNvPr id="336" name="Rectangle 51"/>
        <xdr:cNvSpPr/>
      </xdr:nvSpPr>
      <xdr:spPr>
        <a:xfrm>
          <a:off x="6398640" y="1971720"/>
          <a:ext cx="85320" cy="86040"/>
        </a:xfrm>
        <a:prstGeom prst="rect">
          <a:avLst/>
        </a:prstGeom>
        <a:solidFill>
          <a:srgbClr val="008000"/>
        </a:solid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twoCellAnchor editAs="absolute">
    <xdr:from>
      <xdr:col>10</xdr:col>
      <xdr:colOff>708840</xdr:colOff>
      <xdr:row>2</xdr:row>
      <xdr:rowOff>66600</xdr:rowOff>
    </xdr:from>
    <xdr:to>
      <xdr:col>11</xdr:col>
      <xdr:colOff>32760</xdr:colOff>
      <xdr:row>2</xdr:row>
      <xdr:rowOff>142920</xdr:rowOff>
    </xdr:to>
    <xdr:sp>
      <xdr:nvSpPr>
        <xdr:cNvPr id="337" name="Rectangle 52"/>
        <xdr:cNvSpPr/>
      </xdr:nvSpPr>
      <xdr:spPr>
        <a:xfrm>
          <a:off x="9211320" y="466560"/>
          <a:ext cx="85320" cy="76320"/>
        </a:xfrm>
        <a:prstGeom prst="rect">
          <a:avLst/>
        </a:prstGeom>
        <a:solidFill>
          <a:srgbClr val="008000"/>
        </a:solid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twoCellAnchor editAs="absolute">
    <xdr:from>
      <xdr:col>2</xdr:col>
      <xdr:colOff>496440</xdr:colOff>
      <xdr:row>23</xdr:row>
      <xdr:rowOff>113760</xdr:rowOff>
    </xdr:from>
    <xdr:to>
      <xdr:col>5</xdr:col>
      <xdr:colOff>95400</xdr:colOff>
      <xdr:row>26</xdr:row>
      <xdr:rowOff>76320</xdr:rowOff>
    </xdr:to>
    <xdr:sp>
      <xdr:nvSpPr>
        <xdr:cNvPr id="338" name="Line 53"/>
        <xdr:cNvSpPr/>
      </xdr:nvSpPr>
      <xdr:spPr>
        <a:xfrm flipH="1" flipV="1">
          <a:off x="2908080" y="4733280"/>
          <a:ext cx="1883160" cy="562680"/>
        </a:xfrm>
        <a:prstGeom prst="line">
          <a:avLst/>
        </a:prstGeom>
        <a:ln w="9360">
          <a:solidFill>
            <a:srgbClr val="000000"/>
          </a:solidFill>
          <a:prstDash val="dash"/>
          <a:miter/>
        </a:ln>
      </xdr:spPr>
      <xdr:style>
        <a:lnRef idx="0"/>
        <a:fillRef idx="0"/>
        <a:effectRef idx="0"/>
        <a:fontRef idx="minor"/>
      </xdr:style>
    </xdr:sp>
    <xdr:clientData/>
  </xdr:twoCellAnchor>
  <xdr:twoCellAnchor editAs="absolute">
    <xdr:from>
      <xdr:col>3</xdr:col>
      <xdr:colOff>0</xdr:colOff>
      <xdr:row>9</xdr:row>
      <xdr:rowOff>142920</xdr:rowOff>
    </xdr:from>
    <xdr:to>
      <xdr:col>4</xdr:col>
      <xdr:colOff>116640</xdr:colOff>
      <xdr:row>11</xdr:row>
      <xdr:rowOff>65160</xdr:rowOff>
    </xdr:to>
    <xdr:sp>
      <xdr:nvSpPr>
        <xdr:cNvPr id="339" name="Text 50"/>
        <xdr:cNvSpPr/>
      </xdr:nvSpPr>
      <xdr:spPr>
        <a:xfrm>
          <a:off x="3173040" y="1962360"/>
          <a:ext cx="878040" cy="322200"/>
        </a:xfrm>
        <a:prstGeom prst="rect">
          <a:avLst/>
        </a:prstGeom>
        <a:noFill/>
        <a:ln w="0">
          <a:noFill/>
        </a:ln>
      </xdr:spPr>
      <xdr:style>
        <a:lnRef idx="0"/>
        <a:fillRef idx="0"/>
        <a:effectRef idx="0"/>
        <a:fontRef idx="minor"/>
      </xdr:style>
      <xdr:txBody>
        <a:bodyPr lIns="20160" rIns="20160" tIns="20160" bIns="20160" anchor="ctr">
          <a:spAutoFit/>
        </a:bodyPr>
        <a:p>
          <a:pPr algn="ctr"/>
          <a:r>
            <a:rPr b="1" i="1" lang="en-US" sz="2000" strike="noStrike" u="none">
              <a:effectLst/>
              <a:uFillTx/>
              <a:latin typeface="Times New Roman"/>
            </a:rPr>
            <a:t>Texas</a:t>
          </a:r>
          <a:endParaRPr b="0" lang="en-US" sz="2000" strike="noStrike" u="none">
            <a:effectLst/>
            <a:uFillTx/>
            <a:latin typeface="Times New Roman"/>
          </a:endParaRPr>
        </a:p>
      </xdr:txBody>
    </xdr:sp>
    <xdr:clientData/>
  </xdr:twoCellAnchor>
  <xdr:twoCellAnchor editAs="absolute">
    <xdr:from>
      <xdr:col>6</xdr:col>
      <xdr:colOff>200880</xdr:colOff>
      <xdr:row>24</xdr:row>
      <xdr:rowOff>66240</xdr:rowOff>
    </xdr:from>
    <xdr:to>
      <xdr:col>6</xdr:col>
      <xdr:colOff>624600</xdr:colOff>
      <xdr:row>24</xdr:row>
      <xdr:rowOff>189720</xdr:rowOff>
    </xdr:to>
    <xdr:sp>
      <xdr:nvSpPr>
        <xdr:cNvPr id="340" name="Text 56"/>
        <xdr:cNvSpPr/>
      </xdr:nvSpPr>
      <xdr:spPr>
        <a:xfrm>
          <a:off x="5658120" y="4885920"/>
          <a:ext cx="423720" cy="12348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63.1 </a:t>
          </a:r>
          <a:endParaRPr b="0" lang="en-US" sz="800" strike="noStrike" u="none">
            <a:effectLst/>
            <a:uFillTx/>
            <a:latin typeface="Times New Roman"/>
          </a:endParaRPr>
        </a:p>
      </xdr:txBody>
    </xdr:sp>
    <xdr:clientData/>
  </xdr:twoCellAnchor>
  <xdr:twoCellAnchor editAs="absolute">
    <xdr:from>
      <xdr:col>5</xdr:col>
      <xdr:colOff>95040</xdr:colOff>
      <xdr:row>25</xdr:row>
      <xdr:rowOff>104400</xdr:rowOff>
    </xdr:from>
    <xdr:to>
      <xdr:col>5</xdr:col>
      <xdr:colOff>519120</xdr:colOff>
      <xdr:row>26</xdr:row>
      <xdr:rowOff>28800</xdr:rowOff>
    </xdr:to>
    <xdr:sp>
      <xdr:nvSpPr>
        <xdr:cNvPr id="341" name="Text 57"/>
        <xdr:cNvSpPr/>
      </xdr:nvSpPr>
      <xdr:spPr>
        <a:xfrm>
          <a:off x="4790880" y="5124240"/>
          <a:ext cx="424080" cy="12420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86.1 </a:t>
          </a:r>
          <a:endParaRPr b="0" lang="en-US" sz="800" strike="noStrike" u="none">
            <a:effectLst/>
            <a:uFillTx/>
            <a:latin typeface="Times New Roman"/>
          </a:endParaRPr>
        </a:p>
      </xdr:txBody>
    </xdr:sp>
    <xdr:clientData/>
  </xdr:twoCellAnchor>
  <xdr:twoCellAnchor editAs="absolute">
    <xdr:from>
      <xdr:col>3</xdr:col>
      <xdr:colOff>496440</xdr:colOff>
      <xdr:row>20</xdr:row>
      <xdr:rowOff>113760</xdr:rowOff>
    </xdr:from>
    <xdr:to>
      <xdr:col>6</xdr:col>
      <xdr:colOff>180360</xdr:colOff>
      <xdr:row>24</xdr:row>
      <xdr:rowOff>190080</xdr:rowOff>
    </xdr:to>
    <xdr:sp>
      <xdr:nvSpPr>
        <xdr:cNvPr id="342" name="Line 57"/>
        <xdr:cNvSpPr/>
      </xdr:nvSpPr>
      <xdr:spPr>
        <a:xfrm flipH="1" flipV="1">
          <a:off x="3669480" y="4133160"/>
          <a:ext cx="1968120" cy="876600"/>
        </a:xfrm>
        <a:prstGeom prst="line">
          <a:avLst/>
        </a:prstGeom>
        <a:ln w="9360">
          <a:solidFill>
            <a:srgbClr val="000000"/>
          </a:solidFill>
          <a:prstDash val="dash"/>
          <a:miter/>
        </a:ln>
      </xdr:spPr>
      <xdr:style>
        <a:lnRef idx="0"/>
        <a:fillRef idx="0"/>
        <a:effectRef idx="0"/>
        <a:fontRef idx="minor"/>
      </xdr:style>
    </xdr:sp>
    <xdr:clientData/>
  </xdr:twoCellAnchor>
  <xdr:twoCellAnchor editAs="absolute">
    <xdr:from>
      <xdr:col>9</xdr:col>
      <xdr:colOff>338040</xdr:colOff>
      <xdr:row>16</xdr:row>
      <xdr:rowOff>47520</xdr:rowOff>
    </xdr:from>
    <xdr:to>
      <xdr:col>10</xdr:col>
      <xdr:colOff>1080</xdr:colOff>
      <xdr:row>16</xdr:row>
      <xdr:rowOff>200160</xdr:rowOff>
    </xdr:to>
    <xdr:sp>
      <xdr:nvSpPr>
        <xdr:cNvPr id="343" name="Text 61"/>
        <xdr:cNvSpPr/>
      </xdr:nvSpPr>
      <xdr:spPr>
        <a:xfrm>
          <a:off x="8079480" y="3267000"/>
          <a:ext cx="424080" cy="152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138.3 </a:t>
          </a:r>
          <a:endParaRPr b="0" lang="en-US" sz="800" strike="noStrike" u="none">
            <a:effectLst/>
            <a:uFillTx/>
            <a:latin typeface="Times New Roman"/>
          </a:endParaRPr>
        </a:p>
      </xdr:txBody>
    </xdr:sp>
    <xdr:clientData/>
  </xdr:twoCellAnchor>
  <xdr:twoCellAnchor editAs="absolute">
    <xdr:from>
      <xdr:col>6</xdr:col>
      <xdr:colOff>729360</xdr:colOff>
      <xdr:row>22</xdr:row>
      <xdr:rowOff>104760</xdr:rowOff>
    </xdr:from>
    <xdr:to>
      <xdr:col>7</xdr:col>
      <xdr:colOff>391680</xdr:colOff>
      <xdr:row>23</xdr:row>
      <xdr:rowOff>29160</xdr:rowOff>
    </xdr:to>
    <xdr:sp>
      <xdr:nvSpPr>
        <xdr:cNvPr id="344" name="Text 62"/>
        <xdr:cNvSpPr/>
      </xdr:nvSpPr>
      <xdr:spPr>
        <a:xfrm>
          <a:off x="6186600" y="4524480"/>
          <a:ext cx="423720" cy="12420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64.2 </a:t>
          </a:r>
          <a:endParaRPr b="0" lang="en-US" sz="800" strike="noStrike" u="none">
            <a:effectLst/>
            <a:uFillTx/>
            <a:latin typeface="Times New Roman"/>
          </a:endParaRPr>
        </a:p>
      </xdr:txBody>
    </xdr:sp>
    <xdr:clientData/>
  </xdr:twoCellAnchor>
  <xdr:twoCellAnchor editAs="absolute">
    <xdr:from>
      <xdr:col>6</xdr:col>
      <xdr:colOff>10440</xdr:colOff>
      <xdr:row>14</xdr:row>
      <xdr:rowOff>85680</xdr:rowOff>
    </xdr:from>
    <xdr:to>
      <xdr:col>8</xdr:col>
      <xdr:colOff>709200</xdr:colOff>
      <xdr:row>19</xdr:row>
      <xdr:rowOff>190440</xdr:rowOff>
    </xdr:to>
    <xdr:sp>
      <xdr:nvSpPr>
        <xdr:cNvPr id="345" name="Line 60"/>
        <xdr:cNvSpPr/>
      </xdr:nvSpPr>
      <xdr:spPr>
        <a:xfrm>
          <a:off x="5467680" y="2905200"/>
          <a:ext cx="2221560" cy="1104840"/>
        </a:xfrm>
        <a:prstGeom prst="line">
          <a:avLst/>
        </a:prstGeom>
        <a:ln w="9360">
          <a:solidFill>
            <a:srgbClr val="000000"/>
          </a:solidFill>
          <a:prstDash val="dash"/>
          <a:miter/>
        </a:ln>
      </xdr:spPr>
      <xdr:style>
        <a:lnRef idx="0"/>
        <a:fillRef idx="0"/>
        <a:effectRef idx="0"/>
        <a:fontRef idx="minor"/>
      </xdr:style>
    </xdr:sp>
    <xdr:clientData/>
  </xdr:twoCellAnchor>
  <xdr:twoCellAnchor editAs="absolute">
    <xdr:from>
      <xdr:col>8</xdr:col>
      <xdr:colOff>666000</xdr:colOff>
      <xdr:row>19</xdr:row>
      <xdr:rowOff>47520</xdr:rowOff>
    </xdr:from>
    <xdr:to>
      <xdr:col>9</xdr:col>
      <xdr:colOff>328320</xdr:colOff>
      <xdr:row>19</xdr:row>
      <xdr:rowOff>190440</xdr:rowOff>
    </xdr:to>
    <xdr:sp>
      <xdr:nvSpPr>
        <xdr:cNvPr id="346" name="Text 64"/>
        <xdr:cNvSpPr/>
      </xdr:nvSpPr>
      <xdr:spPr>
        <a:xfrm>
          <a:off x="7646040" y="3867120"/>
          <a:ext cx="423720" cy="14292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139.3 </a:t>
          </a:r>
          <a:endParaRPr b="0" lang="en-US" sz="800" strike="noStrike" u="none">
            <a:effectLst/>
            <a:uFillTx/>
            <a:latin typeface="Times New Roman"/>
          </a:endParaRPr>
        </a:p>
      </xdr:txBody>
    </xdr:sp>
    <xdr:clientData/>
  </xdr:twoCellAnchor>
  <xdr:twoCellAnchor editAs="absolute">
    <xdr:from>
      <xdr:col>7</xdr:col>
      <xdr:colOff>242640</xdr:colOff>
      <xdr:row>10</xdr:row>
      <xdr:rowOff>113760</xdr:rowOff>
    </xdr:from>
    <xdr:to>
      <xdr:col>9</xdr:col>
      <xdr:colOff>370440</xdr:colOff>
      <xdr:row>17</xdr:row>
      <xdr:rowOff>9000</xdr:rowOff>
    </xdr:to>
    <xdr:sp>
      <xdr:nvSpPr>
        <xdr:cNvPr id="347" name="Line 62"/>
        <xdr:cNvSpPr/>
      </xdr:nvSpPr>
      <xdr:spPr>
        <a:xfrm flipH="1" flipV="1">
          <a:off x="6461280" y="2133000"/>
          <a:ext cx="1650600" cy="1295640"/>
        </a:xfrm>
        <a:prstGeom prst="line">
          <a:avLst/>
        </a:prstGeom>
        <a:ln w="9360">
          <a:solidFill>
            <a:srgbClr val="000000"/>
          </a:solidFill>
          <a:prstDash val="dash"/>
          <a:miter/>
        </a:ln>
      </xdr:spPr>
      <xdr:style>
        <a:lnRef idx="0"/>
        <a:fillRef idx="0"/>
        <a:effectRef idx="0"/>
        <a:fontRef idx="minor"/>
      </xdr:style>
    </xdr:sp>
    <xdr:clientData/>
  </xdr:twoCellAnchor>
  <xdr:twoCellAnchor editAs="absolute">
    <xdr:from>
      <xdr:col>10</xdr:col>
      <xdr:colOff>0</xdr:colOff>
      <xdr:row>14</xdr:row>
      <xdr:rowOff>142920</xdr:rowOff>
    </xdr:from>
    <xdr:to>
      <xdr:col>10</xdr:col>
      <xdr:colOff>307080</xdr:colOff>
      <xdr:row>15</xdr:row>
      <xdr:rowOff>96120</xdr:rowOff>
    </xdr:to>
    <xdr:sp>
      <xdr:nvSpPr>
        <xdr:cNvPr id="348" name="813"/>
        <xdr:cNvSpPr/>
      </xdr:nvSpPr>
      <xdr:spPr>
        <a:xfrm>
          <a:off x="8502480" y="2962440"/>
          <a:ext cx="307080" cy="153000"/>
        </a:xfrm>
        <a:prstGeom prst="rect">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spAutoFit/>
        </a:bodyPr>
        <a:p>
          <a:pPr algn="ctr"/>
          <a:r>
            <a:rPr b="0" lang="en-US" sz="800" strike="noStrike" u="none">
              <a:effectLst/>
              <a:uFillTx/>
              <a:latin typeface="Times New Roman"/>
            </a:rPr>
            <a:t>813</a:t>
          </a:r>
          <a:endParaRPr b="0" lang="en-US" sz="800" strike="noStrike" u="none">
            <a:effectLst/>
            <a:uFillTx/>
            <a:latin typeface="Times New Roman"/>
          </a:endParaRPr>
        </a:p>
      </xdr:txBody>
    </xdr:sp>
    <xdr:clientData/>
  </xdr:twoCellAnchor>
  <xdr:twoCellAnchor editAs="absolute">
    <xdr:from>
      <xdr:col>7</xdr:col>
      <xdr:colOff>560520</xdr:colOff>
      <xdr:row>9</xdr:row>
      <xdr:rowOff>75960</xdr:rowOff>
    </xdr:from>
    <xdr:to>
      <xdr:col>10</xdr:col>
      <xdr:colOff>11160</xdr:colOff>
      <xdr:row>14</xdr:row>
      <xdr:rowOff>190080</xdr:rowOff>
    </xdr:to>
    <xdr:sp>
      <xdr:nvSpPr>
        <xdr:cNvPr id="349" name="Line 64"/>
        <xdr:cNvSpPr/>
      </xdr:nvSpPr>
      <xdr:spPr>
        <a:xfrm flipH="1" flipV="1">
          <a:off x="6779160" y="1895400"/>
          <a:ext cx="1734480" cy="1114200"/>
        </a:xfrm>
        <a:prstGeom prst="line">
          <a:avLst/>
        </a:prstGeom>
        <a:ln w="9360">
          <a:solidFill>
            <a:srgbClr val="000000"/>
          </a:solidFill>
          <a:prstDash val="dash"/>
          <a:miter/>
        </a:ln>
      </xdr:spPr>
      <xdr:style>
        <a:lnRef idx="0"/>
        <a:fillRef idx="0"/>
        <a:effectRef idx="0"/>
        <a:fontRef idx="minor"/>
      </xdr:style>
    </xdr:sp>
    <xdr:clientData/>
  </xdr:twoCellAnchor>
  <xdr:twoCellAnchor editAs="absolute">
    <xdr:from>
      <xdr:col>11</xdr:col>
      <xdr:colOff>0</xdr:colOff>
      <xdr:row>14</xdr:row>
      <xdr:rowOff>47520</xdr:rowOff>
    </xdr:from>
    <xdr:to>
      <xdr:col>11</xdr:col>
      <xdr:colOff>307080</xdr:colOff>
      <xdr:row>15</xdr:row>
      <xdr:rowOff>720</xdr:rowOff>
    </xdr:to>
    <xdr:sp>
      <xdr:nvSpPr>
        <xdr:cNvPr id="350" name="814"/>
        <xdr:cNvSpPr/>
      </xdr:nvSpPr>
      <xdr:spPr>
        <a:xfrm>
          <a:off x="9263880" y="2867040"/>
          <a:ext cx="307080" cy="153000"/>
        </a:xfrm>
        <a:prstGeom prst="rect">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spAutoFit/>
        </a:bodyPr>
        <a:p>
          <a:pPr algn="ctr"/>
          <a:r>
            <a:rPr b="0" lang="en-US" sz="800" strike="noStrike" u="none">
              <a:effectLst/>
              <a:uFillTx/>
              <a:latin typeface="Times New Roman"/>
            </a:rPr>
            <a:t>814</a:t>
          </a:r>
          <a:endParaRPr b="0" lang="en-US" sz="800" strike="noStrike" u="none">
            <a:effectLst/>
            <a:uFillTx/>
            <a:latin typeface="Times New Roman"/>
          </a:endParaRPr>
        </a:p>
      </xdr:txBody>
    </xdr:sp>
    <xdr:clientData/>
  </xdr:twoCellAnchor>
  <xdr:twoCellAnchor editAs="absolute">
    <xdr:from>
      <xdr:col>11</xdr:col>
      <xdr:colOff>158400</xdr:colOff>
      <xdr:row>11</xdr:row>
      <xdr:rowOff>190440</xdr:rowOff>
    </xdr:from>
    <xdr:to>
      <xdr:col>11</xdr:col>
      <xdr:colOff>667080</xdr:colOff>
      <xdr:row>12</xdr:row>
      <xdr:rowOff>143640</xdr:rowOff>
    </xdr:to>
    <xdr:sp>
      <xdr:nvSpPr>
        <xdr:cNvPr id="351" name="8141A"/>
        <xdr:cNvSpPr/>
      </xdr:nvSpPr>
      <xdr:spPr>
        <a:xfrm>
          <a:off x="9422280" y="2409840"/>
          <a:ext cx="508680" cy="153000"/>
        </a:xfrm>
        <a:prstGeom prst="rect">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spAutoFit/>
        </a:bodyPr>
        <a:p>
          <a:pPr algn="ctr"/>
          <a:r>
            <a:rPr b="0" lang="en-US" sz="800" strike="noStrike" u="none">
              <a:effectLst/>
              <a:uFillTx/>
              <a:latin typeface="Times New Roman"/>
            </a:rPr>
            <a:t>814-1A</a:t>
          </a:r>
          <a:endParaRPr b="0" lang="en-US" sz="800" strike="noStrike" u="none">
            <a:effectLst/>
            <a:uFillTx/>
            <a:latin typeface="Times New Roman"/>
          </a:endParaRPr>
        </a:p>
      </xdr:txBody>
    </xdr:sp>
    <xdr:clientData/>
  </xdr:twoCellAnchor>
  <xdr:twoCellAnchor editAs="absolute">
    <xdr:from>
      <xdr:col>8</xdr:col>
      <xdr:colOff>222120</xdr:colOff>
      <xdr:row>7</xdr:row>
      <xdr:rowOff>151920</xdr:rowOff>
    </xdr:from>
    <xdr:to>
      <xdr:col>11</xdr:col>
      <xdr:colOff>96120</xdr:colOff>
      <xdr:row>12</xdr:row>
      <xdr:rowOff>47520</xdr:rowOff>
    </xdr:to>
    <xdr:sp>
      <xdr:nvSpPr>
        <xdr:cNvPr id="352" name="Line 67"/>
        <xdr:cNvSpPr/>
      </xdr:nvSpPr>
      <xdr:spPr>
        <a:xfrm flipH="1" flipV="1">
          <a:off x="7202160" y="1551960"/>
          <a:ext cx="2157840" cy="914760"/>
        </a:xfrm>
        <a:prstGeom prst="line">
          <a:avLst/>
        </a:prstGeom>
        <a:ln w="9360">
          <a:solidFill>
            <a:srgbClr val="000000"/>
          </a:solidFill>
          <a:prstDash val="dash"/>
          <a:miter/>
        </a:ln>
      </xdr:spPr>
      <xdr:style>
        <a:lnRef idx="0"/>
        <a:fillRef idx="0"/>
        <a:effectRef idx="0"/>
        <a:fontRef idx="minor"/>
      </xdr:style>
    </xdr:sp>
    <xdr:clientData/>
  </xdr:twoCellAnchor>
  <xdr:twoCellAnchor editAs="absolute">
    <xdr:from>
      <xdr:col>4</xdr:col>
      <xdr:colOff>338040</xdr:colOff>
      <xdr:row>17</xdr:row>
      <xdr:rowOff>180720</xdr:rowOff>
    </xdr:from>
    <xdr:to>
      <xdr:col>7</xdr:col>
      <xdr:colOff>360</xdr:colOff>
      <xdr:row>23</xdr:row>
      <xdr:rowOff>38160</xdr:rowOff>
    </xdr:to>
    <xdr:sp>
      <xdr:nvSpPr>
        <xdr:cNvPr id="353" name="Line 68"/>
        <xdr:cNvSpPr/>
      </xdr:nvSpPr>
      <xdr:spPr>
        <a:xfrm flipH="1" flipV="1">
          <a:off x="4272480" y="3600360"/>
          <a:ext cx="1946520" cy="1057320"/>
        </a:xfrm>
        <a:prstGeom prst="line">
          <a:avLst/>
        </a:prstGeom>
        <a:ln w="9360">
          <a:solidFill>
            <a:srgbClr val="000000"/>
          </a:solidFill>
          <a:prstDash val="dash"/>
          <a:miter/>
        </a:ln>
      </xdr:spPr>
      <xdr:style>
        <a:lnRef idx="0"/>
        <a:fillRef idx="0"/>
        <a:effectRef idx="0"/>
        <a:fontRef idx="minor"/>
      </xdr:style>
    </xdr:sp>
    <xdr:clientData/>
  </xdr:twoCellAnchor>
  <xdr:twoCellAnchor editAs="absolute">
    <xdr:from>
      <xdr:col>5</xdr:col>
      <xdr:colOff>158400</xdr:colOff>
      <xdr:row>26</xdr:row>
      <xdr:rowOff>47880</xdr:rowOff>
    </xdr:from>
    <xdr:to>
      <xdr:col>5</xdr:col>
      <xdr:colOff>466200</xdr:colOff>
      <xdr:row>27</xdr:row>
      <xdr:rowOff>720</xdr:rowOff>
    </xdr:to>
    <xdr:sp>
      <xdr:nvSpPr>
        <xdr:cNvPr id="354" name="802"/>
        <xdr:cNvSpPr/>
      </xdr:nvSpPr>
      <xdr:spPr>
        <a:xfrm>
          <a:off x="4854240" y="5267520"/>
          <a:ext cx="307800" cy="153000"/>
        </a:xfrm>
        <a:prstGeom prst="rect">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spAutoFit/>
        </a:bodyPr>
        <a:p>
          <a:pPr algn="ctr"/>
          <a:r>
            <a:rPr b="0" lang="en-US" sz="800" strike="noStrike" u="none">
              <a:effectLst/>
              <a:uFillTx/>
              <a:latin typeface="Times New Roman"/>
            </a:rPr>
            <a:t>802</a:t>
          </a:r>
          <a:endParaRPr b="0" lang="en-US" sz="800" strike="noStrike" u="none">
            <a:effectLst/>
            <a:uFillTx/>
            <a:latin typeface="Times New Roman"/>
          </a:endParaRPr>
        </a:p>
      </xdr:txBody>
    </xdr:sp>
    <xdr:clientData/>
  </xdr:twoCellAnchor>
  <xdr:twoCellAnchor editAs="absolute">
    <xdr:from>
      <xdr:col>6</xdr:col>
      <xdr:colOff>243000</xdr:colOff>
      <xdr:row>24</xdr:row>
      <xdr:rowOff>190440</xdr:rowOff>
    </xdr:from>
    <xdr:to>
      <xdr:col>6</xdr:col>
      <xdr:colOff>550800</xdr:colOff>
      <xdr:row>25</xdr:row>
      <xdr:rowOff>143280</xdr:rowOff>
    </xdr:to>
    <xdr:sp>
      <xdr:nvSpPr>
        <xdr:cNvPr id="355" name="804"/>
        <xdr:cNvSpPr/>
      </xdr:nvSpPr>
      <xdr:spPr>
        <a:xfrm>
          <a:off x="5700240" y="5010120"/>
          <a:ext cx="307800" cy="153000"/>
        </a:xfrm>
        <a:prstGeom prst="rect">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spAutoFit/>
        </a:bodyPr>
        <a:p>
          <a:pPr algn="ctr"/>
          <a:r>
            <a:rPr b="0" lang="en-US" sz="800" strike="noStrike" u="none">
              <a:effectLst/>
              <a:uFillTx/>
              <a:latin typeface="Times New Roman"/>
            </a:rPr>
            <a:t>804</a:t>
          </a:r>
          <a:endParaRPr b="0" lang="en-US" sz="800" strike="noStrike" u="none">
            <a:effectLst/>
            <a:uFillTx/>
            <a:latin typeface="Times New Roman"/>
          </a:endParaRPr>
        </a:p>
      </xdr:txBody>
    </xdr:sp>
    <xdr:clientData/>
  </xdr:twoCellAnchor>
  <xdr:twoCellAnchor editAs="absolute">
    <xdr:from>
      <xdr:col>7</xdr:col>
      <xdr:colOff>52560</xdr:colOff>
      <xdr:row>23</xdr:row>
      <xdr:rowOff>47880</xdr:rowOff>
    </xdr:from>
    <xdr:to>
      <xdr:col>7</xdr:col>
      <xdr:colOff>370800</xdr:colOff>
      <xdr:row>24</xdr:row>
      <xdr:rowOff>720</xdr:rowOff>
    </xdr:to>
    <xdr:sp>
      <xdr:nvSpPr>
        <xdr:cNvPr id="356" name="806"/>
        <xdr:cNvSpPr/>
      </xdr:nvSpPr>
      <xdr:spPr>
        <a:xfrm>
          <a:off x="6271200" y="4667400"/>
          <a:ext cx="318240" cy="153000"/>
        </a:xfrm>
        <a:prstGeom prst="rect">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spAutoFit/>
        </a:bodyPr>
        <a:p>
          <a:pPr algn="ctr"/>
          <a:r>
            <a:rPr b="0" lang="en-US" sz="800" strike="noStrike" u="none">
              <a:effectLst/>
              <a:uFillTx/>
              <a:latin typeface="Times New Roman"/>
            </a:rPr>
            <a:t>806</a:t>
          </a:r>
          <a:endParaRPr b="0" lang="en-US" sz="800" strike="noStrike" u="none">
            <a:effectLst/>
            <a:uFillTx/>
            <a:latin typeface="Times New Roman"/>
          </a:endParaRPr>
        </a:p>
      </xdr:txBody>
    </xdr:sp>
    <xdr:clientData/>
  </xdr:twoCellAnchor>
  <xdr:twoCellAnchor editAs="absolute">
    <xdr:from>
      <xdr:col>9</xdr:col>
      <xdr:colOff>0</xdr:colOff>
      <xdr:row>19</xdr:row>
      <xdr:rowOff>190440</xdr:rowOff>
    </xdr:from>
    <xdr:to>
      <xdr:col>9</xdr:col>
      <xdr:colOff>307080</xdr:colOff>
      <xdr:row>20</xdr:row>
      <xdr:rowOff>143640</xdr:rowOff>
    </xdr:to>
    <xdr:sp>
      <xdr:nvSpPr>
        <xdr:cNvPr id="357" name="809"/>
        <xdr:cNvSpPr/>
      </xdr:nvSpPr>
      <xdr:spPr>
        <a:xfrm>
          <a:off x="7741440" y="4010040"/>
          <a:ext cx="307080" cy="153000"/>
        </a:xfrm>
        <a:prstGeom prst="rect">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spAutoFit/>
        </a:bodyPr>
        <a:p>
          <a:pPr algn="ctr"/>
          <a:r>
            <a:rPr b="0" lang="en-US" sz="800" strike="noStrike" u="none">
              <a:effectLst/>
              <a:uFillTx/>
              <a:latin typeface="Times New Roman"/>
            </a:rPr>
            <a:t>809</a:t>
          </a:r>
          <a:endParaRPr b="0" lang="en-US" sz="800" strike="noStrike" u="none">
            <a:effectLst/>
            <a:uFillTx/>
            <a:latin typeface="Times New Roman"/>
          </a:endParaRPr>
        </a:p>
      </xdr:txBody>
    </xdr:sp>
    <xdr:clientData/>
  </xdr:twoCellAnchor>
  <xdr:twoCellAnchor editAs="absolute">
    <xdr:from>
      <xdr:col>9</xdr:col>
      <xdr:colOff>412560</xdr:colOff>
      <xdr:row>17</xdr:row>
      <xdr:rowOff>0</xdr:rowOff>
    </xdr:from>
    <xdr:to>
      <xdr:col>9</xdr:col>
      <xdr:colOff>719640</xdr:colOff>
      <xdr:row>17</xdr:row>
      <xdr:rowOff>153000</xdr:rowOff>
    </xdr:to>
    <xdr:sp>
      <xdr:nvSpPr>
        <xdr:cNvPr id="358" name="812"/>
        <xdr:cNvSpPr/>
      </xdr:nvSpPr>
      <xdr:spPr>
        <a:xfrm>
          <a:off x="8154000" y="3419640"/>
          <a:ext cx="307080" cy="153000"/>
        </a:xfrm>
        <a:prstGeom prst="rect">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spAutoFit/>
        </a:bodyPr>
        <a:p>
          <a:pPr algn="ctr"/>
          <a:r>
            <a:rPr b="0" lang="en-US" sz="800" strike="noStrike" u="none">
              <a:effectLst/>
              <a:uFillTx/>
              <a:latin typeface="Times New Roman"/>
            </a:rPr>
            <a:t>812</a:t>
          </a:r>
          <a:endParaRPr b="0" lang="en-US" sz="800" strike="noStrike" u="none">
            <a:effectLst/>
            <a:uFillTx/>
            <a:latin typeface="Times New Roman"/>
          </a:endParaRPr>
        </a:p>
      </xdr:txBody>
    </xdr:sp>
    <xdr:clientData/>
  </xdr:twoCellAnchor>
  <xdr:twoCellAnchor editAs="absolute">
    <xdr:from>
      <xdr:col>6</xdr:col>
      <xdr:colOff>475920</xdr:colOff>
      <xdr:row>12</xdr:row>
      <xdr:rowOff>76680</xdr:rowOff>
    </xdr:from>
    <xdr:to>
      <xdr:col>7</xdr:col>
      <xdr:colOff>413280</xdr:colOff>
      <xdr:row>14</xdr:row>
      <xdr:rowOff>161640</xdr:rowOff>
    </xdr:to>
    <xdr:sp>
      <xdr:nvSpPr>
        <xdr:cNvPr id="359" name="Line 74"/>
        <xdr:cNvSpPr/>
      </xdr:nvSpPr>
      <xdr:spPr>
        <a:xfrm>
          <a:off x="5933160" y="2495880"/>
          <a:ext cx="698760" cy="48528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absolute">
    <xdr:from>
      <xdr:col>7</xdr:col>
      <xdr:colOff>285480</xdr:colOff>
      <xdr:row>0</xdr:row>
      <xdr:rowOff>181440</xdr:rowOff>
    </xdr:from>
    <xdr:to>
      <xdr:col>8</xdr:col>
      <xdr:colOff>243720</xdr:colOff>
      <xdr:row>1</xdr:row>
      <xdr:rowOff>152280</xdr:rowOff>
    </xdr:to>
    <xdr:sp>
      <xdr:nvSpPr>
        <xdr:cNvPr id="360" name="16297"/>
        <xdr:cNvSpPr/>
      </xdr:nvSpPr>
      <xdr:spPr>
        <a:xfrm>
          <a:off x="6504120" y="181440"/>
          <a:ext cx="719640" cy="171000"/>
        </a:xfrm>
        <a:prstGeom prst="rect">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Moss Bluff</a:t>
          </a:r>
          <a:endParaRPr b="0" lang="en-US" sz="800" strike="noStrike" u="none">
            <a:effectLst/>
            <a:uFillTx/>
            <a:latin typeface="Times New Roman"/>
          </a:endParaRPr>
        </a:p>
      </xdr:txBody>
    </xdr:sp>
    <xdr:clientData/>
  </xdr:twoCellAnchor>
  <xdr:twoCellAnchor editAs="absolute">
    <xdr:from>
      <xdr:col>8</xdr:col>
      <xdr:colOff>295920</xdr:colOff>
      <xdr:row>2</xdr:row>
      <xdr:rowOff>86040</xdr:rowOff>
    </xdr:from>
    <xdr:to>
      <xdr:col>8</xdr:col>
      <xdr:colOff>634680</xdr:colOff>
      <xdr:row>5</xdr:row>
      <xdr:rowOff>190800</xdr:rowOff>
    </xdr:to>
    <xdr:sp>
      <xdr:nvSpPr>
        <xdr:cNvPr id="361" name="MBIN"/>
        <xdr:cNvSpPr/>
      </xdr:nvSpPr>
      <xdr:spPr>
        <a:xfrm>
          <a:off x="7275960" y="486000"/>
          <a:ext cx="338760" cy="704880"/>
        </a:xfrm>
        <a:prstGeom prst="line">
          <a:avLst/>
        </a:prstGeom>
        <a:ln w="0">
          <a:solidFill>
            <a:srgbClr val="ff0000"/>
          </a:solidFill>
          <a:tailEnd len="med" type="triangle" w="med"/>
        </a:ln>
      </xdr:spPr>
      <xdr:style>
        <a:lnRef idx="0"/>
        <a:fillRef idx="0"/>
        <a:effectRef idx="0"/>
        <a:fontRef idx="minor"/>
      </xdr:style>
    </xdr:sp>
    <xdr:clientData/>
  </xdr:twoCellAnchor>
  <xdr:twoCellAnchor editAs="absolute">
    <xdr:from>
      <xdr:col>8</xdr:col>
      <xdr:colOff>41760</xdr:colOff>
      <xdr:row>1</xdr:row>
      <xdr:rowOff>181080</xdr:rowOff>
    </xdr:from>
    <xdr:to>
      <xdr:col>8</xdr:col>
      <xdr:colOff>708840</xdr:colOff>
      <xdr:row>5</xdr:row>
      <xdr:rowOff>123480</xdr:rowOff>
    </xdr:to>
    <xdr:sp>
      <xdr:nvSpPr>
        <xdr:cNvPr id="362" name="MBOUT"/>
        <xdr:cNvSpPr/>
      </xdr:nvSpPr>
      <xdr:spPr>
        <a:xfrm flipH="1" flipV="1">
          <a:off x="7021800" y="381240"/>
          <a:ext cx="667080" cy="742320"/>
        </a:xfrm>
        <a:prstGeom prst="line">
          <a:avLst/>
        </a:prstGeom>
        <a:ln w="0">
          <a:solidFill>
            <a:srgbClr val="008000"/>
          </a:solidFill>
          <a:tailEnd len="med" type="triangle" w="med"/>
        </a:ln>
      </xdr:spPr>
      <xdr:style>
        <a:lnRef idx="0"/>
        <a:fillRef idx="0"/>
        <a:effectRef idx="0"/>
        <a:fontRef idx="minor"/>
      </xdr:style>
    </xdr:sp>
    <xdr:clientData/>
  </xdr:twoCellAnchor>
  <xdr:twoCellAnchor editAs="absolute">
    <xdr:from>
      <xdr:col>0</xdr:col>
      <xdr:colOff>0</xdr:colOff>
      <xdr:row>0</xdr:row>
      <xdr:rowOff>0</xdr:rowOff>
    </xdr:from>
    <xdr:to>
      <xdr:col>1</xdr:col>
      <xdr:colOff>349560</xdr:colOff>
      <xdr:row>2</xdr:row>
      <xdr:rowOff>18720</xdr:rowOff>
    </xdr:to>
    <xdr:pic>
      <xdr:nvPicPr>
        <xdr:cNvPr id="363" name="Picture 98" descr=""/>
        <xdr:cNvPicPr/>
      </xdr:nvPicPr>
      <xdr:blipFill>
        <a:blip r:embed="rId1"/>
        <a:stretch/>
      </xdr:blipFill>
      <xdr:spPr>
        <a:xfrm>
          <a:off x="0" y="0"/>
          <a:ext cx="1999800" cy="418680"/>
        </a:xfrm>
        <a:prstGeom prst="rect">
          <a:avLst/>
        </a:prstGeom>
        <a:solidFill>
          <a:srgbClr val="ffffff"/>
        </a:solidFill>
        <a:ln w="9360">
          <a:solidFill>
            <a:srgbClr val="000000"/>
          </a:solidFill>
          <a:miter/>
        </a:ln>
        <a:effectLst>
          <a:outerShdw dist="17819" dir="2700000" blurRad="0" rotWithShape="0">
            <a:srgbClr val="000000"/>
          </a:outerShdw>
        </a:effectLst>
      </xdr:spPr>
    </xdr:pic>
    <xdr:clientData/>
  </xdr:twoCellAnchor>
  <xdr:twoCellAnchor editAs="absolute">
    <xdr:from>
      <xdr:col>0</xdr:col>
      <xdr:colOff>0</xdr:colOff>
      <xdr:row>2</xdr:row>
      <xdr:rowOff>76680</xdr:rowOff>
    </xdr:from>
    <xdr:to>
      <xdr:col>1</xdr:col>
      <xdr:colOff>751680</xdr:colOff>
      <xdr:row>3</xdr:row>
      <xdr:rowOff>142920</xdr:rowOff>
    </xdr:to>
    <xdr:sp>
      <xdr:nvSpPr>
        <xdr:cNvPr id="364" name="Text 99"/>
        <xdr:cNvSpPr/>
      </xdr:nvSpPr>
      <xdr:spPr>
        <a:xfrm>
          <a:off x="0" y="476640"/>
          <a:ext cx="2401920" cy="266400"/>
        </a:xfrm>
        <a:prstGeom prst="rect">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1" lang="en-US" sz="1400" strike="noStrike" u="none">
              <a:effectLst/>
              <a:uFillTx/>
              <a:latin typeface="Times New Roman"/>
            </a:rPr>
            <a:t>Channel A/S Pipeline</a:t>
          </a:r>
          <a:endParaRPr b="0" lang="en-US" sz="1400" strike="noStrike" u="none">
            <a:effectLst/>
            <a:uFillTx/>
            <a:latin typeface="Times New Roman"/>
          </a:endParaRPr>
        </a:p>
      </xdr:txBody>
    </xdr:sp>
    <xdr:clientData/>
  </xdr:twoCellAnchor>
  <xdr:twoCellAnchor editAs="absolute">
    <xdr:from>
      <xdr:col>8</xdr:col>
      <xdr:colOff>370080</xdr:colOff>
      <xdr:row>24</xdr:row>
      <xdr:rowOff>38160</xdr:rowOff>
    </xdr:from>
    <xdr:to>
      <xdr:col>11</xdr:col>
      <xdr:colOff>307080</xdr:colOff>
      <xdr:row>26</xdr:row>
      <xdr:rowOff>86040</xdr:rowOff>
    </xdr:to>
    <xdr:sp>
      <xdr:nvSpPr>
        <xdr:cNvPr id="365" name="Text 100"/>
        <xdr:cNvSpPr/>
      </xdr:nvSpPr>
      <xdr:spPr>
        <a:xfrm>
          <a:off x="7350120" y="4857840"/>
          <a:ext cx="2220840" cy="447840"/>
        </a:xfrm>
        <a:prstGeom prst="rect">
          <a:avLst/>
        </a:prstGeom>
        <a:noFill/>
        <a:ln w="0">
          <a:noFill/>
        </a:ln>
      </xdr:spPr>
      <xdr:style>
        <a:lnRef idx="0"/>
        <a:fillRef idx="0"/>
        <a:effectRef idx="0"/>
        <a:fontRef idx="minor"/>
      </xdr:style>
      <xdr:txBody>
        <a:bodyPr lIns="20160" rIns="20160" tIns="20160" bIns="20160" anchor="ctr">
          <a:noAutofit/>
        </a:bodyPr>
        <a:p>
          <a:r>
            <a:rPr b="1" i="1" lang="en-US" sz="2200" strike="noStrike" u="none">
              <a:effectLst/>
              <a:uFillTx/>
              <a:latin typeface="Times New Roman"/>
            </a:rPr>
            <a:t>Gulf of Mexico</a:t>
          </a:r>
          <a:endParaRPr b="0" lang="en-US" sz="2200" strike="noStrike" u="none">
            <a:effectLst/>
            <a:uFillTx/>
            <a:latin typeface="Times New Roman"/>
          </a:endParaRPr>
        </a:p>
      </xdr:txBody>
    </xdr:sp>
    <xdr:clientData/>
  </xdr:twoCellAnchor>
  <xdr:twoCellAnchor editAs="absolute">
    <xdr:from>
      <xdr:col>0</xdr:col>
      <xdr:colOff>370800</xdr:colOff>
      <xdr:row>22</xdr:row>
      <xdr:rowOff>123480</xdr:rowOff>
    </xdr:from>
    <xdr:to>
      <xdr:col>0</xdr:col>
      <xdr:colOff>1091160</xdr:colOff>
      <xdr:row>23</xdr:row>
      <xdr:rowOff>114120</xdr:rowOff>
    </xdr:to>
    <xdr:sp>
      <xdr:nvSpPr>
        <xdr:cNvPr id="366" name="26081"/>
        <xdr:cNvSpPr/>
      </xdr:nvSpPr>
      <xdr:spPr>
        <a:xfrm>
          <a:off x="370800" y="4543200"/>
          <a:ext cx="720360" cy="190440"/>
        </a:xfrm>
        <a:prstGeom prst="roundRect">
          <a:avLst>
            <a:gd name="adj" fmla="val 50000"/>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TGP A-D</a:t>
          </a:r>
          <a:endParaRPr b="0" lang="en-US" sz="800" strike="noStrike" u="none">
            <a:effectLst/>
            <a:uFillTx/>
            <a:latin typeface="Times New Roman"/>
          </a:endParaRPr>
        </a:p>
      </xdr:txBody>
    </xdr:sp>
    <xdr:clientData/>
  </xdr:twoCellAnchor>
  <xdr:twoCellAnchor editAs="absolute">
    <xdr:from>
      <xdr:col>1</xdr:col>
      <xdr:colOff>74520</xdr:colOff>
      <xdr:row>21</xdr:row>
      <xdr:rowOff>28800</xdr:rowOff>
    </xdr:from>
    <xdr:to>
      <xdr:col>1</xdr:col>
      <xdr:colOff>476640</xdr:colOff>
      <xdr:row>21</xdr:row>
      <xdr:rowOff>162360</xdr:rowOff>
    </xdr:to>
    <xdr:sp>
      <xdr:nvSpPr>
        <xdr:cNvPr id="367" name="PSAD"/>
        <xdr:cNvSpPr/>
      </xdr:nvSpPr>
      <xdr:spPr>
        <a:xfrm>
          <a:off x="1724760" y="4248360"/>
          <a:ext cx="402120" cy="133560"/>
        </a:xfrm>
        <a:prstGeom prst="rect">
          <a:avLst/>
        </a:prstGeom>
        <a:noFill/>
        <a:ln w="0">
          <a:noFill/>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1" lang="en-US" sz="800" strike="noStrike" u="none">
              <a:solidFill>
                <a:srgbClr val="008000"/>
              </a:solidFill>
              <a:effectLst/>
              <a:uFillTx/>
              <a:latin typeface="Times New Roman"/>
            </a:rPr>
            <a:t> 824 </a:t>
          </a:r>
          <a:endParaRPr b="0" lang="en-US" sz="800" strike="noStrike" u="none">
            <a:effectLst/>
            <a:uFillTx/>
            <a:latin typeface="Times New Roman"/>
          </a:endParaRPr>
        </a:p>
      </xdr:txBody>
    </xdr:sp>
    <xdr:clientData/>
  </xdr:twoCellAnchor>
  <xdr:twoCellAnchor editAs="absolute">
    <xdr:from>
      <xdr:col>5</xdr:col>
      <xdr:colOff>412560</xdr:colOff>
      <xdr:row>26</xdr:row>
      <xdr:rowOff>66600</xdr:rowOff>
    </xdr:from>
    <xdr:to>
      <xdr:col>6</xdr:col>
      <xdr:colOff>74880</xdr:colOff>
      <xdr:row>27</xdr:row>
      <xdr:rowOff>28800</xdr:rowOff>
    </xdr:to>
    <xdr:sp>
      <xdr:nvSpPr>
        <xdr:cNvPr id="368" name="p802d"/>
        <xdr:cNvSpPr/>
      </xdr:nvSpPr>
      <xdr:spPr>
        <a:xfrm>
          <a:off x="5108400" y="5286240"/>
          <a:ext cx="423720" cy="162360"/>
        </a:xfrm>
        <a:prstGeom prst="rect">
          <a:avLst/>
        </a:prstGeom>
        <a:noFill/>
        <a:ln w="0">
          <a:noFill/>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1" lang="en-US" sz="800" strike="noStrike" u="none">
              <a:solidFill>
                <a:srgbClr val="008000"/>
              </a:solidFill>
              <a:effectLst/>
              <a:uFillTx/>
              <a:latin typeface="Times New Roman"/>
            </a:rPr>
            <a:t> 787 </a:t>
          </a:r>
          <a:endParaRPr b="0" lang="en-US" sz="800" strike="noStrike" u="none">
            <a:effectLst/>
            <a:uFillTx/>
            <a:latin typeface="Times New Roman"/>
          </a:endParaRPr>
        </a:p>
      </xdr:txBody>
    </xdr:sp>
    <xdr:clientData/>
  </xdr:twoCellAnchor>
  <xdr:twoCellAnchor editAs="oneCell">
    <xdr:from>
      <xdr:col>7</xdr:col>
      <xdr:colOff>327960</xdr:colOff>
      <xdr:row>23</xdr:row>
      <xdr:rowOff>29160</xdr:rowOff>
    </xdr:from>
    <xdr:to>
      <xdr:col>7</xdr:col>
      <xdr:colOff>730080</xdr:colOff>
      <xdr:row>23</xdr:row>
      <xdr:rowOff>181440</xdr:rowOff>
    </xdr:to>
    <xdr:sp>
      <xdr:nvSpPr>
        <xdr:cNvPr id="369" name="p806d"/>
        <xdr:cNvSpPr/>
      </xdr:nvSpPr>
      <xdr:spPr>
        <a:xfrm>
          <a:off x="6546600" y="4648680"/>
          <a:ext cx="402120" cy="152280"/>
        </a:xfrm>
        <a:prstGeom prst="rect">
          <a:avLst/>
        </a:prstGeom>
        <a:noFill/>
        <a:ln w="0">
          <a:noFill/>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1" lang="en-US" sz="800" strike="noStrike" u="none">
              <a:solidFill>
                <a:srgbClr val="008000"/>
              </a:solidFill>
              <a:effectLst/>
              <a:uFillTx/>
              <a:latin typeface="Times New Roman"/>
            </a:rPr>
            <a:t> 889 </a:t>
          </a:r>
          <a:endParaRPr b="0" lang="en-US" sz="800" strike="noStrike" u="none">
            <a:effectLst/>
            <a:uFillTx/>
            <a:latin typeface="Times New Roman"/>
          </a:endParaRPr>
        </a:p>
      </xdr:txBody>
    </xdr:sp>
    <xdr:clientData/>
  </xdr:twoCellAnchor>
  <xdr:twoCellAnchor editAs="absolute">
    <xdr:from>
      <xdr:col>6</xdr:col>
      <xdr:colOff>380520</xdr:colOff>
      <xdr:row>23</xdr:row>
      <xdr:rowOff>38520</xdr:rowOff>
    </xdr:from>
    <xdr:to>
      <xdr:col>7</xdr:col>
      <xdr:colOff>74880</xdr:colOff>
      <xdr:row>24</xdr:row>
      <xdr:rowOff>9360</xdr:rowOff>
    </xdr:to>
    <xdr:sp>
      <xdr:nvSpPr>
        <xdr:cNvPr id="370" name="p806s"/>
        <xdr:cNvSpPr/>
      </xdr:nvSpPr>
      <xdr:spPr>
        <a:xfrm>
          <a:off x="5837760" y="4658040"/>
          <a:ext cx="455760" cy="171000"/>
        </a:xfrm>
        <a:prstGeom prst="rect">
          <a:avLst/>
        </a:prstGeom>
        <a:noFill/>
        <a:ln w="0">
          <a:noFill/>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1" lang="en-US" sz="800" strike="noStrike" u="none">
              <a:solidFill>
                <a:srgbClr val="008000"/>
              </a:solidFill>
              <a:effectLst/>
              <a:uFillTx/>
              <a:latin typeface="Times New Roman"/>
            </a:rPr>
            <a:t> 700 </a:t>
          </a:r>
          <a:endParaRPr b="0" lang="en-US" sz="800" strike="noStrike" u="none">
            <a:effectLst/>
            <a:uFillTx/>
            <a:latin typeface="Times New Roman"/>
          </a:endParaRPr>
        </a:p>
      </xdr:txBody>
    </xdr:sp>
    <xdr:clientData/>
  </xdr:twoCellAnchor>
  <xdr:twoCellAnchor editAs="absolute">
    <xdr:from>
      <xdr:col>8</xdr:col>
      <xdr:colOff>327600</xdr:colOff>
      <xdr:row>20</xdr:row>
      <xdr:rowOff>0</xdr:rowOff>
    </xdr:from>
    <xdr:to>
      <xdr:col>9</xdr:col>
      <xdr:colOff>720</xdr:colOff>
      <xdr:row>20</xdr:row>
      <xdr:rowOff>152640</xdr:rowOff>
    </xdr:to>
    <xdr:sp>
      <xdr:nvSpPr>
        <xdr:cNvPr id="371" name="p809s"/>
        <xdr:cNvSpPr/>
      </xdr:nvSpPr>
      <xdr:spPr>
        <a:xfrm>
          <a:off x="7307640" y="4019400"/>
          <a:ext cx="434520" cy="152640"/>
        </a:xfrm>
        <a:prstGeom prst="rect">
          <a:avLst/>
        </a:prstGeom>
        <a:noFill/>
        <a:ln w="0">
          <a:noFill/>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1" lang="en-US" sz="800" strike="noStrike" u="none">
              <a:solidFill>
                <a:srgbClr val="008000"/>
              </a:solidFill>
              <a:effectLst/>
              <a:uFillTx/>
              <a:latin typeface="Times New Roman"/>
            </a:rPr>
            <a:t> 806 </a:t>
          </a:r>
          <a:endParaRPr b="0" lang="en-US" sz="800" strike="noStrike" u="none">
            <a:effectLst/>
            <a:uFillTx/>
            <a:latin typeface="Times New Roman"/>
          </a:endParaRPr>
        </a:p>
      </xdr:txBody>
    </xdr:sp>
    <xdr:clientData/>
  </xdr:twoCellAnchor>
  <xdr:twoCellAnchor editAs="absolute">
    <xdr:from>
      <xdr:col>9</xdr:col>
      <xdr:colOff>285480</xdr:colOff>
      <xdr:row>20</xdr:row>
      <xdr:rowOff>0</xdr:rowOff>
    </xdr:from>
    <xdr:to>
      <xdr:col>9</xdr:col>
      <xdr:colOff>677160</xdr:colOff>
      <xdr:row>20</xdr:row>
      <xdr:rowOff>143280</xdr:rowOff>
    </xdr:to>
    <xdr:sp>
      <xdr:nvSpPr>
        <xdr:cNvPr id="372" name="p809d"/>
        <xdr:cNvSpPr/>
      </xdr:nvSpPr>
      <xdr:spPr>
        <a:xfrm>
          <a:off x="8026920" y="4019400"/>
          <a:ext cx="391680" cy="143280"/>
        </a:xfrm>
        <a:prstGeom prst="rect">
          <a:avLst/>
        </a:prstGeom>
        <a:noFill/>
        <a:ln w="0">
          <a:noFill/>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800" strike="noStrike" u="none">
              <a:solidFill>
                <a:srgbClr val="008000"/>
              </a:solidFill>
              <a:effectLst/>
              <a:uFillTx/>
              <a:latin typeface="Times New Roman"/>
            </a:rPr>
            <a:t> 804 </a:t>
          </a:r>
          <a:endParaRPr b="0" lang="en-US" sz="800" strike="noStrike" u="none">
            <a:effectLst/>
            <a:uFillTx/>
            <a:latin typeface="Times New Roman"/>
          </a:endParaRPr>
        </a:p>
      </xdr:txBody>
    </xdr:sp>
    <xdr:clientData/>
  </xdr:twoCellAnchor>
  <xdr:twoCellAnchor editAs="absolute">
    <xdr:from>
      <xdr:col>10</xdr:col>
      <xdr:colOff>285840</xdr:colOff>
      <xdr:row>14</xdr:row>
      <xdr:rowOff>181080</xdr:rowOff>
    </xdr:from>
    <xdr:to>
      <xdr:col>10</xdr:col>
      <xdr:colOff>677520</xdr:colOff>
      <xdr:row>15</xdr:row>
      <xdr:rowOff>142920</xdr:rowOff>
    </xdr:to>
    <xdr:sp>
      <xdr:nvSpPr>
        <xdr:cNvPr id="373" name="p813d"/>
        <xdr:cNvSpPr/>
      </xdr:nvSpPr>
      <xdr:spPr>
        <a:xfrm>
          <a:off x="8788320" y="3000600"/>
          <a:ext cx="391680" cy="161640"/>
        </a:xfrm>
        <a:prstGeom prst="rect">
          <a:avLst/>
        </a:prstGeom>
        <a:noFill/>
        <a:ln w="0">
          <a:noFill/>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1" lang="en-US" sz="800" strike="noStrike" u="none">
              <a:solidFill>
                <a:srgbClr val="008000"/>
              </a:solidFill>
              <a:effectLst/>
              <a:uFillTx/>
              <a:latin typeface="Times New Roman"/>
            </a:rPr>
            <a:t> 704 </a:t>
          </a:r>
          <a:endParaRPr b="0" lang="en-US" sz="800" strike="noStrike" u="none">
            <a:effectLst/>
            <a:uFillTx/>
            <a:latin typeface="Times New Roman"/>
          </a:endParaRPr>
        </a:p>
      </xdr:txBody>
    </xdr:sp>
    <xdr:clientData/>
  </xdr:twoCellAnchor>
  <xdr:twoCellAnchor editAs="absolute">
    <xdr:from>
      <xdr:col>10</xdr:col>
      <xdr:colOff>475920</xdr:colOff>
      <xdr:row>12</xdr:row>
      <xdr:rowOff>29160</xdr:rowOff>
    </xdr:from>
    <xdr:to>
      <xdr:col>11</xdr:col>
      <xdr:colOff>138600</xdr:colOff>
      <xdr:row>12</xdr:row>
      <xdr:rowOff>181440</xdr:rowOff>
    </xdr:to>
    <xdr:sp>
      <xdr:nvSpPr>
        <xdr:cNvPr id="374" name="LomaxP"/>
        <xdr:cNvSpPr/>
      </xdr:nvSpPr>
      <xdr:spPr>
        <a:xfrm>
          <a:off x="8978400" y="2448360"/>
          <a:ext cx="424080" cy="152280"/>
        </a:xfrm>
        <a:prstGeom prst="rect">
          <a:avLst/>
        </a:prstGeom>
        <a:noFill/>
        <a:ln w="0">
          <a:noFill/>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1" lang="en-US" sz="800" strike="noStrike" u="none">
              <a:solidFill>
                <a:srgbClr val="008000"/>
              </a:solidFill>
              <a:effectLst/>
              <a:uFillTx/>
              <a:latin typeface="Times New Roman"/>
            </a:rPr>
            <a:t> 633 </a:t>
          </a:r>
          <a:endParaRPr b="0" lang="en-US" sz="800" strike="noStrike" u="none">
            <a:effectLst/>
            <a:uFillTx/>
            <a:latin typeface="Times New Roman"/>
          </a:endParaRPr>
        </a:p>
      </xdr:txBody>
    </xdr:sp>
    <xdr:clientData/>
  </xdr:twoCellAnchor>
  <xdr:twoCellAnchor editAs="absolute">
    <xdr:from>
      <xdr:col>3</xdr:col>
      <xdr:colOff>338400</xdr:colOff>
      <xdr:row>27</xdr:row>
      <xdr:rowOff>76320</xdr:rowOff>
    </xdr:from>
    <xdr:to>
      <xdr:col>4</xdr:col>
      <xdr:colOff>402120</xdr:colOff>
      <xdr:row>28</xdr:row>
      <xdr:rowOff>104760</xdr:rowOff>
    </xdr:to>
    <xdr:sp>
      <xdr:nvSpPr>
        <xdr:cNvPr id="375" name="16244"/>
        <xdr:cNvSpPr/>
      </xdr:nvSpPr>
      <xdr:spPr>
        <a:xfrm>
          <a:off x="3511440" y="5496120"/>
          <a:ext cx="825120" cy="228240"/>
        </a:xfrm>
        <a:prstGeom prst="roundRect">
          <a:avLst>
            <a:gd name="adj" fmla="val 50000"/>
          </a:avLst>
        </a:prstGeom>
        <a:solidFill>
          <a:srgbClr val="ffffff">
            <a:alpha val="50000"/>
          </a:srgbClr>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Conoco A-D</a:t>
          </a:r>
          <a:endParaRPr b="0" lang="en-US" sz="800" strike="noStrike" u="none">
            <a:effectLst/>
            <a:uFillTx/>
            <a:latin typeface="Times New Roman"/>
          </a:endParaRPr>
        </a:p>
      </xdr:txBody>
    </xdr:sp>
    <xdr:clientData/>
  </xdr:twoCellAnchor>
  <xdr:twoCellAnchor editAs="absolute">
    <xdr:from>
      <xdr:col>5</xdr:col>
      <xdr:colOff>264600</xdr:colOff>
      <xdr:row>20</xdr:row>
      <xdr:rowOff>152280</xdr:rowOff>
    </xdr:from>
    <xdr:to>
      <xdr:col>5</xdr:col>
      <xdr:colOff>667080</xdr:colOff>
      <xdr:row>21</xdr:row>
      <xdr:rowOff>113760</xdr:rowOff>
    </xdr:to>
    <xdr:sp>
      <xdr:nvSpPr>
        <xdr:cNvPr id="376" name="Text 30"/>
        <xdr:cNvSpPr/>
      </xdr:nvSpPr>
      <xdr:spPr>
        <a:xfrm flipV="1">
          <a:off x="4960440" y="4171320"/>
          <a:ext cx="402480" cy="16164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5.6 </a:t>
          </a:r>
          <a:endParaRPr b="0" lang="en-US" sz="800" strike="noStrike" u="none">
            <a:effectLst/>
            <a:uFillTx/>
            <a:latin typeface="Times New Roman"/>
          </a:endParaRPr>
        </a:p>
      </xdr:txBody>
    </xdr:sp>
    <xdr:clientData/>
  </xdr:twoCellAnchor>
  <xdr:twoCellAnchor editAs="absolute">
    <xdr:from>
      <xdr:col>5</xdr:col>
      <xdr:colOff>264600</xdr:colOff>
      <xdr:row>22</xdr:row>
      <xdr:rowOff>142560</xdr:rowOff>
    </xdr:from>
    <xdr:to>
      <xdr:col>5</xdr:col>
      <xdr:colOff>667080</xdr:colOff>
      <xdr:row>23</xdr:row>
      <xdr:rowOff>85680</xdr:rowOff>
    </xdr:to>
    <xdr:sp>
      <xdr:nvSpPr>
        <xdr:cNvPr id="377" name="Text 30"/>
        <xdr:cNvSpPr/>
      </xdr:nvSpPr>
      <xdr:spPr>
        <a:xfrm flipV="1">
          <a:off x="4960440" y="4561920"/>
          <a:ext cx="402480" cy="14292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5.6 </a:t>
          </a:r>
          <a:endParaRPr b="0" lang="en-US" sz="800" strike="noStrike" u="none">
            <a:effectLst/>
            <a:uFillTx/>
            <a:latin typeface="Times New Roman"/>
          </a:endParaRPr>
        </a:p>
      </xdr:txBody>
    </xdr:sp>
    <xdr:clientData/>
  </xdr:twoCellAnchor>
  <xdr:twoCellAnchor editAs="absolute">
    <xdr:from>
      <xdr:col>5</xdr:col>
      <xdr:colOff>200880</xdr:colOff>
      <xdr:row>21</xdr:row>
      <xdr:rowOff>114120</xdr:rowOff>
    </xdr:from>
    <xdr:to>
      <xdr:col>5</xdr:col>
      <xdr:colOff>751680</xdr:colOff>
      <xdr:row>22</xdr:row>
      <xdr:rowOff>114120</xdr:rowOff>
    </xdr:to>
    <xdr:sp>
      <xdr:nvSpPr>
        <xdr:cNvPr id="378" name="16290"/>
        <xdr:cNvSpPr/>
      </xdr:nvSpPr>
      <xdr:spPr>
        <a:xfrm>
          <a:off x="4896720" y="4333680"/>
          <a:ext cx="550800" cy="200160"/>
        </a:xfrm>
        <a:prstGeom prst="roundRect">
          <a:avLst>
            <a:gd name="adj" fmla="val 50000"/>
          </a:avLst>
        </a:prstGeom>
        <a:solidFill>
          <a:srgbClr val="ffffff">
            <a:alpha val="50000"/>
          </a:srgbClr>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Tomcat</a:t>
          </a:r>
          <a:endParaRPr b="0" lang="en-US" sz="800" strike="noStrike" u="none">
            <a:effectLst/>
            <a:uFillTx/>
            <a:latin typeface="Times New Roman"/>
          </a:endParaRPr>
        </a:p>
      </xdr:txBody>
    </xdr:sp>
    <xdr:clientData/>
  </xdr:twoCellAnchor>
  <xdr:twoCellAnchor editAs="absolute">
    <xdr:from>
      <xdr:col>4</xdr:col>
      <xdr:colOff>496440</xdr:colOff>
      <xdr:row>18</xdr:row>
      <xdr:rowOff>113760</xdr:rowOff>
    </xdr:from>
    <xdr:to>
      <xdr:col>5</xdr:col>
      <xdr:colOff>253800</xdr:colOff>
      <xdr:row>21</xdr:row>
      <xdr:rowOff>123120</xdr:rowOff>
    </xdr:to>
    <xdr:sp>
      <xdr:nvSpPr>
        <xdr:cNvPr id="379" name="Line 94"/>
        <xdr:cNvSpPr/>
      </xdr:nvSpPr>
      <xdr:spPr>
        <a:xfrm flipH="1" flipV="1">
          <a:off x="4430880" y="3733200"/>
          <a:ext cx="518760" cy="60948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absolute">
    <xdr:from>
      <xdr:col>6</xdr:col>
      <xdr:colOff>115920</xdr:colOff>
      <xdr:row>18</xdr:row>
      <xdr:rowOff>142920</xdr:rowOff>
    </xdr:from>
    <xdr:to>
      <xdr:col>6</xdr:col>
      <xdr:colOff>561240</xdr:colOff>
      <xdr:row>19</xdr:row>
      <xdr:rowOff>104760</xdr:rowOff>
    </xdr:to>
    <xdr:sp>
      <xdr:nvSpPr>
        <xdr:cNvPr id="380" name="Text 30"/>
        <xdr:cNvSpPr/>
      </xdr:nvSpPr>
      <xdr:spPr>
        <a:xfrm flipV="1">
          <a:off x="5573160" y="3762360"/>
          <a:ext cx="445320" cy="16200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100.3 </a:t>
          </a:r>
          <a:endParaRPr b="0" lang="en-US" sz="800" strike="noStrike" u="none">
            <a:effectLst/>
            <a:uFillTx/>
            <a:latin typeface="Times New Roman"/>
          </a:endParaRPr>
        </a:p>
      </xdr:txBody>
    </xdr:sp>
    <xdr:clientData/>
  </xdr:twoCellAnchor>
  <xdr:twoCellAnchor editAs="absolute">
    <xdr:from>
      <xdr:col>6</xdr:col>
      <xdr:colOff>158400</xdr:colOff>
      <xdr:row>20</xdr:row>
      <xdr:rowOff>114120</xdr:rowOff>
    </xdr:from>
    <xdr:to>
      <xdr:col>6</xdr:col>
      <xdr:colOff>561240</xdr:colOff>
      <xdr:row>21</xdr:row>
      <xdr:rowOff>66600</xdr:rowOff>
    </xdr:to>
    <xdr:sp>
      <xdr:nvSpPr>
        <xdr:cNvPr id="381" name="Text 30"/>
        <xdr:cNvSpPr/>
      </xdr:nvSpPr>
      <xdr:spPr>
        <a:xfrm flipV="1">
          <a:off x="5615640" y="4133520"/>
          <a:ext cx="402840" cy="15264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100.3 </a:t>
          </a:r>
          <a:endParaRPr b="0" lang="en-US" sz="800" strike="noStrike" u="none">
            <a:effectLst/>
            <a:uFillTx/>
            <a:latin typeface="Times New Roman"/>
          </a:endParaRPr>
        </a:p>
      </xdr:txBody>
    </xdr:sp>
    <xdr:clientData/>
  </xdr:twoCellAnchor>
  <xdr:twoCellAnchor editAs="absolute">
    <xdr:from>
      <xdr:col>5</xdr:col>
      <xdr:colOff>708480</xdr:colOff>
      <xdr:row>19</xdr:row>
      <xdr:rowOff>104760</xdr:rowOff>
    </xdr:from>
    <xdr:to>
      <xdr:col>7</xdr:col>
      <xdr:colOff>159120</xdr:colOff>
      <xdr:row>20</xdr:row>
      <xdr:rowOff>104760</xdr:rowOff>
    </xdr:to>
    <xdr:sp>
      <xdr:nvSpPr>
        <xdr:cNvPr id="382" name="16151"/>
        <xdr:cNvSpPr/>
      </xdr:nvSpPr>
      <xdr:spPr>
        <a:xfrm>
          <a:off x="5404320" y="3924360"/>
          <a:ext cx="973440" cy="199800"/>
        </a:xfrm>
        <a:prstGeom prst="roundRect">
          <a:avLst>
            <a:gd name="adj" fmla="val 50000"/>
          </a:avLst>
        </a:prstGeom>
        <a:solidFill>
          <a:srgbClr val="ffffff">
            <a:alpha val="50000"/>
          </a:srgbClr>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El Gordo Bless</a:t>
          </a:r>
          <a:endParaRPr b="0" lang="en-US" sz="800" strike="noStrike" u="none">
            <a:effectLst/>
            <a:uFillTx/>
            <a:latin typeface="Times New Roman"/>
          </a:endParaRPr>
        </a:p>
      </xdr:txBody>
    </xdr:sp>
    <xdr:clientData/>
  </xdr:twoCellAnchor>
  <xdr:twoCellAnchor editAs="absolute">
    <xdr:from>
      <xdr:col>5</xdr:col>
      <xdr:colOff>242640</xdr:colOff>
      <xdr:row>16</xdr:row>
      <xdr:rowOff>28800</xdr:rowOff>
    </xdr:from>
    <xdr:to>
      <xdr:col>6</xdr:col>
      <xdr:colOff>32400</xdr:colOff>
      <xdr:row>19</xdr:row>
      <xdr:rowOff>86040</xdr:rowOff>
    </xdr:to>
    <xdr:sp>
      <xdr:nvSpPr>
        <xdr:cNvPr id="383" name="Line 98"/>
        <xdr:cNvSpPr/>
      </xdr:nvSpPr>
      <xdr:spPr>
        <a:xfrm flipH="1" flipV="1">
          <a:off x="4938480" y="3248280"/>
          <a:ext cx="551160" cy="65736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absolute">
    <xdr:from>
      <xdr:col>0</xdr:col>
      <xdr:colOff>1057320</xdr:colOff>
      <xdr:row>23</xdr:row>
      <xdr:rowOff>152640</xdr:rowOff>
    </xdr:from>
    <xdr:to>
      <xdr:col>1</xdr:col>
      <xdr:colOff>455760</xdr:colOff>
      <xdr:row>25</xdr:row>
      <xdr:rowOff>113760</xdr:rowOff>
    </xdr:to>
    <xdr:sp>
      <xdr:nvSpPr>
        <xdr:cNvPr id="384" name="Line 99"/>
        <xdr:cNvSpPr/>
      </xdr:nvSpPr>
      <xdr:spPr>
        <a:xfrm>
          <a:off x="1057320" y="4772160"/>
          <a:ext cx="1048680" cy="361440"/>
        </a:xfrm>
        <a:prstGeom prst="line">
          <a:avLst/>
        </a:prstGeom>
        <a:ln w="9360">
          <a:solidFill>
            <a:srgbClr val="000000"/>
          </a:solidFill>
          <a:miter/>
          <a:headEnd len="med" type="triangle" w="med"/>
          <a:tailEnd len="med" type="triangle" w="med"/>
        </a:ln>
      </xdr:spPr>
      <xdr:style>
        <a:lnRef idx="0"/>
        <a:fillRef idx="0"/>
        <a:effectRef idx="0"/>
        <a:fontRef idx="minor"/>
      </xdr:style>
    </xdr:sp>
    <xdr:clientData/>
  </xdr:twoCellAnchor>
  <xdr:twoCellAnchor editAs="absolute">
    <xdr:from>
      <xdr:col>0</xdr:col>
      <xdr:colOff>1237680</xdr:colOff>
      <xdr:row>21</xdr:row>
      <xdr:rowOff>181440</xdr:rowOff>
    </xdr:from>
    <xdr:to>
      <xdr:col>0</xdr:col>
      <xdr:colOff>1640520</xdr:colOff>
      <xdr:row>22</xdr:row>
      <xdr:rowOff>114120</xdr:rowOff>
    </xdr:to>
    <xdr:sp>
      <xdr:nvSpPr>
        <xdr:cNvPr id="385" name="TGPAGUAS"/>
        <xdr:cNvSpPr/>
      </xdr:nvSpPr>
      <xdr:spPr>
        <a:xfrm>
          <a:off x="1237680" y="4401000"/>
          <a:ext cx="402840" cy="13284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81.1 </a:t>
          </a:r>
          <a:endParaRPr b="0" lang="en-US" sz="800" strike="noStrike" u="none">
            <a:effectLst/>
            <a:uFillTx/>
            <a:latin typeface="Times New Roman"/>
          </a:endParaRPr>
        </a:p>
      </xdr:txBody>
    </xdr:sp>
    <xdr:clientData/>
  </xdr:twoCellAnchor>
  <xdr:twoCellAnchor editAs="absolute">
    <xdr:from>
      <xdr:col>0</xdr:col>
      <xdr:colOff>1237680</xdr:colOff>
      <xdr:row>20</xdr:row>
      <xdr:rowOff>38520</xdr:rowOff>
    </xdr:from>
    <xdr:to>
      <xdr:col>0</xdr:col>
      <xdr:colOff>1640520</xdr:colOff>
      <xdr:row>20</xdr:row>
      <xdr:rowOff>190800</xdr:rowOff>
    </xdr:to>
    <xdr:sp>
      <xdr:nvSpPr>
        <xdr:cNvPr id="386" name="TGPAGUAS"/>
        <xdr:cNvSpPr/>
      </xdr:nvSpPr>
      <xdr:spPr>
        <a:xfrm>
          <a:off x="1237680" y="4057920"/>
          <a:ext cx="402840" cy="15228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66.3 </a:t>
          </a:r>
          <a:endParaRPr b="0" lang="en-US" sz="800" strike="noStrike" u="none">
            <a:effectLst/>
            <a:uFillTx/>
            <a:latin typeface="Times New Roman"/>
          </a:endParaRPr>
        </a:p>
      </xdr:txBody>
    </xdr:sp>
    <xdr:clientData/>
  </xdr:twoCellAnchor>
  <xdr:twoCellAnchor editAs="absolute">
    <xdr:from>
      <xdr:col>0</xdr:col>
      <xdr:colOff>1142640</xdr:colOff>
      <xdr:row>20</xdr:row>
      <xdr:rowOff>181440</xdr:rowOff>
    </xdr:from>
    <xdr:to>
      <xdr:col>1</xdr:col>
      <xdr:colOff>128160</xdr:colOff>
      <xdr:row>21</xdr:row>
      <xdr:rowOff>181440</xdr:rowOff>
    </xdr:to>
    <xdr:sp>
      <xdr:nvSpPr>
        <xdr:cNvPr id="387" name="26205"/>
        <xdr:cNvSpPr/>
      </xdr:nvSpPr>
      <xdr:spPr>
        <a:xfrm>
          <a:off x="1142640" y="4200840"/>
          <a:ext cx="635760" cy="200160"/>
        </a:xfrm>
        <a:prstGeom prst="roundRect">
          <a:avLst>
            <a:gd name="adj" fmla="val 50000"/>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HPL A-D</a:t>
          </a:r>
          <a:endParaRPr b="0" lang="en-US" sz="800" strike="noStrike" u="none">
            <a:effectLst/>
            <a:uFillTx/>
            <a:latin typeface="Times New Roman"/>
          </a:endParaRPr>
        </a:p>
      </xdr:txBody>
    </xdr:sp>
    <xdr:clientData/>
  </xdr:twoCellAnchor>
  <xdr:twoCellAnchor editAs="absolute">
    <xdr:from>
      <xdr:col>1</xdr:col>
      <xdr:colOff>95400</xdr:colOff>
      <xdr:row>21</xdr:row>
      <xdr:rowOff>152280</xdr:rowOff>
    </xdr:from>
    <xdr:to>
      <xdr:col>1</xdr:col>
      <xdr:colOff>624600</xdr:colOff>
      <xdr:row>24</xdr:row>
      <xdr:rowOff>200160</xdr:rowOff>
    </xdr:to>
    <xdr:sp>
      <xdr:nvSpPr>
        <xdr:cNvPr id="388" name="Line 103"/>
        <xdr:cNvSpPr/>
      </xdr:nvSpPr>
      <xdr:spPr>
        <a:xfrm>
          <a:off x="1745640" y="4371840"/>
          <a:ext cx="529200" cy="64800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absolute">
    <xdr:from>
      <xdr:col>0</xdr:col>
      <xdr:colOff>1089360</xdr:colOff>
      <xdr:row>19</xdr:row>
      <xdr:rowOff>9360</xdr:rowOff>
    </xdr:from>
    <xdr:to>
      <xdr:col>0</xdr:col>
      <xdr:colOff>1535760</xdr:colOff>
      <xdr:row>19</xdr:row>
      <xdr:rowOff>161640</xdr:rowOff>
    </xdr:to>
    <xdr:sp>
      <xdr:nvSpPr>
        <xdr:cNvPr id="389" name="TGPAGUAS"/>
        <xdr:cNvSpPr/>
      </xdr:nvSpPr>
      <xdr:spPr>
        <a:xfrm>
          <a:off x="1089360" y="3828960"/>
          <a:ext cx="446400" cy="15228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10.9 </a:t>
          </a:r>
          <a:endParaRPr b="0" lang="en-US" sz="800" strike="noStrike" u="none">
            <a:effectLst/>
            <a:uFillTx/>
            <a:latin typeface="Times New Roman"/>
          </a:endParaRPr>
        </a:p>
      </xdr:txBody>
    </xdr:sp>
    <xdr:clientData/>
  </xdr:twoCellAnchor>
  <xdr:twoCellAnchor editAs="absolute">
    <xdr:from>
      <xdr:col>0</xdr:col>
      <xdr:colOff>1152360</xdr:colOff>
      <xdr:row>17</xdr:row>
      <xdr:rowOff>66240</xdr:rowOff>
    </xdr:from>
    <xdr:to>
      <xdr:col>0</xdr:col>
      <xdr:colOff>1514880</xdr:colOff>
      <xdr:row>18</xdr:row>
      <xdr:rowOff>28800</xdr:rowOff>
    </xdr:to>
    <xdr:sp>
      <xdr:nvSpPr>
        <xdr:cNvPr id="390" name="TGPAGUAS"/>
        <xdr:cNvSpPr/>
      </xdr:nvSpPr>
      <xdr:spPr>
        <a:xfrm>
          <a:off x="1152360" y="3485880"/>
          <a:ext cx="362520" cy="16236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10.7 </a:t>
          </a:r>
          <a:endParaRPr b="0" lang="en-US" sz="800" strike="noStrike" u="none">
            <a:effectLst/>
            <a:uFillTx/>
            <a:latin typeface="Times New Roman"/>
          </a:endParaRPr>
        </a:p>
      </xdr:txBody>
    </xdr:sp>
    <xdr:clientData/>
  </xdr:twoCellAnchor>
  <xdr:twoCellAnchor editAs="absolute">
    <xdr:from>
      <xdr:col>0</xdr:col>
      <xdr:colOff>941400</xdr:colOff>
      <xdr:row>18</xdr:row>
      <xdr:rowOff>0</xdr:rowOff>
    </xdr:from>
    <xdr:to>
      <xdr:col>1</xdr:col>
      <xdr:colOff>180720</xdr:colOff>
      <xdr:row>19</xdr:row>
      <xdr:rowOff>9360</xdr:rowOff>
    </xdr:to>
    <xdr:sp>
      <xdr:nvSpPr>
        <xdr:cNvPr id="391" name="16222"/>
        <xdr:cNvSpPr/>
      </xdr:nvSpPr>
      <xdr:spPr>
        <a:xfrm>
          <a:off x="941400" y="3619440"/>
          <a:ext cx="889560" cy="209520"/>
        </a:xfrm>
        <a:prstGeom prst="roundRect">
          <a:avLst>
            <a:gd name="adj" fmla="val 50000"/>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PGE Cardwell</a:t>
          </a:r>
          <a:endParaRPr b="0" lang="en-US" sz="800" strike="noStrike" u="none">
            <a:effectLst/>
            <a:uFillTx/>
            <a:latin typeface="Times New Roman"/>
          </a:endParaRPr>
        </a:p>
      </xdr:txBody>
    </xdr:sp>
    <xdr:clientData/>
  </xdr:twoCellAnchor>
  <xdr:twoCellAnchor editAs="absolute">
    <xdr:from>
      <xdr:col>1</xdr:col>
      <xdr:colOff>137520</xdr:colOff>
      <xdr:row>19</xdr:row>
      <xdr:rowOff>0</xdr:rowOff>
    </xdr:from>
    <xdr:to>
      <xdr:col>2</xdr:col>
      <xdr:colOff>75240</xdr:colOff>
      <xdr:row>24</xdr:row>
      <xdr:rowOff>38160</xdr:rowOff>
    </xdr:to>
    <xdr:sp>
      <xdr:nvSpPr>
        <xdr:cNvPr id="392" name="Line 107"/>
        <xdr:cNvSpPr/>
      </xdr:nvSpPr>
      <xdr:spPr>
        <a:xfrm>
          <a:off x="1787760" y="3819600"/>
          <a:ext cx="699120" cy="103824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absolute">
    <xdr:from>
      <xdr:col>1</xdr:col>
      <xdr:colOff>539280</xdr:colOff>
      <xdr:row>20</xdr:row>
      <xdr:rowOff>152640</xdr:rowOff>
    </xdr:from>
    <xdr:to>
      <xdr:col>2</xdr:col>
      <xdr:colOff>117000</xdr:colOff>
      <xdr:row>21</xdr:row>
      <xdr:rowOff>114120</xdr:rowOff>
    </xdr:to>
    <xdr:sp>
      <xdr:nvSpPr>
        <xdr:cNvPr id="393" name="TGPAGUAS"/>
        <xdr:cNvSpPr/>
      </xdr:nvSpPr>
      <xdr:spPr>
        <a:xfrm>
          <a:off x="2189520" y="4172040"/>
          <a:ext cx="339120" cy="16164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0.0 </a:t>
          </a:r>
          <a:endParaRPr b="0" lang="en-US" sz="800" strike="noStrike" u="none">
            <a:effectLst/>
            <a:uFillTx/>
            <a:latin typeface="Times New Roman"/>
          </a:endParaRPr>
        </a:p>
      </xdr:txBody>
    </xdr:sp>
    <xdr:clientData/>
  </xdr:twoCellAnchor>
  <xdr:twoCellAnchor editAs="absolute">
    <xdr:from>
      <xdr:col>1</xdr:col>
      <xdr:colOff>581400</xdr:colOff>
      <xdr:row>18</xdr:row>
      <xdr:rowOff>181440</xdr:rowOff>
    </xdr:from>
    <xdr:to>
      <xdr:col>2</xdr:col>
      <xdr:colOff>96120</xdr:colOff>
      <xdr:row>19</xdr:row>
      <xdr:rowOff>134280</xdr:rowOff>
    </xdr:to>
    <xdr:sp>
      <xdr:nvSpPr>
        <xdr:cNvPr id="394" name="TGPAGUAS"/>
        <xdr:cNvSpPr/>
      </xdr:nvSpPr>
      <xdr:spPr>
        <a:xfrm>
          <a:off x="2231640" y="3800880"/>
          <a:ext cx="276120" cy="153000"/>
        </a:xfrm>
        <a:prstGeom prst="rect">
          <a:avLst/>
        </a:prstGeom>
        <a:solidFill>
          <a:srgbClr val="ffffff"/>
        </a:solidFill>
        <a:ln w="0">
          <a:noFill/>
        </a:ln>
      </xdr:spPr>
      <xdr:style>
        <a:lnRef idx="0"/>
        <a:fillRef idx="0"/>
        <a:effectRef idx="0"/>
        <a:fontRef idx="minor"/>
      </xdr:style>
      <xdr:txBody>
        <a:bodyPr lIns="20160" rIns="20160" tIns="20160" bIns="20160" anchor="ctr">
          <a:spAutoFit/>
        </a:bodyPr>
        <a:p>
          <a:pPr algn="ctr"/>
          <a:r>
            <a:rPr b="0" lang="en-US" sz="800" strike="noStrike" u="none">
              <a:effectLst/>
              <a:uFillTx/>
              <a:latin typeface="Times New Roman"/>
            </a:rPr>
            <a:t>0.0 </a:t>
          </a:r>
          <a:endParaRPr b="0" lang="en-US" sz="800" strike="noStrike" u="none">
            <a:effectLst/>
            <a:uFillTx/>
            <a:latin typeface="Times New Roman"/>
          </a:endParaRPr>
        </a:p>
      </xdr:txBody>
    </xdr:sp>
    <xdr:clientData/>
  </xdr:twoCellAnchor>
  <xdr:twoCellAnchor editAs="absolute">
    <xdr:from>
      <xdr:col>1</xdr:col>
      <xdr:colOff>412920</xdr:colOff>
      <xdr:row>19</xdr:row>
      <xdr:rowOff>123480</xdr:rowOff>
    </xdr:from>
    <xdr:to>
      <xdr:col>2</xdr:col>
      <xdr:colOff>339120</xdr:colOff>
      <xdr:row>20</xdr:row>
      <xdr:rowOff>143280</xdr:rowOff>
    </xdr:to>
    <xdr:sp>
      <xdr:nvSpPr>
        <xdr:cNvPr id="395" name="16069"/>
        <xdr:cNvSpPr/>
      </xdr:nvSpPr>
      <xdr:spPr>
        <a:xfrm>
          <a:off x="2063160" y="3943080"/>
          <a:ext cx="687600" cy="219600"/>
        </a:xfrm>
        <a:prstGeom prst="roundRect">
          <a:avLst>
            <a:gd name="adj" fmla="val 50000"/>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HPL Odem</a:t>
          </a:r>
          <a:endParaRPr b="0" lang="en-US" sz="800" strike="noStrike" u="none">
            <a:effectLst/>
            <a:uFillTx/>
            <a:latin typeface="Times New Roman"/>
          </a:endParaRPr>
        </a:p>
      </xdr:txBody>
    </xdr:sp>
    <xdr:clientData/>
  </xdr:twoCellAnchor>
  <xdr:twoCellAnchor editAs="absolute">
    <xdr:from>
      <xdr:col>2</xdr:col>
      <xdr:colOff>95400</xdr:colOff>
      <xdr:row>20</xdr:row>
      <xdr:rowOff>162000</xdr:rowOff>
    </xdr:from>
    <xdr:to>
      <xdr:col>2</xdr:col>
      <xdr:colOff>286200</xdr:colOff>
      <xdr:row>23</xdr:row>
      <xdr:rowOff>142920</xdr:rowOff>
    </xdr:to>
    <xdr:sp>
      <xdr:nvSpPr>
        <xdr:cNvPr id="396" name="Line 111"/>
        <xdr:cNvSpPr/>
      </xdr:nvSpPr>
      <xdr:spPr>
        <a:xfrm>
          <a:off x="2507040" y="4181400"/>
          <a:ext cx="190800" cy="58104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absolute">
    <xdr:from>
      <xdr:col>2</xdr:col>
      <xdr:colOff>200880</xdr:colOff>
      <xdr:row>18</xdr:row>
      <xdr:rowOff>104760</xdr:rowOff>
    </xdr:from>
    <xdr:to>
      <xdr:col>2</xdr:col>
      <xdr:colOff>624600</xdr:colOff>
      <xdr:row>19</xdr:row>
      <xdr:rowOff>66240</xdr:rowOff>
    </xdr:to>
    <xdr:sp>
      <xdr:nvSpPr>
        <xdr:cNvPr id="397" name="TGPAGUAS"/>
        <xdr:cNvSpPr/>
      </xdr:nvSpPr>
      <xdr:spPr>
        <a:xfrm>
          <a:off x="2612520" y="3724200"/>
          <a:ext cx="423720" cy="16164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(10.1)</a:t>
          </a:r>
          <a:endParaRPr b="0" lang="en-US" sz="800" strike="noStrike" u="none">
            <a:effectLst/>
            <a:uFillTx/>
            <a:latin typeface="Times New Roman"/>
          </a:endParaRPr>
        </a:p>
      </xdr:txBody>
    </xdr:sp>
    <xdr:clientData/>
  </xdr:twoCellAnchor>
  <xdr:twoCellAnchor editAs="absolute">
    <xdr:from>
      <xdr:col>2</xdr:col>
      <xdr:colOff>211320</xdr:colOff>
      <xdr:row>16</xdr:row>
      <xdr:rowOff>142920</xdr:rowOff>
    </xdr:from>
    <xdr:to>
      <xdr:col>2</xdr:col>
      <xdr:colOff>624600</xdr:colOff>
      <xdr:row>17</xdr:row>
      <xdr:rowOff>85680</xdr:rowOff>
    </xdr:to>
    <xdr:sp>
      <xdr:nvSpPr>
        <xdr:cNvPr id="398" name="TGPAGUAS"/>
        <xdr:cNvSpPr/>
      </xdr:nvSpPr>
      <xdr:spPr>
        <a:xfrm>
          <a:off x="2622960" y="3362400"/>
          <a:ext cx="413280" cy="14292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(20.4)</a:t>
          </a:r>
          <a:endParaRPr b="0" lang="en-US" sz="800" strike="noStrike" u="none">
            <a:effectLst/>
            <a:uFillTx/>
            <a:latin typeface="Times New Roman"/>
          </a:endParaRPr>
        </a:p>
      </xdr:txBody>
    </xdr:sp>
    <xdr:clientData/>
  </xdr:twoCellAnchor>
  <xdr:twoCellAnchor editAs="absolute">
    <xdr:from>
      <xdr:col>2</xdr:col>
      <xdr:colOff>127080</xdr:colOff>
      <xdr:row>17</xdr:row>
      <xdr:rowOff>104400</xdr:rowOff>
    </xdr:from>
    <xdr:to>
      <xdr:col>3</xdr:col>
      <xdr:colOff>244080</xdr:colOff>
      <xdr:row>18</xdr:row>
      <xdr:rowOff>104760</xdr:rowOff>
    </xdr:to>
    <xdr:sp>
      <xdr:nvSpPr>
        <xdr:cNvPr id="399" name="26191"/>
        <xdr:cNvSpPr/>
      </xdr:nvSpPr>
      <xdr:spPr>
        <a:xfrm>
          <a:off x="2538720" y="3524040"/>
          <a:ext cx="878400" cy="200160"/>
        </a:xfrm>
        <a:prstGeom prst="roundRect">
          <a:avLst>
            <a:gd name="adj" fmla="val 50000"/>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HPL Gregory</a:t>
          </a:r>
          <a:endParaRPr b="0" lang="en-US" sz="800" strike="noStrike" u="none">
            <a:effectLst/>
            <a:uFillTx/>
            <a:latin typeface="Times New Roman"/>
          </a:endParaRPr>
        </a:p>
      </xdr:txBody>
    </xdr:sp>
    <xdr:clientData/>
  </xdr:twoCellAnchor>
  <xdr:twoCellAnchor editAs="absolute">
    <xdr:from>
      <xdr:col>2</xdr:col>
      <xdr:colOff>645480</xdr:colOff>
      <xdr:row>18</xdr:row>
      <xdr:rowOff>142920</xdr:rowOff>
    </xdr:from>
    <xdr:to>
      <xdr:col>2</xdr:col>
      <xdr:colOff>687960</xdr:colOff>
      <xdr:row>22</xdr:row>
      <xdr:rowOff>47520</xdr:rowOff>
    </xdr:to>
    <xdr:sp>
      <xdr:nvSpPr>
        <xdr:cNvPr id="400" name="Line 115"/>
        <xdr:cNvSpPr/>
      </xdr:nvSpPr>
      <xdr:spPr>
        <a:xfrm>
          <a:off x="3057120" y="3762360"/>
          <a:ext cx="42480" cy="704880"/>
        </a:xfrm>
        <a:prstGeom prst="line">
          <a:avLst/>
        </a:prstGeom>
        <a:ln w="9360">
          <a:solidFill>
            <a:srgbClr val="000000"/>
          </a:solidFill>
          <a:miter/>
          <a:headEnd len="med" type="triangle" w="med"/>
          <a:tailEnd len="med" type="triangle" w="med"/>
        </a:ln>
      </xdr:spPr>
      <xdr:style>
        <a:lnRef idx="0"/>
        <a:fillRef idx="0"/>
        <a:effectRef idx="0"/>
        <a:fontRef idx="minor"/>
      </xdr:style>
    </xdr:sp>
    <xdr:clientData/>
  </xdr:twoCellAnchor>
  <xdr:twoCellAnchor editAs="absolute">
    <xdr:from>
      <xdr:col>2</xdr:col>
      <xdr:colOff>750960</xdr:colOff>
      <xdr:row>15</xdr:row>
      <xdr:rowOff>190800</xdr:rowOff>
    </xdr:from>
    <xdr:to>
      <xdr:col>3</xdr:col>
      <xdr:colOff>339120</xdr:colOff>
      <xdr:row>16</xdr:row>
      <xdr:rowOff>152280</xdr:rowOff>
    </xdr:to>
    <xdr:sp>
      <xdr:nvSpPr>
        <xdr:cNvPr id="401" name="TGPAGUAS"/>
        <xdr:cNvSpPr/>
      </xdr:nvSpPr>
      <xdr:spPr>
        <a:xfrm>
          <a:off x="3162600" y="3210120"/>
          <a:ext cx="349560" cy="16164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0.0 </a:t>
          </a:r>
          <a:endParaRPr b="0" lang="en-US" sz="800" strike="noStrike" u="none">
            <a:effectLst/>
            <a:uFillTx/>
            <a:latin typeface="Times New Roman"/>
          </a:endParaRPr>
        </a:p>
      </xdr:txBody>
    </xdr:sp>
    <xdr:clientData/>
  </xdr:twoCellAnchor>
  <xdr:twoCellAnchor editAs="absolute">
    <xdr:from>
      <xdr:col>2</xdr:col>
      <xdr:colOff>750960</xdr:colOff>
      <xdr:row>14</xdr:row>
      <xdr:rowOff>66240</xdr:rowOff>
    </xdr:from>
    <xdr:to>
      <xdr:col>3</xdr:col>
      <xdr:colOff>339120</xdr:colOff>
      <xdr:row>14</xdr:row>
      <xdr:rowOff>199800</xdr:rowOff>
    </xdr:to>
    <xdr:sp>
      <xdr:nvSpPr>
        <xdr:cNvPr id="402" name="TGPAGUAS"/>
        <xdr:cNvSpPr/>
      </xdr:nvSpPr>
      <xdr:spPr>
        <a:xfrm>
          <a:off x="3162600" y="2885760"/>
          <a:ext cx="349560" cy="13356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1.3 </a:t>
          </a:r>
          <a:endParaRPr b="0" lang="en-US" sz="800" strike="noStrike" u="none">
            <a:effectLst/>
            <a:uFillTx/>
            <a:latin typeface="Times New Roman"/>
          </a:endParaRPr>
        </a:p>
      </xdr:txBody>
    </xdr:sp>
    <xdr:clientData/>
  </xdr:twoCellAnchor>
  <xdr:twoCellAnchor editAs="absolute">
    <xdr:from>
      <xdr:col>2</xdr:col>
      <xdr:colOff>581400</xdr:colOff>
      <xdr:row>14</xdr:row>
      <xdr:rowOff>190440</xdr:rowOff>
    </xdr:from>
    <xdr:to>
      <xdr:col>4</xdr:col>
      <xdr:colOff>75240</xdr:colOff>
      <xdr:row>15</xdr:row>
      <xdr:rowOff>190800</xdr:rowOff>
    </xdr:to>
    <xdr:sp>
      <xdr:nvSpPr>
        <xdr:cNvPr id="403" name="16210"/>
        <xdr:cNvSpPr/>
      </xdr:nvSpPr>
      <xdr:spPr>
        <a:xfrm>
          <a:off x="2993040" y="3009960"/>
          <a:ext cx="1016640" cy="200160"/>
        </a:xfrm>
        <a:prstGeom prst="roundRect">
          <a:avLst>
            <a:gd name="adj" fmla="val 50000"/>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North N Tivoli</a:t>
          </a:r>
          <a:endParaRPr b="0" lang="en-US" sz="800" strike="noStrike" u="none">
            <a:effectLst/>
            <a:uFillTx/>
            <a:latin typeface="Times New Roman"/>
          </a:endParaRPr>
        </a:p>
      </xdr:txBody>
    </xdr:sp>
    <xdr:clientData/>
  </xdr:twoCellAnchor>
  <xdr:twoCellAnchor editAs="absolute">
    <xdr:from>
      <xdr:col>3</xdr:col>
      <xdr:colOff>581400</xdr:colOff>
      <xdr:row>16</xdr:row>
      <xdr:rowOff>0</xdr:rowOff>
    </xdr:from>
    <xdr:to>
      <xdr:col>4</xdr:col>
      <xdr:colOff>170280</xdr:colOff>
      <xdr:row>18</xdr:row>
      <xdr:rowOff>38520</xdr:rowOff>
    </xdr:to>
    <xdr:sp>
      <xdr:nvSpPr>
        <xdr:cNvPr id="404" name="Line 119"/>
        <xdr:cNvSpPr/>
      </xdr:nvSpPr>
      <xdr:spPr>
        <a:xfrm>
          <a:off x="3754440" y="3219480"/>
          <a:ext cx="350280" cy="43848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absolute">
    <xdr:from>
      <xdr:col>4</xdr:col>
      <xdr:colOff>0</xdr:colOff>
      <xdr:row>13</xdr:row>
      <xdr:rowOff>47520</xdr:rowOff>
    </xdr:from>
    <xdr:to>
      <xdr:col>4</xdr:col>
      <xdr:colOff>434160</xdr:colOff>
      <xdr:row>14</xdr:row>
      <xdr:rowOff>360</xdr:rowOff>
    </xdr:to>
    <xdr:sp>
      <xdr:nvSpPr>
        <xdr:cNvPr id="405" name="TGPAGUAS"/>
        <xdr:cNvSpPr/>
      </xdr:nvSpPr>
      <xdr:spPr>
        <a:xfrm>
          <a:off x="3934440" y="2666880"/>
          <a:ext cx="434160" cy="153000"/>
        </a:xfrm>
        <a:prstGeom prst="rect">
          <a:avLst/>
        </a:prstGeom>
        <a:solidFill>
          <a:srgbClr val="ffffff"/>
        </a:solidFill>
        <a:ln w="0">
          <a:noFill/>
        </a:ln>
      </xdr:spPr>
      <xdr:style>
        <a:lnRef idx="0"/>
        <a:fillRef idx="0"/>
        <a:effectRef idx="0"/>
        <a:fontRef idx="minor"/>
      </xdr:style>
      <xdr:txBody>
        <a:bodyPr lIns="20160" rIns="20160" tIns="20160" bIns="20160" anchor="ctr">
          <a:spAutoFit/>
        </a:bodyPr>
        <a:p>
          <a:pPr algn="ctr"/>
          <a:r>
            <a:rPr b="0" lang="en-US" sz="800" strike="noStrike" u="none">
              <a:effectLst/>
              <a:uFillTx/>
              <a:latin typeface="Times New Roman"/>
            </a:rPr>
            <a:t>(16.8)</a:t>
          </a:r>
          <a:endParaRPr b="0" lang="en-US" sz="800" strike="noStrike" u="none">
            <a:effectLst/>
            <a:uFillTx/>
            <a:latin typeface="Times New Roman"/>
          </a:endParaRPr>
        </a:p>
      </xdr:txBody>
    </xdr:sp>
    <xdr:clientData/>
  </xdr:twoCellAnchor>
  <xdr:twoCellAnchor editAs="absolute">
    <xdr:from>
      <xdr:col>4</xdr:col>
      <xdr:colOff>0</xdr:colOff>
      <xdr:row>11</xdr:row>
      <xdr:rowOff>47520</xdr:rowOff>
    </xdr:from>
    <xdr:to>
      <xdr:col>4</xdr:col>
      <xdr:colOff>434160</xdr:colOff>
      <xdr:row>12</xdr:row>
      <xdr:rowOff>720</xdr:rowOff>
    </xdr:to>
    <xdr:sp>
      <xdr:nvSpPr>
        <xdr:cNvPr id="406" name="TGPAGUAS"/>
        <xdr:cNvSpPr/>
      </xdr:nvSpPr>
      <xdr:spPr>
        <a:xfrm>
          <a:off x="3934440" y="2266920"/>
          <a:ext cx="434160" cy="153000"/>
        </a:xfrm>
        <a:prstGeom prst="rect">
          <a:avLst/>
        </a:prstGeom>
        <a:solidFill>
          <a:srgbClr val="ffffff"/>
        </a:solidFill>
        <a:ln w="0">
          <a:noFill/>
        </a:ln>
      </xdr:spPr>
      <xdr:style>
        <a:lnRef idx="0"/>
        <a:fillRef idx="0"/>
        <a:effectRef idx="0"/>
        <a:fontRef idx="minor"/>
      </xdr:style>
      <xdr:txBody>
        <a:bodyPr lIns="20160" rIns="20160" tIns="20160" bIns="20160" anchor="ctr">
          <a:spAutoFit/>
        </a:bodyPr>
        <a:p>
          <a:pPr algn="ctr"/>
          <a:r>
            <a:rPr b="0" lang="en-US" sz="800" strike="noStrike" u="none">
              <a:effectLst/>
              <a:uFillTx/>
              <a:latin typeface="Times New Roman"/>
            </a:rPr>
            <a:t>(25.2)</a:t>
          </a:r>
          <a:endParaRPr b="0" lang="en-US" sz="800" strike="noStrike" u="none">
            <a:effectLst/>
            <a:uFillTx/>
            <a:latin typeface="Times New Roman"/>
          </a:endParaRPr>
        </a:p>
      </xdr:txBody>
    </xdr:sp>
    <xdr:clientData/>
  </xdr:twoCellAnchor>
  <xdr:twoCellAnchor editAs="absolute">
    <xdr:from>
      <xdr:col>3</xdr:col>
      <xdr:colOff>412560</xdr:colOff>
      <xdr:row>12</xdr:row>
      <xdr:rowOff>0</xdr:rowOff>
    </xdr:from>
    <xdr:to>
      <xdr:col>4</xdr:col>
      <xdr:colOff>687600</xdr:colOff>
      <xdr:row>13</xdr:row>
      <xdr:rowOff>18720</xdr:rowOff>
    </xdr:to>
    <xdr:sp>
      <xdr:nvSpPr>
        <xdr:cNvPr id="407" name="26073"/>
        <xdr:cNvSpPr/>
      </xdr:nvSpPr>
      <xdr:spPr>
        <a:xfrm>
          <a:off x="3585600" y="2419200"/>
          <a:ext cx="1036440" cy="218880"/>
        </a:xfrm>
        <a:prstGeom prst="roundRect">
          <a:avLst>
            <a:gd name="adj" fmla="val 50000"/>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HPLSwan Lake</a:t>
          </a:r>
          <a:endParaRPr b="0" lang="en-US" sz="800" strike="noStrike" u="none">
            <a:effectLst/>
            <a:uFillTx/>
            <a:latin typeface="Times New Roman"/>
          </a:endParaRPr>
        </a:p>
      </xdr:txBody>
    </xdr:sp>
    <xdr:clientData/>
  </xdr:twoCellAnchor>
  <xdr:twoCellAnchor editAs="absolute">
    <xdr:from>
      <xdr:col>4</xdr:col>
      <xdr:colOff>380880</xdr:colOff>
      <xdr:row>13</xdr:row>
      <xdr:rowOff>76680</xdr:rowOff>
    </xdr:from>
    <xdr:to>
      <xdr:col>5</xdr:col>
      <xdr:colOff>32760</xdr:colOff>
      <xdr:row>15</xdr:row>
      <xdr:rowOff>200160</xdr:rowOff>
    </xdr:to>
    <xdr:sp>
      <xdr:nvSpPr>
        <xdr:cNvPr id="408" name="Line 123"/>
        <xdr:cNvSpPr/>
      </xdr:nvSpPr>
      <xdr:spPr>
        <a:xfrm flipH="1" flipV="1">
          <a:off x="4315320" y="2696040"/>
          <a:ext cx="413280" cy="52344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absolute">
    <xdr:from>
      <xdr:col>6</xdr:col>
      <xdr:colOff>115920</xdr:colOff>
      <xdr:row>11</xdr:row>
      <xdr:rowOff>37800</xdr:rowOff>
    </xdr:from>
    <xdr:to>
      <xdr:col>6</xdr:col>
      <xdr:colOff>508680</xdr:colOff>
      <xdr:row>11</xdr:row>
      <xdr:rowOff>199440</xdr:rowOff>
    </xdr:to>
    <xdr:sp>
      <xdr:nvSpPr>
        <xdr:cNvPr id="409" name="Text 30"/>
        <xdr:cNvSpPr/>
      </xdr:nvSpPr>
      <xdr:spPr>
        <a:xfrm flipV="1">
          <a:off x="5573160" y="2256840"/>
          <a:ext cx="392760" cy="16164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0.0 </a:t>
          </a:r>
          <a:endParaRPr b="0" lang="en-US" sz="800" strike="noStrike" u="none">
            <a:effectLst/>
            <a:uFillTx/>
            <a:latin typeface="Times New Roman"/>
          </a:endParaRPr>
        </a:p>
      </xdr:txBody>
    </xdr:sp>
    <xdr:clientData/>
  </xdr:twoCellAnchor>
  <xdr:twoCellAnchor editAs="absolute">
    <xdr:from>
      <xdr:col>6</xdr:col>
      <xdr:colOff>84600</xdr:colOff>
      <xdr:row>9</xdr:row>
      <xdr:rowOff>113760</xdr:rowOff>
    </xdr:from>
    <xdr:to>
      <xdr:col>6</xdr:col>
      <xdr:colOff>476640</xdr:colOff>
      <xdr:row>10</xdr:row>
      <xdr:rowOff>66600</xdr:rowOff>
    </xdr:to>
    <xdr:sp>
      <xdr:nvSpPr>
        <xdr:cNvPr id="410" name="Text 30"/>
        <xdr:cNvSpPr/>
      </xdr:nvSpPr>
      <xdr:spPr>
        <a:xfrm flipV="1">
          <a:off x="5541840" y="1933200"/>
          <a:ext cx="392040" cy="15264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0.0 </a:t>
          </a:r>
          <a:endParaRPr b="0" lang="en-US" sz="800" strike="noStrike" u="none">
            <a:effectLst/>
            <a:uFillTx/>
            <a:latin typeface="Times New Roman"/>
          </a:endParaRPr>
        </a:p>
      </xdr:txBody>
    </xdr:sp>
    <xdr:clientData/>
  </xdr:twoCellAnchor>
  <xdr:twoCellAnchor editAs="absolute">
    <xdr:from>
      <xdr:col>5</xdr:col>
      <xdr:colOff>538920</xdr:colOff>
      <xdr:row>10</xdr:row>
      <xdr:rowOff>66600</xdr:rowOff>
    </xdr:from>
    <xdr:to>
      <xdr:col>6</xdr:col>
      <xdr:colOff>582120</xdr:colOff>
      <xdr:row>11</xdr:row>
      <xdr:rowOff>47520</xdr:rowOff>
    </xdr:to>
    <xdr:sp>
      <xdr:nvSpPr>
        <xdr:cNvPr id="411" name="16273"/>
        <xdr:cNvSpPr/>
      </xdr:nvSpPr>
      <xdr:spPr>
        <a:xfrm>
          <a:off x="5234760" y="2085840"/>
          <a:ext cx="804600" cy="181080"/>
        </a:xfrm>
        <a:prstGeom prst="roundRect">
          <a:avLst>
            <a:gd name="adj" fmla="val 50000"/>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HPL Manville</a:t>
          </a:r>
          <a:endParaRPr b="0" lang="en-US" sz="800" strike="noStrike" u="none">
            <a:effectLst/>
            <a:uFillTx/>
            <a:latin typeface="Times New Roman"/>
          </a:endParaRPr>
        </a:p>
      </xdr:txBody>
    </xdr:sp>
    <xdr:clientData/>
  </xdr:twoCellAnchor>
  <xdr:twoCellAnchor editAs="absolute">
    <xdr:from>
      <xdr:col>6</xdr:col>
      <xdr:colOff>560520</xdr:colOff>
      <xdr:row>10</xdr:row>
      <xdr:rowOff>47880</xdr:rowOff>
    </xdr:from>
    <xdr:to>
      <xdr:col>7</xdr:col>
      <xdr:colOff>138240</xdr:colOff>
      <xdr:row>10</xdr:row>
      <xdr:rowOff>104760</xdr:rowOff>
    </xdr:to>
    <xdr:sp>
      <xdr:nvSpPr>
        <xdr:cNvPr id="412" name="Line 127"/>
        <xdr:cNvSpPr/>
      </xdr:nvSpPr>
      <xdr:spPr>
        <a:xfrm flipV="1">
          <a:off x="6017760" y="2067120"/>
          <a:ext cx="339120" cy="5688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absolute">
    <xdr:from>
      <xdr:col>7</xdr:col>
      <xdr:colOff>433440</xdr:colOff>
      <xdr:row>16</xdr:row>
      <xdr:rowOff>123120</xdr:rowOff>
    </xdr:from>
    <xdr:to>
      <xdr:col>8</xdr:col>
      <xdr:colOff>106200</xdr:colOff>
      <xdr:row>17</xdr:row>
      <xdr:rowOff>113400</xdr:rowOff>
    </xdr:to>
    <xdr:sp>
      <xdr:nvSpPr>
        <xdr:cNvPr id="413" name="Text 30"/>
        <xdr:cNvSpPr/>
      </xdr:nvSpPr>
      <xdr:spPr>
        <a:xfrm flipV="1">
          <a:off x="6652080" y="3342240"/>
          <a:ext cx="434160" cy="19044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(0.8)</a:t>
          </a:r>
          <a:endParaRPr b="0" lang="en-US" sz="800" strike="noStrike" u="none">
            <a:effectLst/>
            <a:uFillTx/>
            <a:latin typeface="Times New Roman"/>
          </a:endParaRPr>
        </a:p>
      </xdr:txBody>
    </xdr:sp>
    <xdr:clientData/>
  </xdr:twoCellAnchor>
  <xdr:twoCellAnchor editAs="absolute">
    <xdr:from>
      <xdr:col>7</xdr:col>
      <xdr:colOff>390960</xdr:colOff>
      <xdr:row>15</xdr:row>
      <xdr:rowOff>114120</xdr:rowOff>
    </xdr:from>
    <xdr:to>
      <xdr:col>8</xdr:col>
      <xdr:colOff>434160</xdr:colOff>
      <xdr:row>16</xdr:row>
      <xdr:rowOff>123480</xdr:rowOff>
    </xdr:to>
    <xdr:sp>
      <xdr:nvSpPr>
        <xdr:cNvPr id="414" name="26160"/>
        <xdr:cNvSpPr/>
      </xdr:nvSpPr>
      <xdr:spPr>
        <a:xfrm>
          <a:off x="6609600" y="3133440"/>
          <a:ext cx="804600" cy="209520"/>
        </a:xfrm>
        <a:prstGeom prst="roundRect">
          <a:avLst>
            <a:gd name="adj" fmla="val 50000"/>
          </a:avLst>
        </a:prstGeom>
        <a:solidFill>
          <a:srgbClr val="ffffff">
            <a:alpha val="50000"/>
          </a:srgbClr>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HPL Pledger</a:t>
          </a:r>
          <a:endParaRPr b="0" lang="en-US" sz="800" strike="noStrike" u="none">
            <a:effectLst/>
            <a:uFillTx/>
            <a:latin typeface="Times New Roman"/>
          </a:endParaRPr>
        </a:p>
      </xdr:txBody>
    </xdr:sp>
    <xdr:clientData/>
  </xdr:twoCellAnchor>
  <xdr:twoCellAnchor editAs="absolute">
    <xdr:from>
      <xdr:col>8</xdr:col>
      <xdr:colOff>74160</xdr:colOff>
      <xdr:row>11</xdr:row>
      <xdr:rowOff>142560</xdr:rowOff>
    </xdr:from>
    <xdr:to>
      <xdr:col>8</xdr:col>
      <xdr:colOff>466200</xdr:colOff>
      <xdr:row>12</xdr:row>
      <xdr:rowOff>95040</xdr:rowOff>
    </xdr:to>
    <xdr:sp>
      <xdr:nvSpPr>
        <xdr:cNvPr id="415" name="Text 30"/>
        <xdr:cNvSpPr/>
      </xdr:nvSpPr>
      <xdr:spPr>
        <a:xfrm flipV="1">
          <a:off x="7054200" y="2361600"/>
          <a:ext cx="392040" cy="15228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0.0 </a:t>
          </a:r>
          <a:endParaRPr b="0" lang="en-US" sz="800" strike="noStrike" u="none">
            <a:effectLst/>
            <a:uFillTx/>
            <a:latin typeface="Times New Roman"/>
          </a:endParaRPr>
        </a:p>
      </xdr:txBody>
    </xdr:sp>
    <xdr:clientData/>
  </xdr:twoCellAnchor>
  <xdr:twoCellAnchor editAs="absolute">
    <xdr:from>
      <xdr:col>8</xdr:col>
      <xdr:colOff>74160</xdr:colOff>
      <xdr:row>10</xdr:row>
      <xdr:rowOff>-360</xdr:rowOff>
    </xdr:from>
    <xdr:to>
      <xdr:col>8</xdr:col>
      <xdr:colOff>466200</xdr:colOff>
      <xdr:row>10</xdr:row>
      <xdr:rowOff>151920</xdr:rowOff>
    </xdr:to>
    <xdr:sp>
      <xdr:nvSpPr>
        <xdr:cNvPr id="416" name="Text 30"/>
        <xdr:cNvSpPr/>
      </xdr:nvSpPr>
      <xdr:spPr>
        <a:xfrm flipV="1">
          <a:off x="7054200" y="2018520"/>
          <a:ext cx="392040" cy="15228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0.0 </a:t>
          </a:r>
          <a:endParaRPr b="0" lang="en-US" sz="800" strike="noStrike" u="none">
            <a:effectLst/>
            <a:uFillTx/>
            <a:latin typeface="Times New Roman"/>
          </a:endParaRPr>
        </a:p>
      </xdr:txBody>
    </xdr:sp>
    <xdr:clientData/>
  </xdr:twoCellAnchor>
  <xdr:twoCellAnchor editAs="absolute">
    <xdr:from>
      <xdr:col>7</xdr:col>
      <xdr:colOff>729360</xdr:colOff>
      <xdr:row>10</xdr:row>
      <xdr:rowOff>142920</xdr:rowOff>
    </xdr:from>
    <xdr:to>
      <xdr:col>9</xdr:col>
      <xdr:colOff>53280</xdr:colOff>
      <xdr:row>11</xdr:row>
      <xdr:rowOff>142920</xdr:rowOff>
    </xdr:to>
    <xdr:sp>
      <xdr:nvSpPr>
        <xdr:cNvPr id="417" name="16296"/>
        <xdr:cNvSpPr/>
      </xdr:nvSpPr>
      <xdr:spPr>
        <a:xfrm>
          <a:off x="6948000" y="2162160"/>
          <a:ext cx="846720" cy="200160"/>
        </a:xfrm>
        <a:prstGeom prst="roundRect">
          <a:avLst>
            <a:gd name="adj" fmla="val 50000"/>
          </a:avLst>
        </a:prstGeom>
        <a:solidFill>
          <a:srgbClr val="ffffff">
            <a:alpha val="50000"/>
          </a:srgbClr>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HPL Hastings</a:t>
          </a:r>
          <a:endParaRPr b="0" lang="en-US" sz="800" strike="noStrike" u="none">
            <a:effectLst/>
            <a:uFillTx/>
            <a:latin typeface="Times New Roman"/>
          </a:endParaRPr>
        </a:p>
      </xdr:txBody>
    </xdr:sp>
    <xdr:clientData/>
  </xdr:twoCellAnchor>
  <xdr:twoCellAnchor editAs="absolute">
    <xdr:from>
      <xdr:col>7</xdr:col>
      <xdr:colOff>454680</xdr:colOff>
      <xdr:row>9</xdr:row>
      <xdr:rowOff>151920</xdr:rowOff>
    </xdr:from>
    <xdr:to>
      <xdr:col>8</xdr:col>
      <xdr:colOff>360</xdr:colOff>
      <xdr:row>10</xdr:row>
      <xdr:rowOff>161280</xdr:rowOff>
    </xdr:to>
    <xdr:sp>
      <xdr:nvSpPr>
        <xdr:cNvPr id="418" name="Line 133"/>
        <xdr:cNvSpPr/>
      </xdr:nvSpPr>
      <xdr:spPr>
        <a:xfrm flipH="1" flipV="1">
          <a:off x="6673320" y="1971360"/>
          <a:ext cx="307080" cy="20916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absolute">
    <xdr:from>
      <xdr:col>8</xdr:col>
      <xdr:colOff>137520</xdr:colOff>
      <xdr:row>14</xdr:row>
      <xdr:rowOff>65880</xdr:rowOff>
    </xdr:from>
    <xdr:to>
      <xdr:col>8</xdr:col>
      <xdr:colOff>645840</xdr:colOff>
      <xdr:row>15</xdr:row>
      <xdr:rowOff>18360</xdr:rowOff>
    </xdr:to>
    <xdr:sp>
      <xdr:nvSpPr>
        <xdr:cNvPr id="419" name="Text 30"/>
        <xdr:cNvSpPr/>
      </xdr:nvSpPr>
      <xdr:spPr>
        <a:xfrm flipV="1">
          <a:off x="7117560" y="2885040"/>
          <a:ext cx="508320" cy="15228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(0.2)</a:t>
          </a:r>
          <a:endParaRPr b="0" lang="en-US" sz="800" strike="noStrike" u="none">
            <a:effectLst/>
            <a:uFillTx/>
            <a:latin typeface="Times New Roman"/>
          </a:endParaRPr>
        </a:p>
      </xdr:txBody>
    </xdr:sp>
    <xdr:clientData/>
  </xdr:twoCellAnchor>
  <xdr:twoCellAnchor editAs="absolute">
    <xdr:from>
      <xdr:col>8</xdr:col>
      <xdr:colOff>169560</xdr:colOff>
      <xdr:row>12</xdr:row>
      <xdr:rowOff>113760</xdr:rowOff>
    </xdr:from>
    <xdr:to>
      <xdr:col>8</xdr:col>
      <xdr:colOff>614160</xdr:colOff>
      <xdr:row>13</xdr:row>
      <xdr:rowOff>56520</xdr:rowOff>
    </xdr:to>
    <xdr:sp>
      <xdr:nvSpPr>
        <xdr:cNvPr id="420" name="Text 30"/>
        <xdr:cNvSpPr/>
      </xdr:nvSpPr>
      <xdr:spPr>
        <a:xfrm flipV="1">
          <a:off x="7149600" y="2532600"/>
          <a:ext cx="444600" cy="14292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0.0 </a:t>
          </a:r>
          <a:endParaRPr b="0" lang="en-US" sz="800" strike="noStrike" u="none">
            <a:effectLst/>
            <a:uFillTx/>
            <a:latin typeface="Times New Roman"/>
          </a:endParaRPr>
        </a:p>
      </xdr:txBody>
    </xdr:sp>
    <xdr:clientData/>
  </xdr:twoCellAnchor>
  <xdr:twoCellAnchor editAs="absolute">
    <xdr:from>
      <xdr:col>8</xdr:col>
      <xdr:colOff>10440</xdr:colOff>
      <xdr:row>13</xdr:row>
      <xdr:rowOff>66600</xdr:rowOff>
    </xdr:from>
    <xdr:to>
      <xdr:col>9</xdr:col>
      <xdr:colOff>138240</xdr:colOff>
      <xdr:row>14</xdr:row>
      <xdr:rowOff>66240</xdr:rowOff>
    </xdr:to>
    <xdr:sp>
      <xdr:nvSpPr>
        <xdr:cNvPr id="421" name="26018"/>
        <xdr:cNvSpPr/>
      </xdr:nvSpPr>
      <xdr:spPr>
        <a:xfrm>
          <a:off x="6990480" y="2685960"/>
          <a:ext cx="889200" cy="199800"/>
        </a:xfrm>
        <a:prstGeom prst="roundRect">
          <a:avLst>
            <a:gd name="adj" fmla="val 50000"/>
          </a:avLst>
        </a:prstGeom>
        <a:solidFill>
          <a:srgbClr val="ffffff">
            <a:alpha val="50000"/>
          </a:srgbClr>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HPL Pearland</a:t>
          </a:r>
          <a:endParaRPr b="0" lang="en-US" sz="800" strike="noStrike" u="none">
            <a:effectLst/>
            <a:uFillTx/>
            <a:latin typeface="Times New Roman"/>
          </a:endParaRPr>
        </a:p>
      </xdr:txBody>
    </xdr:sp>
    <xdr:clientData/>
  </xdr:twoCellAnchor>
  <xdr:twoCellAnchor editAs="absolute">
    <xdr:from>
      <xdr:col>7</xdr:col>
      <xdr:colOff>370080</xdr:colOff>
      <xdr:row>10</xdr:row>
      <xdr:rowOff>0</xdr:rowOff>
    </xdr:from>
    <xdr:to>
      <xdr:col>8</xdr:col>
      <xdr:colOff>201240</xdr:colOff>
      <xdr:row>13</xdr:row>
      <xdr:rowOff>28800</xdr:rowOff>
    </xdr:to>
    <xdr:sp>
      <xdr:nvSpPr>
        <xdr:cNvPr id="422" name="Line 137"/>
        <xdr:cNvSpPr/>
      </xdr:nvSpPr>
      <xdr:spPr>
        <a:xfrm>
          <a:off x="6588720" y="2019240"/>
          <a:ext cx="592560" cy="62892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absolute">
    <xdr:from>
      <xdr:col>9</xdr:col>
      <xdr:colOff>306000</xdr:colOff>
      <xdr:row>12</xdr:row>
      <xdr:rowOff>66240</xdr:rowOff>
    </xdr:from>
    <xdr:to>
      <xdr:col>9</xdr:col>
      <xdr:colOff>730080</xdr:colOff>
      <xdr:row>13</xdr:row>
      <xdr:rowOff>56520</xdr:rowOff>
    </xdr:to>
    <xdr:sp>
      <xdr:nvSpPr>
        <xdr:cNvPr id="423" name="Text 30"/>
        <xdr:cNvSpPr/>
      </xdr:nvSpPr>
      <xdr:spPr>
        <a:xfrm flipV="1">
          <a:off x="8047440" y="2485080"/>
          <a:ext cx="424080" cy="19044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14.1 </a:t>
          </a:r>
          <a:endParaRPr b="0" lang="en-US" sz="800" strike="noStrike" u="none">
            <a:effectLst/>
            <a:uFillTx/>
            <a:latin typeface="Times New Roman"/>
          </a:endParaRPr>
        </a:p>
      </xdr:txBody>
    </xdr:sp>
    <xdr:clientData/>
  </xdr:twoCellAnchor>
  <xdr:twoCellAnchor editAs="absolute">
    <xdr:from>
      <xdr:col>9</xdr:col>
      <xdr:colOff>306000</xdr:colOff>
      <xdr:row>10</xdr:row>
      <xdr:rowOff>123480</xdr:rowOff>
    </xdr:from>
    <xdr:to>
      <xdr:col>9</xdr:col>
      <xdr:colOff>687600</xdr:colOff>
      <xdr:row>11</xdr:row>
      <xdr:rowOff>104760</xdr:rowOff>
    </xdr:to>
    <xdr:sp>
      <xdr:nvSpPr>
        <xdr:cNvPr id="424" name="Text 30"/>
        <xdr:cNvSpPr/>
      </xdr:nvSpPr>
      <xdr:spPr>
        <a:xfrm flipV="1">
          <a:off x="8047440" y="2142720"/>
          <a:ext cx="381600" cy="18144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14.1 </a:t>
          </a:r>
          <a:endParaRPr b="0" lang="en-US" sz="800" strike="noStrike" u="none">
            <a:effectLst/>
            <a:uFillTx/>
            <a:latin typeface="Times New Roman"/>
          </a:endParaRPr>
        </a:p>
      </xdr:txBody>
    </xdr:sp>
    <xdr:clientData/>
  </xdr:twoCellAnchor>
  <xdr:twoCellAnchor editAs="absolute">
    <xdr:from>
      <xdr:col>9</xdr:col>
      <xdr:colOff>264600</xdr:colOff>
      <xdr:row>11</xdr:row>
      <xdr:rowOff>66240</xdr:rowOff>
    </xdr:from>
    <xdr:to>
      <xdr:col>10</xdr:col>
      <xdr:colOff>434520</xdr:colOff>
      <xdr:row>12</xdr:row>
      <xdr:rowOff>57240</xdr:rowOff>
    </xdr:to>
    <xdr:sp>
      <xdr:nvSpPr>
        <xdr:cNvPr id="425" name="16058"/>
        <xdr:cNvSpPr/>
      </xdr:nvSpPr>
      <xdr:spPr>
        <a:xfrm>
          <a:off x="8006040" y="2285640"/>
          <a:ext cx="930960" cy="190800"/>
        </a:xfrm>
        <a:prstGeom prst="roundRect">
          <a:avLst>
            <a:gd name="adj" fmla="val 50000"/>
          </a:avLst>
        </a:prstGeom>
        <a:solidFill>
          <a:srgbClr val="ffffff">
            <a:alpha val="50000"/>
          </a:srgbClr>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Exx Clearlake</a:t>
          </a:r>
          <a:endParaRPr b="0" lang="en-US" sz="800" strike="noStrike" u="none">
            <a:effectLst/>
            <a:uFillTx/>
            <a:latin typeface="Times New Roman"/>
          </a:endParaRPr>
        </a:p>
      </xdr:txBody>
    </xdr:sp>
    <xdr:clientData/>
  </xdr:twoCellAnchor>
  <xdr:twoCellAnchor editAs="absolute">
    <xdr:from>
      <xdr:col>8</xdr:col>
      <xdr:colOff>52560</xdr:colOff>
      <xdr:row>8</xdr:row>
      <xdr:rowOff>114840</xdr:rowOff>
    </xdr:from>
    <xdr:to>
      <xdr:col>9</xdr:col>
      <xdr:colOff>328320</xdr:colOff>
      <xdr:row>11</xdr:row>
      <xdr:rowOff>76320</xdr:rowOff>
    </xdr:to>
    <xdr:sp>
      <xdr:nvSpPr>
        <xdr:cNvPr id="426" name="Line 141"/>
        <xdr:cNvSpPr/>
      </xdr:nvSpPr>
      <xdr:spPr>
        <a:xfrm>
          <a:off x="7032600" y="1724400"/>
          <a:ext cx="1037160" cy="571320"/>
        </a:xfrm>
        <a:prstGeom prst="line">
          <a:avLst/>
        </a:prstGeom>
        <a:ln w="9360">
          <a:solidFill>
            <a:srgbClr val="000000"/>
          </a:solidFill>
          <a:miter/>
          <a:headEnd len="med" type="triangle" w="med"/>
        </a:ln>
      </xdr:spPr>
      <xdr:style>
        <a:lnRef idx="0"/>
        <a:fillRef idx="0"/>
        <a:effectRef idx="0"/>
        <a:fontRef idx="minor"/>
      </xdr:style>
    </xdr:sp>
    <xdr:clientData/>
  </xdr:twoCellAnchor>
  <xdr:twoCellAnchor editAs="absolute">
    <xdr:from>
      <xdr:col>7</xdr:col>
      <xdr:colOff>633960</xdr:colOff>
      <xdr:row>5</xdr:row>
      <xdr:rowOff>28800</xdr:rowOff>
    </xdr:from>
    <xdr:to>
      <xdr:col>8</xdr:col>
      <xdr:colOff>370800</xdr:colOff>
      <xdr:row>5</xdr:row>
      <xdr:rowOff>200160</xdr:rowOff>
    </xdr:to>
    <xdr:sp>
      <xdr:nvSpPr>
        <xdr:cNvPr id="427" name="Text 30"/>
        <xdr:cNvSpPr/>
      </xdr:nvSpPr>
      <xdr:spPr>
        <a:xfrm flipV="1">
          <a:off x="6852600" y="1028880"/>
          <a:ext cx="498240" cy="17136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(10.1)</a:t>
          </a:r>
          <a:endParaRPr b="0" lang="en-US" sz="800" strike="noStrike" u="none">
            <a:effectLst/>
            <a:uFillTx/>
            <a:latin typeface="Times New Roman"/>
          </a:endParaRPr>
        </a:p>
      </xdr:txBody>
    </xdr:sp>
    <xdr:clientData/>
  </xdr:twoCellAnchor>
  <xdr:twoCellAnchor editAs="absolute">
    <xdr:from>
      <xdr:col>7</xdr:col>
      <xdr:colOff>591840</xdr:colOff>
      <xdr:row>3</xdr:row>
      <xdr:rowOff>161640</xdr:rowOff>
    </xdr:from>
    <xdr:to>
      <xdr:col>9</xdr:col>
      <xdr:colOff>211680</xdr:colOff>
      <xdr:row>5</xdr:row>
      <xdr:rowOff>9360</xdr:rowOff>
    </xdr:to>
    <xdr:sp>
      <xdr:nvSpPr>
        <xdr:cNvPr id="428" name="26106"/>
        <xdr:cNvSpPr/>
      </xdr:nvSpPr>
      <xdr:spPr>
        <a:xfrm>
          <a:off x="6810480" y="761760"/>
          <a:ext cx="1142640" cy="247680"/>
        </a:xfrm>
        <a:prstGeom prst="roundRect">
          <a:avLst>
            <a:gd name="adj" fmla="val 50000"/>
          </a:avLst>
        </a:prstGeom>
        <a:solidFill>
          <a:srgbClr val="ffffff">
            <a:alpha val="50000"/>
          </a:srgbClr>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HL&amp;P Cedar Bayou</a:t>
          </a:r>
          <a:endParaRPr b="0" lang="en-US" sz="800" strike="noStrike" u="none">
            <a:effectLst/>
            <a:uFillTx/>
            <a:latin typeface="Times New Roman"/>
          </a:endParaRPr>
        </a:p>
      </xdr:txBody>
    </xdr:sp>
    <xdr:clientData/>
  </xdr:twoCellAnchor>
  <xdr:twoCellAnchor editAs="absolute">
    <xdr:from>
      <xdr:col>8</xdr:col>
      <xdr:colOff>370080</xdr:colOff>
      <xdr:row>5</xdr:row>
      <xdr:rowOff>104760</xdr:rowOff>
    </xdr:from>
    <xdr:to>
      <xdr:col>8</xdr:col>
      <xdr:colOff>391680</xdr:colOff>
      <xdr:row>6</xdr:row>
      <xdr:rowOff>181080</xdr:rowOff>
    </xdr:to>
    <xdr:sp>
      <xdr:nvSpPr>
        <xdr:cNvPr id="429" name="Line 144"/>
        <xdr:cNvSpPr/>
      </xdr:nvSpPr>
      <xdr:spPr>
        <a:xfrm flipH="1" flipV="1">
          <a:off x="7350120" y="1104840"/>
          <a:ext cx="21600" cy="27648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absolute">
    <xdr:from>
      <xdr:col>10</xdr:col>
      <xdr:colOff>127440</xdr:colOff>
      <xdr:row>9</xdr:row>
      <xdr:rowOff>190080</xdr:rowOff>
    </xdr:from>
    <xdr:to>
      <xdr:col>10</xdr:col>
      <xdr:colOff>572040</xdr:colOff>
      <xdr:row>10</xdr:row>
      <xdr:rowOff>170640</xdr:rowOff>
    </xdr:to>
    <xdr:sp>
      <xdr:nvSpPr>
        <xdr:cNvPr id="430" name="Text 30"/>
        <xdr:cNvSpPr/>
      </xdr:nvSpPr>
      <xdr:spPr>
        <a:xfrm flipV="1">
          <a:off x="8629920" y="2009160"/>
          <a:ext cx="444600" cy="18036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(18.2)</a:t>
          </a:r>
          <a:endParaRPr b="0" lang="en-US" sz="800" strike="noStrike" u="none">
            <a:effectLst/>
            <a:uFillTx/>
            <a:latin typeface="Times New Roman"/>
          </a:endParaRPr>
        </a:p>
      </xdr:txBody>
    </xdr:sp>
    <xdr:clientData/>
  </xdr:twoCellAnchor>
  <xdr:twoCellAnchor editAs="absolute">
    <xdr:from>
      <xdr:col>10</xdr:col>
      <xdr:colOff>158400</xdr:colOff>
      <xdr:row>8</xdr:row>
      <xdr:rowOff>38520</xdr:rowOff>
    </xdr:from>
    <xdr:to>
      <xdr:col>10</xdr:col>
      <xdr:colOff>592920</xdr:colOff>
      <xdr:row>9</xdr:row>
      <xdr:rowOff>18720</xdr:rowOff>
    </xdr:to>
    <xdr:sp>
      <xdr:nvSpPr>
        <xdr:cNvPr id="431" name="Text 30"/>
        <xdr:cNvSpPr/>
      </xdr:nvSpPr>
      <xdr:spPr>
        <a:xfrm flipV="1">
          <a:off x="8660880" y="1648080"/>
          <a:ext cx="434520" cy="19008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(20.4)</a:t>
          </a:r>
          <a:endParaRPr b="0" lang="en-US" sz="800" strike="noStrike" u="none">
            <a:effectLst/>
            <a:uFillTx/>
            <a:latin typeface="Times New Roman"/>
          </a:endParaRPr>
        </a:p>
      </xdr:txBody>
    </xdr:sp>
    <xdr:clientData/>
  </xdr:twoCellAnchor>
  <xdr:twoCellAnchor editAs="absolute">
    <xdr:from>
      <xdr:col>10</xdr:col>
      <xdr:colOff>42480</xdr:colOff>
      <xdr:row>8</xdr:row>
      <xdr:rowOff>190800</xdr:rowOff>
    </xdr:from>
    <xdr:to>
      <xdr:col>11</xdr:col>
      <xdr:colOff>106560</xdr:colOff>
      <xdr:row>9</xdr:row>
      <xdr:rowOff>181080</xdr:rowOff>
    </xdr:to>
    <xdr:sp>
      <xdr:nvSpPr>
        <xdr:cNvPr id="432" name="26026"/>
        <xdr:cNvSpPr/>
      </xdr:nvSpPr>
      <xdr:spPr>
        <a:xfrm>
          <a:off x="8544960" y="1800360"/>
          <a:ext cx="825480" cy="200160"/>
        </a:xfrm>
        <a:prstGeom prst="roundRect">
          <a:avLst>
            <a:gd name="adj" fmla="val 50000"/>
          </a:avLst>
        </a:prstGeom>
        <a:solidFill>
          <a:srgbClr val="ffffff">
            <a:alpha val="50000"/>
          </a:srgbClr>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HPL Warren</a:t>
          </a:r>
          <a:endParaRPr b="0" lang="en-US" sz="800" strike="noStrike" u="none">
            <a:effectLst/>
            <a:uFillTx/>
            <a:latin typeface="Times New Roman"/>
          </a:endParaRPr>
        </a:p>
      </xdr:txBody>
    </xdr:sp>
    <xdr:clientData/>
  </xdr:twoCellAnchor>
  <xdr:twoCellAnchor editAs="absolute">
    <xdr:from>
      <xdr:col>8</xdr:col>
      <xdr:colOff>666000</xdr:colOff>
      <xdr:row>6</xdr:row>
      <xdr:rowOff>114120</xdr:rowOff>
    </xdr:from>
    <xdr:to>
      <xdr:col>10</xdr:col>
      <xdr:colOff>53640</xdr:colOff>
      <xdr:row>8</xdr:row>
      <xdr:rowOff>199800</xdr:rowOff>
    </xdr:to>
    <xdr:sp>
      <xdr:nvSpPr>
        <xdr:cNvPr id="433" name="Line 148"/>
        <xdr:cNvSpPr/>
      </xdr:nvSpPr>
      <xdr:spPr>
        <a:xfrm>
          <a:off x="7646040" y="1314360"/>
          <a:ext cx="910080" cy="49500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absolute">
    <xdr:from>
      <xdr:col>8</xdr:col>
      <xdr:colOff>412560</xdr:colOff>
      <xdr:row>2</xdr:row>
      <xdr:rowOff>66240</xdr:rowOff>
    </xdr:from>
    <xdr:to>
      <xdr:col>9</xdr:col>
      <xdr:colOff>53280</xdr:colOff>
      <xdr:row>3</xdr:row>
      <xdr:rowOff>56520</xdr:rowOff>
    </xdr:to>
    <xdr:sp>
      <xdr:nvSpPr>
        <xdr:cNvPr id="434" name="Text 30"/>
        <xdr:cNvSpPr/>
      </xdr:nvSpPr>
      <xdr:spPr>
        <a:xfrm flipV="1">
          <a:off x="7392600" y="465840"/>
          <a:ext cx="402120" cy="19044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0.0 </a:t>
          </a:r>
          <a:endParaRPr b="0" lang="en-US" sz="800" strike="noStrike" u="none">
            <a:effectLst/>
            <a:uFillTx/>
            <a:latin typeface="Times New Roman"/>
          </a:endParaRPr>
        </a:p>
      </xdr:txBody>
    </xdr:sp>
    <xdr:clientData/>
  </xdr:twoCellAnchor>
  <xdr:twoCellAnchor editAs="absolute">
    <xdr:from>
      <xdr:col>8</xdr:col>
      <xdr:colOff>380520</xdr:colOff>
      <xdr:row>0</xdr:row>
      <xdr:rowOff>85680</xdr:rowOff>
    </xdr:from>
    <xdr:to>
      <xdr:col>9</xdr:col>
      <xdr:colOff>32400</xdr:colOff>
      <xdr:row>1</xdr:row>
      <xdr:rowOff>65880</xdr:rowOff>
    </xdr:to>
    <xdr:sp>
      <xdr:nvSpPr>
        <xdr:cNvPr id="435" name="Text 30"/>
        <xdr:cNvSpPr/>
      </xdr:nvSpPr>
      <xdr:spPr>
        <a:xfrm flipV="1">
          <a:off x="7360560" y="84960"/>
          <a:ext cx="413280" cy="18036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0.0 </a:t>
          </a:r>
          <a:endParaRPr b="0" lang="en-US" sz="800" strike="noStrike" u="none">
            <a:effectLst/>
            <a:uFillTx/>
            <a:latin typeface="Times New Roman"/>
          </a:endParaRPr>
        </a:p>
      </xdr:txBody>
    </xdr:sp>
    <xdr:clientData/>
  </xdr:twoCellAnchor>
  <xdr:twoCellAnchor editAs="absolute">
    <xdr:from>
      <xdr:col>8</xdr:col>
      <xdr:colOff>338040</xdr:colOff>
      <xdr:row>1</xdr:row>
      <xdr:rowOff>47520</xdr:rowOff>
    </xdr:from>
    <xdr:to>
      <xdr:col>9</xdr:col>
      <xdr:colOff>529200</xdr:colOff>
      <xdr:row>2</xdr:row>
      <xdr:rowOff>47880</xdr:rowOff>
    </xdr:to>
    <xdr:sp>
      <xdr:nvSpPr>
        <xdr:cNvPr id="436" name="16168"/>
        <xdr:cNvSpPr/>
      </xdr:nvSpPr>
      <xdr:spPr>
        <a:xfrm>
          <a:off x="7318080" y="247680"/>
          <a:ext cx="952560" cy="200160"/>
        </a:xfrm>
        <a:prstGeom prst="roundRect">
          <a:avLst>
            <a:gd name="adj" fmla="val 50000"/>
          </a:avLst>
        </a:prstGeom>
        <a:solidFill>
          <a:srgbClr val="ffffff">
            <a:alpha val="50000"/>
          </a:srgbClr>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Midcon Devers</a:t>
          </a:r>
          <a:endParaRPr b="0" lang="en-US" sz="800" strike="noStrike" u="none">
            <a:effectLst/>
            <a:uFillTx/>
            <a:latin typeface="Times New Roman"/>
          </a:endParaRPr>
        </a:p>
      </xdr:txBody>
    </xdr:sp>
    <xdr:clientData/>
  </xdr:twoCellAnchor>
  <xdr:twoCellAnchor editAs="absolute">
    <xdr:from>
      <xdr:col>9</xdr:col>
      <xdr:colOff>74160</xdr:colOff>
      <xdr:row>2</xdr:row>
      <xdr:rowOff>114120</xdr:rowOff>
    </xdr:from>
    <xdr:to>
      <xdr:col>9</xdr:col>
      <xdr:colOff>381240</xdr:colOff>
      <xdr:row>3</xdr:row>
      <xdr:rowOff>200160</xdr:rowOff>
    </xdr:to>
    <xdr:sp>
      <xdr:nvSpPr>
        <xdr:cNvPr id="437" name="Line 152"/>
        <xdr:cNvSpPr/>
      </xdr:nvSpPr>
      <xdr:spPr>
        <a:xfrm>
          <a:off x="7815600" y="514080"/>
          <a:ext cx="307080" cy="28620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absolute">
    <xdr:from>
      <xdr:col>11</xdr:col>
      <xdr:colOff>95400</xdr:colOff>
      <xdr:row>8</xdr:row>
      <xdr:rowOff>123480</xdr:rowOff>
    </xdr:from>
    <xdr:to>
      <xdr:col>11</xdr:col>
      <xdr:colOff>540000</xdr:colOff>
      <xdr:row>9</xdr:row>
      <xdr:rowOff>104040</xdr:rowOff>
    </xdr:to>
    <xdr:sp>
      <xdr:nvSpPr>
        <xdr:cNvPr id="438" name="Text 30"/>
        <xdr:cNvSpPr/>
      </xdr:nvSpPr>
      <xdr:spPr>
        <a:xfrm flipV="1">
          <a:off x="9359280" y="1732680"/>
          <a:ext cx="444600" cy="19044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(11.4)</a:t>
          </a:r>
          <a:endParaRPr b="0" lang="en-US" sz="800" strike="noStrike" u="none">
            <a:effectLst/>
            <a:uFillTx/>
            <a:latin typeface="Times New Roman"/>
          </a:endParaRPr>
        </a:p>
      </xdr:txBody>
    </xdr:sp>
    <xdr:clientData/>
  </xdr:twoCellAnchor>
  <xdr:twoCellAnchor editAs="absolute">
    <xdr:from>
      <xdr:col>11</xdr:col>
      <xdr:colOff>10440</xdr:colOff>
      <xdr:row>7</xdr:row>
      <xdr:rowOff>143280</xdr:rowOff>
    </xdr:from>
    <xdr:to>
      <xdr:col>11</xdr:col>
      <xdr:colOff>730440</xdr:colOff>
      <xdr:row>8</xdr:row>
      <xdr:rowOff>123840</xdr:rowOff>
    </xdr:to>
    <xdr:sp>
      <xdr:nvSpPr>
        <xdr:cNvPr id="439" name="26021"/>
        <xdr:cNvSpPr/>
      </xdr:nvSpPr>
      <xdr:spPr>
        <a:xfrm>
          <a:off x="9274320" y="1543320"/>
          <a:ext cx="720000" cy="190080"/>
        </a:xfrm>
        <a:prstGeom prst="roundRect">
          <a:avLst>
            <a:gd name="adj" fmla="val 50000"/>
          </a:avLst>
        </a:prstGeom>
        <a:solidFill>
          <a:srgbClr val="ffffff">
            <a:alpha val="50000"/>
          </a:srgbClr>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HPL Beaum</a:t>
          </a:r>
          <a:endParaRPr b="0" lang="en-US" sz="800" strike="noStrike" u="none">
            <a:effectLst/>
            <a:uFillTx/>
            <a:latin typeface="Times New Roman"/>
          </a:endParaRPr>
        </a:p>
      </xdr:txBody>
    </xdr:sp>
    <xdr:clientData/>
  </xdr:twoCellAnchor>
  <xdr:twoCellAnchor editAs="absolute">
    <xdr:from>
      <xdr:col>9</xdr:col>
      <xdr:colOff>507600</xdr:colOff>
      <xdr:row>4</xdr:row>
      <xdr:rowOff>85680</xdr:rowOff>
    </xdr:from>
    <xdr:to>
      <xdr:col>11</xdr:col>
      <xdr:colOff>43200</xdr:colOff>
      <xdr:row>7</xdr:row>
      <xdr:rowOff>152280</xdr:rowOff>
    </xdr:to>
    <xdr:sp>
      <xdr:nvSpPr>
        <xdr:cNvPr id="440" name="Line 155"/>
        <xdr:cNvSpPr/>
      </xdr:nvSpPr>
      <xdr:spPr>
        <a:xfrm>
          <a:off x="8249040" y="885960"/>
          <a:ext cx="1058040" cy="66636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absolute">
    <xdr:from>
      <xdr:col>10</xdr:col>
      <xdr:colOff>74520</xdr:colOff>
      <xdr:row>0</xdr:row>
      <xdr:rowOff>-360</xdr:rowOff>
    </xdr:from>
    <xdr:to>
      <xdr:col>10</xdr:col>
      <xdr:colOff>498240</xdr:colOff>
      <xdr:row>0</xdr:row>
      <xdr:rowOff>142560</xdr:rowOff>
    </xdr:to>
    <xdr:sp>
      <xdr:nvSpPr>
        <xdr:cNvPr id="441" name="Text 30"/>
        <xdr:cNvSpPr/>
      </xdr:nvSpPr>
      <xdr:spPr>
        <a:xfrm flipV="1">
          <a:off x="8577000" y="-720"/>
          <a:ext cx="423720" cy="14292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70.9 </a:t>
          </a:r>
          <a:endParaRPr b="0" lang="en-US" sz="800" strike="noStrike" u="none">
            <a:effectLst/>
            <a:uFillTx/>
            <a:latin typeface="Times New Roman"/>
          </a:endParaRPr>
        </a:p>
      </xdr:txBody>
    </xdr:sp>
    <xdr:clientData/>
  </xdr:twoCellAnchor>
  <xdr:twoCellAnchor editAs="absolute">
    <xdr:from>
      <xdr:col>9</xdr:col>
      <xdr:colOff>686880</xdr:colOff>
      <xdr:row>0</xdr:row>
      <xdr:rowOff>142920</xdr:rowOff>
    </xdr:from>
    <xdr:to>
      <xdr:col>10</xdr:col>
      <xdr:colOff>752040</xdr:colOff>
      <xdr:row>1</xdr:row>
      <xdr:rowOff>152280</xdr:rowOff>
    </xdr:to>
    <xdr:sp>
      <xdr:nvSpPr>
        <xdr:cNvPr id="442" name="16335"/>
        <xdr:cNvSpPr/>
      </xdr:nvSpPr>
      <xdr:spPr>
        <a:xfrm>
          <a:off x="8428320" y="142920"/>
          <a:ext cx="826200" cy="209520"/>
        </a:xfrm>
        <a:prstGeom prst="roundRect">
          <a:avLst>
            <a:gd name="adj" fmla="val 50000"/>
          </a:avLst>
        </a:prstGeom>
        <a:solidFill>
          <a:srgbClr val="ffffff">
            <a:alpha val="50000"/>
          </a:srgbClr>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HPL Texoma</a:t>
          </a:r>
          <a:endParaRPr b="0" lang="en-US" sz="800" strike="noStrike" u="none">
            <a:effectLst/>
            <a:uFillTx/>
            <a:latin typeface="Times New Roman"/>
          </a:endParaRPr>
        </a:p>
      </xdr:txBody>
    </xdr:sp>
    <xdr:clientData/>
  </xdr:twoCellAnchor>
  <xdr:twoCellAnchor editAs="absolute">
    <xdr:from>
      <xdr:col>10</xdr:col>
      <xdr:colOff>42480</xdr:colOff>
      <xdr:row>1</xdr:row>
      <xdr:rowOff>152280</xdr:rowOff>
    </xdr:from>
    <xdr:to>
      <xdr:col>10</xdr:col>
      <xdr:colOff>43200</xdr:colOff>
      <xdr:row>3</xdr:row>
      <xdr:rowOff>86040</xdr:rowOff>
    </xdr:to>
    <xdr:sp>
      <xdr:nvSpPr>
        <xdr:cNvPr id="443" name="Line 158"/>
        <xdr:cNvSpPr/>
      </xdr:nvSpPr>
      <xdr:spPr>
        <a:xfrm>
          <a:off x="8544960" y="352440"/>
          <a:ext cx="720" cy="33372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absolute">
    <xdr:from>
      <xdr:col>10</xdr:col>
      <xdr:colOff>200880</xdr:colOff>
      <xdr:row>5</xdr:row>
      <xdr:rowOff>113760</xdr:rowOff>
    </xdr:from>
    <xdr:to>
      <xdr:col>11</xdr:col>
      <xdr:colOff>11160</xdr:colOff>
      <xdr:row>6</xdr:row>
      <xdr:rowOff>65880</xdr:rowOff>
    </xdr:to>
    <xdr:sp>
      <xdr:nvSpPr>
        <xdr:cNvPr id="444" name="Text 30"/>
        <xdr:cNvSpPr/>
      </xdr:nvSpPr>
      <xdr:spPr>
        <a:xfrm flipV="1">
          <a:off x="8703360" y="1113480"/>
          <a:ext cx="571680" cy="15228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(17.6)</a:t>
          </a:r>
          <a:endParaRPr b="0" lang="en-US" sz="800" strike="noStrike" u="none">
            <a:effectLst/>
            <a:uFillTx/>
            <a:latin typeface="Times New Roman"/>
          </a:endParaRPr>
        </a:p>
      </xdr:txBody>
    </xdr:sp>
    <xdr:clientData/>
  </xdr:twoCellAnchor>
  <xdr:twoCellAnchor editAs="absolute">
    <xdr:from>
      <xdr:col>10</xdr:col>
      <xdr:colOff>243360</xdr:colOff>
      <xdr:row>3</xdr:row>
      <xdr:rowOff>151920</xdr:rowOff>
    </xdr:from>
    <xdr:to>
      <xdr:col>10</xdr:col>
      <xdr:colOff>730440</xdr:colOff>
      <xdr:row>4</xdr:row>
      <xdr:rowOff>122760</xdr:rowOff>
    </xdr:to>
    <xdr:sp>
      <xdr:nvSpPr>
        <xdr:cNvPr id="445" name="Text 30"/>
        <xdr:cNvSpPr/>
      </xdr:nvSpPr>
      <xdr:spPr>
        <a:xfrm flipV="1">
          <a:off x="8745840" y="751680"/>
          <a:ext cx="487080" cy="17100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(17.7)</a:t>
          </a:r>
          <a:endParaRPr b="0" lang="en-US" sz="800" strike="noStrike" u="none">
            <a:effectLst/>
            <a:uFillTx/>
            <a:latin typeface="Times New Roman"/>
          </a:endParaRPr>
        </a:p>
      </xdr:txBody>
    </xdr:sp>
    <xdr:clientData/>
  </xdr:twoCellAnchor>
  <xdr:twoCellAnchor editAs="absolute">
    <xdr:from>
      <xdr:col>10</xdr:col>
      <xdr:colOff>127440</xdr:colOff>
      <xdr:row>3</xdr:row>
      <xdr:rowOff>123480</xdr:rowOff>
    </xdr:from>
    <xdr:to>
      <xdr:col>10</xdr:col>
      <xdr:colOff>223200</xdr:colOff>
      <xdr:row>4</xdr:row>
      <xdr:rowOff>85680</xdr:rowOff>
    </xdr:to>
    <xdr:sp>
      <xdr:nvSpPr>
        <xdr:cNvPr id="446" name="Line 161"/>
        <xdr:cNvSpPr/>
      </xdr:nvSpPr>
      <xdr:spPr>
        <a:xfrm>
          <a:off x="8629920" y="723600"/>
          <a:ext cx="95760" cy="16236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absolute">
    <xdr:from>
      <xdr:col>11</xdr:col>
      <xdr:colOff>750960</xdr:colOff>
      <xdr:row>2</xdr:row>
      <xdr:rowOff>142920</xdr:rowOff>
    </xdr:from>
    <xdr:to>
      <xdr:col>12</xdr:col>
      <xdr:colOff>413640</xdr:colOff>
      <xdr:row>3</xdr:row>
      <xdr:rowOff>76680</xdr:rowOff>
    </xdr:to>
    <xdr:sp>
      <xdr:nvSpPr>
        <xdr:cNvPr id="447" name="Text 30"/>
        <xdr:cNvSpPr/>
      </xdr:nvSpPr>
      <xdr:spPr>
        <a:xfrm flipV="1">
          <a:off x="10014840" y="542880"/>
          <a:ext cx="424080" cy="13392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0.0 </a:t>
          </a:r>
          <a:endParaRPr b="0" lang="en-US" sz="800" strike="noStrike" u="none">
            <a:effectLst/>
            <a:uFillTx/>
            <a:latin typeface="Times New Roman"/>
          </a:endParaRPr>
        </a:p>
      </xdr:txBody>
    </xdr:sp>
    <xdr:clientData/>
  </xdr:twoCellAnchor>
  <xdr:twoCellAnchor editAs="absolute">
    <xdr:from>
      <xdr:col>11</xdr:col>
      <xdr:colOff>750960</xdr:colOff>
      <xdr:row>1</xdr:row>
      <xdr:rowOff>9000</xdr:rowOff>
    </xdr:from>
    <xdr:to>
      <xdr:col>12</xdr:col>
      <xdr:colOff>434160</xdr:colOff>
      <xdr:row>1</xdr:row>
      <xdr:rowOff>161280</xdr:rowOff>
    </xdr:to>
    <xdr:sp>
      <xdr:nvSpPr>
        <xdr:cNvPr id="448" name="Text 30"/>
        <xdr:cNvSpPr/>
      </xdr:nvSpPr>
      <xdr:spPr>
        <a:xfrm flipV="1">
          <a:off x="10014840" y="208440"/>
          <a:ext cx="444600" cy="15228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0.0 </a:t>
          </a:r>
          <a:endParaRPr b="0" lang="en-US" sz="800" strike="noStrike" u="none">
            <a:effectLst/>
            <a:uFillTx/>
            <a:latin typeface="Times New Roman"/>
          </a:endParaRPr>
        </a:p>
      </xdr:txBody>
    </xdr:sp>
    <xdr:clientData/>
  </xdr:twoCellAnchor>
  <xdr:twoCellAnchor editAs="absolute">
    <xdr:from>
      <xdr:col>11</xdr:col>
      <xdr:colOff>327960</xdr:colOff>
      <xdr:row>1</xdr:row>
      <xdr:rowOff>142920</xdr:rowOff>
    </xdr:from>
    <xdr:to>
      <xdr:col>12</xdr:col>
      <xdr:colOff>381600</xdr:colOff>
      <xdr:row>2</xdr:row>
      <xdr:rowOff>142920</xdr:rowOff>
    </xdr:to>
    <xdr:sp>
      <xdr:nvSpPr>
        <xdr:cNvPr id="449" name="16179"/>
        <xdr:cNvSpPr/>
      </xdr:nvSpPr>
      <xdr:spPr>
        <a:xfrm>
          <a:off x="9591840" y="343080"/>
          <a:ext cx="815040" cy="199800"/>
        </a:xfrm>
        <a:prstGeom prst="roundRect">
          <a:avLst>
            <a:gd name="adj" fmla="val 50000"/>
          </a:avLst>
        </a:prstGeom>
        <a:solidFill>
          <a:srgbClr val="ffffff">
            <a:alpha val="50000"/>
          </a:srgbClr>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TGP Sabine</a:t>
          </a:r>
          <a:endParaRPr b="0" lang="en-US" sz="800" strike="noStrike" u="none">
            <a:effectLst/>
            <a:uFillTx/>
            <a:latin typeface="Times New Roman"/>
          </a:endParaRPr>
        </a:p>
      </xdr:txBody>
    </xdr:sp>
    <xdr:clientData/>
  </xdr:twoCellAnchor>
  <xdr:twoCellAnchor editAs="absolute">
    <xdr:from>
      <xdr:col>11</xdr:col>
      <xdr:colOff>84600</xdr:colOff>
      <xdr:row>2</xdr:row>
      <xdr:rowOff>66600</xdr:rowOff>
    </xdr:from>
    <xdr:to>
      <xdr:col>11</xdr:col>
      <xdr:colOff>328320</xdr:colOff>
      <xdr:row>2</xdr:row>
      <xdr:rowOff>104760</xdr:rowOff>
    </xdr:to>
    <xdr:sp>
      <xdr:nvSpPr>
        <xdr:cNvPr id="450" name="Line 165"/>
        <xdr:cNvSpPr/>
      </xdr:nvSpPr>
      <xdr:spPr>
        <a:xfrm flipH="1">
          <a:off x="9348480" y="466560"/>
          <a:ext cx="243720" cy="38160"/>
        </a:xfrm>
        <a:prstGeom prst="line">
          <a:avLst/>
        </a:prstGeom>
        <a:ln w="9360">
          <a:solidFill>
            <a:srgbClr val="000000"/>
          </a:solidFill>
          <a:miter/>
          <a:headEnd len="med" type="triangle" w="med"/>
          <a:tailEnd len="med" type="triangle" w="med"/>
        </a:ln>
      </xdr:spPr>
      <xdr:style>
        <a:lnRef idx="0"/>
        <a:fillRef idx="0"/>
        <a:effectRef idx="0"/>
        <a:fontRef idx="minor"/>
      </xdr:style>
    </xdr:sp>
    <xdr:clientData/>
  </xdr:twoCellAnchor>
  <xdr:twoCellAnchor editAs="absolute">
    <xdr:from>
      <xdr:col>2</xdr:col>
      <xdr:colOff>634320</xdr:colOff>
      <xdr:row>0</xdr:row>
      <xdr:rowOff>38160</xdr:rowOff>
    </xdr:from>
    <xdr:to>
      <xdr:col>6</xdr:col>
      <xdr:colOff>413280</xdr:colOff>
      <xdr:row>9</xdr:row>
      <xdr:rowOff>38160</xdr:rowOff>
    </xdr:to>
    <xdr:sp>
      <xdr:nvSpPr>
        <xdr:cNvPr id="451" name="26006"/>
        <xdr:cNvSpPr/>
      </xdr:nvSpPr>
      <xdr:spPr>
        <a:xfrm>
          <a:off x="3045960" y="38160"/>
          <a:ext cx="2824560" cy="1819440"/>
        </a:xfrm>
        <a:prstGeom prst="wedgeRoundRectCallout">
          <a:avLst>
            <a:gd name="adj1" fmla="val 82500"/>
            <a:gd name="adj2" fmla="val 32189"/>
            <a:gd name="adj3" fmla="val 16667"/>
          </a:avLst>
        </a:prstGeom>
        <a:no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twoCellAnchor editAs="absolute">
    <xdr:from>
      <xdr:col>10</xdr:col>
      <xdr:colOff>180000</xdr:colOff>
      <xdr:row>4</xdr:row>
      <xdr:rowOff>85680</xdr:rowOff>
    </xdr:from>
    <xdr:to>
      <xdr:col>11</xdr:col>
      <xdr:colOff>170280</xdr:colOff>
      <xdr:row>5</xdr:row>
      <xdr:rowOff>86040</xdr:rowOff>
    </xdr:to>
    <xdr:sp>
      <xdr:nvSpPr>
        <xdr:cNvPr id="452" name="26126"/>
        <xdr:cNvSpPr/>
      </xdr:nvSpPr>
      <xdr:spPr>
        <a:xfrm>
          <a:off x="8682480" y="885960"/>
          <a:ext cx="751680" cy="200160"/>
        </a:xfrm>
        <a:prstGeom prst="roundRect">
          <a:avLst>
            <a:gd name="adj" fmla="val 50000"/>
          </a:avLst>
        </a:prstGeom>
        <a:solidFill>
          <a:srgbClr val="ffffff">
            <a:alpha val="50000"/>
          </a:srgbClr>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Gulf States</a:t>
          </a:r>
          <a:endParaRPr b="0" lang="en-US" sz="800" strike="noStrike" u="none">
            <a:effectLst/>
            <a:uFillTx/>
            <a:latin typeface="Times New Roman"/>
          </a:endParaRPr>
        </a:p>
      </xdr:txBody>
    </xdr:sp>
    <xdr:clientData/>
  </xdr:twoCellAnchor>
  <xdr:twoCellAnchor editAs="absolute">
    <xdr:from>
      <xdr:col>6</xdr:col>
      <xdr:colOff>708480</xdr:colOff>
      <xdr:row>21</xdr:row>
      <xdr:rowOff>181440</xdr:rowOff>
    </xdr:from>
    <xdr:to>
      <xdr:col>7</xdr:col>
      <xdr:colOff>74880</xdr:colOff>
      <xdr:row>22</xdr:row>
      <xdr:rowOff>76320</xdr:rowOff>
    </xdr:to>
    <xdr:sp>
      <xdr:nvSpPr>
        <xdr:cNvPr id="453" name="806A01"/>
        <xdr:cNvSpPr/>
      </xdr:nvSpPr>
      <xdr:spPr>
        <a:xfrm>
          <a:off x="6165720" y="4401000"/>
          <a:ext cx="127800" cy="95040"/>
        </a:xfrm>
        <a:prstGeom prst="ellipse">
          <a:avLst/>
        </a:prstGeom>
        <a:solidFill>
          <a:srgbClr val="00ff00"/>
        </a:solid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twoCellAnchor editAs="absolute">
    <xdr:from>
      <xdr:col>7</xdr:col>
      <xdr:colOff>115920</xdr:colOff>
      <xdr:row>21</xdr:row>
      <xdr:rowOff>181440</xdr:rowOff>
    </xdr:from>
    <xdr:to>
      <xdr:col>7</xdr:col>
      <xdr:colOff>243720</xdr:colOff>
      <xdr:row>22</xdr:row>
      <xdr:rowOff>76320</xdr:rowOff>
    </xdr:to>
    <xdr:sp>
      <xdr:nvSpPr>
        <xdr:cNvPr id="454" name="806A02"/>
        <xdr:cNvSpPr/>
      </xdr:nvSpPr>
      <xdr:spPr>
        <a:xfrm>
          <a:off x="6334560" y="4401000"/>
          <a:ext cx="127800" cy="95040"/>
        </a:xfrm>
        <a:prstGeom prst="ellipse">
          <a:avLst/>
        </a:prstGeom>
        <a:solidFill>
          <a:srgbClr val="00ff00"/>
        </a:solid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twoCellAnchor editAs="absolute">
    <xdr:from>
      <xdr:col>7</xdr:col>
      <xdr:colOff>285480</xdr:colOff>
      <xdr:row>21</xdr:row>
      <xdr:rowOff>181440</xdr:rowOff>
    </xdr:from>
    <xdr:to>
      <xdr:col>7</xdr:col>
      <xdr:colOff>413280</xdr:colOff>
      <xdr:row>22</xdr:row>
      <xdr:rowOff>76320</xdr:rowOff>
    </xdr:to>
    <xdr:sp>
      <xdr:nvSpPr>
        <xdr:cNvPr id="455" name="806A03"/>
        <xdr:cNvSpPr/>
      </xdr:nvSpPr>
      <xdr:spPr>
        <a:xfrm>
          <a:off x="6504120" y="4401000"/>
          <a:ext cx="127800" cy="95040"/>
        </a:xfrm>
        <a:prstGeom prst="ellipse">
          <a:avLst/>
        </a:prstGeom>
        <a:solidFill>
          <a:srgbClr val="ffff00"/>
        </a:solid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twoCellAnchor editAs="absolute">
    <xdr:from>
      <xdr:col>6</xdr:col>
      <xdr:colOff>200880</xdr:colOff>
      <xdr:row>23</xdr:row>
      <xdr:rowOff>142920</xdr:rowOff>
    </xdr:from>
    <xdr:to>
      <xdr:col>6</xdr:col>
      <xdr:colOff>328680</xdr:colOff>
      <xdr:row>24</xdr:row>
      <xdr:rowOff>28800</xdr:rowOff>
    </xdr:to>
    <xdr:sp>
      <xdr:nvSpPr>
        <xdr:cNvPr id="456" name="804A01"/>
        <xdr:cNvSpPr/>
      </xdr:nvSpPr>
      <xdr:spPr>
        <a:xfrm>
          <a:off x="5658120" y="4762440"/>
          <a:ext cx="127800" cy="86040"/>
        </a:xfrm>
        <a:prstGeom prst="triangle">
          <a:avLst>
            <a:gd name="adj" fmla="val 50000"/>
          </a:avLst>
        </a:prstGeom>
        <a:solidFill>
          <a:srgbClr val="ff0000"/>
        </a:solid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twoCellAnchor editAs="absolute">
    <xdr:from>
      <xdr:col>6</xdr:col>
      <xdr:colOff>370080</xdr:colOff>
      <xdr:row>23</xdr:row>
      <xdr:rowOff>142920</xdr:rowOff>
    </xdr:from>
    <xdr:to>
      <xdr:col>6</xdr:col>
      <xdr:colOff>497520</xdr:colOff>
      <xdr:row>24</xdr:row>
      <xdr:rowOff>28800</xdr:rowOff>
    </xdr:to>
    <xdr:sp>
      <xdr:nvSpPr>
        <xdr:cNvPr id="457" name="804A02"/>
        <xdr:cNvSpPr/>
      </xdr:nvSpPr>
      <xdr:spPr>
        <a:xfrm>
          <a:off x="5827320" y="4762440"/>
          <a:ext cx="127440" cy="86040"/>
        </a:xfrm>
        <a:prstGeom prst="triangle">
          <a:avLst>
            <a:gd name="adj" fmla="val 50000"/>
          </a:avLst>
        </a:prstGeom>
        <a:solidFill>
          <a:srgbClr val="ff0000"/>
        </a:solid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twoCellAnchor editAs="absolute">
    <xdr:from>
      <xdr:col>7</xdr:col>
      <xdr:colOff>243000</xdr:colOff>
      <xdr:row>3</xdr:row>
      <xdr:rowOff>76680</xdr:rowOff>
    </xdr:from>
    <xdr:to>
      <xdr:col>7</xdr:col>
      <xdr:colOff>635040</xdr:colOff>
      <xdr:row>4</xdr:row>
      <xdr:rowOff>28800</xdr:rowOff>
    </xdr:to>
    <xdr:sp>
      <xdr:nvSpPr>
        <xdr:cNvPr id="458" name="p26114d"/>
        <xdr:cNvSpPr/>
      </xdr:nvSpPr>
      <xdr:spPr>
        <a:xfrm>
          <a:off x="6461640" y="676800"/>
          <a:ext cx="392040" cy="152280"/>
        </a:xfrm>
        <a:prstGeom prst="rect">
          <a:avLst/>
        </a:prstGeom>
        <a:noFill/>
        <a:ln w="0">
          <a:noFill/>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800" strike="noStrike" u="none">
              <a:solidFill>
                <a:srgbClr val="008000"/>
              </a:solidFill>
              <a:effectLst/>
              <a:uFillTx/>
              <a:latin typeface="Times New Roman"/>
            </a:rPr>
            <a:t> 595 </a:t>
          </a:r>
          <a:endParaRPr b="0" lang="en-US" sz="800" strike="noStrike" u="none">
            <a:effectLst/>
            <a:uFillTx/>
            <a:latin typeface="Times New Roman"/>
          </a:endParaRPr>
        </a:p>
      </xdr:txBody>
    </xdr:sp>
    <xdr:clientData/>
  </xdr:twoCellAnchor>
  <xdr:twoCellAnchor editAs="absolute">
    <xdr:from>
      <xdr:col>10</xdr:col>
      <xdr:colOff>455040</xdr:colOff>
      <xdr:row>3</xdr:row>
      <xdr:rowOff>9360</xdr:rowOff>
    </xdr:from>
    <xdr:to>
      <xdr:col>11</xdr:col>
      <xdr:colOff>96120</xdr:colOff>
      <xdr:row>3</xdr:row>
      <xdr:rowOff>152280</xdr:rowOff>
    </xdr:to>
    <xdr:sp>
      <xdr:nvSpPr>
        <xdr:cNvPr id="459" name="p26167d"/>
        <xdr:cNvSpPr/>
      </xdr:nvSpPr>
      <xdr:spPr>
        <a:xfrm>
          <a:off x="8957520" y="609480"/>
          <a:ext cx="402480" cy="142920"/>
        </a:xfrm>
        <a:prstGeom prst="rect">
          <a:avLst/>
        </a:prstGeom>
        <a:noFill/>
        <a:ln w="0">
          <a:noFill/>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800" strike="noStrike" u="none">
              <a:solidFill>
                <a:srgbClr val="008000"/>
              </a:solidFill>
              <a:effectLst/>
              <a:uFillTx/>
              <a:latin typeface="Times New Roman"/>
            </a:rPr>
            <a:t> 635 </a:t>
          </a:r>
          <a:endParaRPr b="0" lang="en-US" sz="800" strike="noStrike" u="none">
            <a:effectLst/>
            <a:uFillTx/>
            <a:latin typeface="Times New Roman"/>
          </a:endParaRPr>
        </a:p>
      </xdr:txBody>
    </xdr:sp>
    <xdr:clientData/>
  </xdr:twoCellAnchor>
  <xdr:twoCellAnchor editAs="absolute">
    <xdr:from>
      <xdr:col>4</xdr:col>
      <xdr:colOff>518400</xdr:colOff>
      <xdr:row>26</xdr:row>
      <xdr:rowOff>66600</xdr:rowOff>
    </xdr:from>
    <xdr:to>
      <xdr:col>5</xdr:col>
      <xdr:colOff>180720</xdr:colOff>
      <xdr:row>26</xdr:row>
      <xdr:rowOff>200160</xdr:rowOff>
    </xdr:to>
    <xdr:sp>
      <xdr:nvSpPr>
        <xdr:cNvPr id="460" name="p802s"/>
        <xdr:cNvSpPr/>
      </xdr:nvSpPr>
      <xdr:spPr>
        <a:xfrm>
          <a:off x="4452840" y="5286240"/>
          <a:ext cx="423720" cy="133560"/>
        </a:xfrm>
        <a:prstGeom prst="rect">
          <a:avLst/>
        </a:prstGeom>
        <a:noFill/>
        <a:ln w="0">
          <a:noFill/>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1" lang="en-US" sz="800" strike="noStrike" u="none">
              <a:solidFill>
                <a:srgbClr val="008000"/>
              </a:solidFill>
              <a:effectLst/>
              <a:uFillTx/>
              <a:latin typeface="Times New Roman"/>
            </a:rPr>
            <a:t> 787 </a:t>
          </a:r>
          <a:endParaRPr b="0" lang="en-US" sz="800" strike="noStrike" u="none">
            <a:effectLst/>
            <a:uFillTx/>
            <a:latin typeface="Times New Roman"/>
          </a:endParaRPr>
        </a:p>
      </xdr:txBody>
    </xdr:sp>
    <xdr:clientData/>
  </xdr:twoCellAnchor>
  <xdr:twoCellAnchor editAs="absolute">
    <xdr:from>
      <xdr:col>5</xdr:col>
      <xdr:colOff>603000</xdr:colOff>
      <xdr:row>25</xdr:row>
      <xdr:rowOff>38160</xdr:rowOff>
    </xdr:from>
    <xdr:to>
      <xdr:col>6</xdr:col>
      <xdr:colOff>265320</xdr:colOff>
      <xdr:row>25</xdr:row>
      <xdr:rowOff>190440</xdr:rowOff>
    </xdr:to>
    <xdr:sp>
      <xdr:nvSpPr>
        <xdr:cNvPr id="461" name="p804s"/>
        <xdr:cNvSpPr/>
      </xdr:nvSpPr>
      <xdr:spPr>
        <a:xfrm>
          <a:off x="5298840" y="5058000"/>
          <a:ext cx="423720" cy="152280"/>
        </a:xfrm>
        <a:prstGeom prst="rect">
          <a:avLst/>
        </a:prstGeom>
        <a:noFill/>
        <a:ln w="0">
          <a:noFill/>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1" lang="en-US" sz="800" strike="noStrike" u="none">
              <a:solidFill>
                <a:srgbClr val="008000"/>
              </a:solidFill>
              <a:effectLst/>
              <a:uFillTx/>
              <a:latin typeface="Times New Roman"/>
            </a:rPr>
            <a:t> 738 </a:t>
          </a:r>
          <a:endParaRPr b="0" lang="en-US" sz="800" strike="noStrike" u="none">
            <a:effectLst/>
            <a:uFillTx/>
            <a:latin typeface="Times New Roman"/>
          </a:endParaRPr>
        </a:p>
      </xdr:txBody>
    </xdr:sp>
    <xdr:clientData/>
  </xdr:twoCellAnchor>
  <xdr:twoCellAnchor editAs="absolute">
    <xdr:from>
      <xdr:col>6</xdr:col>
      <xdr:colOff>465480</xdr:colOff>
      <xdr:row>25</xdr:row>
      <xdr:rowOff>66240</xdr:rowOff>
    </xdr:from>
    <xdr:to>
      <xdr:col>7</xdr:col>
      <xdr:colOff>127800</xdr:colOff>
      <xdr:row>26</xdr:row>
      <xdr:rowOff>28800</xdr:rowOff>
    </xdr:to>
    <xdr:sp>
      <xdr:nvSpPr>
        <xdr:cNvPr id="462" name="p804d"/>
        <xdr:cNvSpPr/>
      </xdr:nvSpPr>
      <xdr:spPr>
        <a:xfrm>
          <a:off x="5922720" y="5086080"/>
          <a:ext cx="423720" cy="162360"/>
        </a:xfrm>
        <a:prstGeom prst="rect">
          <a:avLst/>
        </a:prstGeom>
        <a:noFill/>
        <a:ln w="0">
          <a:noFill/>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1" lang="en-US" sz="800" strike="noStrike" u="none">
              <a:solidFill>
                <a:srgbClr val="008000"/>
              </a:solidFill>
              <a:effectLst/>
              <a:uFillTx/>
              <a:latin typeface="Times New Roman"/>
            </a:rPr>
            <a:t> 736 </a:t>
          </a:r>
          <a:endParaRPr b="0" lang="en-US" sz="800" strike="noStrike" u="none">
            <a:effectLst/>
            <a:uFillTx/>
            <a:latin typeface="Times New Roman"/>
          </a:endParaRPr>
        </a:p>
      </xdr:txBody>
    </xdr:sp>
    <xdr:clientData/>
  </xdr:twoCellAnchor>
  <xdr:twoCellAnchor editAs="oneCell">
    <xdr:from>
      <xdr:col>10</xdr:col>
      <xdr:colOff>719280</xdr:colOff>
      <xdr:row>2</xdr:row>
      <xdr:rowOff>142920</xdr:rowOff>
    </xdr:from>
    <xdr:to>
      <xdr:col>12</xdr:col>
      <xdr:colOff>201600</xdr:colOff>
      <xdr:row>7</xdr:row>
      <xdr:rowOff>152280</xdr:rowOff>
    </xdr:to>
    <xdr:sp>
      <xdr:nvSpPr>
        <xdr:cNvPr id="463" name="Line 178"/>
        <xdr:cNvSpPr/>
      </xdr:nvSpPr>
      <xdr:spPr>
        <a:xfrm flipH="1" flipV="1">
          <a:off x="9221760" y="542880"/>
          <a:ext cx="1005120" cy="1009440"/>
        </a:xfrm>
        <a:prstGeom prst="line">
          <a:avLst/>
        </a:prstGeom>
        <a:ln w="9360">
          <a:solidFill>
            <a:srgbClr val="000000"/>
          </a:solidFill>
          <a:prstDash val="dash"/>
          <a:miter/>
        </a:ln>
      </xdr:spPr>
      <xdr:style>
        <a:lnRef idx="0"/>
        <a:fillRef idx="0"/>
        <a:effectRef idx="0"/>
        <a:fontRef idx="minor"/>
      </xdr:style>
    </xdr:sp>
    <xdr:clientData/>
  </xdr:twoCellAnchor>
  <xdr:twoCellAnchor editAs="absolute">
    <xdr:from>
      <xdr:col>8</xdr:col>
      <xdr:colOff>750960</xdr:colOff>
      <xdr:row>17</xdr:row>
      <xdr:rowOff>9360</xdr:rowOff>
    </xdr:from>
    <xdr:to>
      <xdr:col>9</xdr:col>
      <xdr:colOff>434160</xdr:colOff>
      <xdr:row>17</xdr:row>
      <xdr:rowOff>181080</xdr:rowOff>
    </xdr:to>
    <xdr:sp>
      <xdr:nvSpPr>
        <xdr:cNvPr id="464" name="p809s"/>
        <xdr:cNvSpPr/>
      </xdr:nvSpPr>
      <xdr:spPr>
        <a:xfrm>
          <a:off x="7731000" y="3429000"/>
          <a:ext cx="444600" cy="171720"/>
        </a:xfrm>
        <a:prstGeom prst="rect">
          <a:avLst/>
        </a:prstGeom>
        <a:noFill/>
        <a:ln w="0">
          <a:noFill/>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1" lang="en-US" sz="800" strike="noStrike" u="none">
              <a:solidFill>
                <a:srgbClr val="008000"/>
              </a:solidFill>
              <a:effectLst/>
              <a:uFillTx/>
              <a:latin typeface="Times New Roman"/>
            </a:rPr>
            <a:t> 724 </a:t>
          </a:r>
          <a:endParaRPr b="0" lang="en-US" sz="800" strike="noStrike" u="none">
            <a:effectLst/>
            <a:uFillTx/>
            <a:latin typeface="Times New Roman"/>
          </a:endParaRPr>
        </a:p>
      </xdr:txBody>
    </xdr:sp>
    <xdr:clientData/>
  </xdr:twoCellAnchor>
  <xdr:twoCellAnchor editAs="absolute">
    <xdr:from>
      <xdr:col>9</xdr:col>
      <xdr:colOff>676440</xdr:colOff>
      <xdr:row>17</xdr:row>
      <xdr:rowOff>28800</xdr:rowOff>
    </xdr:from>
    <xdr:to>
      <xdr:col>10</xdr:col>
      <xdr:colOff>349560</xdr:colOff>
      <xdr:row>17</xdr:row>
      <xdr:rowOff>181080</xdr:rowOff>
    </xdr:to>
    <xdr:sp>
      <xdr:nvSpPr>
        <xdr:cNvPr id="465" name="p809s"/>
        <xdr:cNvSpPr/>
      </xdr:nvSpPr>
      <xdr:spPr>
        <a:xfrm>
          <a:off x="8417880" y="3448440"/>
          <a:ext cx="434160" cy="152280"/>
        </a:xfrm>
        <a:prstGeom prst="rect">
          <a:avLst/>
        </a:prstGeom>
        <a:noFill/>
        <a:ln w="0">
          <a:noFill/>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1" lang="en-US" sz="800" strike="noStrike" u="none">
              <a:solidFill>
                <a:srgbClr val="008000"/>
              </a:solidFill>
              <a:effectLst/>
              <a:uFillTx/>
              <a:latin typeface="Times New Roman"/>
            </a:rPr>
            <a:t> 719 </a:t>
          </a:r>
          <a:endParaRPr b="0" lang="en-US" sz="800" strike="noStrike" u="none">
            <a:effectLst/>
            <a:uFillTx/>
            <a:latin typeface="Times New Roman"/>
          </a:endParaRPr>
        </a:p>
      </xdr:txBody>
    </xdr:sp>
    <xdr:clientData/>
  </xdr:twoCellAnchor>
  <xdr:twoCellAnchor editAs="absolute">
    <xdr:from>
      <xdr:col>12</xdr:col>
      <xdr:colOff>0</xdr:colOff>
      <xdr:row>11</xdr:row>
      <xdr:rowOff>161640</xdr:rowOff>
    </xdr:from>
    <xdr:to>
      <xdr:col>12</xdr:col>
      <xdr:colOff>508680</xdr:colOff>
      <xdr:row>12</xdr:row>
      <xdr:rowOff>104760</xdr:rowOff>
    </xdr:to>
    <xdr:sp>
      <xdr:nvSpPr>
        <xdr:cNvPr id="466" name="Text 120"/>
        <xdr:cNvSpPr/>
      </xdr:nvSpPr>
      <xdr:spPr>
        <a:xfrm>
          <a:off x="10025280" y="2381040"/>
          <a:ext cx="508680" cy="14292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(36.0)</a:t>
          </a:r>
          <a:endParaRPr b="0" lang="en-US" sz="800" strike="noStrike" u="none">
            <a:effectLst/>
            <a:uFillTx/>
            <a:latin typeface="Times New Roman"/>
          </a:endParaRPr>
        </a:p>
      </xdr:txBody>
    </xdr:sp>
    <xdr:clientData/>
  </xdr:twoCellAnchor>
  <xdr:twoCellAnchor editAs="absolute">
    <xdr:from>
      <xdr:col>12</xdr:col>
      <xdr:colOff>10440</xdr:colOff>
      <xdr:row>10</xdr:row>
      <xdr:rowOff>28800</xdr:rowOff>
    </xdr:from>
    <xdr:to>
      <xdr:col>12</xdr:col>
      <xdr:colOff>497520</xdr:colOff>
      <xdr:row>10</xdr:row>
      <xdr:rowOff>190800</xdr:rowOff>
    </xdr:to>
    <xdr:sp>
      <xdr:nvSpPr>
        <xdr:cNvPr id="467" name="Text 107"/>
        <xdr:cNvSpPr/>
      </xdr:nvSpPr>
      <xdr:spPr>
        <a:xfrm>
          <a:off x="10035720" y="2048040"/>
          <a:ext cx="487080" cy="16200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(40.9)</a:t>
          </a:r>
          <a:endParaRPr b="0" lang="en-US" sz="800" strike="noStrike" u="none">
            <a:effectLst/>
            <a:uFillTx/>
            <a:latin typeface="Times New Roman"/>
          </a:endParaRPr>
        </a:p>
      </xdr:txBody>
    </xdr:sp>
    <xdr:clientData/>
  </xdr:twoCellAnchor>
  <xdr:twoCellAnchor editAs="absolute">
    <xdr:from>
      <xdr:col>12</xdr:col>
      <xdr:colOff>52920</xdr:colOff>
      <xdr:row>10</xdr:row>
      <xdr:rowOff>190800</xdr:rowOff>
    </xdr:from>
    <xdr:to>
      <xdr:col>12</xdr:col>
      <xdr:colOff>371160</xdr:colOff>
      <xdr:row>11</xdr:row>
      <xdr:rowOff>143640</xdr:rowOff>
    </xdr:to>
    <xdr:sp>
      <xdr:nvSpPr>
        <xdr:cNvPr id="468" name="816"/>
        <xdr:cNvSpPr/>
      </xdr:nvSpPr>
      <xdr:spPr>
        <a:xfrm>
          <a:off x="10078200" y="2210040"/>
          <a:ext cx="318240" cy="153000"/>
        </a:xfrm>
        <a:prstGeom prst="rect">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spAutoFit/>
        </a:bodyPr>
        <a:p>
          <a:pPr algn="ctr"/>
          <a:r>
            <a:rPr b="0" lang="en-US" sz="800" strike="noStrike" u="none">
              <a:effectLst/>
              <a:uFillTx/>
              <a:latin typeface="Times New Roman"/>
            </a:rPr>
            <a:t>816</a:t>
          </a:r>
          <a:endParaRPr b="0" lang="en-US" sz="800" strike="noStrike" u="none">
            <a:effectLst/>
            <a:uFillTx/>
            <a:latin typeface="Times New Roman"/>
          </a:endParaRPr>
        </a:p>
      </xdr:txBody>
    </xdr:sp>
    <xdr:clientData/>
  </xdr:twoCellAnchor>
  <xdr:twoCellAnchor editAs="absolute">
    <xdr:from>
      <xdr:col>8</xdr:col>
      <xdr:colOff>666000</xdr:colOff>
      <xdr:row>6</xdr:row>
      <xdr:rowOff>9360</xdr:rowOff>
    </xdr:from>
    <xdr:to>
      <xdr:col>8</xdr:col>
      <xdr:colOff>751680</xdr:colOff>
      <xdr:row>6</xdr:row>
      <xdr:rowOff>104760</xdr:rowOff>
    </xdr:to>
    <xdr:sp>
      <xdr:nvSpPr>
        <xdr:cNvPr id="469" name="Rectangle 184"/>
        <xdr:cNvSpPr/>
      </xdr:nvSpPr>
      <xdr:spPr>
        <a:xfrm>
          <a:off x="7646040" y="1209600"/>
          <a:ext cx="85680" cy="95400"/>
        </a:xfrm>
        <a:prstGeom prst="rect">
          <a:avLst/>
        </a:prstGeom>
        <a:solidFill>
          <a:srgbClr val="008000"/>
        </a:solid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twoCellAnchor editAs="absolute">
    <xdr:from>
      <xdr:col>7</xdr:col>
      <xdr:colOff>243000</xdr:colOff>
      <xdr:row>17</xdr:row>
      <xdr:rowOff>85680</xdr:rowOff>
    </xdr:from>
    <xdr:to>
      <xdr:col>7</xdr:col>
      <xdr:colOff>666720</xdr:colOff>
      <xdr:row>18</xdr:row>
      <xdr:rowOff>38520</xdr:rowOff>
    </xdr:to>
    <xdr:sp>
      <xdr:nvSpPr>
        <xdr:cNvPr id="470" name="Text 30"/>
        <xdr:cNvSpPr/>
      </xdr:nvSpPr>
      <xdr:spPr>
        <a:xfrm flipV="1">
          <a:off x="6461640" y="3505320"/>
          <a:ext cx="423720" cy="15264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0.0 </a:t>
          </a:r>
          <a:endParaRPr b="0" lang="en-US" sz="800" strike="noStrike" u="none">
            <a:effectLst/>
            <a:uFillTx/>
            <a:latin typeface="Times New Roman"/>
          </a:endParaRPr>
        </a:p>
      </xdr:txBody>
    </xdr:sp>
    <xdr:clientData/>
  </xdr:twoCellAnchor>
  <xdr:twoCellAnchor editAs="absolute">
    <xdr:from>
      <xdr:col>7</xdr:col>
      <xdr:colOff>222120</xdr:colOff>
      <xdr:row>19</xdr:row>
      <xdr:rowOff>66240</xdr:rowOff>
    </xdr:from>
    <xdr:to>
      <xdr:col>7</xdr:col>
      <xdr:colOff>624600</xdr:colOff>
      <xdr:row>20</xdr:row>
      <xdr:rowOff>29160</xdr:rowOff>
    </xdr:to>
    <xdr:sp>
      <xdr:nvSpPr>
        <xdr:cNvPr id="471" name="Text 30"/>
        <xdr:cNvSpPr/>
      </xdr:nvSpPr>
      <xdr:spPr>
        <a:xfrm flipV="1">
          <a:off x="6440760" y="3885840"/>
          <a:ext cx="402480" cy="162720"/>
        </a:xfrm>
        <a:prstGeom prst="rect">
          <a:avLst/>
        </a:prstGeom>
        <a:solidFill>
          <a:srgbClr val="ffffff">
            <a:alpha val="50000"/>
          </a:srgbClr>
        </a:solidFill>
        <a:ln w="0">
          <a:noFill/>
        </a:ln>
      </xdr:spPr>
      <xdr:style>
        <a:lnRef idx="0"/>
        <a:fillRef idx="0"/>
        <a:effectRef idx="0"/>
        <a:fontRef idx="minor"/>
      </xdr:style>
      <xdr:txBody>
        <a:bodyPr lIns="20160" rIns="20160" tIns="20160" bIns="20160" anchor="ctr" rot="10800000">
          <a:noAutofit/>
        </a:bodyPr>
        <a:p>
          <a:pPr algn="ctr"/>
          <a:r>
            <a:rPr b="0" lang="en-US" sz="800" strike="noStrike" u="none">
              <a:effectLst/>
              <a:uFillTx/>
              <a:latin typeface="Times New Roman"/>
            </a:rPr>
            <a:t>0.0 </a:t>
          </a:r>
          <a:endParaRPr b="0" lang="en-US" sz="800" strike="noStrike" u="none">
            <a:effectLst/>
            <a:uFillTx/>
            <a:latin typeface="Times New Roman"/>
          </a:endParaRPr>
        </a:p>
      </xdr:txBody>
    </xdr:sp>
    <xdr:clientData/>
  </xdr:twoCellAnchor>
  <xdr:twoCellAnchor editAs="absolute">
    <xdr:from>
      <xdr:col>7</xdr:col>
      <xdr:colOff>74160</xdr:colOff>
      <xdr:row>18</xdr:row>
      <xdr:rowOff>38520</xdr:rowOff>
    </xdr:from>
    <xdr:to>
      <xdr:col>8</xdr:col>
      <xdr:colOff>413280</xdr:colOff>
      <xdr:row>19</xdr:row>
      <xdr:rowOff>66240</xdr:rowOff>
    </xdr:to>
    <xdr:sp>
      <xdr:nvSpPr>
        <xdr:cNvPr id="472" name="16247"/>
        <xdr:cNvSpPr/>
      </xdr:nvSpPr>
      <xdr:spPr>
        <a:xfrm>
          <a:off x="6292800" y="3657960"/>
          <a:ext cx="1100520" cy="227880"/>
        </a:xfrm>
        <a:prstGeom prst="roundRect">
          <a:avLst>
            <a:gd name="adj" fmla="val 50000"/>
          </a:avLst>
        </a:prstGeom>
        <a:solidFill>
          <a:srgbClr val="ffffff">
            <a:alpha val="50000"/>
          </a:srgbClr>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Transco Markham</a:t>
          </a:r>
          <a:endParaRPr b="0" lang="en-US" sz="800" strike="noStrike" u="none">
            <a:effectLst/>
            <a:uFillTx/>
            <a:latin typeface="Times New Roman"/>
          </a:endParaRPr>
        </a:p>
      </xdr:txBody>
    </xdr:sp>
    <xdr:clientData/>
  </xdr:twoCellAnchor>
  <xdr:twoCellAnchor editAs="absolute">
    <xdr:from>
      <xdr:col>6</xdr:col>
      <xdr:colOff>74160</xdr:colOff>
      <xdr:row>15</xdr:row>
      <xdr:rowOff>38160</xdr:rowOff>
    </xdr:from>
    <xdr:to>
      <xdr:col>7</xdr:col>
      <xdr:colOff>85320</xdr:colOff>
      <xdr:row>18</xdr:row>
      <xdr:rowOff>104400</xdr:rowOff>
    </xdr:to>
    <xdr:sp>
      <xdr:nvSpPr>
        <xdr:cNvPr id="473" name="Line 188"/>
        <xdr:cNvSpPr/>
      </xdr:nvSpPr>
      <xdr:spPr>
        <a:xfrm flipH="1" flipV="1">
          <a:off x="5531400" y="3057480"/>
          <a:ext cx="772560" cy="66636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absolute">
    <xdr:from>
      <xdr:col>7</xdr:col>
      <xdr:colOff>538920</xdr:colOff>
      <xdr:row>8</xdr:row>
      <xdr:rowOff>190800</xdr:rowOff>
    </xdr:from>
    <xdr:to>
      <xdr:col>7</xdr:col>
      <xdr:colOff>624600</xdr:colOff>
      <xdr:row>9</xdr:row>
      <xdr:rowOff>76320</xdr:rowOff>
    </xdr:to>
    <xdr:sp>
      <xdr:nvSpPr>
        <xdr:cNvPr id="474" name="Rectangle 189"/>
        <xdr:cNvSpPr/>
      </xdr:nvSpPr>
      <xdr:spPr>
        <a:xfrm>
          <a:off x="6757560" y="1800360"/>
          <a:ext cx="85680" cy="95400"/>
        </a:xfrm>
        <a:prstGeom prst="rect">
          <a:avLst/>
        </a:prstGeom>
        <a:solidFill>
          <a:srgbClr val="008000"/>
        </a:solid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twoCellAnchor editAs="absolute">
    <xdr:from>
      <xdr:col>8</xdr:col>
      <xdr:colOff>31680</xdr:colOff>
      <xdr:row>7</xdr:row>
      <xdr:rowOff>199800</xdr:rowOff>
    </xdr:from>
    <xdr:to>
      <xdr:col>8</xdr:col>
      <xdr:colOff>116640</xdr:colOff>
      <xdr:row>8</xdr:row>
      <xdr:rowOff>86040</xdr:rowOff>
    </xdr:to>
    <xdr:sp>
      <xdr:nvSpPr>
        <xdr:cNvPr id="475" name="Rectangle 190"/>
        <xdr:cNvSpPr/>
      </xdr:nvSpPr>
      <xdr:spPr>
        <a:xfrm>
          <a:off x="7011720" y="1599840"/>
          <a:ext cx="84960" cy="95760"/>
        </a:xfrm>
        <a:prstGeom prst="rect">
          <a:avLst/>
        </a:prstGeom>
        <a:solidFill>
          <a:srgbClr val="008000"/>
        </a:solid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twoCellAnchor editAs="absolute">
    <xdr:from>
      <xdr:col>11</xdr:col>
      <xdr:colOff>127440</xdr:colOff>
      <xdr:row>0</xdr:row>
      <xdr:rowOff>0</xdr:rowOff>
    </xdr:from>
    <xdr:to>
      <xdr:col>12</xdr:col>
      <xdr:colOff>466200</xdr:colOff>
      <xdr:row>1</xdr:row>
      <xdr:rowOff>28800</xdr:rowOff>
    </xdr:to>
    <xdr:sp>
      <xdr:nvSpPr>
        <xdr:cNvPr id="476" name="Text 83"/>
        <xdr:cNvSpPr/>
      </xdr:nvSpPr>
      <xdr:spPr>
        <a:xfrm>
          <a:off x="9391320" y="0"/>
          <a:ext cx="1100160" cy="228960"/>
        </a:xfrm>
        <a:prstGeom prst="rect">
          <a:avLst/>
        </a:prstGeom>
        <a:noFill/>
        <a:ln w="0">
          <a:noFill/>
        </a:ln>
      </xdr:spPr>
      <xdr:style>
        <a:lnRef idx="0"/>
        <a:fillRef idx="0"/>
        <a:effectRef idx="0"/>
        <a:fontRef idx="minor"/>
      </xdr:style>
      <xdr:txBody>
        <a:bodyPr lIns="20160" rIns="20160" tIns="20160" bIns="20160" anchor="t">
          <a:noAutofit/>
        </a:bodyPr>
        <a:p>
          <a:pPr algn="r"/>
          <a:r>
            <a:rPr b="1" i="1" lang="en-US" sz="1600" strike="noStrike" u="none">
              <a:effectLst/>
              <a:uFillTx/>
              <a:latin typeface="Times New Roman"/>
            </a:rPr>
            <a:t>Louisiana</a:t>
          </a:r>
          <a:endParaRPr b="0" lang="en-US" sz="1600" strike="noStrike" u="none">
            <a:effectLst/>
            <a:uFillTx/>
            <a:latin typeface="Times New Roman"/>
          </a:endParaRPr>
        </a:p>
      </xdr:txBody>
    </xdr:sp>
    <xdr:clientData/>
  </xdr:twoCellAnchor>
  <xdr:twoCellAnchor editAs="absolute">
    <xdr:from>
      <xdr:col>12</xdr:col>
      <xdr:colOff>115920</xdr:colOff>
      <xdr:row>8</xdr:row>
      <xdr:rowOff>143280</xdr:rowOff>
    </xdr:from>
    <xdr:to>
      <xdr:col>12</xdr:col>
      <xdr:colOff>624600</xdr:colOff>
      <xdr:row>9</xdr:row>
      <xdr:rowOff>76320</xdr:rowOff>
    </xdr:to>
    <xdr:sp>
      <xdr:nvSpPr>
        <xdr:cNvPr id="477" name="Text 120"/>
        <xdr:cNvSpPr/>
      </xdr:nvSpPr>
      <xdr:spPr>
        <a:xfrm>
          <a:off x="10141200" y="1752840"/>
          <a:ext cx="508680" cy="14292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Times New Roman"/>
            </a:rPr>
            <a:t>(0.6)</a:t>
          </a:r>
          <a:endParaRPr b="0" lang="en-US" sz="800" strike="noStrike" u="none">
            <a:effectLst/>
            <a:uFillTx/>
            <a:latin typeface="Times New Roman"/>
          </a:endParaRPr>
        </a:p>
      </xdr:txBody>
    </xdr:sp>
    <xdr:clientData/>
  </xdr:twoCellAnchor>
  <xdr:twoCellAnchor editAs="absolute">
    <xdr:from>
      <xdr:col>12</xdr:col>
      <xdr:colOff>243360</xdr:colOff>
      <xdr:row>7</xdr:row>
      <xdr:rowOff>181080</xdr:rowOff>
    </xdr:from>
    <xdr:to>
      <xdr:col>12</xdr:col>
      <xdr:colOff>551160</xdr:colOff>
      <xdr:row>8</xdr:row>
      <xdr:rowOff>124560</xdr:rowOff>
    </xdr:to>
    <xdr:sp>
      <xdr:nvSpPr>
        <xdr:cNvPr id="478" name="820"/>
        <xdr:cNvSpPr/>
      </xdr:nvSpPr>
      <xdr:spPr>
        <a:xfrm>
          <a:off x="10268640" y="1581120"/>
          <a:ext cx="307800" cy="153000"/>
        </a:xfrm>
        <a:prstGeom prst="rect">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spAutoFit/>
        </a:bodyPr>
        <a:p>
          <a:pPr algn="ctr"/>
          <a:r>
            <a:rPr b="0" lang="en-US" sz="800" strike="noStrike" u="none">
              <a:effectLst/>
              <a:uFillTx/>
              <a:latin typeface="Times New Roman"/>
            </a:rPr>
            <a:t>820</a:t>
          </a:r>
          <a:endParaRPr b="0" lang="en-US" sz="800" strike="noStrike" u="none">
            <a:effectLst/>
            <a:uFillTx/>
            <a:latin typeface="Times New Roman"/>
          </a:endParaRPr>
        </a:p>
      </xdr:txBody>
    </xdr:sp>
    <xdr:clientData/>
  </xdr:twoCellAnchor>
  <xdr:twoCellAnchor editAs="absolute">
    <xdr:from>
      <xdr:col>12</xdr:col>
      <xdr:colOff>370440</xdr:colOff>
      <xdr:row>1</xdr:row>
      <xdr:rowOff>190440</xdr:rowOff>
    </xdr:from>
    <xdr:to>
      <xdr:col>13</xdr:col>
      <xdr:colOff>720</xdr:colOff>
      <xdr:row>2</xdr:row>
      <xdr:rowOff>142920</xdr:rowOff>
    </xdr:to>
    <xdr:sp>
      <xdr:nvSpPr>
        <xdr:cNvPr id="479" name="p26156d"/>
        <xdr:cNvSpPr/>
      </xdr:nvSpPr>
      <xdr:spPr>
        <a:xfrm>
          <a:off x="10395720" y="390600"/>
          <a:ext cx="391680" cy="152280"/>
        </a:xfrm>
        <a:prstGeom prst="rect">
          <a:avLst/>
        </a:prstGeom>
        <a:noFill/>
        <a:ln w="0">
          <a:noFill/>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800" strike="noStrike" u="none">
              <a:solidFill>
                <a:srgbClr val="008000"/>
              </a:solidFill>
              <a:effectLst/>
              <a:uFillTx/>
              <a:latin typeface="Times New Roman"/>
            </a:rPr>
            <a:t> 876 </a:t>
          </a:r>
          <a:endParaRPr b="0" lang="en-US" sz="800" strike="noStrike" u="none">
            <a:effectLst/>
            <a:uFillTx/>
            <a:latin typeface="Times New Roman"/>
          </a:endParaRPr>
        </a:p>
      </xdr:txBody>
    </xdr:sp>
    <xdr:clientData/>
  </xdr:twoCellAnchor>
  <xdr:twoCellAnchor editAs="absolute">
    <xdr:from>
      <xdr:col>8</xdr:col>
      <xdr:colOff>708120</xdr:colOff>
      <xdr:row>6</xdr:row>
      <xdr:rowOff>65880</xdr:rowOff>
    </xdr:from>
    <xdr:to>
      <xdr:col>12</xdr:col>
      <xdr:colOff>42840</xdr:colOff>
      <xdr:row>10</xdr:row>
      <xdr:rowOff>190440</xdr:rowOff>
    </xdr:to>
    <xdr:sp>
      <xdr:nvSpPr>
        <xdr:cNvPr id="480" name="Line 195"/>
        <xdr:cNvSpPr/>
      </xdr:nvSpPr>
      <xdr:spPr>
        <a:xfrm flipH="1" flipV="1">
          <a:off x="7688160" y="1266120"/>
          <a:ext cx="2379960" cy="943560"/>
        </a:xfrm>
        <a:prstGeom prst="line">
          <a:avLst/>
        </a:prstGeom>
        <a:ln w="9360">
          <a:solidFill>
            <a:srgbClr val="000000"/>
          </a:solidFill>
          <a:prstDash val="dash"/>
          <a:miter/>
        </a:ln>
      </xdr:spPr>
      <xdr:style>
        <a:lnRef idx="0"/>
        <a:fillRef idx="0"/>
        <a:effectRef idx="0"/>
        <a:fontRef idx="minor"/>
      </xdr:style>
    </xdr:sp>
    <xdr:clientData/>
  </xdr:twoCellAnchor>
  <xdr:twoCellAnchor editAs="absolute">
    <xdr:from>
      <xdr:col>9</xdr:col>
      <xdr:colOff>10080</xdr:colOff>
      <xdr:row>18</xdr:row>
      <xdr:rowOff>114120</xdr:rowOff>
    </xdr:from>
    <xdr:to>
      <xdr:col>9</xdr:col>
      <xdr:colOff>116640</xdr:colOff>
      <xdr:row>19</xdr:row>
      <xdr:rowOff>18720</xdr:rowOff>
    </xdr:to>
    <xdr:sp>
      <xdr:nvSpPr>
        <xdr:cNvPr id="481" name="809A02"/>
        <xdr:cNvSpPr/>
      </xdr:nvSpPr>
      <xdr:spPr>
        <a:xfrm>
          <a:off x="7751520" y="3733560"/>
          <a:ext cx="106560" cy="104760"/>
        </a:xfrm>
        <a:prstGeom prst="ellipse">
          <a:avLst/>
        </a:prstGeom>
        <a:solidFill>
          <a:srgbClr val="ff0000"/>
        </a:solid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twoCellAnchor editAs="absolute">
    <xdr:from>
      <xdr:col>9</xdr:col>
      <xdr:colOff>158040</xdr:colOff>
      <xdr:row>18</xdr:row>
      <xdr:rowOff>114120</xdr:rowOff>
    </xdr:from>
    <xdr:to>
      <xdr:col>9</xdr:col>
      <xdr:colOff>265320</xdr:colOff>
      <xdr:row>19</xdr:row>
      <xdr:rowOff>18720</xdr:rowOff>
    </xdr:to>
    <xdr:sp>
      <xdr:nvSpPr>
        <xdr:cNvPr id="482" name="809A03"/>
        <xdr:cNvSpPr/>
      </xdr:nvSpPr>
      <xdr:spPr>
        <a:xfrm>
          <a:off x="7899480" y="3733560"/>
          <a:ext cx="107280" cy="104760"/>
        </a:xfrm>
        <a:prstGeom prst="ellipse">
          <a:avLst/>
        </a:prstGeom>
        <a:solidFill>
          <a:srgbClr val="ff0000"/>
        </a:solid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twoCellAnchor editAs="absolute">
    <xdr:from>
      <xdr:col>9</xdr:col>
      <xdr:colOff>338040</xdr:colOff>
      <xdr:row>18</xdr:row>
      <xdr:rowOff>114120</xdr:rowOff>
    </xdr:from>
    <xdr:to>
      <xdr:col>9</xdr:col>
      <xdr:colOff>466200</xdr:colOff>
      <xdr:row>19</xdr:row>
      <xdr:rowOff>9360</xdr:rowOff>
    </xdr:to>
    <xdr:sp>
      <xdr:nvSpPr>
        <xdr:cNvPr id="483" name="809B01"/>
        <xdr:cNvSpPr/>
      </xdr:nvSpPr>
      <xdr:spPr>
        <a:xfrm>
          <a:off x="8079480" y="3733560"/>
          <a:ext cx="128160" cy="95400"/>
        </a:xfrm>
        <a:prstGeom prst="triangle">
          <a:avLst>
            <a:gd name="adj" fmla="val 50000"/>
          </a:avLst>
        </a:prstGeom>
        <a:solidFill>
          <a:srgbClr val="ff0000"/>
        </a:solid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twoCellAnchor editAs="absolute">
    <xdr:from>
      <xdr:col>1</xdr:col>
      <xdr:colOff>52920</xdr:colOff>
      <xdr:row>25</xdr:row>
      <xdr:rowOff>161640</xdr:rowOff>
    </xdr:from>
    <xdr:to>
      <xdr:col>1</xdr:col>
      <xdr:colOff>476640</xdr:colOff>
      <xdr:row>26</xdr:row>
      <xdr:rowOff>104760</xdr:rowOff>
    </xdr:to>
    <xdr:sp>
      <xdr:nvSpPr>
        <xdr:cNvPr id="484" name="p800s"/>
        <xdr:cNvSpPr/>
      </xdr:nvSpPr>
      <xdr:spPr>
        <a:xfrm>
          <a:off x="1703160" y="5181480"/>
          <a:ext cx="423720" cy="142920"/>
        </a:xfrm>
        <a:prstGeom prst="rect">
          <a:avLst/>
        </a:prstGeom>
        <a:noFill/>
        <a:ln w="0">
          <a:noFill/>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1" lang="en-US" sz="800" strike="noStrike" u="none">
              <a:solidFill>
                <a:srgbClr val="008000"/>
              </a:solidFill>
              <a:effectLst/>
              <a:uFillTx/>
              <a:latin typeface="Times New Roman"/>
            </a:rPr>
            <a:t> 825 </a:t>
          </a:r>
          <a:endParaRPr b="0" lang="en-US" sz="800" strike="noStrike" u="none">
            <a:effectLst/>
            <a:uFillTx/>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0</xdr:col>
          <xdr:colOff>115920</xdr:colOff>
          <xdr:row>6</xdr:row>
          <xdr:rowOff>181080</xdr:rowOff>
        </xdr:from>
        <xdr:to>
          <xdr:col>1</xdr:col>
          <xdr:colOff>-325440</xdr:colOff>
          <xdr:row>7</xdr:row>
          <xdr:rowOff>199800</xdr:rowOff>
        </xdr:to>
        <xdr:sp>
          <xdr:nvSpPr>
            <xdr:cNvPr id="1001" name="Check Box 200" descr="Print on Updates" hidden="0"/>
            <xdr:cNvSpPr/>
          </xdr:nvSpPr>
          <xdr:spPr>
            <a:xfrm>
              <a:off x="0" y="0"/>
              <a:ext cx="0" cy="0"/>
            </a:xfrm>
            <a:prstGeom prst="rect">
              <a:avLst/>
            </a:prstGeom>
          </xdr:spPr>
          <xdr:txBody>
            <a:bodyPr anchor="ctr">
              <a:noAutofit/>
            </a:bodyPr>
            <a:p>
              <a:r>
                <a:t>Print on Updates</a:t>
              </a:r>
            </a:p>
          </xdr:txBody>
        </xdr:sp>
        <xdr:clientData/>
      </xdr:twoCellAnchor>
    </mc:Choice>
  </mc:AlternateContent>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16</xdr:row>
      <xdr:rowOff>9720</xdr:rowOff>
    </xdr:from>
    <xdr:to>
      <xdr:col>13</xdr:col>
      <xdr:colOff>327600</xdr:colOff>
      <xdr:row>40</xdr:row>
      <xdr:rowOff>38160</xdr:rowOff>
    </xdr:to>
    <xdr:graphicFrame>
      <xdr:nvGraphicFramePr>
        <xdr:cNvPr id="485" name="Chart 1"/>
        <xdr:cNvGraphicFramePr/>
      </xdr:nvGraphicFramePr>
      <xdr:xfrm>
        <a:off x="0" y="3048120"/>
        <a:ext cx="6954480" cy="3914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5</xdr:col>
          <xdr:colOff>74160</xdr:colOff>
          <xdr:row>0</xdr:row>
          <xdr:rowOff>142560</xdr:rowOff>
        </xdr:from>
        <xdr:to>
          <xdr:col>7</xdr:col>
          <xdr:colOff>433800</xdr:colOff>
          <xdr:row>1</xdr:row>
          <xdr:rowOff>104760</xdr:rowOff>
        </xdr:to>
        <xdr:sp>
          <xdr:nvSpPr>
            <xdr:cNvPr id="1001" name="Check Box 2" descr="Print on Updates" hidden="0"/>
            <xdr:cNvSpPr/>
          </xdr:nvSpPr>
          <xdr:spPr>
            <a:xfrm>
              <a:off x="0" y="0"/>
              <a:ext cx="0" cy="0"/>
            </a:xfrm>
            <a:prstGeom prst="rect">
              <a:avLst/>
            </a:prstGeom>
          </xdr:spPr>
          <xdr:txBody>
            <a:bodyPr anchor="ctr">
              <a:noAutofit/>
            </a:bodyPr>
            <a:p>
              <a:r>
                <a:t>Print on Updates</a:t>
              </a:r>
            </a:p>
          </xdr:txBody>
        </xdr:sp>
        <xdr:clientData/>
      </xdr:twoCellAnchor>
    </mc:Choice>
  </mc:AlternateContent>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42480</xdr:colOff>
      <xdr:row>0</xdr:row>
      <xdr:rowOff>0</xdr:rowOff>
    </xdr:from>
    <xdr:to>
      <xdr:col>3</xdr:col>
      <xdr:colOff>1419120</xdr:colOff>
      <xdr:row>0</xdr:row>
      <xdr:rowOff>447840</xdr:rowOff>
    </xdr:to>
    <xdr:pic>
      <xdr:nvPicPr>
        <xdr:cNvPr id="486" name="Picture 1" descr=""/>
        <xdr:cNvPicPr/>
      </xdr:nvPicPr>
      <xdr:blipFill>
        <a:blip r:embed="rId1"/>
        <a:stretch/>
      </xdr:blipFill>
      <xdr:spPr>
        <a:xfrm>
          <a:off x="42480" y="0"/>
          <a:ext cx="2602080" cy="447840"/>
        </a:xfrm>
        <a:prstGeom prst="rect">
          <a:avLst/>
        </a:prstGeom>
        <a:solidFill>
          <a:srgbClr val="ffffff"/>
        </a:solidFill>
        <a:ln w="9360">
          <a:solidFill>
            <a:srgbClr val="000000"/>
          </a:solidFill>
          <a:miter/>
        </a:ln>
        <a:effectLst>
          <a:outerShdw dist="17819" dir="2700000" blurRad="0" rotWithShape="0">
            <a:srgbClr val="000000"/>
          </a:outerShdw>
        </a:effectLst>
      </xdr:spPr>
    </xdr:pic>
    <xdr:clientData/>
  </xdr:twoCellAnchor>
  <mc:AlternateContent xmlns:mc="http://schemas.openxmlformats.org/markup-compatibility/2006">
    <mc:Choice xmlns:a14="http://schemas.microsoft.com/office/drawing/2010/main" Requires="a14">
      <xdr:twoCellAnchor editAs="oneCell">
        <xdr:from>
          <xdr:col>3</xdr:col>
          <xdr:colOff>1566360</xdr:colOff>
          <xdr:row>0</xdr:row>
          <xdr:rowOff>85680</xdr:rowOff>
        </xdr:from>
        <xdr:to>
          <xdr:col>6</xdr:col>
          <xdr:colOff>116280</xdr:colOff>
          <xdr:row>1</xdr:row>
          <xdr:rowOff>-133200</xdr:rowOff>
        </xdr:to>
        <xdr:sp>
          <xdr:nvSpPr>
            <xdr:cNvPr id="1001" name="Check Box 49" descr="Print on Updates" hidden="0"/>
            <xdr:cNvSpPr/>
          </xdr:nvSpPr>
          <xdr:spPr>
            <a:xfrm>
              <a:off x="0" y="0"/>
              <a:ext cx="0" cy="0"/>
            </a:xfrm>
            <a:prstGeom prst="rect">
              <a:avLst/>
            </a:prstGeom>
          </xdr:spPr>
          <xdr:txBody>
            <a:bodyPr anchor="ctr">
              <a:noAutofit/>
            </a:bodyPr>
            <a:p>
              <a:r>
                <a:t>Print on Updates</a:t>
              </a:r>
            </a:p>
          </xdr:txBody>
        </xdr:sp>
        <xdr:clientData/>
      </xdr:twoCellAnchor>
    </mc:Choice>
  </mc:AlternateContent>
</xdr:wsDr>
</file>

<file path=xl/externalLinks/_rels/externalLink1.xml.rels><?xml version="1.0" encoding="UTF-8"?>
<Relationships xmlns="http://schemas.openxmlformats.org/package/2006/relationships"><Relationship Id="rId1" Type="http://schemas.openxmlformats.org/officeDocument/2006/relationships/externalLinkPath" Target="../../../../../../../../C:/chnlwtch/channelwatch9g.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Map"/>
      <sheetName val="HPL MAP"/>
      <sheetName val="Summary"/>
      <sheetName val="cig_out"/>
      <sheetName val="Cigsch"/>
      <sheetName val="System Detail"/>
      <sheetName val="AS Line Pack (MCF)"/>
      <sheetName val="Poms Data"/>
      <sheetName val="Extracts"/>
      <sheetName val="Winflow data"/>
    </sheetNames>
    <sheetDataSet>
      <sheetData sheetId="0"/>
      <sheetData sheetId="1"/>
      <sheetData sheetId="2"/>
      <sheetData sheetId="3"/>
      <sheetData sheetId="4"/>
      <sheetData sheetId="5"/>
      <sheetData sheetId="6"/>
      <sheetData sheetId="7"/>
      <sheetData sheetId="8">
        <row r="1">
          <cell r="I1">
            <v>0.886805555557658</v>
          </cell>
        </row>
      </sheetData>
      <sheetData sheetId="9"/>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 Id="rId4" Type="http://schemas.openxmlformats.org/officeDocument/2006/relationships/ctrlProp" Target="../ctrlProps/ctrlProps2.xml"/><Relationship Id="rId5" Type="http://schemas.openxmlformats.org/officeDocument/2006/relationships/ctrlProp" Target="../ctrlProps/ctrlProps3.xml"/>
</Relationships>
</file>

<file path=xl/worksheets/_rels/sheet2.xml.rels><?xml version="1.0" encoding="UTF-8"?>
<Relationships xmlns="http://schemas.openxmlformats.org/package/2006/relationships"><Relationship Id="rId1" Type="http://schemas.openxmlformats.org/officeDocument/2006/relationships/drawing" Target="../drawings/drawing4.xml"/><Relationship Id="rId2" Type="http://schemas.openxmlformats.org/officeDocument/2006/relationships/vmlDrawing" Target="../drawings/vmlDrawing2.vml"/><Relationship Id="rId3" Type="http://schemas.openxmlformats.org/officeDocument/2006/relationships/ctrlProp" Target="../ctrlProps/ctrlProps5.xml"/>
</Relationships>
</file>

<file path=xl/worksheets/_rels/sheet3.xml.rels><?xml version="1.0" encoding="UTF-8"?>
<Relationships xmlns="http://schemas.openxmlformats.org/package/2006/relationships"><Relationship Id="rId1" Type="http://schemas.openxmlformats.org/officeDocument/2006/relationships/drawing" Target="../drawings/drawing6.xml"/><Relationship Id="rId2" Type="http://schemas.openxmlformats.org/officeDocument/2006/relationships/vmlDrawing" Target="../drawings/vmlDrawing3.vml"/><Relationship Id="rId3" Type="http://schemas.openxmlformats.org/officeDocument/2006/relationships/ctrlProp" Target="../ctrlProps/ctrlProps7.x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8.xml"/><Relationship Id="rId3" Type="http://schemas.openxmlformats.org/officeDocument/2006/relationships/vmlDrawing" Target="../drawings/vmlDrawing4.vml"/><Relationship Id="rId4" Type="http://schemas.openxmlformats.org/officeDocument/2006/relationships/ctrlProp" Target="../ctrlProps/ctrlProps9.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M60"/>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9921875" defaultRowHeight="15.75" customHeight="true" zeroHeight="false" outlineLevelRow="0" outlineLevelCol="0"/>
  <cols>
    <col collapsed="false" customWidth="true" hidden="false" outlineLevel="0" max="1" min="1" style="1" width="25.99"/>
    <col collapsed="false" customWidth="true" hidden="false" outlineLevel="0" max="2" min="2" style="1" width="13.32"/>
    <col collapsed="false" customWidth="false" hidden="false" outlineLevel="0" max="257" min="3" style="1" width="11.99"/>
  </cols>
  <sheetData>
    <row r="1" customFormat="false" ht="15.75" hidden="false" customHeight="false" outlineLevel="0" collapsed="false">
      <c r="A1" s="2"/>
      <c r="B1" s="3"/>
      <c r="C1" s="3"/>
      <c r="D1" s="3"/>
      <c r="E1" s="4"/>
      <c r="F1" s="5"/>
      <c r="G1" s="6" t="s">
        <v>0</v>
      </c>
      <c r="H1" s="3"/>
      <c r="I1" s="3"/>
      <c r="J1" s="3"/>
      <c r="K1" s="3"/>
      <c r="L1" s="3"/>
      <c r="M1" s="7"/>
    </row>
    <row r="2" customFormat="false" ht="16.5" hidden="false" customHeight="false" outlineLevel="0" collapsed="false">
      <c r="A2" s="8"/>
      <c r="B2" s="9"/>
      <c r="C2" s="10"/>
      <c r="D2" s="11" t="s">
        <v>1</v>
      </c>
      <c r="E2" s="12"/>
      <c r="F2" s="13" t="str">
        <f aca="false">CONCATENATE("EPFS Allocation: ",'System Detail'!Y234)</f>
        <v>EPFS Allocation: Injection</v>
      </c>
      <c r="G2" s="14" t="n">
        <f aca="false">'System Detail'!Y235</f>
        <v>-1.75287681080833</v>
      </c>
      <c r="H2" s="9"/>
      <c r="I2" s="9"/>
      <c r="J2" s="9"/>
      <c r="K2" s="9"/>
      <c r="L2" s="9"/>
      <c r="M2" s="15"/>
    </row>
    <row r="3" customFormat="false" ht="15.75" hidden="false" customHeight="false" outlineLevel="0" collapsed="false">
      <c r="A3" s="8"/>
      <c r="B3" s="9"/>
      <c r="C3" s="16" t="s">
        <v>2</v>
      </c>
      <c r="D3" s="17" t="n">
        <f aca="false">sch11159+sch6148+(sch16088*-1)</f>
        <v>-67.08240625</v>
      </c>
      <c r="E3" s="9"/>
      <c r="F3" s="9"/>
      <c r="G3" s="9"/>
      <c r="H3" s="9"/>
      <c r="I3" s="9"/>
      <c r="J3" s="9"/>
      <c r="K3" s="9"/>
      <c r="L3" s="9"/>
      <c r="M3" s="15"/>
    </row>
    <row r="4" customFormat="false" ht="16.5" hidden="false" customHeight="false" outlineLevel="0" collapsed="false">
      <c r="A4" s="8"/>
      <c r="B4" s="9"/>
      <c r="C4" s="16" t="s">
        <v>3</v>
      </c>
      <c r="D4" s="18" t="n">
        <f aca="false">act11159+act56015+(act16088*-1)</f>
        <v>-60.4783880191859</v>
      </c>
      <c r="E4" s="9"/>
      <c r="F4" s="9"/>
      <c r="G4" s="9"/>
      <c r="H4" s="9"/>
      <c r="I4" s="9"/>
      <c r="J4" s="9"/>
      <c r="K4" s="9"/>
      <c r="L4" s="9"/>
      <c r="M4" s="15"/>
    </row>
    <row r="5" customFormat="false" ht="16.5" hidden="false" customHeight="false" outlineLevel="0" collapsed="false">
      <c r="A5" s="19" t="s">
        <v>4</v>
      </c>
      <c r="B5" s="20" t="n">
        <f aca="false">'System Detail'!D2</f>
        <v>36795.375</v>
      </c>
      <c r="C5" s="21" t="s">
        <v>5</v>
      </c>
      <c r="D5" s="22" t="n">
        <f aca="false">D4-D3</f>
        <v>6.60401823081415</v>
      </c>
      <c r="E5" s="9"/>
      <c r="F5" s="9"/>
      <c r="G5" s="9"/>
      <c r="H5" s="9"/>
      <c r="I5" s="9"/>
      <c r="J5" s="9"/>
      <c r="K5" s="9"/>
      <c r="L5" s="9"/>
      <c r="M5" s="15"/>
    </row>
    <row r="6" customFormat="false" ht="15.75" hidden="false" customHeight="false" outlineLevel="0" collapsed="false">
      <c r="A6" s="19" t="s">
        <v>6</v>
      </c>
      <c r="B6" s="23" t="n">
        <f aca="false">'System Detail'!D3</f>
        <v>36796.2618055556</v>
      </c>
      <c r="C6" s="23"/>
      <c r="D6" s="24"/>
      <c r="E6" s="9"/>
      <c r="F6" s="9"/>
      <c r="G6" s="9"/>
      <c r="H6" s="9"/>
      <c r="I6" s="9"/>
      <c r="J6" s="9"/>
      <c r="K6" s="9"/>
      <c r="L6" s="9"/>
      <c r="M6" s="15"/>
    </row>
    <row r="7" customFormat="false" ht="15.75" hidden="false" customHeight="false" outlineLevel="0" collapsed="false">
      <c r="A7" s="25" t="str">
        <f aca="false">currentsetting</f>
        <v>Total Accumulated Volumes(mmbtu)</v>
      </c>
      <c r="B7" s="26"/>
      <c r="C7" s="26"/>
      <c r="D7" s="26"/>
      <c r="E7" s="9"/>
      <c r="F7" s="9"/>
      <c r="G7" s="9"/>
      <c r="H7" s="9"/>
      <c r="I7" s="9"/>
      <c r="J7" s="9"/>
      <c r="K7" s="9"/>
      <c r="L7" s="9"/>
      <c r="M7" s="15"/>
    </row>
    <row r="8" customFormat="false" ht="16.5" hidden="false" customHeight="true" outlineLevel="0" collapsed="false">
      <c r="A8" s="27" t="str">
        <f aca="false">IF(A7="Total Accumulated Volumes(mmbtu)",CONCATENATE("**Schedule values are prorated to ",TEXT([1]Extracts!I1,"0.0%")," of flow day"),"")</f>
        <v>**Schedule values are prorated to 88.7% of flow day</v>
      </c>
      <c r="B8" s="24"/>
      <c r="C8" s="28"/>
      <c r="D8" s="24"/>
      <c r="E8" s="9"/>
      <c r="F8" s="9"/>
      <c r="G8" s="9"/>
      <c r="H8" s="9"/>
      <c r="I8" s="9"/>
      <c r="J8" s="9"/>
      <c r="K8" s="9"/>
      <c r="L8" s="9"/>
      <c r="M8" s="15"/>
    </row>
    <row r="9" customFormat="false" ht="16.5" hidden="false" customHeight="false" outlineLevel="0" collapsed="false">
      <c r="A9" s="29" t="str">
        <f aca="false">CONCATENATE("Count of Comm errors = ",DCOUNTA(masterlist,"Err",critcomm),"  ")</f>
        <v>Count of Comm errors = 4  </v>
      </c>
      <c r="B9" s="30"/>
      <c r="C9" s="31" t="str">
        <f aca="false">CONCATENATE("Vol= ",ROUND(DSUM(masterlist,"TTL Act",critcomm),1)," mm")</f>
        <v>Vol= 0 mm</v>
      </c>
      <c r="D9" s="32"/>
      <c r="E9" s="24"/>
      <c r="F9" s="9"/>
      <c r="G9" s="9"/>
      <c r="H9" s="9"/>
      <c r="I9" s="9"/>
      <c r="J9" s="9"/>
      <c r="K9" s="9"/>
      <c r="L9" s="9"/>
      <c r="M9" s="15"/>
    </row>
    <row r="10" customFormat="false" ht="15.75" hidden="false" customHeight="false" outlineLevel="0" collapsed="false">
      <c r="A10" s="33"/>
      <c r="B10" s="9"/>
      <c r="C10" s="9"/>
      <c r="D10" s="9"/>
      <c r="E10" s="9"/>
      <c r="F10" s="9"/>
      <c r="G10" s="9"/>
      <c r="H10" s="9"/>
      <c r="I10" s="9"/>
      <c r="J10" s="9"/>
      <c r="K10" s="9"/>
      <c r="L10" s="9"/>
      <c r="M10" s="15"/>
    </row>
    <row r="11" customFormat="false" ht="15.75" hidden="false" customHeight="false" outlineLevel="0" collapsed="false">
      <c r="A11" s="8"/>
      <c r="B11" s="34"/>
      <c r="C11" s="9"/>
      <c r="D11" s="9"/>
      <c r="E11" s="9"/>
      <c r="F11" s="9"/>
      <c r="G11" s="9"/>
      <c r="H11" s="9"/>
      <c r="I11" s="9"/>
      <c r="J11" s="9"/>
      <c r="K11" s="9"/>
      <c r="L11" s="9"/>
      <c r="M11" s="15"/>
    </row>
    <row r="12" customFormat="false" ht="15.75" hidden="false" customHeight="false" outlineLevel="0" collapsed="false">
      <c r="A12" s="8"/>
      <c r="B12" s="34"/>
      <c r="C12" s="9"/>
      <c r="D12" s="9"/>
      <c r="E12" s="9"/>
      <c r="F12" s="9"/>
      <c r="G12" s="9"/>
      <c r="H12" s="9"/>
      <c r="I12" s="9"/>
      <c r="J12" s="9"/>
      <c r="K12" s="9"/>
      <c r="L12" s="9"/>
      <c r="M12" s="15"/>
    </row>
    <row r="13" customFormat="false" ht="15.75" hidden="false" customHeight="false" outlineLevel="0" collapsed="false">
      <c r="A13" s="8"/>
      <c r="B13" s="34"/>
      <c r="C13" s="9"/>
      <c r="D13" s="9"/>
      <c r="E13" s="9"/>
      <c r="F13" s="9"/>
      <c r="G13" s="9"/>
      <c r="H13" s="9"/>
      <c r="I13" s="9"/>
      <c r="J13" s="9"/>
      <c r="K13" s="9"/>
      <c r="L13" s="9"/>
      <c r="M13" s="15"/>
    </row>
    <row r="14" customFormat="false" ht="15.75" hidden="false" customHeight="false" outlineLevel="0" collapsed="false">
      <c r="A14" s="8"/>
      <c r="B14" s="9"/>
      <c r="C14" s="9"/>
      <c r="D14" s="9"/>
      <c r="E14" s="9"/>
      <c r="F14" s="9"/>
      <c r="G14" s="9"/>
      <c r="H14" s="9"/>
      <c r="I14" s="9"/>
      <c r="J14" s="9"/>
      <c r="K14" s="9"/>
      <c r="L14" s="9"/>
      <c r="M14" s="15"/>
    </row>
    <row r="15" customFormat="false" ht="15.75" hidden="false" customHeight="false" outlineLevel="0" collapsed="false">
      <c r="A15" s="8"/>
      <c r="B15" s="9"/>
      <c r="C15" s="9"/>
      <c r="D15" s="9"/>
      <c r="E15" s="9"/>
      <c r="F15" s="9"/>
      <c r="G15" s="9"/>
      <c r="H15" s="9"/>
      <c r="I15" s="9"/>
      <c r="J15" s="9"/>
      <c r="K15" s="9"/>
      <c r="L15" s="9"/>
      <c r="M15" s="15"/>
    </row>
    <row r="16" customFormat="false" ht="15.75" hidden="false" customHeight="false" outlineLevel="0" collapsed="false">
      <c r="A16" s="8"/>
      <c r="B16" s="9"/>
      <c r="C16" s="9"/>
      <c r="D16" s="9"/>
      <c r="E16" s="9"/>
      <c r="F16" s="9"/>
      <c r="G16" s="9"/>
      <c r="H16" s="9"/>
      <c r="I16" s="9"/>
      <c r="J16" s="9"/>
      <c r="K16" s="9"/>
      <c r="L16" s="9"/>
      <c r="M16" s="15"/>
    </row>
    <row r="17" customFormat="false" ht="15.75" hidden="false" customHeight="false" outlineLevel="0" collapsed="false">
      <c r="A17" s="8"/>
      <c r="B17" s="9"/>
      <c r="C17" s="9"/>
      <c r="D17" s="9"/>
      <c r="E17" s="9"/>
      <c r="F17" s="9"/>
      <c r="G17" s="9"/>
      <c r="H17" s="9"/>
      <c r="I17" s="9"/>
      <c r="J17" s="9"/>
      <c r="K17" s="9"/>
      <c r="L17" s="9"/>
      <c r="M17" s="15"/>
    </row>
    <row r="18" customFormat="false" ht="15.75" hidden="false" customHeight="false" outlineLevel="0" collapsed="false">
      <c r="A18" s="8"/>
      <c r="B18" s="9"/>
      <c r="C18" s="9"/>
      <c r="D18" s="9"/>
      <c r="E18" s="9"/>
      <c r="F18" s="9"/>
      <c r="G18" s="9"/>
      <c r="H18" s="9"/>
      <c r="I18" s="9"/>
      <c r="J18" s="9"/>
      <c r="K18" s="9"/>
      <c r="L18" s="9"/>
      <c r="M18" s="15"/>
    </row>
    <row r="19" customFormat="false" ht="15.75" hidden="false" customHeight="false" outlineLevel="0" collapsed="false">
      <c r="A19" s="8"/>
      <c r="B19" s="9"/>
      <c r="C19" s="9"/>
      <c r="D19" s="9"/>
      <c r="E19" s="9"/>
      <c r="F19" s="9"/>
      <c r="G19" s="9"/>
      <c r="H19" s="9"/>
      <c r="I19" s="9"/>
      <c r="J19" s="9"/>
      <c r="K19" s="9"/>
      <c r="L19" s="9"/>
      <c r="M19" s="15"/>
    </row>
    <row r="20" customFormat="false" ht="15.75" hidden="false" customHeight="false" outlineLevel="0" collapsed="false">
      <c r="A20" s="8"/>
      <c r="B20" s="9"/>
      <c r="C20" s="9"/>
      <c r="D20" s="9"/>
      <c r="E20" s="9"/>
      <c r="F20" s="9"/>
      <c r="G20" s="9"/>
      <c r="H20" s="9"/>
      <c r="I20" s="9"/>
      <c r="J20" s="9"/>
      <c r="K20" s="9"/>
      <c r="L20" s="9"/>
      <c r="M20" s="15"/>
    </row>
    <row r="21" customFormat="false" ht="15.75" hidden="false" customHeight="false" outlineLevel="0" collapsed="false">
      <c r="A21" s="8"/>
      <c r="B21" s="9"/>
      <c r="C21" s="9"/>
      <c r="D21" s="9"/>
      <c r="E21" s="9"/>
      <c r="F21" s="9"/>
      <c r="G21" s="9"/>
      <c r="H21" s="9"/>
      <c r="I21" s="9"/>
      <c r="J21" s="9"/>
      <c r="K21" s="34"/>
      <c r="L21" s="9"/>
      <c r="M21" s="15"/>
    </row>
    <row r="22" customFormat="false" ht="15.75" hidden="false" customHeight="false" outlineLevel="0" collapsed="false">
      <c r="A22" s="8"/>
      <c r="B22" s="9"/>
      <c r="C22" s="9"/>
      <c r="D22" s="9"/>
      <c r="E22" s="9"/>
      <c r="F22" s="9"/>
      <c r="G22" s="9"/>
      <c r="H22" s="9"/>
      <c r="I22" s="9"/>
      <c r="J22" s="9"/>
      <c r="K22" s="9"/>
      <c r="L22" s="9"/>
      <c r="M22" s="15"/>
    </row>
    <row r="23" customFormat="false" ht="15.75" hidden="false" customHeight="false" outlineLevel="0" collapsed="false">
      <c r="A23" s="8"/>
      <c r="B23" s="9"/>
      <c r="C23" s="9"/>
      <c r="D23" s="9"/>
      <c r="E23" s="9"/>
      <c r="F23" s="9"/>
      <c r="G23" s="9"/>
      <c r="H23" s="9"/>
      <c r="I23" s="9"/>
      <c r="J23" s="9"/>
      <c r="K23" s="9"/>
      <c r="L23" s="9"/>
      <c r="M23" s="15"/>
    </row>
    <row r="24" customFormat="false" ht="15.75" hidden="false" customHeight="false" outlineLevel="0" collapsed="false">
      <c r="A24" s="8"/>
      <c r="B24" s="9"/>
      <c r="C24" s="9"/>
      <c r="D24" s="9"/>
      <c r="E24" s="9"/>
      <c r="F24" s="9"/>
      <c r="G24" s="9"/>
      <c r="H24" s="9"/>
      <c r="I24" s="9"/>
      <c r="J24" s="9"/>
      <c r="K24" s="9"/>
      <c r="L24" s="9"/>
      <c r="M24" s="15"/>
    </row>
    <row r="25" customFormat="false" ht="15.75" hidden="false" customHeight="false" outlineLevel="0" collapsed="false">
      <c r="A25" s="8"/>
      <c r="B25" s="9"/>
      <c r="C25" s="9"/>
      <c r="D25" s="9"/>
      <c r="E25" s="9"/>
      <c r="F25" s="9"/>
      <c r="G25" s="9"/>
      <c r="H25" s="24"/>
      <c r="I25" s="24"/>
      <c r="J25" s="35"/>
      <c r="K25" s="36"/>
      <c r="L25" s="37"/>
      <c r="M25" s="38"/>
    </row>
    <row r="26" customFormat="false" ht="15.75" hidden="false" customHeight="false" outlineLevel="0" collapsed="false">
      <c r="A26" s="8"/>
      <c r="B26" s="9"/>
      <c r="C26" s="9"/>
      <c r="D26" s="9"/>
      <c r="E26" s="9"/>
      <c r="F26" s="9"/>
      <c r="G26" s="9"/>
      <c r="H26" s="9"/>
      <c r="I26" s="24"/>
      <c r="J26" s="24"/>
      <c r="K26" s="9"/>
      <c r="L26" s="9"/>
      <c r="M26" s="15"/>
    </row>
    <row r="27" customFormat="false" ht="15.75" hidden="false" customHeight="false" outlineLevel="0" collapsed="false">
      <c r="A27" s="8"/>
      <c r="B27" s="9"/>
      <c r="C27" s="9"/>
      <c r="D27" s="9"/>
      <c r="E27" s="9"/>
      <c r="F27" s="9"/>
      <c r="G27" s="9"/>
      <c r="H27" s="24"/>
      <c r="I27" s="24"/>
      <c r="J27" s="24"/>
      <c r="K27" s="9"/>
      <c r="L27" s="9"/>
      <c r="M27" s="15"/>
    </row>
    <row r="28" customFormat="false" ht="15.75" hidden="false" customHeight="false" outlineLevel="0" collapsed="false">
      <c r="A28" s="8"/>
      <c r="B28" s="9"/>
      <c r="C28" s="9"/>
      <c r="D28" s="9"/>
      <c r="E28" s="9"/>
      <c r="F28" s="9"/>
      <c r="G28" s="9"/>
      <c r="H28" s="9"/>
      <c r="I28" s="24"/>
      <c r="J28" s="35"/>
      <c r="K28" s="36"/>
      <c r="L28" s="37"/>
      <c r="M28" s="38"/>
    </row>
    <row r="29" customFormat="false" ht="15.75" hidden="false" customHeight="false" outlineLevel="0" collapsed="false">
      <c r="A29" s="8"/>
      <c r="B29" s="9"/>
      <c r="C29" s="9"/>
      <c r="D29" s="9"/>
      <c r="E29" s="9"/>
      <c r="F29" s="9"/>
      <c r="G29" s="9"/>
      <c r="H29" s="9"/>
      <c r="I29" s="9"/>
      <c r="J29" s="9"/>
      <c r="K29" s="9"/>
      <c r="L29" s="9"/>
      <c r="M29" s="15"/>
    </row>
    <row r="30" customFormat="false" ht="15.75" hidden="false" customHeight="false" outlineLevel="0" collapsed="false">
      <c r="A30" s="8"/>
      <c r="B30" s="9"/>
      <c r="C30" s="9"/>
      <c r="D30" s="9"/>
      <c r="E30" s="9"/>
      <c r="F30" s="9"/>
      <c r="G30" s="39"/>
      <c r="H30" s="40" t="s">
        <v>7</v>
      </c>
      <c r="I30" s="40" t="s">
        <v>8</v>
      </c>
      <c r="J30" s="40" t="s">
        <v>9</v>
      </c>
      <c r="K30" s="40" t="s">
        <v>10</v>
      </c>
      <c r="L30" s="40" t="s">
        <v>11</v>
      </c>
      <c r="M30" s="41" t="s">
        <v>12</v>
      </c>
    </row>
    <row r="31" customFormat="false" ht="15.75" hidden="false" customHeight="false" outlineLevel="0" collapsed="false">
      <c r="A31" s="8"/>
      <c r="B31" s="9"/>
      <c r="C31" s="9"/>
      <c r="D31" s="9"/>
      <c r="E31" s="9"/>
      <c r="F31" s="9"/>
      <c r="G31" s="42" t="s">
        <v>13</v>
      </c>
      <c r="H31" s="43" t="n">
        <f aca="false">recttl</f>
        <v>713.854459879737</v>
      </c>
      <c r="I31" s="44" t="n">
        <f aca="false">recttlsch</f>
        <v>715.368305555556</v>
      </c>
      <c r="J31" s="43" t="n">
        <f aca="false">reccig</f>
        <v>392.575865826992</v>
      </c>
      <c r="K31" s="45" t="n">
        <f aca="false">reccigsch</f>
        <v>396.675219444444</v>
      </c>
      <c r="L31" s="43" t="n">
        <f aca="false">rechpl</f>
        <v>321.278594052744</v>
      </c>
      <c r="M31" s="46" t="n">
        <f aca="false">rechplsch</f>
        <v>318.693086111111</v>
      </c>
    </row>
    <row r="32" customFormat="false" ht="16.5" hidden="false" customHeight="false" outlineLevel="0" collapsed="false">
      <c r="A32" s="8"/>
      <c r="B32" s="9"/>
      <c r="C32" s="9"/>
      <c r="D32" s="9"/>
      <c r="E32" s="9"/>
      <c r="F32" s="9"/>
      <c r="G32" s="42" t="s">
        <v>14</v>
      </c>
      <c r="H32" s="47" t="n">
        <f aca="false">delttl</f>
        <v>-726.663059815718</v>
      </c>
      <c r="I32" s="48" t="n">
        <f aca="false">delttlsch</f>
        <v>-720.181886111111</v>
      </c>
      <c r="J32" s="49" t="n">
        <f aca="false">delcig</f>
        <v>-404.475658369263</v>
      </c>
      <c r="K32" s="48" t="n">
        <f aca="false">delcigsch</f>
        <v>-401.4888</v>
      </c>
      <c r="L32" s="49" t="n">
        <f aca="false">delhpl</f>
        <v>-322.187401446455</v>
      </c>
      <c r="M32" s="46" t="n">
        <f aca="false">delhplsch</f>
        <v>-318.693086111111</v>
      </c>
    </row>
    <row r="33" customFormat="false" ht="16.5" hidden="false" customHeight="false" outlineLevel="0" collapsed="false">
      <c r="A33" s="8"/>
      <c r="B33" s="9"/>
      <c r="C33" s="9"/>
      <c r="D33" s="9"/>
      <c r="E33" s="9"/>
      <c r="F33" s="9"/>
      <c r="G33" s="50" t="s">
        <v>15</v>
      </c>
      <c r="H33" s="51" t="n">
        <f aca="false">H31+H32</f>
        <v>-12.8085999359814</v>
      </c>
      <c r="I33" s="43" t="n">
        <f aca="false">I31+I32</f>
        <v>-4.81358055555563</v>
      </c>
      <c r="J33" s="43" t="n">
        <f aca="false">J31+J32</f>
        <v>-11.8997925422707</v>
      </c>
      <c r="K33" s="43" t="n">
        <f aca="false">K31+K32</f>
        <v>-4.81358055555552</v>
      </c>
      <c r="L33" s="43" t="n">
        <f aca="false">L31+L32</f>
        <v>-0.908807393710674</v>
      </c>
      <c r="M33" s="52" t="n">
        <f aca="false">M31+M32</f>
        <v>0</v>
      </c>
    </row>
    <row r="34" customFormat="false" ht="16.5" hidden="false" customHeight="false" outlineLevel="0" collapsed="false">
      <c r="A34" s="8"/>
      <c r="B34" s="9"/>
      <c r="C34" s="9"/>
      <c r="D34" s="9"/>
      <c r="E34" s="9"/>
      <c r="F34" s="9"/>
      <c r="G34" s="53"/>
      <c r="H34" s="54" t="n">
        <f aca="false">LPChange</f>
        <v>-7.03019493526858</v>
      </c>
      <c r="I34" s="55" t="s">
        <v>16</v>
      </c>
      <c r="J34" s="43"/>
      <c r="K34" s="43"/>
      <c r="L34" s="43"/>
      <c r="M34" s="46"/>
    </row>
    <row r="35" customFormat="false" ht="17.25" hidden="false" customHeight="false" outlineLevel="0" collapsed="false">
      <c r="A35" s="8"/>
      <c r="B35" s="9"/>
      <c r="C35" s="9"/>
      <c r="D35" s="9"/>
      <c r="E35" s="9"/>
      <c r="F35" s="9"/>
      <c r="G35" s="56" t="s">
        <v>17</v>
      </c>
      <c r="H35" s="57" t="n">
        <f aca="false">LAUF</f>
        <v>5.77840500071284</v>
      </c>
      <c r="I35" s="58" t="n">
        <f aca="false">H35/H31</f>
        <v>0.00809465419840107</v>
      </c>
      <c r="J35" s="43"/>
      <c r="K35" s="59"/>
      <c r="L35" s="59"/>
      <c r="M35" s="46"/>
    </row>
    <row r="36" customFormat="false" ht="16.5" hidden="false" customHeight="false" outlineLevel="0" collapsed="false">
      <c r="A36" s="60"/>
      <c r="B36" s="61"/>
      <c r="C36" s="61"/>
      <c r="D36" s="61"/>
      <c r="E36" s="61"/>
      <c r="F36" s="62"/>
      <c r="G36" s="63" t="s">
        <v>18</v>
      </c>
      <c r="H36" s="64" t="n">
        <f aca="false">LPack</f>
        <v>430.345805064731</v>
      </c>
      <c r="I36" s="65"/>
      <c r="J36" s="65"/>
      <c r="K36" s="65"/>
      <c r="L36" s="65"/>
      <c r="M36" s="66"/>
    </row>
    <row r="37" customFormat="false" ht="15.75" hidden="false" customHeight="false" outlineLevel="0" collapsed="false">
      <c r="A37" s="9"/>
      <c r="B37" s="9"/>
      <c r="C37" s="9"/>
      <c r="D37" s="9"/>
      <c r="E37" s="9"/>
      <c r="F37" s="9"/>
      <c r="G37" s="9"/>
      <c r="H37" s="9"/>
      <c r="I37" s="9"/>
      <c r="J37" s="9"/>
      <c r="K37" s="9"/>
      <c r="L37" s="9"/>
      <c r="M37" s="9"/>
    </row>
    <row r="38" customFormat="false" ht="15.75" hidden="true" customHeight="false" outlineLevel="0" collapsed="false">
      <c r="A38" s="67" t="s">
        <v>19</v>
      </c>
      <c r="B38" s="68" t="n">
        <f aca="false">VLOOKUP(88888,Cigsch,2,FALSE())</f>
        <v>262.543</v>
      </c>
      <c r="C38" s="69"/>
      <c r="D38" s="70"/>
      <c r="E38" s="71"/>
      <c r="F38" s="72"/>
      <c r="G38" s="73"/>
      <c r="H38" s="73"/>
      <c r="I38" s="73"/>
      <c r="J38" s="73"/>
      <c r="K38" s="73"/>
      <c r="L38" s="73"/>
      <c r="M38" s="73"/>
    </row>
    <row r="39" customFormat="false" ht="15.75" hidden="true" customHeight="false" outlineLevel="0" collapsed="false">
      <c r="A39" s="1" t="s">
        <v>20</v>
      </c>
      <c r="B39" s="74" t="n">
        <f aca="false">'System Detail'!I179+'System Detail'!I180</f>
        <v>-12.394543477475</v>
      </c>
      <c r="C39" s="70"/>
    </row>
    <row r="40" customFormat="false" ht="15.75" hidden="true" customHeight="false" outlineLevel="0" collapsed="false">
      <c r="A40" s="1" t="s">
        <v>21</v>
      </c>
      <c r="B40" s="74" t="n">
        <f aca="false">'System Detail'!J179+'System Detail'!J180</f>
        <v>-10.6416666666667</v>
      </c>
      <c r="C40" s="70"/>
    </row>
    <row r="41" customFormat="false" ht="15.75" hidden="true" customHeight="false" outlineLevel="0" collapsed="false">
      <c r="A41" s="75" t="s">
        <v>22</v>
      </c>
      <c r="B41" s="76" t="n">
        <f aca="false">'System Detail'!J32+'System Detail'!J33</f>
        <v>-1.1333375</v>
      </c>
      <c r="C41" s="70"/>
    </row>
    <row r="42" customFormat="false" ht="15.75" hidden="true" customHeight="false" outlineLevel="0" collapsed="false">
      <c r="A42" s="75" t="s">
        <v>23</v>
      </c>
      <c r="B42" s="76" t="n">
        <f aca="false">'System Detail'!I32+'System Detail'!I33</f>
        <v>-8.0502634762</v>
      </c>
      <c r="C42" s="70"/>
    </row>
    <row r="43" customFormat="false" ht="15.75" hidden="true" customHeight="false" outlineLevel="0" collapsed="false">
      <c r="A43" s="75" t="s">
        <v>24</v>
      </c>
      <c r="B43" s="76" t="n">
        <f aca="false">'System Detail'!J29+'System Detail'!J30</f>
        <v>-17.7361111111111</v>
      </c>
      <c r="C43" s="70"/>
    </row>
    <row r="44" customFormat="false" ht="15.75" hidden="true" customHeight="false" outlineLevel="0" collapsed="false">
      <c r="A44" s="75" t="s">
        <v>25</v>
      </c>
      <c r="B44" s="76" t="n">
        <f aca="false">'System Detail'!I29+'System Detail'!I30</f>
        <v>-17.5897218129</v>
      </c>
      <c r="C44" s="70"/>
    </row>
    <row r="45" customFormat="false" ht="15.75" hidden="true" customHeight="false" outlineLevel="0" collapsed="false">
      <c r="A45" s="75" t="s">
        <v>26</v>
      </c>
      <c r="B45" s="76" t="n">
        <f aca="false">'System Detail'!J34+'System Detail'!J35</f>
        <v>84.2465277777778</v>
      </c>
      <c r="C45" s="70"/>
    </row>
    <row r="46" customFormat="false" ht="15.75" hidden="true" customHeight="false" outlineLevel="0" collapsed="false">
      <c r="A46" s="75" t="s">
        <v>27</v>
      </c>
      <c r="B46" s="76" t="n">
        <f aca="false">'System Detail'!I34+'System Detail'!I35</f>
        <v>99.12199237</v>
      </c>
      <c r="C46" s="70"/>
    </row>
    <row r="47" customFormat="false" ht="15.75" hidden="true" customHeight="false" outlineLevel="0" collapsed="false">
      <c r="A47" s="75" t="s">
        <v>28</v>
      </c>
      <c r="B47" s="76" t="n">
        <f aca="false">'System Detail'!J58+'System Detail'!J59</f>
        <v>-20.3965277777778</v>
      </c>
    </row>
    <row r="48" customFormat="false" ht="15.75" hidden="true" customHeight="false" outlineLevel="0" collapsed="false">
      <c r="A48" s="75" t="s">
        <v>29</v>
      </c>
      <c r="B48" s="76" t="n">
        <f aca="false">'System Detail'!I58+'System Detail'!I59</f>
        <v>-10.145754302</v>
      </c>
    </row>
    <row r="49" customFormat="false" ht="15.75" hidden="true" customHeight="false" outlineLevel="0" collapsed="false">
      <c r="A49" s="75" t="s">
        <v>30</v>
      </c>
      <c r="B49" s="76" t="n">
        <f aca="false">sch16151+sch16354</f>
        <v>167.750799305556</v>
      </c>
    </row>
    <row r="50" customFormat="false" ht="15.75" hidden="true" customHeight="false" outlineLevel="0" collapsed="false">
      <c r="A50" s="75" t="s">
        <v>31</v>
      </c>
      <c r="B50" s="76" t="n">
        <f aca="false">act16151+act16354</f>
        <v>125.583186619549</v>
      </c>
    </row>
    <row r="51" customFormat="false" ht="15.75" hidden="true" customHeight="false" outlineLevel="0" collapsed="false">
      <c r="A51" s="75" t="s">
        <v>32</v>
      </c>
      <c r="B51" s="76" t="n">
        <f aca="false">sch26150+sch26106</f>
        <v>-62.0763888888889</v>
      </c>
    </row>
    <row r="52" customFormat="false" ht="15.75" hidden="true" customHeight="false" outlineLevel="0" collapsed="false">
      <c r="A52" s="75" t="s">
        <v>33</v>
      </c>
      <c r="B52" s="76" t="n">
        <f aca="false">act26150+act26106</f>
        <v>-49.9522294755251</v>
      </c>
    </row>
    <row r="53" customFormat="false" ht="15.75" hidden="true" customHeight="false" outlineLevel="0" collapsed="false">
      <c r="A53" s="75" t="s">
        <v>34</v>
      </c>
      <c r="B53" s="76" t="n">
        <f aca="false">'System Detail'!J221+'System Detail'!J222</f>
        <v>0</v>
      </c>
    </row>
    <row r="54" customFormat="false" ht="15.75" hidden="true" customHeight="false" outlineLevel="0" collapsed="false">
      <c r="A54" s="75" t="s">
        <v>35</v>
      </c>
      <c r="B54" s="76" t="n">
        <f aca="false">'System Detail'!I221+'System Detail'!I222</f>
        <v>0</v>
      </c>
    </row>
    <row r="55" customFormat="false" ht="15.75" hidden="true" customHeight="false" outlineLevel="0" collapsed="false">
      <c r="A55" s="75" t="s">
        <v>36</v>
      </c>
      <c r="B55" s="76" t="n">
        <f aca="false">SUM('System Detail'!J127:J164)</f>
        <v>-331.187289583333</v>
      </c>
    </row>
    <row r="56" customFormat="false" ht="15.75" hidden="true" customHeight="false" outlineLevel="0" collapsed="false">
      <c r="A56" s="75" t="s">
        <v>37</v>
      </c>
      <c r="B56" s="76" t="n">
        <f aca="false">SUM('System Detail'!I127:I164)</f>
        <v>-354.7961593957</v>
      </c>
    </row>
    <row r="58" customFormat="false" ht="15.75" hidden="false" customHeight="false" outlineLevel="0" collapsed="false">
      <c r="D58" s="77"/>
    </row>
    <row r="59" customFormat="false" ht="15.75" hidden="false" customHeight="false" outlineLevel="0" collapsed="false">
      <c r="D59" s="77"/>
    </row>
    <row r="60" customFormat="false" ht="15.75" hidden="false" customHeight="false" outlineLevel="0" collapsed="false">
      <c r="D60" s="77"/>
    </row>
  </sheetData>
  <sheetProtection sheet="true" password="c0e5" objects="true" scenarios="true"/>
  <mergeCells count="1">
    <mergeCell ref="B6:C6"/>
  </mergeCells>
  <printOptions headings="false" gridLines="false" gridLinesSet="true" horizontalCentered="true" verticalCentered="true"/>
  <pageMargins left="0.2" right="0.459722222222222" top="0.25" bottom="0.45" header="0.511811023622047" footer="0.25"/>
  <pageSetup paperSize="1" scale="100" fitToWidth="1" fitToHeight="1" pageOrder="downThenOver" orientation="landscape" blackAndWhite="false" draft="false" cellComments="none" horizontalDpi="300" verticalDpi="300" copies="1"/>
  <headerFooter differentFirst="false" differentOddEven="false">
    <oddHeader/>
    <oddFooter>&amp;L&amp;D  &amp;T&amp;C&amp;F&amp;R&amp;"Times New Roman,Bold Italic"&amp;14OPERATIONS PLANNING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01" r:id="rId4" name="">
              <controlPr defaultSize="0" locked="1" autoFill="0" autoLine="0" autoPict="0" print="false" altText="checkboxSaveDailyData">
                <anchor moveWithCells="true" sizeWithCells="false">
                  <from>
                    <xdr:col>12</xdr:col>
                    <xdr:colOff>295920</xdr:colOff>
                    <xdr:row>34</xdr:row>
                    <xdr:rowOff>161640</xdr:rowOff>
                  </from>
                  <to>
                    <xdr:col>13</xdr:col>
                    <xdr:colOff>-126360</xdr:colOff>
                    <xdr:row>35</xdr:row>
                    <xdr:rowOff>162360</xdr:rowOff>
                  </to>
                </anchor>
              </controlPr>
            </control>
          </mc:Choice>
        </mc:AlternateContent>
        <mc:AlternateContent xmlns:mc="http://schemas.openxmlformats.org/markup-compatibility/2006">
          <mc:Choice Requires="x14">
            <control shapeId="1002" r:id="rId5" name="Print on Updates">
              <controlPr defaultSize="0" locked="1" autoFill="0" autoLine="0" autoPict="0" print="false" altText="Check Box 294">
                <anchor moveWithCells="true" sizeWithCells="false">
                  <from>
                    <xdr:col>0</xdr:col>
                    <xdr:colOff>32400</xdr:colOff>
                    <xdr:row>3</xdr:row>
                    <xdr:rowOff>66600</xdr:rowOff>
                  </from>
                  <to>
                    <xdr:col>1</xdr:col>
                    <xdr:colOff>-410760</xdr:colOff>
                    <xdr:row>4</xdr:row>
                    <xdr:rowOff>76320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M58"/>
  <sheetViews>
    <sheetView showFormulas="false" showGridLines="false" showRowColHeaders="fals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ColWidth="11.9921875" defaultRowHeight="15.75" customHeight="true" zeroHeight="false" outlineLevelRow="0" outlineLevelCol="0"/>
  <cols>
    <col collapsed="false" customWidth="true" hidden="false" outlineLevel="0" max="1" min="1" style="1" width="25.99"/>
    <col collapsed="false" customWidth="false" hidden="false" outlineLevel="0" max="257" min="2" style="1" width="11.99"/>
  </cols>
  <sheetData>
    <row r="1" customFormat="false" ht="15.75" hidden="false" customHeight="false" outlineLevel="0" collapsed="false">
      <c r="A1" s="2"/>
      <c r="B1" s="3"/>
      <c r="C1" s="3"/>
      <c r="D1" s="3"/>
      <c r="E1" s="5" t="s">
        <v>38</v>
      </c>
      <c r="F1" s="5" t="s">
        <v>39</v>
      </c>
      <c r="G1" s="3"/>
      <c r="H1" s="3"/>
      <c r="I1" s="3"/>
      <c r="J1" s="3"/>
      <c r="K1" s="3"/>
      <c r="L1" s="3"/>
      <c r="M1" s="7"/>
    </row>
    <row r="2" customFormat="false" ht="15.75" hidden="false" customHeight="false" outlineLevel="0" collapsed="false">
      <c r="A2" s="8"/>
      <c r="B2" s="9"/>
      <c r="C2" s="24"/>
      <c r="D2" s="78" t="s">
        <v>40</v>
      </c>
      <c r="E2" s="79" t="n">
        <f aca="false">'System Detail'!N127</f>
        <v>-26.13011877</v>
      </c>
      <c r="F2" s="79" t="n">
        <f aca="false">'System Detail'!O127</f>
        <v>-25.7173611111111</v>
      </c>
      <c r="G2" s="80" t="n">
        <f aca="false">'System Detail'!P127</f>
        <v>-0.412757658888886</v>
      </c>
      <c r="H2" s="9"/>
      <c r="I2" s="9"/>
      <c r="J2" s="9"/>
      <c r="K2" s="9"/>
      <c r="L2" s="9"/>
      <c r="M2" s="15"/>
    </row>
    <row r="3" customFormat="false" ht="15.75" hidden="false" customHeight="false" outlineLevel="0" collapsed="false">
      <c r="A3" s="8"/>
      <c r="B3" s="9"/>
      <c r="C3" s="9"/>
      <c r="D3" s="78" t="s">
        <v>41</v>
      </c>
      <c r="E3" s="79" t="n">
        <f aca="false">'System Detail'!I133</f>
        <v>-69.4641779425</v>
      </c>
      <c r="F3" s="79" t="n">
        <f aca="false">'System Detail'!J133</f>
        <v>-64.7368055555556</v>
      </c>
      <c r="G3" s="80" t="n">
        <f aca="false">'System Detail'!K133</f>
        <v>-4.72737238694444</v>
      </c>
      <c r="H3" s="9"/>
      <c r="I3" s="9"/>
      <c r="J3" s="9"/>
      <c r="K3" s="9"/>
      <c r="L3" s="9"/>
      <c r="M3" s="15"/>
    </row>
    <row r="4" customFormat="false" ht="15.75" hidden="false" customHeight="false" outlineLevel="0" collapsed="false">
      <c r="A4" s="8"/>
      <c r="B4" s="9"/>
      <c r="C4" s="9"/>
      <c r="D4" s="75" t="s">
        <v>42</v>
      </c>
      <c r="E4" s="79" t="n">
        <f aca="false">'System Detail'!I134</f>
        <v>-32.376272585</v>
      </c>
      <c r="F4" s="79" t="n">
        <f aca="false">'System Detail'!J134</f>
        <v>-31.0381944444444</v>
      </c>
      <c r="G4" s="80" t="n">
        <f aca="false">'System Detail'!K134</f>
        <v>-1.33807814055555</v>
      </c>
      <c r="H4" s="9"/>
      <c r="I4" s="9"/>
      <c r="J4" s="9"/>
      <c r="K4" s="9"/>
      <c r="L4" s="9"/>
      <c r="M4" s="15"/>
    </row>
    <row r="5" customFormat="false" ht="15.75" hidden="false" customHeight="false" outlineLevel="0" collapsed="false">
      <c r="A5" s="19" t="s">
        <v>4</v>
      </c>
      <c r="B5" s="81" t="n">
        <f aca="false">'System Detail'!D2</f>
        <v>36795.375</v>
      </c>
      <c r="C5" s="81"/>
      <c r="D5" s="78" t="s">
        <v>43</v>
      </c>
      <c r="E5" s="79" t="n">
        <f aca="false">'System Detail'!I136</f>
        <v>-15.754273985</v>
      </c>
      <c r="F5" s="79" t="n">
        <f aca="false">'System Detail'!J136</f>
        <v>-15.0756944444444</v>
      </c>
      <c r="G5" s="80" t="n">
        <f aca="false">'System Detail'!K136</f>
        <v>-0.678579540555553</v>
      </c>
      <c r="H5" s="9"/>
      <c r="I5" s="9"/>
      <c r="J5" s="9"/>
      <c r="K5" s="9"/>
      <c r="L5" s="9"/>
      <c r="M5" s="15"/>
    </row>
    <row r="6" customFormat="false" ht="15.75" hidden="false" customHeight="false" outlineLevel="0" collapsed="false">
      <c r="A6" s="19" t="s">
        <v>6</v>
      </c>
      <c r="B6" s="82" t="n">
        <f aca="false">'System Detail'!D3</f>
        <v>36796.2618055556</v>
      </c>
      <c r="C6" s="82"/>
      <c r="D6" s="78" t="s">
        <v>44</v>
      </c>
      <c r="E6" s="79" t="n">
        <f aca="false">'System Detail'!I158</f>
        <v>-37.1361653855507</v>
      </c>
      <c r="F6" s="79" t="n">
        <f aca="false">'System Detail'!J158</f>
        <v>-30.1513888888889</v>
      </c>
      <c r="G6" s="80" t="n">
        <f aca="false">'System Detail'!K158</f>
        <v>-6.98477649666179</v>
      </c>
      <c r="H6" s="9"/>
      <c r="I6" s="9"/>
      <c r="J6" s="9"/>
      <c r="K6" s="9"/>
      <c r="L6" s="9"/>
      <c r="M6" s="15"/>
    </row>
    <row r="7" customFormat="false" ht="15.75" hidden="false" customHeight="false" outlineLevel="0" collapsed="false">
      <c r="A7" s="25" t="str">
        <f aca="false">currentsetting</f>
        <v>Total Accumulated Volumes(mmbtu)</v>
      </c>
      <c r="B7" s="26"/>
      <c r="C7" s="26"/>
      <c r="D7" s="78" t="s">
        <v>45</v>
      </c>
      <c r="E7" s="79" t="n">
        <f aca="false">'System Detail'!N162</f>
        <v>0</v>
      </c>
      <c r="F7" s="79" t="n">
        <f aca="false">'System Detail'!O162</f>
        <v>-0</v>
      </c>
      <c r="G7" s="80" t="n">
        <f aca="false">'System Detail'!P162</f>
        <v>0</v>
      </c>
      <c r="H7" s="9"/>
      <c r="I7" s="9"/>
      <c r="J7" s="9"/>
      <c r="K7" s="9"/>
      <c r="L7" s="9"/>
      <c r="M7" s="15"/>
    </row>
    <row r="8" customFormat="false" ht="16.5" hidden="false" customHeight="true" outlineLevel="0" collapsed="false">
      <c r="A8" s="27" t="str">
        <f aca="false">IF(A7="Total Accumulated Volumes(mmbtu)",CONCATENATE("**Schedule values are prorated to ",TEXT([1]Extracts!I1,"0.0%")," of flow day"),"")</f>
        <v>**Schedule values are prorated to 88.7% of flow day</v>
      </c>
      <c r="B8" s="24"/>
      <c r="C8" s="28"/>
      <c r="D8" s="78" t="s">
        <v>46</v>
      </c>
      <c r="E8" s="79" t="n">
        <f aca="false">'System Detail'!N163</f>
        <v>0</v>
      </c>
      <c r="F8" s="79" t="n">
        <f aca="false">'System Detail'!O163</f>
        <v>0</v>
      </c>
      <c r="G8" s="80" t="n">
        <f aca="false">'System Detail'!P163</f>
        <v>0</v>
      </c>
      <c r="H8" s="9"/>
      <c r="I8" s="9"/>
      <c r="J8" s="9"/>
      <c r="K8" s="9"/>
      <c r="L8" s="9"/>
      <c r="M8" s="15"/>
    </row>
    <row r="9" customFormat="false" ht="16.5" hidden="false" customHeight="false" outlineLevel="0" collapsed="false">
      <c r="A9" s="29" t="str">
        <f aca="false">CONCATENATE("Count of Comm errors = ",DCOUNTA(masterlist,"Err",critcomm),"  ")</f>
        <v>Count of Comm errors = 4  </v>
      </c>
      <c r="B9" s="30"/>
      <c r="C9" s="31" t="str">
        <f aca="false">CONCATENATE("Vol= ",ROUND(DSUM(masterlist,"TTL Act",critcomm),1)," mm")</f>
        <v>Vol= 0 mm</v>
      </c>
      <c r="D9" s="78" t="s">
        <v>47</v>
      </c>
      <c r="E9" s="79" t="n">
        <f aca="false">'System Detail'!N164</f>
        <v>-8.9584719765</v>
      </c>
      <c r="F9" s="79" t="n">
        <f aca="false">'System Detail'!O164</f>
        <v>-7.98125</v>
      </c>
      <c r="G9" s="80" t="n">
        <f aca="false">'System Detail'!P164</f>
        <v>-0.977221976499999</v>
      </c>
      <c r="H9" s="9"/>
      <c r="I9" s="9"/>
      <c r="J9" s="9"/>
      <c r="K9" s="9"/>
      <c r="L9" s="9"/>
      <c r="M9" s="15"/>
    </row>
    <row r="10" customFormat="false" ht="15.75" hidden="false" customHeight="false" outlineLevel="0" collapsed="false">
      <c r="A10" s="33"/>
      <c r="B10" s="9"/>
      <c r="C10" s="9"/>
      <c r="D10" s="32"/>
      <c r="E10" s="83"/>
      <c r="F10" s="9"/>
      <c r="G10" s="24"/>
      <c r="H10" s="9"/>
      <c r="I10" s="9"/>
      <c r="J10" s="9"/>
      <c r="K10" s="9"/>
      <c r="L10" s="9"/>
      <c r="M10" s="15"/>
    </row>
    <row r="11" customFormat="false" ht="15.75" hidden="false" customHeight="false" outlineLevel="0" collapsed="false">
      <c r="A11" s="8"/>
      <c r="B11" s="34"/>
      <c r="C11" s="9"/>
      <c r="D11" s="9"/>
      <c r="E11" s="9"/>
      <c r="F11" s="9"/>
      <c r="G11" s="9"/>
      <c r="H11" s="9"/>
      <c r="I11" s="9"/>
      <c r="J11" s="9"/>
      <c r="K11" s="9"/>
      <c r="L11" s="9"/>
      <c r="M11" s="15"/>
    </row>
    <row r="12" customFormat="false" ht="15.75" hidden="false" customHeight="false" outlineLevel="0" collapsed="false">
      <c r="A12" s="8"/>
      <c r="B12" s="34"/>
      <c r="C12" s="9"/>
      <c r="D12" s="9"/>
      <c r="E12" s="9"/>
      <c r="F12" s="9"/>
      <c r="G12" s="9"/>
      <c r="H12" s="9"/>
      <c r="I12" s="9"/>
      <c r="J12" s="9"/>
      <c r="K12" s="9"/>
      <c r="L12" s="9"/>
      <c r="M12" s="15"/>
    </row>
    <row r="13" customFormat="false" ht="15.75" hidden="false" customHeight="false" outlineLevel="0" collapsed="false">
      <c r="A13" s="8"/>
      <c r="B13" s="34"/>
      <c r="C13" s="9"/>
      <c r="D13" s="9"/>
      <c r="E13" s="9"/>
      <c r="F13" s="9"/>
      <c r="G13" s="9"/>
      <c r="H13" s="9"/>
      <c r="I13" s="9"/>
      <c r="J13" s="9"/>
      <c r="K13" s="9"/>
      <c r="L13" s="9"/>
      <c r="M13" s="15"/>
    </row>
    <row r="14" customFormat="false" ht="15.75" hidden="false" customHeight="false" outlineLevel="0" collapsed="false">
      <c r="A14" s="8"/>
      <c r="B14" s="9"/>
      <c r="C14" s="9"/>
      <c r="D14" s="9"/>
      <c r="E14" s="9"/>
      <c r="F14" s="9"/>
      <c r="G14" s="9"/>
      <c r="H14" s="9"/>
      <c r="I14" s="9"/>
      <c r="J14" s="9"/>
      <c r="K14" s="9"/>
      <c r="L14" s="9"/>
      <c r="M14" s="15"/>
    </row>
    <row r="15" customFormat="false" ht="15.75" hidden="false" customHeight="false" outlineLevel="0" collapsed="false">
      <c r="A15" s="8"/>
      <c r="B15" s="9"/>
      <c r="C15" s="9"/>
      <c r="D15" s="9"/>
      <c r="E15" s="9"/>
      <c r="F15" s="9"/>
      <c r="G15" s="9"/>
      <c r="H15" s="9"/>
      <c r="I15" s="9"/>
      <c r="J15" s="9"/>
      <c r="K15" s="9"/>
      <c r="L15" s="9"/>
      <c r="M15" s="15"/>
    </row>
    <row r="16" customFormat="false" ht="15.75" hidden="false" customHeight="false" outlineLevel="0" collapsed="false">
      <c r="A16" s="8"/>
      <c r="B16" s="9"/>
      <c r="C16" s="9"/>
      <c r="D16" s="9"/>
      <c r="E16" s="9"/>
      <c r="F16" s="9"/>
      <c r="G16" s="9"/>
      <c r="H16" s="9"/>
      <c r="I16" s="9"/>
      <c r="J16" s="9"/>
      <c r="K16" s="9"/>
      <c r="L16" s="9"/>
      <c r="M16" s="15"/>
    </row>
    <row r="17" customFormat="false" ht="15.75" hidden="false" customHeight="false" outlineLevel="0" collapsed="false">
      <c r="A17" s="8"/>
      <c r="B17" s="9"/>
      <c r="C17" s="9"/>
      <c r="D17" s="9"/>
      <c r="E17" s="9"/>
      <c r="F17" s="9"/>
      <c r="G17" s="9"/>
      <c r="H17" s="9"/>
      <c r="I17" s="9"/>
      <c r="J17" s="9"/>
      <c r="K17" s="9"/>
      <c r="L17" s="9"/>
      <c r="M17" s="15"/>
    </row>
    <row r="18" customFormat="false" ht="15.75" hidden="false" customHeight="false" outlineLevel="0" collapsed="false">
      <c r="A18" s="8"/>
      <c r="B18" s="9"/>
      <c r="C18" s="9"/>
      <c r="D18" s="9"/>
      <c r="E18" s="9"/>
      <c r="F18" s="9"/>
      <c r="G18" s="9"/>
      <c r="H18" s="9"/>
      <c r="I18" s="9"/>
      <c r="J18" s="9"/>
      <c r="K18" s="9"/>
      <c r="L18" s="9"/>
      <c r="M18" s="15"/>
    </row>
    <row r="19" customFormat="false" ht="15.75" hidden="false" customHeight="false" outlineLevel="0" collapsed="false">
      <c r="A19" s="8"/>
      <c r="B19" s="9"/>
      <c r="C19" s="9"/>
      <c r="D19" s="9"/>
      <c r="E19" s="9"/>
      <c r="F19" s="9"/>
      <c r="G19" s="9"/>
      <c r="H19" s="9"/>
      <c r="I19" s="9"/>
      <c r="J19" s="9"/>
      <c r="K19" s="9"/>
      <c r="L19" s="9"/>
      <c r="M19" s="15"/>
    </row>
    <row r="20" customFormat="false" ht="15.75" hidden="false" customHeight="false" outlineLevel="0" collapsed="false">
      <c r="A20" s="8"/>
      <c r="B20" s="9"/>
      <c r="C20" s="9"/>
      <c r="D20" s="9"/>
      <c r="E20" s="9"/>
      <c r="F20" s="9"/>
      <c r="G20" s="9"/>
      <c r="H20" s="9"/>
      <c r="I20" s="9"/>
      <c r="J20" s="9"/>
      <c r="K20" s="9"/>
      <c r="L20" s="9"/>
      <c r="M20" s="15"/>
    </row>
    <row r="21" customFormat="false" ht="15.75" hidden="false" customHeight="false" outlineLevel="0" collapsed="false">
      <c r="A21" s="8"/>
      <c r="B21" s="9"/>
      <c r="C21" s="9"/>
      <c r="D21" s="9"/>
      <c r="E21" s="9"/>
      <c r="F21" s="9"/>
      <c r="G21" s="9"/>
      <c r="H21" s="9"/>
      <c r="I21" s="9"/>
      <c r="J21" s="9"/>
      <c r="K21" s="9"/>
      <c r="L21" s="9"/>
      <c r="M21" s="15"/>
    </row>
    <row r="22" customFormat="false" ht="15.75" hidden="false" customHeight="false" outlineLevel="0" collapsed="false">
      <c r="A22" s="8"/>
      <c r="B22" s="9"/>
      <c r="C22" s="9"/>
      <c r="D22" s="9"/>
      <c r="E22" s="9"/>
      <c r="F22" s="9"/>
      <c r="G22" s="9"/>
      <c r="H22" s="9"/>
      <c r="I22" s="9"/>
      <c r="J22" s="9"/>
      <c r="K22" s="9"/>
      <c r="L22" s="9"/>
      <c r="M22" s="15"/>
    </row>
    <row r="23" customFormat="false" ht="15.75" hidden="false" customHeight="false" outlineLevel="0" collapsed="false">
      <c r="A23" s="8"/>
      <c r="B23" s="9"/>
      <c r="C23" s="9"/>
      <c r="D23" s="9"/>
      <c r="E23" s="9"/>
      <c r="F23" s="9"/>
      <c r="G23" s="9"/>
      <c r="H23" s="9"/>
      <c r="I23" s="9"/>
      <c r="J23" s="9"/>
      <c r="K23" s="9"/>
      <c r="L23" s="9"/>
      <c r="M23" s="15"/>
    </row>
    <row r="24" customFormat="false" ht="15.75" hidden="false" customHeight="false" outlineLevel="0" collapsed="false">
      <c r="A24" s="8"/>
      <c r="B24" s="9"/>
      <c r="C24" s="9"/>
      <c r="D24" s="9"/>
      <c r="E24" s="9"/>
      <c r="F24" s="9"/>
      <c r="G24" s="9"/>
      <c r="H24" s="9"/>
      <c r="I24" s="9"/>
      <c r="J24" s="9"/>
      <c r="K24" s="9"/>
      <c r="L24" s="9"/>
      <c r="M24" s="15"/>
    </row>
    <row r="25" customFormat="false" ht="15.75" hidden="false" customHeight="false" outlineLevel="0" collapsed="false">
      <c r="A25" s="8"/>
      <c r="B25" s="9"/>
      <c r="C25" s="9"/>
      <c r="D25" s="9"/>
      <c r="E25" s="9"/>
      <c r="F25" s="9"/>
      <c r="G25" s="9"/>
      <c r="H25" s="24"/>
      <c r="I25" s="24"/>
      <c r="J25" s="35"/>
      <c r="K25" s="36"/>
      <c r="L25" s="37"/>
      <c r="M25" s="38"/>
    </row>
    <row r="26" customFormat="false" ht="15.75" hidden="false" customHeight="false" outlineLevel="0" collapsed="false">
      <c r="A26" s="8"/>
      <c r="B26" s="9"/>
      <c r="C26" s="9"/>
      <c r="D26" s="9"/>
      <c r="E26" s="9"/>
      <c r="F26" s="9"/>
      <c r="G26" s="9"/>
      <c r="H26" s="9"/>
      <c r="I26" s="24"/>
      <c r="J26" s="24"/>
      <c r="K26" s="9"/>
      <c r="L26" s="9"/>
      <c r="M26" s="15"/>
    </row>
    <row r="27" customFormat="false" ht="15.75" hidden="false" customHeight="false" outlineLevel="0" collapsed="false">
      <c r="A27" s="8"/>
      <c r="B27" s="9"/>
      <c r="C27" s="9"/>
      <c r="D27" s="9"/>
      <c r="E27" s="9"/>
      <c r="F27" s="9"/>
      <c r="G27" s="9"/>
      <c r="H27" s="24"/>
      <c r="I27" s="24"/>
      <c r="J27" s="24"/>
      <c r="K27" s="9"/>
      <c r="L27" s="9"/>
      <c r="M27" s="15"/>
    </row>
    <row r="28" customFormat="false" ht="15.75" hidden="false" customHeight="false" outlineLevel="0" collapsed="false">
      <c r="A28" s="8"/>
      <c r="B28" s="9"/>
      <c r="C28" s="9"/>
      <c r="D28" s="9"/>
      <c r="E28" s="9"/>
      <c r="F28" s="9"/>
      <c r="G28" s="9"/>
      <c r="H28" s="9"/>
      <c r="I28" s="24"/>
      <c r="J28" s="35"/>
      <c r="K28" s="36"/>
      <c r="L28" s="37"/>
      <c r="M28" s="38"/>
    </row>
    <row r="29" customFormat="false" ht="15.75" hidden="false" customHeight="false" outlineLevel="0" collapsed="false">
      <c r="A29" s="8"/>
      <c r="B29" s="9"/>
      <c r="C29" s="9"/>
      <c r="D29" s="9"/>
      <c r="E29" s="9"/>
      <c r="F29" s="9"/>
      <c r="G29" s="9"/>
      <c r="H29" s="9"/>
      <c r="I29" s="9"/>
      <c r="J29" s="9"/>
      <c r="K29" s="9"/>
      <c r="L29" s="9"/>
      <c r="M29" s="15"/>
    </row>
    <row r="30" customFormat="false" ht="15.75" hidden="false" customHeight="false" outlineLevel="0" collapsed="false">
      <c r="A30" s="8"/>
      <c r="B30" s="9"/>
      <c r="C30" s="9"/>
      <c r="D30" s="9"/>
      <c r="E30" s="9"/>
      <c r="F30" s="9"/>
      <c r="G30" s="39"/>
      <c r="H30" s="40" t="s">
        <v>7</v>
      </c>
      <c r="I30" s="40" t="s">
        <v>8</v>
      </c>
      <c r="J30" s="40" t="s">
        <v>9</v>
      </c>
      <c r="K30" s="40" t="s">
        <v>10</v>
      </c>
      <c r="L30" s="40" t="s">
        <v>11</v>
      </c>
      <c r="M30" s="41" t="s">
        <v>12</v>
      </c>
    </row>
    <row r="31" customFormat="false" ht="15.75" hidden="false" customHeight="false" outlineLevel="0" collapsed="false">
      <c r="A31" s="8"/>
      <c r="B31" s="9"/>
      <c r="C31" s="9"/>
      <c r="D31" s="9"/>
      <c r="E31" s="9"/>
      <c r="F31" s="9"/>
      <c r="G31" s="42" t="s">
        <v>13</v>
      </c>
      <c r="H31" s="43" t="n">
        <f aca="false">recttl</f>
        <v>713.854459879737</v>
      </c>
      <c r="I31" s="44" t="n">
        <f aca="false">recttlsch</f>
        <v>715.368305555556</v>
      </c>
      <c r="J31" s="43" t="n">
        <f aca="false">reccig</f>
        <v>392.575865826992</v>
      </c>
      <c r="K31" s="45" t="n">
        <f aca="false">reccigsch</f>
        <v>396.675219444444</v>
      </c>
      <c r="L31" s="43" t="n">
        <f aca="false">rechpl</f>
        <v>321.278594052744</v>
      </c>
      <c r="M31" s="46" t="n">
        <f aca="false">rechplsch</f>
        <v>318.693086111111</v>
      </c>
    </row>
    <row r="32" customFormat="false" ht="16.5" hidden="false" customHeight="false" outlineLevel="0" collapsed="false">
      <c r="A32" s="8"/>
      <c r="B32" s="9"/>
      <c r="C32" s="9"/>
      <c r="D32" s="9"/>
      <c r="E32" s="9"/>
      <c r="F32" s="9"/>
      <c r="G32" s="42" t="s">
        <v>14</v>
      </c>
      <c r="H32" s="47" t="n">
        <f aca="false">delttl</f>
        <v>-726.663059815718</v>
      </c>
      <c r="I32" s="48" t="n">
        <f aca="false">delttlsch</f>
        <v>-720.181886111111</v>
      </c>
      <c r="J32" s="49" t="n">
        <f aca="false">delcig</f>
        <v>-404.475658369263</v>
      </c>
      <c r="K32" s="48" t="n">
        <f aca="false">delcigsch</f>
        <v>-401.4888</v>
      </c>
      <c r="L32" s="49" t="n">
        <f aca="false">delhpl</f>
        <v>-322.187401446455</v>
      </c>
      <c r="M32" s="46" t="n">
        <f aca="false">delhplsch</f>
        <v>-318.693086111111</v>
      </c>
    </row>
    <row r="33" customFormat="false" ht="16.5" hidden="false" customHeight="false" outlineLevel="0" collapsed="false">
      <c r="A33" s="8"/>
      <c r="B33" s="9"/>
      <c r="C33" s="9"/>
      <c r="D33" s="9"/>
      <c r="E33" s="9"/>
      <c r="F33" s="9"/>
      <c r="G33" s="50" t="s">
        <v>15</v>
      </c>
      <c r="H33" s="51" t="n">
        <f aca="false">H31+H32</f>
        <v>-12.8085999359814</v>
      </c>
      <c r="I33" s="43" t="n">
        <f aca="false">I31+I32</f>
        <v>-4.81358055555563</v>
      </c>
      <c r="J33" s="43" t="n">
        <f aca="false">J31+J32</f>
        <v>-11.8997925422707</v>
      </c>
      <c r="K33" s="43" t="n">
        <f aca="false">K31+K32</f>
        <v>-4.81358055555552</v>
      </c>
      <c r="L33" s="43" t="n">
        <f aca="false">L31+L32</f>
        <v>-0.908807393710674</v>
      </c>
      <c r="M33" s="52" t="n">
        <f aca="false">M31+M32</f>
        <v>0</v>
      </c>
    </row>
    <row r="34" customFormat="false" ht="16.5" hidden="false" customHeight="false" outlineLevel="0" collapsed="false">
      <c r="A34" s="8"/>
      <c r="B34" s="9"/>
      <c r="C34" s="9"/>
      <c r="D34" s="9"/>
      <c r="E34" s="9"/>
      <c r="F34" s="9"/>
      <c r="G34" s="53"/>
      <c r="H34" s="54" t="n">
        <f aca="false">LPChange</f>
        <v>-7.03019493526858</v>
      </c>
      <c r="I34" s="55" t="s">
        <v>16</v>
      </c>
      <c r="J34" s="43"/>
      <c r="K34" s="43"/>
      <c r="L34" s="43"/>
      <c r="M34" s="46"/>
    </row>
    <row r="35" customFormat="false" ht="17.25" hidden="false" customHeight="false" outlineLevel="0" collapsed="false">
      <c r="A35" s="8"/>
      <c r="B35" s="9"/>
      <c r="C35" s="9"/>
      <c r="D35" s="9"/>
      <c r="E35" s="9"/>
      <c r="F35" s="9"/>
      <c r="G35" s="56" t="s">
        <v>17</v>
      </c>
      <c r="H35" s="57" t="n">
        <f aca="false">LAUF</f>
        <v>5.77840500071284</v>
      </c>
      <c r="I35" s="58" t="n">
        <f aca="false">H35/H31</f>
        <v>0.00809465419840107</v>
      </c>
      <c r="J35" s="43"/>
      <c r="K35" s="59"/>
      <c r="L35" s="59"/>
      <c r="M35" s="46"/>
    </row>
    <row r="36" customFormat="false" ht="16.5" hidden="false" customHeight="false" outlineLevel="0" collapsed="false">
      <c r="A36" s="60"/>
      <c r="B36" s="61"/>
      <c r="C36" s="61"/>
      <c r="D36" s="61"/>
      <c r="E36" s="61"/>
      <c r="F36" s="62"/>
      <c r="G36" s="63" t="s">
        <v>18</v>
      </c>
      <c r="H36" s="64" t="n">
        <f aca="false">LPack</f>
        <v>430.345805064731</v>
      </c>
      <c r="I36" s="65"/>
      <c r="J36" s="65"/>
      <c r="K36" s="65"/>
      <c r="L36" s="65"/>
      <c r="M36" s="66"/>
    </row>
    <row r="37" customFormat="false" ht="15.75" hidden="false" customHeight="false" outlineLevel="0" collapsed="false">
      <c r="A37" s="9"/>
      <c r="B37" s="9"/>
      <c r="C37" s="9"/>
      <c r="D37" s="9"/>
      <c r="E37" s="9"/>
      <c r="F37" s="9"/>
      <c r="G37" s="9"/>
      <c r="H37" s="9"/>
      <c r="I37" s="9"/>
      <c r="J37" s="9"/>
      <c r="K37" s="9"/>
      <c r="L37" s="9"/>
      <c r="M37" s="9"/>
    </row>
    <row r="38" customFormat="false" ht="15.75" hidden="true" customHeight="false" outlineLevel="0" collapsed="false">
      <c r="A38" s="1" t="s">
        <v>20</v>
      </c>
      <c r="B38" s="74" t="n">
        <f aca="false">'System Detail'!N179+'System Detail'!N180</f>
        <v>0</v>
      </c>
      <c r="C38" s="69"/>
      <c r="D38" s="70"/>
      <c r="E38" s="71"/>
      <c r="F38" s="72"/>
      <c r="G38" s="73"/>
      <c r="H38" s="73"/>
      <c r="I38" s="73"/>
      <c r="J38" s="73"/>
      <c r="K38" s="73"/>
      <c r="L38" s="73"/>
      <c r="M38" s="73"/>
    </row>
    <row r="39" customFormat="false" ht="15.75" hidden="true" customHeight="false" outlineLevel="0" collapsed="false">
      <c r="A39" s="1" t="s">
        <v>21</v>
      </c>
      <c r="B39" s="74" t="n">
        <f aca="false">'System Detail'!O179+'System Detail'!O180</f>
        <v>0</v>
      </c>
      <c r="C39" s="70"/>
    </row>
    <row r="40" customFormat="false" ht="15.75" hidden="true" customHeight="false" outlineLevel="0" collapsed="false">
      <c r="A40" s="75" t="s">
        <v>22</v>
      </c>
      <c r="B40" s="76" t="n">
        <f aca="false">'System Detail'!O32+'System Detail'!O33</f>
        <v>-0.3831</v>
      </c>
      <c r="C40" s="70"/>
    </row>
    <row r="41" customFormat="false" ht="15.75" hidden="true" customHeight="false" outlineLevel="0" collapsed="false">
      <c r="A41" s="75" t="s">
        <v>23</v>
      </c>
      <c r="B41" s="76" t="n">
        <f aca="false">'System Detail'!N32+'System Detail'!N33</f>
        <v>-0.3831</v>
      </c>
      <c r="C41" s="70"/>
    </row>
    <row r="42" customFormat="false" ht="15.75" hidden="true" customHeight="false" outlineLevel="0" collapsed="false">
      <c r="A42" s="75" t="s">
        <v>26</v>
      </c>
      <c r="B42" s="76" t="n">
        <f aca="false">'System Detail'!O34+'System Detail'!O35</f>
        <v>66.26831875</v>
      </c>
      <c r="C42" s="70"/>
    </row>
    <row r="43" customFormat="false" ht="15.75" hidden="true" customHeight="false" outlineLevel="0" collapsed="false">
      <c r="A43" s="75" t="s">
        <v>27</v>
      </c>
      <c r="B43" s="76" t="n">
        <f aca="false">'System Detail'!N34+'System Detail'!N35</f>
        <v>81.1437833422222</v>
      </c>
      <c r="C43" s="70"/>
    </row>
    <row r="44" customFormat="false" ht="15.75" hidden="true" customHeight="false" outlineLevel="0" collapsed="false">
      <c r="A44" s="75" t="s">
        <v>28</v>
      </c>
      <c r="B44" s="76" t="n">
        <f aca="false">'System Detail'!O58+'System Detail'!O59</f>
        <v>-20.3965277777778</v>
      </c>
      <c r="C44" s="70"/>
    </row>
    <row r="45" customFormat="false" ht="15.75" hidden="true" customHeight="false" outlineLevel="0" collapsed="false">
      <c r="A45" s="75" t="s">
        <v>29</v>
      </c>
      <c r="B45" s="76" t="n">
        <f aca="false">'System Detail'!N58+'System Detail'!N59</f>
        <v>-10.145754302</v>
      </c>
      <c r="C45" s="70"/>
    </row>
    <row r="46" customFormat="false" ht="15.75" hidden="true" customHeight="false" outlineLevel="0" collapsed="false">
      <c r="A46" s="75" t="s">
        <v>34</v>
      </c>
      <c r="B46" s="76" t="n">
        <f aca="false">'System Detail'!O221+'System Detail'!O222</f>
        <v>0</v>
      </c>
      <c r="C46" s="70"/>
    </row>
    <row r="47" customFormat="false" ht="15.75" hidden="true" customHeight="false" outlineLevel="0" collapsed="false">
      <c r="A47" s="75" t="s">
        <v>35</v>
      </c>
      <c r="B47" s="76" t="n">
        <f aca="false">'System Detail'!N221+'System Detail'!N222</f>
        <v>0</v>
      </c>
    </row>
    <row r="48" customFormat="false" ht="15.75" hidden="true" customHeight="false" outlineLevel="0" collapsed="false">
      <c r="A48" s="75" t="s">
        <v>36</v>
      </c>
      <c r="B48" s="76" t="n">
        <f aca="false">SUM('System Detail'!O127:O164)</f>
        <v>-174.807111111111</v>
      </c>
    </row>
    <row r="49" customFormat="false" ht="15.75" hidden="true" customHeight="false" outlineLevel="0" collapsed="false">
      <c r="A49" s="75" t="s">
        <v>37</v>
      </c>
      <c r="B49" s="76" t="n">
        <f aca="false">SUM('System Detail'!N127:N164)</f>
        <v>-190.166025512554</v>
      </c>
    </row>
    <row r="56" customFormat="false" ht="15.75" hidden="false" customHeight="false" outlineLevel="0" collapsed="false">
      <c r="D56" s="77"/>
    </row>
    <row r="57" customFormat="false" ht="15.75" hidden="false" customHeight="false" outlineLevel="0" collapsed="false">
      <c r="D57" s="77"/>
    </row>
    <row r="58" customFormat="false" ht="15.75" hidden="false" customHeight="false" outlineLevel="0" collapsed="false">
      <c r="D58" s="77"/>
    </row>
  </sheetData>
  <sheetProtection sheet="true" password="c0e5" objects="true" scenarios="true"/>
  <mergeCells count="2">
    <mergeCell ref="B5:C5"/>
    <mergeCell ref="B6:C6"/>
  </mergeCells>
  <printOptions headings="false" gridLines="false" gridLinesSet="true" horizontalCentered="true" verticalCentered="true"/>
  <pageMargins left="0.2" right="0.2" top="0.25" bottom="0.45" header="0.511811023622047" footer="0.25"/>
  <pageSetup paperSize="1" scale="100" fitToWidth="1" fitToHeight="1" pageOrder="downThenOver" orientation="landscape" blackAndWhite="false" draft="false" cellComments="none" horizontalDpi="300" verticalDpi="300" copies="1"/>
  <headerFooter differentFirst="false" differentOddEven="false">
    <oddHeader/>
    <oddFooter>&amp;L&amp;D  &amp;T&amp;C&amp;F&amp;R&amp;"Times New Roman,Bold Italic"&amp;14OPERATIONS PLANNING </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Print on Updates">
              <controlPr defaultSize="0" locked="1" autoFill="0" autoLine="0" autoPict="0" print="false" altText="Check Box 200">
                <anchor moveWithCells="true" sizeWithCells="false">
                  <from>
                    <xdr:col>0</xdr:col>
                    <xdr:colOff>115920</xdr:colOff>
                    <xdr:row>6</xdr:row>
                    <xdr:rowOff>181080</xdr:rowOff>
                  </from>
                  <to>
                    <xdr:col>1</xdr:col>
                    <xdr:colOff>-325440</xdr:colOff>
                    <xdr:row>7</xdr:row>
                    <xdr:rowOff>199800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41"/>
  <sheetViews>
    <sheetView showFormulas="false" showGridLines="false" showRowColHeaders="false" showZeros="true" rightToLeft="false" tabSelected="false" showOutlineSymbols="true" defaultGridColor="true" view="normal" topLeftCell="B1" colorId="64" zoomScale="100" zoomScaleNormal="100" zoomScalePageLayoutView="100" workbookViewId="0">
      <selection pane="topLeft" activeCell="C2" activeCellId="0" sqref="C2:D2"/>
    </sheetView>
  </sheetViews>
  <sheetFormatPr defaultColWidth="9.0546875" defaultRowHeight="12.75" customHeight="true" zeroHeight="false" outlineLevelRow="0" outlineLevelCol="0"/>
  <cols>
    <col collapsed="false" customWidth="true" hidden="true" outlineLevel="0" max="1" min="1" style="0" width="9.32"/>
    <col collapsed="false" customWidth="true" hidden="false" outlineLevel="0" max="2" min="2" style="0" width="21.82"/>
    <col collapsed="false" customWidth="true" hidden="false" outlineLevel="0" max="4" min="3" style="0" width="10.82"/>
    <col collapsed="false" customWidth="true" hidden="false" outlineLevel="0" max="5" min="5" style="0" width="6.99"/>
    <col collapsed="false" customWidth="true" hidden="false" outlineLevel="0" max="6" min="6" style="0" width="6.32"/>
    <col collapsed="false" customWidth="true" hidden="false" outlineLevel="0" max="10" min="7" style="0" width="6.99"/>
    <col collapsed="false" customWidth="true" hidden="false" outlineLevel="0" max="12" min="11" style="0" width="6.32"/>
    <col collapsed="false" customWidth="true" hidden="false" outlineLevel="0" max="13" min="13" style="0" width="6.99"/>
    <col collapsed="false" customWidth="true" hidden="false" outlineLevel="0" max="14" min="14" style="0" width="5.82"/>
  </cols>
  <sheetData>
    <row r="1" customFormat="false" ht="20.25" hidden="false" customHeight="false" outlineLevel="0" collapsed="false">
      <c r="B1" s="84" t="s">
        <v>48</v>
      </c>
      <c r="C1" s="85"/>
      <c r="D1" s="85"/>
      <c r="E1" s="85"/>
      <c r="F1" s="85"/>
      <c r="G1" s="85"/>
      <c r="H1" s="85"/>
      <c r="I1" s="85"/>
      <c r="J1" s="85"/>
      <c r="K1" s="85"/>
      <c r="L1" s="85"/>
      <c r="M1" s="85"/>
      <c r="N1" s="86"/>
    </row>
    <row r="2" customFormat="false" ht="15.75" hidden="false" customHeight="false" outlineLevel="0" collapsed="false">
      <c r="B2" s="19" t="s">
        <v>49</v>
      </c>
      <c r="C2" s="87" t="n">
        <f aca="false">flowDate</f>
        <v>36795.375</v>
      </c>
      <c r="D2" s="87"/>
      <c r="E2" s="88"/>
      <c r="F2" s="88"/>
      <c r="G2" s="88"/>
      <c r="H2" s="88"/>
      <c r="I2" s="88"/>
      <c r="J2" s="88"/>
      <c r="K2" s="88"/>
      <c r="L2" s="88"/>
      <c r="M2" s="88"/>
      <c r="N2" s="89"/>
    </row>
    <row r="3" customFormat="false" ht="15.75" hidden="false" customHeight="false" outlineLevel="0" collapsed="false">
      <c r="B3" s="19" t="s">
        <v>50</v>
      </c>
      <c r="C3" s="82" t="n">
        <f aca="false">readingtime</f>
        <v>36796.2618055556</v>
      </c>
      <c r="D3" s="82"/>
      <c r="E3" s="88"/>
      <c r="F3" s="88"/>
      <c r="G3" s="88"/>
      <c r="H3" s="88"/>
      <c r="I3" s="88"/>
      <c r="J3" s="88"/>
      <c r="K3" s="88"/>
      <c r="L3" s="88"/>
      <c r="M3" s="88"/>
      <c r="N3" s="89"/>
    </row>
    <row r="4" customFormat="false" ht="15.75" hidden="false" customHeight="false" outlineLevel="0" collapsed="false">
      <c r="B4" s="25" t="str">
        <f aca="false">currentsetting</f>
        <v>Total Accumulated Volumes(mmbtu)</v>
      </c>
      <c r="C4" s="26"/>
      <c r="D4" s="26"/>
      <c r="E4" s="88"/>
      <c r="F4" s="88"/>
      <c r="G4" s="88"/>
      <c r="H4" s="88"/>
      <c r="I4" s="88"/>
      <c r="J4" s="88"/>
      <c r="K4" s="88"/>
      <c r="L4" s="88"/>
      <c r="M4" s="88"/>
      <c r="N4" s="89"/>
    </row>
    <row r="5" customFormat="false" ht="30" hidden="false" customHeight="true" outlineLevel="0" collapsed="false">
      <c r="B5" s="90"/>
      <c r="C5" s="91" t="s">
        <v>51</v>
      </c>
      <c r="D5" s="91" t="s">
        <v>52</v>
      </c>
      <c r="E5" s="91" t="s">
        <v>53</v>
      </c>
      <c r="F5" s="91" t="s">
        <v>54</v>
      </c>
      <c r="G5" s="91" t="s">
        <v>55</v>
      </c>
      <c r="H5" s="91" t="s">
        <v>56</v>
      </c>
      <c r="I5" s="91" t="s">
        <v>57</v>
      </c>
      <c r="J5" s="91" t="s">
        <v>58</v>
      </c>
      <c r="K5" s="91" t="s">
        <v>59</v>
      </c>
      <c r="L5" s="91" t="s">
        <v>60</v>
      </c>
      <c r="M5" s="91" t="s">
        <v>61</v>
      </c>
      <c r="N5" s="89"/>
    </row>
    <row r="6" customFormat="false" ht="12.75" hidden="false" customHeight="false" outlineLevel="0" collapsed="false">
      <c r="B6" s="90" t="s">
        <v>62</v>
      </c>
      <c r="C6" s="92"/>
      <c r="D6" s="93"/>
      <c r="E6" s="92" t="n">
        <f aca="false">actKR</f>
        <v>2.49014259999858</v>
      </c>
      <c r="F6" s="93" t="n">
        <f aca="false">schKR</f>
        <v>0</v>
      </c>
      <c r="G6" s="94" t="n">
        <f aca="false">E6-F6</f>
        <v>2.49014259999858</v>
      </c>
      <c r="H6" s="95" t="n">
        <f aca="false">actkrhpl</f>
        <v>0</v>
      </c>
      <c r="I6" s="93" t="n">
        <f aca="false">schkrhpl</f>
        <v>0</v>
      </c>
      <c r="J6" s="96" t="n">
        <f aca="false">H6-I6</f>
        <v>0</v>
      </c>
      <c r="K6" s="95" t="n">
        <f aca="false">actkrcig</f>
        <v>2.49014259999858</v>
      </c>
      <c r="L6" s="93" t="n">
        <f aca="false">schkrcig</f>
        <v>0</v>
      </c>
      <c r="M6" s="97" t="n">
        <f aca="false">K6-L6</f>
        <v>2.49014259999858</v>
      </c>
      <c r="N6" s="89"/>
    </row>
    <row r="7" customFormat="false" ht="12.75" hidden="false" customHeight="false" outlineLevel="0" collapsed="false">
      <c r="B7" s="90" t="s">
        <v>63</v>
      </c>
      <c r="C7" s="98"/>
      <c r="D7" s="99"/>
      <c r="E7" s="98" t="n">
        <f aca="false">actST</f>
        <v>47.4189917447</v>
      </c>
      <c r="F7" s="99" t="n">
        <f aca="false">schST</f>
        <v>24.7312333333333</v>
      </c>
      <c r="G7" s="100" t="n">
        <f aca="false">E7-F7</f>
        <v>22.6877584113667</v>
      </c>
      <c r="H7" s="101" t="n">
        <f aca="false">actSThpl</f>
        <v>0</v>
      </c>
      <c r="I7" s="99" t="n">
        <f aca="false">schSThpl</f>
        <v>0</v>
      </c>
      <c r="J7" s="102" t="n">
        <f aca="false">H7-I7</f>
        <v>0</v>
      </c>
      <c r="K7" s="101" t="n">
        <f aca="false">actSTcig</f>
        <v>47.4189917447</v>
      </c>
      <c r="L7" s="99" t="n">
        <f aca="false">schSTcig</f>
        <v>24.7312333333333</v>
      </c>
      <c r="M7" s="103" t="n">
        <f aca="false">K7-L7</f>
        <v>22.6877584113667</v>
      </c>
      <c r="N7" s="89"/>
    </row>
    <row r="8" customFormat="false" ht="12.75" hidden="false" customHeight="false" outlineLevel="0" collapsed="false">
      <c r="A8" s="0" t="n">
        <v>99802</v>
      </c>
      <c r="B8" s="90" t="s">
        <v>64</v>
      </c>
      <c r="C8" s="98" t="n">
        <f aca="false">LP802*BTUDefault</f>
        <v>45.2979919683323</v>
      </c>
      <c r="D8" s="99" t="n">
        <f aca="false">LP802b-VLOOKUP(A8,Cigsch,2,FALSE())</f>
        <v>-2.04800803166773</v>
      </c>
      <c r="E8" s="98" t="n">
        <f aca="false">act802</f>
        <v>290.641344420691</v>
      </c>
      <c r="F8" s="99" t="n">
        <f aca="false">sch802</f>
        <v>240.759727083333</v>
      </c>
      <c r="G8" s="100" t="n">
        <f aca="false">E8-F8</f>
        <v>49.881617337358</v>
      </c>
      <c r="H8" s="101" t="n">
        <f aca="false">act802hpl</f>
        <v>101.296134023333</v>
      </c>
      <c r="I8" s="99" t="n">
        <f aca="false">sch802hpl</f>
        <v>86.1345368055556</v>
      </c>
      <c r="J8" s="102" t="n">
        <f aca="false">H8-I8</f>
        <v>15.1615972177778</v>
      </c>
      <c r="K8" s="101" t="n">
        <f aca="false">act802cig</f>
        <v>189.345210397358</v>
      </c>
      <c r="L8" s="99" t="n">
        <f aca="false">sch802cig</f>
        <v>154.625190277778</v>
      </c>
      <c r="M8" s="103" t="n">
        <f aca="false">K8-L8</f>
        <v>34.7200201195802</v>
      </c>
      <c r="N8" s="89"/>
    </row>
    <row r="9" customFormat="false" ht="12.75" hidden="false" customHeight="false" outlineLevel="0" collapsed="false">
      <c r="A9" s="0" t="n">
        <v>99804</v>
      </c>
      <c r="B9" s="90" t="s">
        <v>65</v>
      </c>
      <c r="C9" s="98" t="n">
        <f aca="false">LP804*BTUDefault</f>
        <v>50.1280715472023</v>
      </c>
      <c r="D9" s="99" t="n">
        <f aca="false">LP804b-VLOOKUP(A9,Cigsch,2,FALSE())</f>
        <v>-2.31492845279772</v>
      </c>
      <c r="E9" s="98" t="n">
        <f aca="false">act804</f>
        <v>280.176687167453</v>
      </c>
      <c r="F9" s="99" t="n">
        <f aca="false">sch804</f>
        <v>218.322659722222</v>
      </c>
      <c r="G9" s="100" t="n">
        <f aca="false">E9-F9</f>
        <v>61.8540274452307</v>
      </c>
      <c r="H9" s="101" t="n">
        <f aca="false">act804hpl</f>
        <v>90.2516518901759</v>
      </c>
      <c r="I9" s="99" t="n">
        <f aca="false">sch804hpl</f>
        <v>63.0775923611111</v>
      </c>
      <c r="J9" s="102" t="n">
        <f aca="false">H9-I9</f>
        <v>27.1740595290648</v>
      </c>
      <c r="K9" s="101" t="n">
        <f aca="false">act804cig</f>
        <v>189.925035277277</v>
      </c>
      <c r="L9" s="99" t="n">
        <f aca="false">sch804cig</f>
        <v>155.245067361111</v>
      </c>
      <c r="M9" s="103" t="n">
        <f aca="false">K9-L9</f>
        <v>34.6799679161659</v>
      </c>
      <c r="N9" s="89"/>
    </row>
    <row r="10" customFormat="false" ht="12.75" hidden="false" customHeight="false" outlineLevel="0" collapsed="false">
      <c r="A10" s="0" t="n">
        <v>99806</v>
      </c>
      <c r="B10" s="90" t="s">
        <v>66</v>
      </c>
      <c r="C10" s="98" t="n">
        <f aca="false">LP806*BTUDefault</f>
        <v>41.7643104350835</v>
      </c>
      <c r="D10" s="99" t="n">
        <f aca="false">LP806b-VLOOKUP(A10,Cigsch,2,FALSE())</f>
        <v>-1.47068956491654</v>
      </c>
      <c r="E10" s="98" t="n">
        <f aca="false">act806</f>
        <v>280.80844607991</v>
      </c>
      <c r="F10" s="99" t="n">
        <f aca="false">sch806</f>
        <v>215.811226388889</v>
      </c>
      <c r="G10" s="100" t="n">
        <f aca="false">E10-F10</f>
        <v>64.9972196910212</v>
      </c>
      <c r="H10" s="101" t="n">
        <f aca="false">act806hpl</f>
        <v>86.8307133281659</v>
      </c>
      <c r="I10" s="99" t="n">
        <f aca="false">sch806hpl</f>
        <v>64.2109298611111</v>
      </c>
      <c r="J10" s="102" t="n">
        <f aca="false">H10-I10</f>
        <v>22.6197834670548</v>
      </c>
      <c r="K10" s="101" t="n">
        <f aca="false">act806cig</f>
        <v>193.977732751744</v>
      </c>
      <c r="L10" s="99" t="n">
        <f aca="false">sch806cig</f>
        <v>151.600296527778</v>
      </c>
      <c r="M10" s="103" t="n">
        <f aca="false">K10-L10</f>
        <v>42.3774362239663</v>
      </c>
      <c r="N10" s="89"/>
    </row>
    <row r="11" customFormat="false" ht="12.75" hidden="false" customHeight="false" outlineLevel="0" collapsed="false">
      <c r="A11" s="0" t="n">
        <v>99809</v>
      </c>
      <c r="B11" s="90" t="s">
        <v>67</v>
      </c>
      <c r="C11" s="98" t="n">
        <f aca="false">LP809*BTUDefault</f>
        <v>74.6102151446377</v>
      </c>
      <c r="D11" s="99" t="n">
        <f aca="false">LP809b-VLOOKUP(A11,Cigsch,2,FALSE())</f>
        <v>-0.830784855362282</v>
      </c>
      <c r="E11" s="98" t="n">
        <f aca="false">act809</f>
        <v>347.630364995346</v>
      </c>
      <c r="F11" s="99" t="n">
        <f aca="false">sch809</f>
        <v>329.865949305556</v>
      </c>
      <c r="G11" s="100" t="n">
        <f aca="false">E11-F11</f>
        <v>17.7644156897902</v>
      </c>
      <c r="H11" s="101" t="n">
        <f aca="false">act809hpl</f>
        <v>170.279944843907</v>
      </c>
      <c r="I11" s="99" t="n">
        <f aca="false">sch809hpl</f>
        <v>139.253302777778</v>
      </c>
      <c r="J11" s="102" t="n">
        <f aca="false">H11-I11</f>
        <v>31.0266420661288</v>
      </c>
      <c r="K11" s="101" t="n">
        <f aca="false">act809cig</f>
        <v>177.350420151439</v>
      </c>
      <c r="L11" s="99" t="n">
        <f aca="false">sch809cig</f>
        <v>190.612646527778</v>
      </c>
      <c r="M11" s="103" t="n">
        <f aca="false">K11-L11</f>
        <v>-13.2622263763387</v>
      </c>
      <c r="N11" s="89"/>
    </row>
    <row r="12" customFormat="false" ht="12.75" hidden="false" customHeight="false" outlineLevel="0" collapsed="false">
      <c r="A12" s="0" t="n">
        <v>99812</v>
      </c>
      <c r="B12" s="90" t="s">
        <v>68</v>
      </c>
      <c r="C12" s="98" t="n">
        <f aca="false">LP812*BTUDefault</f>
        <v>74.7207611286854</v>
      </c>
      <c r="D12" s="99" t="n">
        <f aca="false">LP812b-VLOOKUP(A12,Cigsch,2,FALSE())</f>
        <v>-0.203238871314596</v>
      </c>
      <c r="E12" s="98" t="n">
        <f aca="false">act812</f>
        <v>339.303154721336</v>
      </c>
      <c r="F12" s="99" t="n">
        <f aca="false">sch812</f>
        <v>310.719817361111</v>
      </c>
      <c r="G12" s="100" t="n">
        <f aca="false">E12-F12</f>
        <v>28.5833373602252</v>
      </c>
      <c r="H12" s="101" t="n">
        <f aca="false">act812hpl</f>
        <v>166.227760073585</v>
      </c>
      <c r="I12" s="99" t="n">
        <f aca="false">sch812hpl</f>
        <v>138.311515277778</v>
      </c>
      <c r="J12" s="102" t="n">
        <f aca="false">H12-I12</f>
        <v>27.9162447958069</v>
      </c>
      <c r="K12" s="101" t="n">
        <f aca="false">act812cig</f>
        <v>173.075394647752</v>
      </c>
      <c r="L12" s="99" t="n">
        <f aca="false">sch812cig</f>
        <v>172.408302083333</v>
      </c>
      <c r="M12" s="103" t="n">
        <f aca="false">K12-L12</f>
        <v>0.667092564418255</v>
      </c>
      <c r="N12" s="89"/>
    </row>
    <row r="13" customFormat="false" ht="12.75" hidden="false" customHeight="false" outlineLevel="0" collapsed="false">
      <c r="B13" s="90" t="s">
        <v>69</v>
      </c>
      <c r="C13" s="104"/>
      <c r="D13" s="105"/>
      <c r="E13" s="98" t="n">
        <f aca="false">act813</f>
        <v>339.129135681511</v>
      </c>
      <c r="F13" s="99" t="n">
        <f aca="false">sch813</f>
        <v>310.719817361111</v>
      </c>
      <c r="G13" s="100" t="n">
        <f aca="false">E13-F13</f>
        <v>28.4093183204002</v>
      </c>
      <c r="H13" s="101" t="n">
        <f aca="false">act813hpl</f>
        <v>166.05374103376</v>
      </c>
      <c r="I13" s="99" t="n">
        <f aca="false">sch813hpl</f>
        <v>138.311515277778</v>
      </c>
      <c r="J13" s="102" t="n">
        <f aca="false">H13-I13</f>
        <v>27.7422257559819</v>
      </c>
      <c r="K13" s="101" t="n">
        <f aca="false">act813cig</f>
        <v>173.075394647752</v>
      </c>
      <c r="L13" s="99" t="n">
        <f aca="false">sch813cig</f>
        <v>172.408302083333</v>
      </c>
      <c r="M13" s="103" t="n">
        <f aca="false">K13-L13</f>
        <v>0.667092564418255</v>
      </c>
      <c r="N13" s="89"/>
    </row>
    <row r="14" customFormat="false" ht="12.75" hidden="false" customHeight="false" outlineLevel="0" collapsed="false">
      <c r="A14" s="0" t="n">
        <v>99814</v>
      </c>
      <c r="B14" s="90" t="s">
        <v>70</v>
      </c>
      <c r="C14" s="106" t="n">
        <f aca="false">LP8141A*BTUDefault</f>
        <v>34.8605436205707</v>
      </c>
      <c r="D14" s="107" t="n">
        <f aca="false">LP8141Ab-VLOOKUP(A14,Cigsch,2,FALSE())</f>
        <v>0.0765436205707175</v>
      </c>
      <c r="E14" s="98" t="n">
        <f aca="false">act8141a</f>
        <v>57.3898780746403</v>
      </c>
      <c r="F14" s="99" t="n">
        <f aca="false">sch8141a</f>
        <v>56.1968680555557</v>
      </c>
      <c r="G14" s="100" t="n">
        <f aca="false">E14-F14</f>
        <v>1.19301001908463</v>
      </c>
      <c r="H14" s="101" t="n">
        <f aca="false">act8141ahpl</f>
        <v>-10.7743566431722</v>
      </c>
      <c r="I14" s="99" t="n">
        <f aca="false">sch8141ahpl</f>
        <v>-23.3008159722222</v>
      </c>
      <c r="J14" s="102" t="n">
        <f aca="false">H14-I14</f>
        <v>12.5264593290499</v>
      </c>
      <c r="K14" s="101" t="n">
        <f aca="false">act8141acig</f>
        <v>68.1642347178125</v>
      </c>
      <c r="L14" s="99" t="n">
        <f aca="false">sch8141acig</f>
        <v>79.4976840277779</v>
      </c>
      <c r="M14" s="103" t="n">
        <f aca="false">K14-L14</f>
        <v>-11.3334493099654</v>
      </c>
      <c r="N14" s="89"/>
    </row>
    <row r="15" customFormat="false" ht="13.5" hidden="false" customHeight="false" outlineLevel="0" collapsed="false">
      <c r="A15" s="0" t="n">
        <v>99820</v>
      </c>
      <c r="B15" s="90" t="s">
        <v>71</v>
      </c>
      <c r="C15" s="108" t="n">
        <f aca="false">(LP820+LPSabine)*BTUDefault</f>
        <v>108.96391122022</v>
      </c>
      <c r="D15" s="109" t="n">
        <f aca="false">LPsabineb-VLOOKUP(A15,Cigsch,2,FALSE())</f>
        <v>-0.239088779780431</v>
      </c>
      <c r="E15" s="108" t="n">
        <f aca="false">act820</f>
        <v>-12.1202506879312</v>
      </c>
      <c r="F15" s="110" t="n">
        <f aca="false">sch820</f>
        <v>-4.81358055555542</v>
      </c>
      <c r="G15" s="111" t="n">
        <f aca="false">E15-F15</f>
        <v>-7.30667013237582</v>
      </c>
      <c r="H15" s="112" t="n">
        <f aca="false">act820hpl</f>
        <v>-0.599007720163758</v>
      </c>
      <c r="I15" s="110" t="n">
        <f aca="false">sch820hpl</f>
        <v>1.99770755493489E-014</v>
      </c>
      <c r="J15" s="113" t="n">
        <f aca="false">H15-I15</f>
        <v>-0.599007720163778</v>
      </c>
      <c r="K15" s="112" t="n">
        <f aca="false">act820cig</f>
        <v>-11.5212429677675</v>
      </c>
      <c r="L15" s="110" t="n">
        <f aca="false">sch820cig</f>
        <v>-4.81358055555543</v>
      </c>
      <c r="M15" s="114" t="n">
        <f aca="false">K15-L15</f>
        <v>-6.70766241221211</v>
      </c>
      <c r="N15" s="89"/>
    </row>
    <row r="16" customFormat="false" ht="13.5" hidden="false" customHeight="false" outlineLevel="0" collapsed="false">
      <c r="B16" s="115" t="s">
        <v>72</v>
      </c>
      <c r="C16" s="112" t="n">
        <f aca="false">SUM(C8:C15)</f>
        <v>430.345805064731</v>
      </c>
      <c r="D16" s="112" t="n">
        <f aca="false">SUM(D8:D15)</f>
        <v>-7.03019493526858</v>
      </c>
      <c r="E16" s="112"/>
      <c r="F16" s="112"/>
      <c r="G16" s="112"/>
      <c r="H16" s="112"/>
      <c r="I16" s="112"/>
      <c r="J16" s="112"/>
      <c r="K16" s="112"/>
      <c r="L16" s="112"/>
      <c r="M16" s="112"/>
      <c r="N16" s="116"/>
      <c r="O16" s="117"/>
    </row>
    <row r="17" customFormat="false" ht="12.75" hidden="false" customHeight="false" outlineLevel="0" collapsed="false">
      <c r="B17" s="118" t="s">
        <v>73</v>
      </c>
      <c r="C17" s="118" t="s">
        <v>74</v>
      </c>
      <c r="D17" s="118" t="s">
        <v>75</v>
      </c>
      <c r="E17" s="118" t="s">
        <v>76</v>
      </c>
      <c r="F17" s="118"/>
      <c r="G17" s="118"/>
      <c r="H17" s="118"/>
      <c r="I17" s="118"/>
      <c r="J17" s="118"/>
      <c r="K17" s="118"/>
      <c r="L17" s="118"/>
      <c r="M17" s="118"/>
      <c r="N17" s="118"/>
      <c r="O17" s="117"/>
    </row>
    <row r="18" customFormat="false" ht="12.75" hidden="false" customHeight="false" outlineLevel="0" collapsed="false">
      <c r="B18" s="119" t="n">
        <v>800</v>
      </c>
      <c r="C18" s="120" t="n">
        <f aca="false">PDAD</f>
        <v>823.845337</v>
      </c>
      <c r="D18" s="120" t="n">
        <v>750</v>
      </c>
      <c r="E18" s="88" t="n">
        <v>925</v>
      </c>
      <c r="F18" s="88"/>
      <c r="G18" s="88"/>
      <c r="H18" s="88"/>
      <c r="I18" s="88"/>
      <c r="J18" s="88"/>
      <c r="K18" s="88"/>
      <c r="L18" s="88"/>
      <c r="M18" s="88"/>
      <c r="N18" s="88"/>
      <c r="O18" s="117"/>
    </row>
    <row r="19" customFormat="false" ht="12.75" hidden="false" customHeight="false" outlineLevel="0" collapsed="false">
      <c r="B19" s="119" t="s">
        <v>77</v>
      </c>
      <c r="C19" s="120" t="n">
        <f aca="false">PS802</f>
        <v>786.788391</v>
      </c>
      <c r="D19" s="120" t="n">
        <v>750</v>
      </c>
      <c r="E19" s="88" t="n">
        <v>936</v>
      </c>
      <c r="F19" s="88"/>
      <c r="G19" s="88"/>
      <c r="H19" s="88"/>
      <c r="I19" s="88"/>
      <c r="J19" s="88"/>
      <c r="K19" s="88"/>
      <c r="L19" s="88"/>
      <c r="M19" s="88"/>
      <c r="N19" s="88"/>
      <c r="O19" s="117"/>
    </row>
    <row r="20" customFormat="false" ht="12.75" hidden="false" customHeight="false" outlineLevel="0" collapsed="false">
      <c r="B20" s="121" t="s">
        <v>78</v>
      </c>
      <c r="C20" s="122" t="n">
        <f aca="false">PD802</f>
        <v>787.056946</v>
      </c>
      <c r="D20" s="122"/>
      <c r="E20" s="123" t="n">
        <v>936</v>
      </c>
      <c r="F20" s="123"/>
      <c r="G20" s="123"/>
      <c r="H20" s="123"/>
      <c r="I20" s="123"/>
      <c r="J20" s="123"/>
      <c r="K20" s="123"/>
      <c r="L20" s="123"/>
      <c r="M20" s="123"/>
      <c r="N20" s="123"/>
    </row>
    <row r="21" customFormat="false" ht="12.75" hidden="false" customHeight="false" outlineLevel="0" collapsed="false">
      <c r="B21" s="121" t="s">
        <v>79</v>
      </c>
      <c r="C21" s="122" t="n">
        <f aca="false">PS804</f>
        <v>738</v>
      </c>
      <c r="D21" s="122"/>
      <c r="E21" s="123" t="n">
        <v>936</v>
      </c>
      <c r="F21" s="123"/>
      <c r="G21" s="123"/>
      <c r="H21" s="123"/>
      <c r="I21" s="123"/>
      <c r="J21" s="123"/>
      <c r="K21" s="123"/>
      <c r="L21" s="123"/>
      <c r="M21" s="123"/>
      <c r="N21" s="123"/>
    </row>
    <row r="22" customFormat="false" ht="12.75" hidden="false" customHeight="false" outlineLevel="0" collapsed="false">
      <c r="B22" s="121" t="s">
        <v>80</v>
      </c>
      <c r="C22" s="122" t="n">
        <f aca="false">PD804</f>
        <v>736</v>
      </c>
      <c r="D22" s="122" t="n">
        <v>600</v>
      </c>
      <c r="E22" s="123" t="n">
        <v>936</v>
      </c>
      <c r="F22" s="123"/>
      <c r="G22" s="123"/>
      <c r="H22" s="123"/>
      <c r="I22" s="123"/>
      <c r="J22" s="123"/>
      <c r="K22" s="123"/>
      <c r="L22" s="123"/>
      <c r="M22" s="123"/>
      <c r="N22" s="123"/>
    </row>
    <row r="23" customFormat="false" ht="12.75" hidden="false" customHeight="false" outlineLevel="0" collapsed="false">
      <c r="B23" s="121" t="s">
        <v>81</v>
      </c>
      <c r="C23" s="122" t="n">
        <f aca="false">PS806</f>
        <v>699.994019</v>
      </c>
      <c r="D23" s="122" t="n">
        <v>600</v>
      </c>
      <c r="E23" s="123" t="n">
        <v>936</v>
      </c>
      <c r="F23" s="123"/>
      <c r="G23" s="123"/>
      <c r="H23" s="123"/>
      <c r="I23" s="123"/>
      <c r="J23" s="123"/>
      <c r="K23" s="123"/>
      <c r="L23" s="123"/>
      <c r="M23" s="123"/>
      <c r="N23" s="123"/>
    </row>
    <row r="24" customFormat="false" ht="12.75" hidden="false" customHeight="false" outlineLevel="0" collapsed="false">
      <c r="B24" s="121" t="s">
        <v>82</v>
      </c>
      <c r="C24" s="122" t="n">
        <f aca="false">PD806</f>
        <v>888.786987</v>
      </c>
      <c r="D24" s="122"/>
      <c r="E24" s="123" t="n">
        <v>926</v>
      </c>
      <c r="F24" s="123"/>
      <c r="G24" s="123"/>
      <c r="H24" s="123"/>
      <c r="I24" s="123"/>
      <c r="J24" s="123"/>
      <c r="K24" s="123"/>
      <c r="L24" s="123"/>
      <c r="M24" s="123"/>
      <c r="N24" s="123"/>
    </row>
    <row r="25" customFormat="false" ht="12.75" hidden="false" customHeight="false" outlineLevel="0" collapsed="false">
      <c r="B25" s="121" t="s">
        <v>83</v>
      </c>
      <c r="C25" s="122" t="n">
        <f aca="false">PDBLESS</f>
        <v>843.254578</v>
      </c>
      <c r="D25" s="122"/>
      <c r="E25" s="123" t="n">
        <v>926</v>
      </c>
      <c r="F25" s="123"/>
      <c r="G25" s="123"/>
      <c r="H25" s="123"/>
      <c r="I25" s="123"/>
      <c r="J25" s="123"/>
      <c r="K25" s="123"/>
      <c r="L25" s="123"/>
      <c r="M25" s="123"/>
      <c r="N25" s="123"/>
    </row>
    <row r="26" customFormat="false" ht="12.75" hidden="false" customHeight="false" outlineLevel="0" collapsed="false">
      <c r="B26" s="121" t="s">
        <v>84</v>
      </c>
      <c r="C26" s="122" t="n">
        <f aca="false">PS809</f>
        <v>806.078979</v>
      </c>
      <c r="D26" s="122"/>
      <c r="E26" s="123" t="n">
        <v>926</v>
      </c>
      <c r="F26" s="123"/>
      <c r="G26" s="123"/>
      <c r="H26" s="123"/>
      <c r="I26" s="123"/>
      <c r="J26" s="123"/>
      <c r="K26" s="123"/>
      <c r="L26" s="123"/>
      <c r="M26" s="123"/>
      <c r="N26" s="123"/>
    </row>
    <row r="27" customFormat="false" ht="12.75" hidden="false" customHeight="false" outlineLevel="0" collapsed="false">
      <c r="B27" s="121" t="s">
        <v>85</v>
      </c>
      <c r="C27" s="122" t="n">
        <f aca="false">PD809</f>
        <v>803.942993</v>
      </c>
      <c r="D27" s="122"/>
      <c r="E27" s="123" t="n">
        <v>936</v>
      </c>
      <c r="F27" s="123"/>
      <c r="G27" s="123"/>
      <c r="H27" s="123"/>
      <c r="I27" s="123"/>
      <c r="J27" s="123"/>
      <c r="K27" s="123"/>
      <c r="L27" s="123"/>
      <c r="M27" s="123"/>
      <c r="N27" s="123"/>
    </row>
    <row r="28" customFormat="false" ht="12.75" hidden="false" customHeight="false" outlineLevel="0" collapsed="false">
      <c r="B28" s="121" t="s">
        <v>86</v>
      </c>
      <c r="C28" s="122" t="n">
        <f aca="false">PS8121A</f>
        <v>729.591858</v>
      </c>
      <c r="D28" s="122"/>
      <c r="E28" s="123" t="n">
        <v>936</v>
      </c>
      <c r="F28" s="123"/>
      <c r="G28" s="123"/>
      <c r="H28" s="123"/>
      <c r="I28" s="123"/>
      <c r="J28" s="123"/>
      <c r="K28" s="123"/>
      <c r="L28" s="123"/>
      <c r="M28" s="123"/>
      <c r="N28" s="123"/>
    </row>
    <row r="29" customFormat="false" ht="12.75" hidden="false" customHeight="false" outlineLevel="0" collapsed="false">
      <c r="B29" s="121" t="s">
        <v>87</v>
      </c>
      <c r="C29" s="122" t="n">
        <f aca="false">PD8121A</f>
        <v>722.072998</v>
      </c>
      <c r="D29" s="122"/>
      <c r="E29" s="123" t="n">
        <v>936</v>
      </c>
      <c r="F29" s="123"/>
      <c r="G29" s="123"/>
      <c r="H29" s="123"/>
      <c r="I29" s="123"/>
      <c r="J29" s="123"/>
      <c r="K29" s="123"/>
      <c r="L29" s="123"/>
      <c r="M29" s="123"/>
      <c r="N29" s="123"/>
    </row>
    <row r="30" customFormat="false" ht="12.75" hidden="false" customHeight="false" outlineLevel="0" collapsed="false">
      <c r="B30" s="121" t="s">
        <v>88</v>
      </c>
      <c r="C30" s="122" t="n">
        <f aca="false">PD812</f>
        <v>719.119263</v>
      </c>
      <c r="D30" s="122"/>
      <c r="E30" s="123" t="n">
        <v>936</v>
      </c>
      <c r="F30" s="123"/>
      <c r="G30" s="123"/>
      <c r="H30" s="123"/>
      <c r="I30" s="123"/>
      <c r="J30" s="123"/>
      <c r="K30" s="123"/>
      <c r="L30" s="123"/>
      <c r="M30" s="123"/>
      <c r="N30" s="123"/>
    </row>
    <row r="31" customFormat="false" ht="12.75" hidden="false" customHeight="false" outlineLevel="0" collapsed="false">
      <c r="B31" s="121" t="n">
        <v>813</v>
      </c>
      <c r="C31" s="122" t="n">
        <f aca="false">PD813</f>
        <v>703.544556</v>
      </c>
      <c r="D31" s="122"/>
      <c r="E31" s="123" t="n">
        <v>715</v>
      </c>
      <c r="F31" s="123"/>
      <c r="G31" s="123"/>
      <c r="H31" s="123"/>
      <c r="I31" s="123"/>
      <c r="J31" s="123"/>
      <c r="K31" s="123"/>
      <c r="L31" s="123"/>
      <c r="M31" s="123"/>
      <c r="N31" s="123"/>
    </row>
    <row r="32" customFormat="false" ht="12.75" hidden="false" customHeight="false" outlineLevel="0" collapsed="false">
      <c r="B32" s="121" t="n">
        <v>814.1</v>
      </c>
      <c r="C32" s="122" t="n">
        <f aca="false">PSLomax</f>
        <v>632.787354</v>
      </c>
      <c r="D32" s="122" t="n">
        <v>535</v>
      </c>
      <c r="E32" s="123" t="n">
        <v>715</v>
      </c>
      <c r="F32" s="123"/>
      <c r="G32" s="123"/>
      <c r="H32" s="123"/>
      <c r="I32" s="123"/>
      <c r="J32" s="123"/>
      <c r="K32" s="123"/>
      <c r="L32" s="123"/>
      <c r="M32" s="123"/>
      <c r="N32" s="123"/>
    </row>
    <row r="33" customFormat="false" ht="12.75" hidden="false" customHeight="false" outlineLevel="0" collapsed="false">
      <c r="B33" s="121" t="n">
        <v>820</v>
      </c>
      <c r="C33" s="122" t="n">
        <f aca="false">PD26167</f>
        <v>634.80127</v>
      </c>
      <c r="D33" s="122" t="n">
        <v>530</v>
      </c>
      <c r="E33" s="123" t="n">
        <v>936</v>
      </c>
      <c r="F33" s="123"/>
      <c r="G33" s="123"/>
      <c r="H33" s="123"/>
      <c r="I33" s="123"/>
      <c r="J33" s="123"/>
      <c r="K33" s="123"/>
      <c r="L33" s="123"/>
      <c r="M33" s="123"/>
      <c r="N33" s="123"/>
    </row>
    <row r="34" customFormat="false" ht="12.75" hidden="false" customHeight="false" outlineLevel="0" collapsed="false">
      <c r="B34" s="123"/>
      <c r="C34" s="123"/>
      <c r="D34" s="123"/>
      <c r="E34" s="123"/>
      <c r="F34" s="123"/>
      <c r="G34" s="123"/>
      <c r="H34" s="123"/>
      <c r="I34" s="123"/>
      <c r="J34" s="123"/>
      <c r="K34" s="123"/>
      <c r="L34" s="123"/>
      <c r="M34" s="123"/>
      <c r="N34" s="123"/>
    </row>
    <row r="35" customFormat="false" ht="12.75" hidden="false" customHeight="false" outlineLevel="0" collapsed="false">
      <c r="B35" s="123"/>
      <c r="C35" s="123"/>
      <c r="D35" s="123"/>
      <c r="E35" s="123"/>
      <c r="F35" s="123"/>
      <c r="G35" s="123"/>
      <c r="H35" s="123"/>
      <c r="I35" s="123"/>
      <c r="J35" s="123"/>
      <c r="K35" s="123"/>
      <c r="L35" s="123"/>
      <c r="M35" s="123"/>
      <c r="N35" s="123"/>
    </row>
    <row r="36" customFormat="false" ht="12.75" hidden="false" customHeight="false" outlineLevel="0" collapsed="false">
      <c r="B36" s="123"/>
      <c r="C36" s="123"/>
      <c r="D36" s="123"/>
      <c r="E36" s="123"/>
      <c r="F36" s="123"/>
      <c r="G36" s="123"/>
      <c r="H36" s="123"/>
      <c r="I36" s="123"/>
      <c r="J36" s="123"/>
      <c r="K36" s="123"/>
      <c r="L36" s="123"/>
      <c r="M36" s="123"/>
      <c r="N36" s="123"/>
    </row>
    <row r="37" customFormat="false" ht="12.75" hidden="false" customHeight="false" outlineLevel="0" collapsed="false">
      <c r="B37" s="123"/>
      <c r="C37" s="123"/>
      <c r="D37" s="123"/>
      <c r="E37" s="123"/>
      <c r="F37" s="123"/>
      <c r="G37" s="123"/>
      <c r="H37" s="123"/>
      <c r="I37" s="123"/>
      <c r="J37" s="123"/>
      <c r="K37" s="123"/>
      <c r="L37" s="123"/>
      <c r="M37" s="123"/>
      <c r="N37" s="123"/>
    </row>
    <row r="38" customFormat="false" ht="12.75" hidden="false" customHeight="false" outlineLevel="0" collapsed="false">
      <c r="B38" s="123"/>
      <c r="C38" s="123"/>
      <c r="D38" s="123"/>
      <c r="E38" s="123"/>
      <c r="F38" s="123"/>
      <c r="G38" s="123"/>
      <c r="H38" s="123"/>
      <c r="I38" s="123"/>
      <c r="J38" s="123"/>
      <c r="K38" s="123"/>
      <c r="L38" s="123"/>
      <c r="M38" s="123"/>
      <c r="N38" s="123"/>
    </row>
    <row r="39" customFormat="false" ht="12.75" hidden="false" customHeight="false" outlineLevel="0" collapsed="false">
      <c r="B39" s="123"/>
      <c r="C39" s="123"/>
      <c r="D39" s="123"/>
      <c r="E39" s="123"/>
      <c r="F39" s="123"/>
      <c r="G39" s="123"/>
      <c r="H39" s="123"/>
      <c r="I39" s="123"/>
      <c r="J39" s="123"/>
      <c r="K39" s="123"/>
      <c r="L39" s="123"/>
      <c r="M39" s="123"/>
      <c r="N39" s="123"/>
    </row>
    <row r="40" customFormat="false" ht="12.75" hidden="false" customHeight="false" outlineLevel="0" collapsed="false">
      <c r="B40" s="123"/>
      <c r="C40" s="123"/>
      <c r="D40" s="123"/>
      <c r="E40" s="123"/>
      <c r="F40" s="123"/>
      <c r="G40" s="123"/>
      <c r="H40" s="123"/>
      <c r="I40" s="123"/>
      <c r="J40" s="123"/>
      <c r="K40" s="123"/>
      <c r="L40" s="123"/>
      <c r="M40" s="123"/>
      <c r="N40" s="123"/>
    </row>
    <row r="41" customFormat="false" ht="12.75" hidden="false" customHeight="false" outlineLevel="0" collapsed="false">
      <c r="B41" s="123"/>
      <c r="C41" s="123"/>
      <c r="D41" s="123"/>
      <c r="E41" s="123"/>
      <c r="F41" s="123"/>
      <c r="G41" s="123"/>
      <c r="H41" s="123"/>
      <c r="I41" s="123"/>
      <c r="J41" s="123"/>
      <c r="K41" s="123"/>
      <c r="L41" s="123"/>
      <c r="M41" s="123"/>
      <c r="N41" s="123"/>
    </row>
  </sheetData>
  <sheetProtection sheet="true" password="c0e5" objects="true" scenarios="true"/>
  <mergeCells count="2">
    <mergeCell ref="C2:D2"/>
    <mergeCell ref="C3:D3"/>
  </mergeCells>
  <printOptions headings="false" gridLines="false" gridLinesSet="true" horizontalCentered="false" verticalCentered="false"/>
  <pageMargins left="0.25" right="0.25" top="0.509722222222222" bottom="0.559722222222222" header="0.2" footer="0.209722222222222"/>
  <pageSetup paperSize="1" scale="100" fitToWidth="1" fitToHeight="1" pageOrder="downThenOver" orientation="portrait" blackAndWhite="false" draft="false" cellComments="none" horizontalDpi="300" verticalDpi="300" copies="1"/>
  <headerFooter differentFirst="false" differentOddEven="false">
    <oddHeader>&amp;C&amp;"Times New Roman,Bold"&amp;18Pressure Volume Summary</oddHeader>
    <oddFooter>&amp;L&amp;D  &amp;T&amp;C&amp;F&amp;R&amp;"Times New Roman,Bold Italic"&amp;14OPERATIONS PLANNING</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Print on Updates">
              <controlPr defaultSize="0" locked="1" autoFill="0" autoLine="0" autoPict="0" print="false" altText="Check Box 2">
                <anchor moveWithCells="true" sizeWithCells="false">
                  <from>
                    <xdr:col>5</xdr:col>
                    <xdr:colOff>74160</xdr:colOff>
                    <xdr:row>0</xdr:row>
                    <xdr:rowOff>142560</xdr:rowOff>
                  </from>
                  <to>
                    <xdr:col>7</xdr:col>
                    <xdr:colOff>433800</xdr:colOff>
                    <xdr:row>1</xdr:row>
                    <xdr:rowOff>104760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383"/>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8" ySplit="4" topLeftCell="I5" activePane="bottomRight" state="frozen"/>
      <selection pane="topLeft" activeCell="A1" activeCellId="0" sqref="A1"/>
      <selection pane="topRight" activeCell="I1" activeCellId="0" sqref="I1"/>
      <selection pane="bottomLeft" activeCell="A5" activeCellId="0" sqref="A5"/>
      <selection pane="bottomRight" activeCell="A1" activeCellId="0" sqref="A1"/>
    </sheetView>
  </sheetViews>
  <sheetFormatPr defaultColWidth="9.32421875" defaultRowHeight="12.75" customHeight="true" zeroHeight="false" outlineLevelRow="0" outlineLevelCol="0"/>
  <cols>
    <col collapsed="false" customWidth="true" hidden="false" outlineLevel="0" max="1" min="1" style="124" width="6.32"/>
    <col collapsed="false" customWidth="true" hidden="false" outlineLevel="0" max="2" min="2" style="125" width="6.99"/>
    <col collapsed="false" customWidth="true" hidden="false" outlineLevel="0" max="3" min="3" style="126" width="5.99"/>
    <col collapsed="false" customWidth="true" hidden="false" outlineLevel="0" max="4" min="4" style="127" width="31.65"/>
    <col collapsed="false" customWidth="true" hidden="false" outlineLevel="0" max="5" min="5" style="125" width="4.82"/>
    <col collapsed="false" customWidth="true" hidden="false" outlineLevel="0" max="6" min="6" style="128" width="5.49"/>
    <col collapsed="false" customWidth="true" hidden="false" outlineLevel="0" max="7" min="7" style="128" width="6.32"/>
    <col collapsed="false" customWidth="true" hidden="false" outlineLevel="0" max="8" min="8" style="125" width="8.99"/>
    <col collapsed="false" customWidth="true" hidden="false" outlineLevel="0" max="9" min="9" style="129" width="8.99"/>
    <col collapsed="false" customWidth="true" hidden="false" outlineLevel="0" max="10" min="10" style="129" width="9.49"/>
    <col collapsed="false" customWidth="true" hidden="false" outlineLevel="0" max="11" min="11" style="129" width="8.99"/>
    <col collapsed="false" customWidth="true" hidden="false" outlineLevel="0" max="13" min="12" style="129" width="10.32"/>
    <col collapsed="false" customWidth="true" hidden="false" outlineLevel="0" max="14" min="14" style="129" width="9.15"/>
    <col collapsed="false" customWidth="true" hidden="false" outlineLevel="0" max="15" min="15" style="129" width="9.49"/>
    <col collapsed="false" customWidth="true" hidden="false" outlineLevel="0" max="16" min="16" style="129" width="8.15"/>
    <col collapsed="false" customWidth="true" hidden="false" outlineLevel="0" max="17" min="17" style="129" width="10.32"/>
    <col collapsed="false" customWidth="true" hidden="false" outlineLevel="0" max="18" min="18" style="130" width="10.32"/>
    <col collapsed="false" customWidth="true" hidden="false" outlineLevel="0" max="19" min="19" style="129" width="8.82"/>
    <col collapsed="false" customWidth="true" hidden="false" outlineLevel="0" max="20" min="20" style="129" width="9.82"/>
    <col collapsed="false" customWidth="true" hidden="false" outlineLevel="0" max="21" min="21" style="129" width="8.49"/>
    <col collapsed="false" customWidth="true" hidden="false" outlineLevel="0" max="22" min="22" style="129" width="9.82"/>
    <col collapsed="false" customWidth="true" hidden="false" outlineLevel="0" max="23" min="23" style="129" width="10.65"/>
    <col collapsed="false" customWidth="false" hidden="false" outlineLevel="0" max="24" min="24" style="129" width="9.32"/>
    <col collapsed="false" customWidth="true" hidden="false" outlineLevel="0" max="25" min="25" style="129" width="9.15"/>
    <col collapsed="false" customWidth="false" hidden="false" outlineLevel="0" max="257" min="26" style="131" width="9.32"/>
  </cols>
  <sheetData>
    <row r="1" customFormat="false" ht="35.25" hidden="false" customHeight="true" outlineLevel="0" collapsed="false">
      <c r="A1" s="132"/>
      <c r="B1" s="133"/>
      <c r="C1" s="134"/>
      <c r="D1" s="135" t="n">
        <f aca="false">D2</f>
        <v>36795.375</v>
      </c>
      <c r="E1" s="136"/>
      <c r="G1" s="137"/>
      <c r="H1" s="138"/>
      <c r="I1" s="139"/>
      <c r="J1" s="140"/>
      <c r="K1" s="140"/>
      <c r="L1" s="141" t="str">
        <f aca="false">CONCATENATE("Count of Comm errors = ",DCOUNTA(masterlist,"Err",critcomm),"  ")</f>
        <v>Count of Comm errors = 4  </v>
      </c>
      <c r="M1" s="140"/>
      <c r="N1" s="142"/>
      <c r="O1" s="143" t="str">
        <f aca="false">CONCATENATE("Vol= ",ROUND(DSUM(masterlist,"TTL Act",critcomm),1)," mm")</f>
        <v>Vol= 0 mm</v>
      </c>
      <c r="R1" s="144"/>
      <c r="W1" s="144"/>
    </row>
    <row r="2" customFormat="false" ht="15" hidden="false" customHeight="true" outlineLevel="0" collapsed="false">
      <c r="A2" s="145"/>
      <c r="B2" s="145"/>
      <c r="C2" s="146" t="s">
        <v>4</v>
      </c>
      <c r="D2" s="147" t="n">
        <f aca="false">IF(POLLHOUR&lt;=0.375,INT(D3-1)+0.375,INT(D3)+0.375)</f>
        <v>36795.375</v>
      </c>
      <c r="E2" s="148"/>
      <c r="F2" s="149"/>
      <c r="G2" s="150"/>
      <c r="H2" s="136"/>
      <c r="I2" s="151" t="s">
        <v>89</v>
      </c>
      <c r="M2" s="144"/>
      <c r="R2" s="144"/>
      <c r="W2" s="144"/>
    </row>
    <row r="3" customFormat="false" ht="13.5" hidden="false" customHeight="true" outlineLevel="0" collapsed="false">
      <c r="A3" s="152"/>
      <c r="B3" s="152"/>
      <c r="C3" s="146" t="s">
        <v>6</v>
      </c>
      <c r="D3" s="153" t="n">
        <f aca="false">VLOOKUP(6101,spotdata,4,FALSE())</f>
        <v>36796.2618055556</v>
      </c>
      <c r="E3" s="138"/>
      <c r="F3" s="149"/>
      <c r="G3" s="154"/>
      <c r="H3" s="155"/>
      <c r="I3" s="156" t="s">
        <v>90</v>
      </c>
      <c r="J3" s="156"/>
      <c r="K3" s="156"/>
      <c r="L3" s="156"/>
      <c r="M3" s="156"/>
      <c r="N3" s="157" t="n">
        <v>3942</v>
      </c>
      <c r="O3" s="157"/>
      <c r="P3" s="158" t="s">
        <v>91</v>
      </c>
      <c r="Q3" s="159"/>
      <c r="R3" s="160"/>
      <c r="S3" s="157"/>
      <c r="T3" s="159"/>
      <c r="U3" s="158" t="s">
        <v>92</v>
      </c>
      <c r="V3" s="161"/>
      <c r="W3" s="162"/>
      <c r="X3" s="163"/>
      <c r="Y3" s="164"/>
      <c r="Z3" s="165"/>
      <c r="AA3" s="165"/>
      <c r="AB3" s="165"/>
      <c r="AC3" s="165"/>
      <c r="AD3" s="165"/>
      <c r="AE3" s="165"/>
      <c r="AF3" s="165"/>
      <c r="AG3" s="165"/>
      <c r="AH3" s="165"/>
      <c r="AI3" s="165"/>
      <c r="AJ3" s="165"/>
      <c r="AK3" s="165"/>
      <c r="AL3" s="165"/>
      <c r="AM3" s="165"/>
      <c r="AN3" s="165"/>
      <c r="AO3" s="165"/>
      <c r="AP3" s="165"/>
      <c r="AQ3" s="165"/>
      <c r="AR3" s="165"/>
      <c r="AS3" s="165"/>
      <c r="AT3" s="165"/>
      <c r="AU3" s="165"/>
      <c r="AV3" s="165"/>
      <c r="AW3" s="165"/>
      <c r="AX3" s="165"/>
      <c r="AY3" s="165"/>
      <c r="AZ3" s="165"/>
      <c r="BA3" s="165"/>
      <c r="BB3" s="165"/>
      <c r="BC3" s="165"/>
      <c r="BD3" s="165"/>
      <c r="BE3" s="165"/>
      <c r="BF3" s="165"/>
      <c r="BG3" s="165"/>
      <c r="BH3" s="165"/>
      <c r="BI3" s="165"/>
      <c r="BJ3" s="165"/>
      <c r="BK3" s="165"/>
      <c r="BL3" s="165"/>
      <c r="BM3" s="165"/>
      <c r="BN3" s="165"/>
      <c r="BO3" s="165"/>
      <c r="BP3" s="165"/>
      <c r="BQ3" s="165"/>
      <c r="BR3" s="165"/>
      <c r="BS3" s="165"/>
      <c r="BT3" s="165"/>
      <c r="BU3" s="165"/>
      <c r="BV3" s="165"/>
      <c r="BW3" s="165"/>
      <c r="BX3" s="165"/>
      <c r="BY3" s="165"/>
      <c r="BZ3" s="165"/>
      <c r="CA3" s="165"/>
      <c r="CB3" s="165"/>
      <c r="CC3" s="165"/>
      <c r="CD3" s="165"/>
      <c r="CE3" s="165"/>
      <c r="CF3" s="165"/>
      <c r="CG3" s="165"/>
      <c r="CH3" s="165"/>
      <c r="CI3" s="165"/>
      <c r="CJ3" s="165"/>
      <c r="CK3" s="165"/>
      <c r="CL3" s="165"/>
      <c r="CM3" s="165"/>
      <c r="CN3" s="165"/>
      <c r="CO3" s="165"/>
      <c r="CP3" s="165"/>
      <c r="CQ3" s="165"/>
      <c r="CR3" s="165"/>
      <c r="CS3" s="165"/>
      <c r="CT3" s="165"/>
      <c r="CU3" s="165"/>
      <c r="CV3" s="165"/>
      <c r="CW3" s="165"/>
      <c r="CX3" s="165"/>
      <c r="CY3" s="165"/>
      <c r="CZ3" s="165"/>
      <c r="DA3" s="165"/>
      <c r="DB3" s="165"/>
      <c r="DC3" s="165"/>
      <c r="DD3" s="165"/>
      <c r="DE3" s="165"/>
      <c r="DF3" s="165"/>
      <c r="DG3" s="165"/>
      <c r="DH3" s="165"/>
      <c r="DI3" s="165"/>
      <c r="DJ3" s="165"/>
      <c r="DK3" s="165"/>
      <c r="DL3" s="165"/>
      <c r="DM3" s="165"/>
      <c r="DN3" s="165"/>
      <c r="DO3" s="165"/>
      <c r="DP3" s="165"/>
      <c r="DQ3" s="165"/>
      <c r="DR3" s="165"/>
      <c r="DS3" s="165"/>
      <c r="DT3" s="165"/>
      <c r="DU3" s="165"/>
      <c r="DV3" s="165"/>
      <c r="DW3" s="165"/>
      <c r="DX3" s="165"/>
      <c r="DY3" s="165"/>
      <c r="DZ3" s="165"/>
      <c r="EA3" s="165"/>
      <c r="EB3" s="165"/>
      <c r="EC3" s="165"/>
      <c r="ED3" s="165"/>
      <c r="EE3" s="165"/>
      <c r="EF3" s="165"/>
      <c r="EG3" s="165"/>
      <c r="EH3" s="165"/>
      <c r="EI3" s="165"/>
      <c r="EJ3" s="165"/>
      <c r="EK3" s="165"/>
      <c r="EL3" s="165"/>
      <c r="EM3" s="165"/>
      <c r="EN3" s="165"/>
      <c r="EO3" s="165"/>
      <c r="EP3" s="165"/>
      <c r="EQ3" s="165"/>
      <c r="ER3" s="165"/>
      <c r="ES3" s="165"/>
      <c r="ET3" s="165"/>
      <c r="EU3" s="165"/>
      <c r="EV3" s="165"/>
      <c r="EW3" s="165"/>
      <c r="EX3" s="165"/>
      <c r="EY3" s="165"/>
      <c r="EZ3" s="165"/>
      <c r="FA3" s="165"/>
      <c r="FB3" s="165"/>
      <c r="FC3" s="165"/>
      <c r="FD3" s="165"/>
      <c r="FE3" s="165"/>
      <c r="FF3" s="165"/>
      <c r="FG3" s="165"/>
      <c r="FH3" s="165"/>
      <c r="FI3" s="165"/>
      <c r="FJ3" s="165"/>
      <c r="FK3" s="165"/>
      <c r="FL3" s="165"/>
      <c r="FM3" s="165"/>
      <c r="FN3" s="165"/>
      <c r="FO3" s="165"/>
      <c r="FP3" s="165"/>
      <c r="FQ3" s="165"/>
      <c r="FR3" s="165"/>
      <c r="FS3" s="165"/>
      <c r="FT3" s="165"/>
      <c r="FU3" s="165"/>
      <c r="FV3" s="165"/>
      <c r="FW3" s="165"/>
      <c r="FX3" s="165"/>
      <c r="FY3" s="165"/>
      <c r="FZ3" s="165"/>
      <c r="GA3" s="165"/>
      <c r="GB3" s="165"/>
      <c r="GC3" s="165"/>
      <c r="GD3" s="165"/>
      <c r="GE3" s="165"/>
      <c r="GF3" s="165"/>
      <c r="GG3" s="165"/>
      <c r="GH3" s="165"/>
      <c r="GI3" s="165"/>
      <c r="GJ3" s="165"/>
      <c r="GK3" s="165"/>
      <c r="GL3" s="165"/>
      <c r="GM3" s="165"/>
      <c r="GN3" s="165"/>
      <c r="GO3" s="165"/>
      <c r="GP3" s="165"/>
      <c r="GQ3" s="165"/>
      <c r="GR3" s="165"/>
      <c r="GS3" s="165"/>
      <c r="GT3" s="165"/>
      <c r="GU3" s="165"/>
      <c r="GV3" s="165"/>
      <c r="GW3" s="165"/>
      <c r="GX3" s="165"/>
      <c r="GY3" s="165"/>
      <c r="GZ3" s="165"/>
      <c r="HA3" s="165"/>
      <c r="HB3" s="165"/>
      <c r="HC3" s="165"/>
      <c r="HD3" s="165"/>
      <c r="HE3" s="165"/>
      <c r="HF3" s="165"/>
      <c r="HG3" s="165"/>
      <c r="HH3" s="165"/>
      <c r="HI3" s="165"/>
      <c r="HJ3" s="165"/>
      <c r="HK3" s="165"/>
      <c r="HL3" s="165"/>
      <c r="HM3" s="165"/>
      <c r="HN3" s="165"/>
      <c r="HO3" s="165"/>
      <c r="HP3" s="165"/>
      <c r="HQ3" s="165"/>
      <c r="HR3" s="165"/>
      <c r="HS3" s="165"/>
      <c r="HT3" s="165"/>
      <c r="HU3" s="165"/>
      <c r="HV3" s="165"/>
      <c r="HW3" s="165"/>
      <c r="HX3" s="165"/>
      <c r="HY3" s="165"/>
      <c r="HZ3" s="165"/>
      <c r="IA3" s="165"/>
      <c r="IB3" s="165"/>
      <c r="IC3" s="165"/>
      <c r="ID3" s="165"/>
      <c r="IE3" s="165"/>
      <c r="IF3" s="165"/>
      <c r="IG3" s="165"/>
      <c r="IH3" s="165"/>
      <c r="II3" s="165"/>
      <c r="IJ3" s="165"/>
      <c r="IK3" s="165"/>
      <c r="IL3" s="165"/>
      <c r="IM3" s="165"/>
      <c r="IN3" s="165"/>
      <c r="IO3" s="165"/>
      <c r="IP3" s="165"/>
      <c r="IQ3" s="165"/>
      <c r="IR3" s="165"/>
      <c r="IS3" s="165"/>
      <c r="IT3" s="165"/>
      <c r="IU3" s="165"/>
      <c r="IV3" s="165"/>
      <c r="IW3" s="165"/>
    </row>
    <row r="4" customFormat="false" ht="36.75" hidden="false" customHeight="true" outlineLevel="0" collapsed="false">
      <c r="A4" s="166" t="s">
        <v>93</v>
      </c>
      <c r="B4" s="167" t="s">
        <v>94</v>
      </c>
      <c r="C4" s="168" t="s">
        <v>95</v>
      </c>
      <c r="D4" s="169" t="s">
        <v>73</v>
      </c>
      <c r="E4" s="167" t="s">
        <v>96</v>
      </c>
      <c r="F4" s="170" t="s">
        <v>97</v>
      </c>
      <c r="G4" s="170" t="s">
        <v>98</v>
      </c>
      <c r="H4" s="171" t="s">
        <v>99</v>
      </c>
      <c r="I4" s="172" t="s">
        <v>7</v>
      </c>
      <c r="J4" s="173" t="s">
        <v>100</v>
      </c>
      <c r="K4" s="173" t="s">
        <v>101</v>
      </c>
      <c r="L4" s="173" t="s">
        <v>102</v>
      </c>
      <c r="M4" s="174" t="s">
        <v>103</v>
      </c>
      <c r="N4" s="173" t="s">
        <v>11</v>
      </c>
      <c r="O4" s="173" t="s">
        <v>104</v>
      </c>
      <c r="P4" s="173" t="s">
        <v>105</v>
      </c>
      <c r="Q4" s="173" t="s">
        <v>106</v>
      </c>
      <c r="R4" s="175" t="s">
        <v>107</v>
      </c>
      <c r="S4" s="173" t="s">
        <v>9</v>
      </c>
      <c r="T4" s="173" t="s">
        <v>108</v>
      </c>
      <c r="U4" s="173" t="s">
        <v>109</v>
      </c>
      <c r="V4" s="173" t="s">
        <v>110</v>
      </c>
      <c r="W4" s="173" t="s">
        <v>111</v>
      </c>
      <c r="X4" s="176" t="s">
        <v>112</v>
      </c>
      <c r="Y4" s="177" t="s">
        <v>113</v>
      </c>
    </row>
    <row r="5" customFormat="false" ht="12.75" hidden="false" customHeight="true" outlineLevel="0" collapsed="false">
      <c r="A5" s="178" t="s">
        <v>114</v>
      </c>
      <c r="B5" s="179" t="n">
        <v>16361</v>
      </c>
      <c r="C5" s="178"/>
      <c r="D5" s="179" t="s">
        <v>115</v>
      </c>
      <c r="E5" s="179" t="s">
        <v>116</v>
      </c>
      <c r="F5" s="180" t="s">
        <v>116</v>
      </c>
      <c r="G5" s="181" t="n">
        <f aca="false">VLOOKUP($B5,BTU,2,FALSE())/1000</f>
        <v>1.025</v>
      </c>
      <c r="H5" s="182" t="str">
        <f aca="false">VLOOKUP($B5,spotdata,3,FALSE())</f>
        <v>UNAV</v>
      </c>
      <c r="I5" s="183" t="n">
        <f aca="false">IF(VLOOKUP($B5,errordata,3,FALSE())="UNAV",J5*POLLHOURSFLOWED,IF(LEFT(B5,1)="1",VLOOKUP($B5,totalvolume,2,FALSE())*G5/1000,VLOOKUP($B5,totalvolume,2,FALSE())*G5/1000*-1))</f>
        <v>0</v>
      </c>
      <c r="J5" s="184" t="n">
        <f aca="false">O5+T5</f>
        <v>0</v>
      </c>
      <c r="K5" s="185" t="n">
        <f aca="false">I5-J5</f>
        <v>0</v>
      </c>
      <c r="L5" s="186" t="n">
        <f aca="false">I5</f>
        <v>0</v>
      </c>
      <c r="M5" s="187" t="n">
        <f aca="false">J5</f>
        <v>0</v>
      </c>
      <c r="N5" s="186"/>
      <c r="O5" s="184"/>
      <c r="P5" s="185"/>
      <c r="Q5" s="186"/>
      <c r="R5" s="188"/>
      <c r="S5" s="189" t="n">
        <f aca="false">I5-N5</f>
        <v>0</v>
      </c>
      <c r="T5" s="184" t="n">
        <f aca="false">IF(LEFT(B5,1)="1",VLOOKUP(B5,Cigsch,2,FALSE())/1000,VLOOKUP(B5,Cigsch,2,FALSE())/1000*-1)*POLLHOURSFLOWED</f>
        <v>0</v>
      </c>
      <c r="U5" s="185" t="n">
        <f aca="false">S5-T5</f>
        <v>0</v>
      </c>
      <c r="V5" s="190" t="n">
        <f aca="false">S5</f>
        <v>0</v>
      </c>
      <c r="W5" s="191" t="n">
        <f aca="false">T5</f>
        <v>0</v>
      </c>
      <c r="X5" s="192" t="n">
        <f aca="false">S5-Y5</f>
        <v>0</v>
      </c>
      <c r="Y5" s="193" t="n">
        <f aca="false">IF(F5="OBA",I5-J5,0)</f>
        <v>0</v>
      </c>
      <c r="AB5" s="194"/>
      <c r="AC5" s="194"/>
    </row>
    <row r="6" customFormat="false" ht="12.75" hidden="false" customHeight="false" outlineLevel="0" collapsed="false">
      <c r="A6" s="178" t="s">
        <v>114</v>
      </c>
      <c r="B6" s="179" t="n">
        <v>26213</v>
      </c>
      <c r="C6" s="178"/>
      <c r="D6" s="195" t="s">
        <v>117</v>
      </c>
      <c r="E6" s="179" t="s">
        <v>118</v>
      </c>
      <c r="F6" s="180" t="s">
        <v>116</v>
      </c>
      <c r="G6" s="181" t="n">
        <f aca="false">VLOOKUP($B6,BTU,2,FALSE())/1000</f>
        <v>1.119</v>
      </c>
      <c r="H6" s="182" t="str">
        <f aca="false">VLOOKUP($B6,spotdata,3,FALSE())</f>
        <v>    </v>
      </c>
      <c r="I6" s="196" t="n">
        <f aca="false">IF(VLOOKUP($B6,errordata,3,FALSE())="UNAV",J6*POLLHOURSFLOWED,IF(LEFT(B6,1)="1",VLOOKUP($B6,totalvolume,2,FALSE())*G6/1000,VLOOKUP($B6,totalvolume,2,FALSE())*G6/1000*-1))</f>
        <v>-0</v>
      </c>
      <c r="J6" s="197" t="n">
        <f aca="false">O6+T6</f>
        <v>-2.46709305555556</v>
      </c>
      <c r="K6" s="198" t="n">
        <f aca="false">I6-J6</f>
        <v>2.46709305555556</v>
      </c>
      <c r="L6" s="199" t="n">
        <f aca="false">L5+I6</f>
        <v>0</v>
      </c>
      <c r="M6" s="200" t="n">
        <f aca="false">M5+J6</f>
        <v>-2.46709305555556</v>
      </c>
      <c r="N6" s="199"/>
      <c r="O6" s="197"/>
      <c r="P6" s="198"/>
      <c r="Q6" s="199"/>
      <c r="R6" s="201"/>
      <c r="S6" s="202" t="n">
        <f aca="false">I6-N6</f>
        <v>-0</v>
      </c>
      <c r="T6" s="197" t="n">
        <f aca="false">IF(LEFT(B6,1)="1",VLOOKUP(B6,Cigsch,2,FALSE())/1000,VLOOKUP(B6,Cigsch,2,FALSE())/1000*-1)*POLLHOURSFLOWED</f>
        <v>-2.46709305555556</v>
      </c>
      <c r="U6" s="198" t="n">
        <f aca="false">S6-T6</f>
        <v>2.46709305555556</v>
      </c>
      <c r="V6" s="203" t="n">
        <f aca="false">V5+S6</f>
        <v>0</v>
      </c>
      <c r="W6" s="79" t="n">
        <f aca="false">W5+T6</f>
        <v>-2.46709305555556</v>
      </c>
      <c r="X6" s="192" t="n">
        <f aca="false">S6-Y6</f>
        <v>-0</v>
      </c>
      <c r="Y6" s="193" t="n">
        <f aca="false">IF(F6="OBA",I6-J6,0)</f>
        <v>0</v>
      </c>
      <c r="AB6" s="194"/>
      <c r="AC6" s="194"/>
    </row>
    <row r="7" customFormat="false" ht="12.75" hidden="false" customHeight="false" outlineLevel="0" collapsed="false">
      <c r="A7" s="178" t="s">
        <v>114</v>
      </c>
      <c r="B7" s="179" t="n">
        <v>16105</v>
      </c>
      <c r="C7" s="178"/>
      <c r="D7" s="179" t="s">
        <v>119</v>
      </c>
      <c r="E7" s="179" t="s">
        <v>118</v>
      </c>
      <c r="F7" s="180" t="s">
        <v>116</v>
      </c>
      <c r="G7" s="181" t="n">
        <f aca="false">VLOOKUP($B7,BTU,2,FALSE())/1000</f>
        <v>1.025</v>
      </c>
      <c r="H7" s="182" t="str">
        <f aca="false">VLOOKUP($B7,spotdata,3,FALSE())</f>
        <v>UNAV</v>
      </c>
      <c r="I7" s="204" t="n">
        <f aca="false">IF(VLOOKUP($B7,errordata,3,FALSE())="UNAV",J7*POLLHOURSFLOWED,IF(LEFT(B7,1)="1",VLOOKUP($B7,totalvolume,2,FALSE())*G7/1000,VLOOKUP($B7,totalvolume,2,FALSE())*G7/1000*-1))</f>
        <v>0.471854456018518</v>
      </c>
      <c r="J7" s="205" t="n">
        <f aca="false">O7+T7</f>
        <v>0.532083333333333</v>
      </c>
      <c r="K7" s="206" t="n">
        <f aca="false">I7-J7</f>
        <v>-0.0602288773148148</v>
      </c>
      <c r="L7" s="79" t="n">
        <f aca="false">L6+I7</f>
        <v>0.471854456018518</v>
      </c>
      <c r="M7" s="200" t="n">
        <f aca="false">M6+J7</f>
        <v>-1.93500972222222</v>
      </c>
      <c r="N7" s="79"/>
      <c r="O7" s="205"/>
      <c r="P7" s="206"/>
      <c r="Q7" s="79"/>
      <c r="R7" s="201"/>
      <c r="S7" s="207" t="n">
        <f aca="false">I7-N7</f>
        <v>0.471854456018518</v>
      </c>
      <c r="T7" s="205" t="n">
        <f aca="false">IF(LEFT(B7,1)="1",VLOOKUP(B7,Cigsch,2,FALSE())/1000,VLOOKUP(B7,Cigsch,2,FALSE())/1000*-1)*POLLHOURSFLOWED</f>
        <v>0.532083333333333</v>
      </c>
      <c r="U7" s="206" t="n">
        <f aca="false">S7-T7</f>
        <v>-0.0602288773148148</v>
      </c>
      <c r="V7" s="203" t="n">
        <f aca="false">V6+S7</f>
        <v>0.471854456018518</v>
      </c>
      <c r="W7" s="79" t="n">
        <f aca="false">W6+T7</f>
        <v>-1.93500972222222</v>
      </c>
      <c r="X7" s="208" t="n">
        <f aca="false">S7-Y7</f>
        <v>0.471854456018518</v>
      </c>
      <c r="Y7" s="209" t="n">
        <f aca="false">IF(F7="OBA",I7-J7,0)</f>
        <v>0</v>
      </c>
      <c r="AB7" s="194"/>
      <c r="AC7" s="194"/>
    </row>
    <row r="8" customFormat="false" ht="12.75" hidden="false" customHeight="false" outlineLevel="0" collapsed="false">
      <c r="A8" s="178" t="s">
        <v>114</v>
      </c>
      <c r="B8" s="179" t="n">
        <v>16218</v>
      </c>
      <c r="C8" s="178"/>
      <c r="D8" s="179" t="s">
        <v>120</v>
      </c>
      <c r="E8" s="179" t="s">
        <v>118</v>
      </c>
      <c r="F8" s="180" t="s">
        <v>116</v>
      </c>
      <c r="G8" s="181" t="n">
        <f aca="false">VLOOKUP($B8,BTU,2,FALSE())/1000</f>
        <v>1.014</v>
      </c>
      <c r="H8" s="182" t="str">
        <f aca="false">VLOOKUP($B8,spotdata,3,FALSE())</f>
        <v>    </v>
      </c>
      <c r="I8" s="196" t="n">
        <f aca="false">IF(VLOOKUP($B8,errordata,3,FALSE())="UNAV",J8*POLLHOURSFLOWED,IF(LEFT(B8,1)="1",VLOOKUP($B8,totalvolume,2,FALSE())*G8/1000,VLOOKUP($B8,totalvolume,2,FALSE())*G8/1000*-1))</f>
        <v>1.16737727496</v>
      </c>
      <c r="J8" s="205" t="n">
        <f aca="false">O8+T8</f>
        <v>0.975486111111111</v>
      </c>
      <c r="K8" s="206" t="n">
        <f aca="false">I8-J8</f>
        <v>0.191891163848889</v>
      </c>
      <c r="L8" s="79" t="n">
        <f aca="false">L7+I8</f>
        <v>1.63923173097852</v>
      </c>
      <c r="M8" s="200" t="n">
        <f aca="false">M7+J8</f>
        <v>-0.959523611111111</v>
      </c>
      <c r="N8" s="79"/>
      <c r="O8" s="205"/>
      <c r="P8" s="206"/>
      <c r="Q8" s="79"/>
      <c r="R8" s="201"/>
      <c r="S8" s="207" t="n">
        <f aca="false">I8-N8</f>
        <v>1.16737727496</v>
      </c>
      <c r="T8" s="205" t="n">
        <f aca="false">IF(LEFT(B8,1)="1",VLOOKUP(B8,Cigsch,2,FALSE())/1000,VLOOKUP(B8,Cigsch,2,FALSE())/1000*-1)*POLLHOURSFLOWED</f>
        <v>0.975486111111111</v>
      </c>
      <c r="U8" s="206" t="n">
        <f aca="false">S8-T8</f>
        <v>0.191891163848889</v>
      </c>
      <c r="V8" s="203" t="n">
        <f aca="false">V7+S8</f>
        <v>1.63923173097852</v>
      </c>
      <c r="W8" s="79" t="n">
        <f aca="false">W7+T8</f>
        <v>-0.959523611111111</v>
      </c>
      <c r="X8" s="208" t="n">
        <f aca="false">S8-Y8</f>
        <v>1.16737727496</v>
      </c>
      <c r="Y8" s="209" t="n">
        <f aca="false">IF(F8="OBA",I8-J8,0)</f>
        <v>0</v>
      </c>
      <c r="AB8" s="194"/>
      <c r="AC8" s="194"/>
    </row>
    <row r="9" customFormat="false" ht="12.75" hidden="false" customHeight="false" outlineLevel="0" collapsed="false">
      <c r="A9" s="210" t="s">
        <v>114</v>
      </c>
      <c r="B9" s="211" t="n">
        <v>16314</v>
      </c>
      <c r="C9" s="210"/>
      <c r="D9" s="211" t="s">
        <v>121</v>
      </c>
      <c r="E9" s="211" t="s">
        <v>116</v>
      </c>
      <c r="F9" s="212" t="s">
        <v>116</v>
      </c>
      <c r="G9" s="213" t="n">
        <f aca="false">VLOOKUP($B9,BTU,2,FALSE())/1000</f>
        <v>1.025</v>
      </c>
      <c r="H9" s="182" t="str">
        <f aca="false">VLOOKUP($B9,spotdata,3,FALSE())</f>
        <v>UNAV</v>
      </c>
      <c r="I9" s="204" t="n">
        <f aca="false">IF(VLOOKUP($B9,errordata,3,FALSE())="UNAV",J9*POLLHOURSFLOWED,IF(LEFT(B9,1)="1",VLOOKUP($B9,totalvolume,2,FALSE())*G9/1000,VLOOKUP($B9,totalvolume,2,FALSE())*G9/1000*-1))</f>
        <v>0.0786424093364198</v>
      </c>
      <c r="J9" s="205" t="n">
        <f aca="false">O9+T9</f>
        <v>0.0886805555555556</v>
      </c>
      <c r="K9" s="206" t="n">
        <f aca="false">I9-J9</f>
        <v>-0.0100381462191358</v>
      </c>
      <c r="L9" s="79" t="n">
        <f aca="false">L8+I9</f>
        <v>1.71787414031494</v>
      </c>
      <c r="M9" s="200" t="n">
        <f aca="false">M8+J9</f>
        <v>-0.870843055555556</v>
      </c>
      <c r="N9" s="79"/>
      <c r="O9" s="205"/>
      <c r="P9" s="206"/>
      <c r="Q9" s="79"/>
      <c r="R9" s="201"/>
      <c r="S9" s="207" t="n">
        <f aca="false">I9-N9</f>
        <v>0.0786424093364198</v>
      </c>
      <c r="T9" s="205" t="n">
        <f aca="false">IF(LEFT(B9,1)="1",VLOOKUP(B9,Cigsch,2,FALSE())/1000,VLOOKUP(B9,Cigsch,2,FALSE())/1000*-1)*POLLHOURSFLOWED</f>
        <v>0.0886805555555556</v>
      </c>
      <c r="U9" s="206" t="n">
        <f aca="false">S9-T9</f>
        <v>-0.0100381462191358</v>
      </c>
      <c r="V9" s="203" t="n">
        <f aca="false">V8+S9</f>
        <v>1.71787414031494</v>
      </c>
      <c r="W9" s="79" t="n">
        <f aca="false">W8+T9</f>
        <v>-0.870843055555556</v>
      </c>
      <c r="X9" s="208" t="n">
        <f aca="false">S9-Y9</f>
        <v>0.0786424093364198</v>
      </c>
      <c r="Y9" s="209" t="n">
        <f aca="false">IF(F9="OBA",I9-J9,0)</f>
        <v>0</v>
      </c>
      <c r="AB9" s="194"/>
      <c r="AC9" s="194"/>
    </row>
    <row r="10" customFormat="false" ht="12.75" hidden="false" customHeight="false" outlineLevel="0" collapsed="false">
      <c r="A10" s="178" t="s">
        <v>114</v>
      </c>
      <c r="B10" s="179" t="n">
        <v>16167</v>
      </c>
      <c r="C10" s="178"/>
      <c r="D10" s="179" t="s">
        <v>122</v>
      </c>
      <c r="E10" s="179" t="s">
        <v>118</v>
      </c>
      <c r="F10" s="180" t="s">
        <v>116</v>
      </c>
      <c r="G10" s="181" t="n">
        <f aca="false">VLOOKUP($B10,BTU,2,FALSE())/1000</f>
        <v>1.025</v>
      </c>
      <c r="H10" s="182" t="str">
        <f aca="false">VLOOKUP($B10,spotdata,3,FALSE())</f>
        <v>UNAV</v>
      </c>
      <c r="I10" s="204" t="n">
        <f aca="false">IF(VLOOKUP($B10,errordata,3,FALSE())="UNAV",J10*POLLHOURSFLOWED,IF(LEFT(B10,1)="1",VLOOKUP($B10,totalvolume,2,FALSE())*G10/1000,VLOOKUP($B10,totalvolume,2,FALSE())*G10/1000*-1))</f>
        <v>0.059768231095679</v>
      </c>
      <c r="J10" s="205" t="n">
        <f aca="false">O10+T10</f>
        <v>0.0673972222222222</v>
      </c>
      <c r="K10" s="206" t="n">
        <f aca="false">I10-J10</f>
        <v>-0.00762899112654322</v>
      </c>
      <c r="L10" s="79" t="n">
        <f aca="false">L9+I10</f>
        <v>1.77764237141062</v>
      </c>
      <c r="M10" s="200" t="n">
        <f aca="false">M9+J10</f>
        <v>-0.803445833333333</v>
      </c>
      <c r="N10" s="79"/>
      <c r="O10" s="205"/>
      <c r="P10" s="206"/>
      <c r="Q10" s="79"/>
      <c r="R10" s="201"/>
      <c r="S10" s="207" t="n">
        <f aca="false">I10-N10</f>
        <v>0.059768231095679</v>
      </c>
      <c r="T10" s="205" t="n">
        <f aca="false">IF(LEFT(B10,1)="1",VLOOKUP(B10,Cigsch,2,FALSE())/1000,VLOOKUP(B10,Cigsch,2,FALSE())/1000*-1)*POLLHOURSFLOWED</f>
        <v>0.0673972222222222</v>
      </c>
      <c r="U10" s="206" t="n">
        <f aca="false">S10-T10</f>
        <v>-0.00762899112654322</v>
      </c>
      <c r="V10" s="203" t="n">
        <f aca="false">V9+S10</f>
        <v>1.77764237141062</v>
      </c>
      <c r="W10" s="79" t="n">
        <f aca="false">W9+T10</f>
        <v>-0.803445833333333</v>
      </c>
      <c r="X10" s="208" t="n">
        <f aca="false">S10-Y10</f>
        <v>0.059768231095679</v>
      </c>
      <c r="Y10" s="209" t="n">
        <f aca="false">IF(F10="OBA",I10-J10,0)</f>
        <v>0</v>
      </c>
      <c r="AB10" s="194"/>
      <c r="AC10" s="194"/>
    </row>
    <row r="11" customFormat="false" ht="12.75" hidden="false" customHeight="false" outlineLevel="0" collapsed="false">
      <c r="A11" s="178" t="s">
        <v>114</v>
      </c>
      <c r="B11" s="179" t="n">
        <v>16320</v>
      </c>
      <c r="C11" s="178"/>
      <c r="D11" s="179" t="s">
        <v>123</v>
      </c>
      <c r="E11" s="179" t="s">
        <v>116</v>
      </c>
      <c r="F11" s="180" t="s">
        <v>116</v>
      </c>
      <c r="G11" s="181" t="n">
        <f aca="false">VLOOKUP($B11,BTU,2,FALSE())/1000</f>
        <v>1.025</v>
      </c>
      <c r="H11" s="182" t="str">
        <f aca="false">VLOOKUP($B11,spotdata,3,FALSE())</f>
        <v>UNAV</v>
      </c>
      <c r="I11" s="204" t="n">
        <f aca="false">IF(VLOOKUP($B11,errordata,3,FALSE())="UNAV",J11*POLLHOURSFLOWED,IF(LEFT(B11,1)="1",VLOOKUP($B11,totalvolume,2,FALSE())*G11/1000,VLOOKUP($B11,totalvolume,2,FALSE())*G11/1000*-1))</f>
        <v>0.712500228587963</v>
      </c>
      <c r="J11" s="205" t="n">
        <f aca="false">O11+T11</f>
        <v>0.803445833333333</v>
      </c>
      <c r="K11" s="206" t="n">
        <f aca="false">I11-J11</f>
        <v>-0.0909456047453704</v>
      </c>
      <c r="L11" s="79" t="n">
        <f aca="false">L10+I11</f>
        <v>2.49014259999858</v>
      </c>
      <c r="M11" s="200" t="n">
        <f aca="false">M10+J11</f>
        <v>0</v>
      </c>
      <c r="N11" s="79"/>
      <c r="O11" s="205"/>
      <c r="P11" s="206"/>
      <c r="Q11" s="79"/>
      <c r="R11" s="201"/>
      <c r="S11" s="207" t="n">
        <f aca="false">I11-N11</f>
        <v>0.712500228587963</v>
      </c>
      <c r="T11" s="205" t="n">
        <f aca="false">IF(LEFT(B11,1)="1",VLOOKUP(B11,Cigsch,2,FALSE())/1000,VLOOKUP(B11,Cigsch,2,FALSE())/1000*-1)*POLLHOURSFLOWED</f>
        <v>0.803445833333333</v>
      </c>
      <c r="U11" s="206" t="n">
        <f aca="false">S11-T11</f>
        <v>-0.0909456047453704</v>
      </c>
      <c r="V11" s="203" t="n">
        <f aca="false">V10+S11</f>
        <v>2.49014259999858</v>
      </c>
      <c r="W11" s="79" t="n">
        <f aca="false">W10+T11</f>
        <v>0</v>
      </c>
      <c r="X11" s="208" t="n">
        <f aca="false">S11-Y11</f>
        <v>0.712500228587963</v>
      </c>
      <c r="Y11" s="209" t="n">
        <f aca="false">IF(F11="OBA",I11-J11,0)</f>
        <v>0</v>
      </c>
      <c r="AB11" s="194"/>
      <c r="AC11" s="194"/>
    </row>
    <row r="12" customFormat="false" ht="12.75" hidden="false" customHeight="false" outlineLevel="0" collapsed="false">
      <c r="A12" s="178" t="s">
        <v>114</v>
      </c>
      <c r="B12" s="214" t="n">
        <v>16347</v>
      </c>
      <c r="C12" s="178"/>
      <c r="D12" s="179" t="s">
        <v>124</v>
      </c>
      <c r="E12" s="179" t="s">
        <v>116</v>
      </c>
      <c r="F12" s="180" t="s">
        <v>116</v>
      </c>
      <c r="G12" s="181" t="n">
        <f aca="false">VLOOKUP($B12,BTU,2,FALSE())/1000</f>
        <v>1.025</v>
      </c>
      <c r="H12" s="182" t="str">
        <f aca="false">VLOOKUP($B12,spotdata,3,FALSE())</f>
        <v>    </v>
      </c>
      <c r="I12" s="204" t="n">
        <f aca="false">IF(VLOOKUP($B12,errordata,3,FALSE())="UNAV",J12*POLLHOURSFLOWED,IF(LEFT(B12,1)="1",VLOOKUP($B12,totalvolume,2,FALSE())*G12/1000,VLOOKUP($B12,totalvolume,2,FALSE())*G12/1000*-1))</f>
        <v>0</v>
      </c>
      <c r="J12" s="205" t="n">
        <f aca="false">O12+T12</f>
        <v>0</v>
      </c>
      <c r="K12" s="206" t="n">
        <f aca="false">I12-J12</f>
        <v>0</v>
      </c>
      <c r="L12" s="79" t="n">
        <f aca="false">L11+I12</f>
        <v>2.49014259999858</v>
      </c>
      <c r="M12" s="200" t="n">
        <f aca="false">M11+J12</f>
        <v>0</v>
      </c>
      <c r="N12" s="79"/>
      <c r="O12" s="205"/>
      <c r="P12" s="206"/>
      <c r="Q12" s="79"/>
      <c r="R12" s="201"/>
      <c r="S12" s="207" t="n">
        <f aca="false">I12-N12</f>
        <v>0</v>
      </c>
      <c r="T12" s="205" t="n">
        <f aca="false">IF(LEFT(B12,1)="1",VLOOKUP(B12,Cigsch,2,FALSE())/1000,VLOOKUP(B12,Cigsch,2,FALSE())/1000*-1)*POLLHOURSFLOWED</f>
        <v>0</v>
      </c>
      <c r="U12" s="206" t="n">
        <f aca="false">S12-T12</f>
        <v>0</v>
      </c>
      <c r="V12" s="203" t="n">
        <f aca="false">V11+S12</f>
        <v>2.49014259999858</v>
      </c>
      <c r="W12" s="79" t="n">
        <f aca="false">W11+T12</f>
        <v>0</v>
      </c>
      <c r="X12" s="208" t="n">
        <f aca="false">S12-Y12</f>
        <v>0</v>
      </c>
      <c r="Y12" s="209" t="n">
        <f aca="false">IF(F12="OBA",I12-J12,0)</f>
        <v>0</v>
      </c>
      <c r="AB12" s="194"/>
      <c r="AC12" s="194"/>
    </row>
    <row r="13" customFormat="false" ht="12.75" hidden="false" customHeight="false" outlineLevel="0" collapsed="false">
      <c r="A13" s="178" t="s">
        <v>114</v>
      </c>
      <c r="B13" s="179" t="n">
        <v>26200</v>
      </c>
      <c r="C13" s="178"/>
      <c r="D13" s="179" t="s">
        <v>125</v>
      </c>
      <c r="E13" s="179" t="s">
        <v>118</v>
      </c>
      <c r="F13" s="180" t="s">
        <v>116</v>
      </c>
      <c r="G13" s="181" t="n">
        <f aca="false">VLOOKUP($B13,BTU,2,FALSE())/1000</f>
        <v>1.025</v>
      </c>
      <c r="H13" s="182" t="str">
        <f aca="false">VLOOKUP($B13,spotdata,3,FALSE())</f>
        <v>UNAV</v>
      </c>
      <c r="I13" s="215" t="n">
        <f aca="false">I12*-1</f>
        <v>-0</v>
      </c>
      <c r="J13" s="205" t="n">
        <f aca="false">O13+T13</f>
        <v>0</v>
      </c>
      <c r="K13" s="206" t="n">
        <f aca="false">I13-J13</f>
        <v>-0</v>
      </c>
      <c r="L13" s="79" t="n">
        <f aca="false">L12+I13</f>
        <v>2.49014259999858</v>
      </c>
      <c r="M13" s="200" t="n">
        <f aca="false">M12+J13</f>
        <v>0</v>
      </c>
      <c r="N13" s="79"/>
      <c r="O13" s="205"/>
      <c r="P13" s="206"/>
      <c r="Q13" s="79"/>
      <c r="R13" s="201"/>
      <c r="S13" s="207" t="n">
        <f aca="false">I13-N13</f>
        <v>-0</v>
      </c>
      <c r="T13" s="205" t="n">
        <f aca="false">IF(LEFT(B13,1)="1",VLOOKUP(B13,Cigsch,2,FALSE())/1000,VLOOKUP(B13,Cigsch,2,FALSE())/1000*-1)*POLLHOURSFLOWED</f>
        <v>-0</v>
      </c>
      <c r="U13" s="206" t="n">
        <f aca="false">S13-T13</f>
        <v>0</v>
      </c>
      <c r="V13" s="203" t="n">
        <f aca="false">V12+S13</f>
        <v>2.49014259999858</v>
      </c>
      <c r="W13" s="79" t="n">
        <f aca="false">W12+T13</f>
        <v>0</v>
      </c>
      <c r="X13" s="208" t="n">
        <f aca="false">S13-Y13</f>
        <v>-0</v>
      </c>
      <c r="Y13" s="209" t="n">
        <f aca="false">IF(F13="OBA",I13-J13,0)</f>
        <v>0</v>
      </c>
      <c r="AB13" s="194"/>
      <c r="AC13" s="194"/>
    </row>
    <row r="14" customFormat="false" ht="13.5" hidden="false" customHeight="false" outlineLevel="0" collapsed="false">
      <c r="A14" s="216" t="s">
        <v>114</v>
      </c>
      <c r="B14" s="217" t="n">
        <v>26201</v>
      </c>
      <c r="C14" s="216"/>
      <c r="D14" s="217" t="s">
        <v>126</v>
      </c>
      <c r="E14" s="217" t="s">
        <v>116</v>
      </c>
      <c r="F14" s="218" t="s">
        <v>116</v>
      </c>
      <c r="G14" s="219" t="n">
        <f aca="false">VLOOKUP($B14,BTU,2,FALSE())/1000</f>
        <v>1.025</v>
      </c>
      <c r="H14" s="220" t="str">
        <f aca="false">VLOOKUP($B14,spotdata,3,FALSE())</f>
        <v>UNAV</v>
      </c>
      <c r="I14" s="221" t="n">
        <f aca="false">IF(VLOOKUP($B14,errordata,3,FALSE())="UNAV",J14*POLLHOURSFLOWED,IF(LEFT(B14,1)="1",VLOOKUP($B14,totalvolume,2,FALSE())*G14/1000,VLOOKUP($B14,totalvolume,2,FALSE())*G14/1000*-1))</f>
        <v>0</v>
      </c>
      <c r="J14" s="222" t="n">
        <f aca="false">O14+T14</f>
        <v>0</v>
      </c>
      <c r="K14" s="223" t="n">
        <f aca="false">I14-J14</f>
        <v>0</v>
      </c>
      <c r="L14" s="224" t="n">
        <f aca="false">L13+I14</f>
        <v>2.49014259999858</v>
      </c>
      <c r="M14" s="225" t="n">
        <f aca="false">M13+J14</f>
        <v>0</v>
      </c>
      <c r="N14" s="224"/>
      <c r="O14" s="222"/>
      <c r="P14" s="223"/>
      <c r="Q14" s="224"/>
      <c r="R14" s="226"/>
      <c r="S14" s="227" t="n">
        <f aca="false">I14-N14</f>
        <v>0</v>
      </c>
      <c r="T14" s="222" t="n">
        <f aca="false">IF(LEFT(B14,1)="1",VLOOKUP(B14,Cigsch,2,FALSE())/1000,VLOOKUP(B14,Cigsch,2,FALSE())/1000*-1)*POLLHOURSFLOWED</f>
        <v>-0</v>
      </c>
      <c r="U14" s="223" t="n">
        <f aca="false">S14-T14</f>
        <v>0</v>
      </c>
      <c r="V14" s="228" t="n">
        <f aca="false">V13+S14</f>
        <v>2.49014259999858</v>
      </c>
      <c r="W14" s="229" t="n">
        <f aca="false">W13+T14</f>
        <v>0</v>
      </c>
      <c r="X14" s="230" t="n">
        <f aca="false">S14-Y14</f>
        <v>0</v>
      </c>
      <c r="Y14" s="231" t="n">
        <f aca="false">IF(F14="OBA",I14-J14,0)</f>
        <v>0</v>
      </c>
      <c r="AB14" s="194"/>
      <c r="AC14" s="194"/>
    </row>
    <row r="15" customFormat="false" ht="13.5" hidden="false" customHeight="false" outlineLevel="0" collapsed="false">
      <c r="A15" s="210" t="s">
        <v>127</v>
      </c>
      <c r="B15" s="211" t="n">
        <v>11922</v>
      </c>
      <c r="C15" s="210"/>
      <c r="D15" s="211" t="s">
        <v>128</v>
      </c>
      <c r="E15" s="211" t="s">
        <v>116</v>
      </c>
      <c r="F15" s="212" t="s">
        <v>116</v>
      </c>
      <c r="G15" s="232" t="n">
        <v>1.025</v>
      </c>
      <c r="H15" s="233" t="str">
        <f aca="false">VLOOKUP($B15,spotdata,3,FALSE())</f>
        <v>UNAV</v>
      </c>
      <c r="I15" s="234" t="n">
        <f aca="false">IF(VLOOKUP($B15,errordata,3,FALSE())="UNAV",J15*POLLHOURSFLOWED,IF(LEFT(B15,1)="1",VLOOKUP($B15,totalvolume,2,FALSE())*G15/1000,VLOOKUP($B15,totalvolume,2,FALSE())*G15/1000*-1))</f>
        <v>0.176945421006944</v>
      </c>
      <c r="J15" s="205" t="n">
        <f aca="false">O15+T15</f>
        <v>0.19953125</v>
      </c>
      <c r="K15" s="206" t="n">
        <f aca="false">I15-J15</f>
        <v>-0.0225858289930556</v>
      </c>
      <c r="L15" s="79" t="n">
        <f aca="false">I15</f>
        <v>0.176945421006944</v>
      </c>
      <c r="M15" s="200" t="n">
        <f aca="false">J15</f>
        <v>0.19953125</v>
      </c>
      <c r="N15" s="79"/>
      <c r="O15" s="205"/>
      <c r="P15" s="206"/>
      <c r="Q15" s="79"/>
      <c r="R15" s="201"/>
      <c r="S15" s="207" t="n">
        <f aca="false">I15-N15</f>
        <v>0.176945421006944</v>
      </c>
      <c r="T15" s="205" t="n">
        <f aca="false">IF(LEFT(B15,1)="1",VLOOKUP(B15,Cigsch,2,FALSE())/1000,VLOOKUP(B15,Cigsch,2,FALSE())/1000*-1)*POLLHOURSFLOWED</f>
        <v>0.19953125</v>
      </c>
      <c r="U15" s="206" t="n">
        <f aca="false">S15-T15</f>
        <v>-0.0225858289930556</v>
      </c>
      <c r="V15" s="203" t="n">
        <f aca="false">S15</f>
        <v>0.176945421006944</v>
      </c>
      <c r="W15" s="79" t="n">
        <f aca="false">T15</f>
        <v>0.19953125</v>
      </c>
      <c r="X15" s="208" t="n">
        <f aca="false">S15-Y15</f>
        <v>0.176945421006944</v>
      </c>
      <c r="Y15" s="209" t="n">
        <f aca="false">IF(F15="OBA",I15-J15,0)</f>
        <v>0</v>
      </c>
      <c r="Z15" s="235"/>
      <c r="AA15" s="235"/>
      <c r="AB15" s="236"/>
      <c r="AC15" s="236"/>
      <c r="AD15" s="235"/>
      <c r="AE15" s="235"/>
      <c r="AF15" s="235"/>
      <c r="AG15" s="235"/>
      <c r="AH15" s="235"/>
      <c r="AI15" s="235"/>
      <c r="AJ15" s="235"/>
      <c r="AK15" s="235"/>
      <c r="AL15" s="235"/>
      <c r="AM15" s="235"/>
      <c r="AN15" s="235"/>
      <c r="AO15" s="235"/>
      <c r="AP15" s="235"/>
      <c r="AQ15" s="235"/>
      <c r="AR15" s="235"/>
      <c r="AS15" s="235"/>
      <c r="AT15" s="235"/>
      <c r="AU15" s="235"/>
      <c r="AV15" s="235"/>
      <c r="AW15" s="235"/>
      <c r="AX15" s="235"/>
      <c r="AY15" s="235"/>
      <c r="AZ15" s="235"/>
      <c r="BA15" s="235"/>
      <c r="BB15" s="235"/>
      <c r="BC15" s="235"/>
      <c r="BD15" s="235"/>
      <c r="BE15" s="235"/>
      <c r="BF15" s="235"/>
      <c r="BG15" s="235"/>
      <c r="BH15" s="235"/>
      <c r="BI15" s="235"/>
      <c r="BJ15" s="235"/>
      <c r="BK15" s="235"/>
      <c r="BL15" s="235"/>
      <c r="BM15" s="235"/>
      <c r="BN15" s="235"/>
      <c r="BO15" s="235"/>
      <c r="BP15" s="235"/>
      <c r="BQ15" s="235"/>
      <c r="BR15" s="235"/>
      <c r="BS15" s="235"/>
      <c r="BT15" s="235"/>
      <c r="BU15" s="235"/>
      <c r="BV15" s="235"/>
      <c r="BW15" s="235"/>
      <c r="BX15" s="235"/>
      <c r="BY15" s="235"/>
      <c r="BZ15" s="235"/>
      <c r="CA15" s="235"/>
      <c r="CB15" s="235"/>
      <c r="CC15" s="235"/>
      <c r="CD15" s="235"/>
      <c r="CE15" s="235"/>
      <c r="CF15" s="235"/>
      <c r="CG15" s="235"/>
      <c r="CH15" s="235"/>
      <c r="CI15" s="235"/>
      <c r="CJ15" s="235"/>
      <c r="CK15" s="235"/>
      <c r="CL15" s="235"/>
      <c r="CM15" s="235"/>
      <c r="CN15" s="235"/>
      <c r="CO15" s="235"/>
      <c r="CP15" s="235"/>
      <c r="CQ15" s="235"/>
      <c r="CR15" s="235"/>
      <c r="CS15" s="235"/>
      <c r="CT15" s="235"/>
      <c r="CU15" s="235"/>
      <c r="CV15" s="235"/>
      <c r="CW15" s="235"/>
      <c r="CX15" s="235"/>
      <c r="CY15" s="235"/>
      <c r="CZ15" s="235"/>
      <c r="DA15" s="235"/>
      <c r="DB15" s="235"/>
      <c r="DC15" s="235"/>
      <c r="DD15" s="235"/>
      <c r="DE15" s="235"/>
      <c r="DF15" s="235"/>
      <c r="DG15" s="235"/>
      <c r="DH15" s="235"/>
      <c r="DI15" s="235"/>
      <c r="DJ15" s="235"/>
      <c r="DK15" s="235"/>
      <c r="DL15" s="235"/>
      <c r="DM15" s="235"/>
      <c r="DN15" s="235"/>
      <c r="DO15" s="235"/>
      <c r="DP15" s="235"/>
      <c r="DQ15" s="235"/>
      <c r="DR15" s="235"/>
      <c r="DS15" s="235"/>
      <c r="DT15" s="235"/>
      <c r="DU15" s="235"/>
      <c r="DV15" s="235"/>
      <c r="DW15" s="235"/>
      <c r="DX15" s="235"/>
      <c r="DY15" s="235"/>
      <c r="DZ15" s="235"/>
      <c r="EA15" s="235"/>
      <c r="EB15" s="235"/>
      <c r="EC15" s="235"/>
      <c r="ED15" s="235"/>
      <c r="EE15" s="235"/>
      <c r="EF15" s="235"/>
      <c r="EG15" s="235"/>
      <c r="EH15" s="235"/>
      <c r="EI15" s="235"/>
      <c r="EJ15" s="235"/>
      <c r="EK15" s="235"/>
      <c r="EL15" s="235"/>
      <c r="EM15" s="235"/>
      <c r="EN15" s="235"/>
      <c r="EO15" s="235"/>
      <c r="EP15" s="235"/>
      <c r="EQ15" s="235"/>
      <c r="ER15" s="235"/>
      <c r="ES15" s="235"/>
      <c r="ET15" s="235"/>
      <c r="EU15" s="235"/>
      <c r="EV15" s="235"/>
      <c r="EW15" s="235"/>
      <c r="EX15" s="235"/>
      <c r="EY15" s="235"/>
      <c r="EZ15" s="235"/>
      <c r="FA15" s="235"/>
      <c r="FB15" s="235"/>
      <c r="FC15" s="235"/>
      <c r="FD15" s="235"/>
      <c r="FE15" s="235"/>
      <c r="FF15" s="235"/>
      <c r="FG15" s="235"/>
      <c r="FH15" s="235"/>
      <c r="FI15" s="235"/>
      <c r="FJ15" s="235"/>
      <c r="FK15" s="235"/>
      <c r="FL15" s="235"/>
      <c r="FM15" s="235"/>
      <c r="FN15" s="235"/>
      <c r="FO15" s="235"/>
      <c r="FP15" s="235"/>
      <c r="FQ15" s="235"/>
      <c r="FR15" s="235"/>
      <c r="FS15" s="235"/>
      <c r="FT15" s="235"/>
      <c r="FU15" s="235"/>
      <c r="FV15" s="235"/>
      <c r="FW15" s="235"/>
      <c r="FX15" s="235"/>
      <c r="FY15" s="235"/>
      <c r="FZ15" s="235"/>
      <c r="GA15" s="235"/>
      <c r="GB15" s="235"/>
      <c r="GC15" s="235"/>
      <c r="GD15" s="235"/>
      <c r="GE15" s="235"/>
      <c r="GF15" s="235"/>
      <c r="GG15" s="235"/>
      <c r="GH15" s="235"/>
      <c r="GI15" s="235"/>
      <c r="GJ15" s="235"/>
      <c r="GK15" s="235"/>
      <c r="GL15" s="235"/>
      <c r="GM15" s="235"/>
      <c r="GN15" s="235"/>
      <c r="GO15" s="235"/>
      <c r="GP15" s="235"/>
      <c r="GQ15" s="235"/>
      <c r="GR15" s="235"/>
      <c r="GS15" s="235"/>
      <c r="GT15" s="235"/>
      <c r="GU15" s="235"/>
      <c r="GV15" s="235"/>
      <c r="GW15" s="235"/>
      <c r="GX15" s="235"/>
      <c r="GY15" s="235"/>
      <c r="GZ15" s="235"/>
      <c r="HA15" s="235"/>
      <c r="HB15" s="235"/>
      <c r="HC15" s="235"/>
      <c r="HD15" s="235"/>
      <c r="HE15" s="235"/>
      <c r="HF15" s="235"/>
      <c r="HG15" s="235"/>
      <c r="HH15" s="235"/>
      <c r="HI15" s="235"/>
      <c r="HJ15" s="235"/>
      <c r="HK15" s="235"/>
      <c r="HL15" s="235"/>
      <c r="HM15" s="235"/>
      <c r="HN15" s="235"/>
      <c r="HO15" s="235"/>
      <c r="HP15" s="235"/>
      <c r="HQ15" s="235"/>
      <c r="HR15" s="235"/>
      <c r="HS15" s="235"/>
      <c r="HT15" s="235"/>
      <c r="HU15" s="235"/>
      <c r="HV15" s="235"/>
      <c r="HW15" s="235"/>
      <c r="HX15" s="235"/>
      <c r="HY15" s="235"/>
      <c r="HZ15" s="235"/>
      <c r="IA15" s="235"/>
      <c r="IB15" s="235"/>
      <c r="IC15" s="235"/>
      <c r="ID15" s="235"/>
      <c r="IE15" s="235"/>
      <c r="IF15" s="235"/>
      <c r="IG15" s="235"/>
      <c r="IH15" s="235"/>
      <c r="II15" s="235"/>
      <c r="IJ15" s="235"/>
      <c r="IK15" s="235"/>
      <c r="IL15" s="235"/>
      <c r="IM15" s="235"/>
      <c r="IN15" s="235"/>
      <c r="IO15" s="235"/>
      <c r="IP15" s="235"/>
      <c r="IQ15" s="235"/>
      <c r="IR15" s="235"/>
      <c r="IS15" s="235"/>
      <c r="IT15" s="235"/>
      <c r="IU15" s="235"/>
      <c r="IV15" s="235"/>
      <c r="IW15" s="235"/>
    </row>
    <row r="16" customFormat="false" ht="12.75" hidden="false" customHeight="false" outlineLevel="0" collapsed="false">
      <c r="A16" s="178" t="s">
        <v>127</v>
      </c>
      <c r="B16" s="179" t="n">
        <v>10093</v>
      </c>
      <c r="C16" s="178"/>
      <c r="D16" s="195" t="s">
        <v>129</v>
      </c>
      <c r="E16" s="179" t="s">
        <v>116</v>
      </c>
      <c r="F16" s="180" t="s">
        <v>116</v>
      </c>
      <c r="G16" s="181" t="n">
        <f aca="false">VLOOKUP($B16,BTU,2,FALSE())/1000</f>
        <v>1.174</v>
      </c>
      <c r="H16" s="182" t="str">
        <f aca="false">VLOOKUP($B16,spotdata,3,FALSE())</f>
        <v>    </v>
      </c>
      <c r="I16" s="204" t="n">
        <f aca="false">IF(VLOOKUP($B16,errordata,3,FALSE())="UNAV",J16*POLLHOURSFLOWED,IF(LEFT(B16,1)="1",VLOOKUP($B16,totalvolume,2,FALSE())*G16/1000,VLOOKUP($B16,totalvolume,2,FALSE())*G16/1000*-1))</f>
        <v>0.79388984056</v>
      </c>
      <c r="J16" s="205" t="n">
        <f aca="false">O16+T16</f>
        <v>0.532083333333333</v>
      </c>
      <c r="K16" s="206" t="n">
        <f aca="false">I16-J16</f>
        <v>0.261806507226667</v>
      </c>
      <c r="L16" s="79" t="n">
        <f aca="false">L15+I16</f>
        <v>0.970835261566944</v>
      </c>
      <c r="M16" s="200" t="n">
        <f aca="false">M15+J16</f>
        <v>0.731614583333333</v>
      </c>
      <c r="N16" s="79"/>
      <c r="O16" s="205"/>
      <c r="P16" s="206"/>
      <c r="Q16" s="79"/>
      <c r="R16" s="201"/>
      <c r="S16" s="207" t="n">
        <f aca="false">I16-N16</f>
        <v>0.79388984056</v>
      </c>
      <c r="T16" s="205" t="n">
        <f aca="false">IF(LEFT(B16,1)="1",VLOOKUP(B16,Cigsch,2,FALSE())/1000,VLOOKUP(B16,Cigsch,2,FALSE())/1000*-1)*POLLHOURSFLOWED</f>
        <v>0.532083333333333</v>
      </c>
      <c r="U16" s="206" t="n">
        <f aca="false">S16-T16</f>
        <v>0.261806507226667</v>
      </c>
      <c r="V16" s="203" t="n">
        <f aca="false">V15+S16</f>
        <v>0.970835261566944</v>
      </c>
      <c r="W16" s="79" t="n">
        <f aca="false">W15+T16</f>
        <v>0.731614583333333</v>
      </c>
      <c r="X16" s="208" t="n">
        <f aca="false">S16-Y16</f>
        <v>0.79388984056</v>
      </c>
      <c r="Y16" s="209" t="n">
        <f aca="false">IF(F16="OBA",I16-J16,0)</f>
        <v>0</v>
      </c>
      <c r="Z16" s="235"/>
      <c r="AA16" s="235"/>
      <c r="AB16" s="236"/>
      <c r="AC16" s="236"/>
      <c r="AD16" s="235"/>
      <c r="AE16" s="235"/>
      <c r="AF16" s="235"/>
      <c r="AG16" s="235"/>
      <c r="AH16" s="235"/>
      <c r="AI16" s="235"/>
      <c r="AJ16" s="235"/>
      <c r="AK16" s="235"/>
      <c r="AL16" s="235"/>
      <c r="AM16" s="235"/>
      <c r="AN16" s="235"/>
      <c r="AO16" s="235"/>
      <c r="AP16" s="235"/>
      <c r="AQ16" s="235"/>
      <c r="AR16" s="235"/>
      <c r="AS16" s="235"/>
      <c r="AT16" s="235"/>
      <c r="AU16" s="235"/>
      <c r="AV16" s="235"/>
      <c r="AW16" s="235"/>
      <c r="AX16" s="235"/>
      <c r="AY16" s="235"/>
      <c r="AZ16" s="235"/>
      <c r="BA16" s="235"/>
      <c r="BB16" s="235"/>
      <c r="BC16" s="235"/>
      <c r="BD16" s="235"/>
      <c r="BE16" s="235"/>
      <c r="BF16" s="235"/>
      <c r="BG16" s="235"/>
      <c r="BH16" s="235"/>
      <c r="BI16" s="235"/>
      <c r="BJ16" s="235"/>
      <c r="BK16" s="235"/>
      <c r="BL16" s="235"/>
      <c r="BM16" s="235"/>
      <c r="BN16" s="235"/>
      <c r="BO16" s="235"/>
      <c r="BP16" s="235"/>
      <c r="BQ16" s="235"/>
      <c r="BR16" s="235"/>
      <c r="BS16" s="235"/>
      <c r="BT16" s="235"/>
      <c r="BU16" s="235"/>
      <c r="BV16" s="235"/>
      <c r="BW16" s="235"/>
      <c r="BX16" s="235"/>
      <c r="BY16" s="235"/>
      <c r="BZ16" s="235"/>
      <c r="CA16" s="235"/>
      <c r="CB16" s="235"/>
      <c r="CC16" s="235"/>
      <c r="CD16" s="235"/>
      <c r="CE16" s="235"/>
      <c r="CF16" s="235"/>
      <c r="CG16" s="235"/>
      <c r="CH16" s="235"/>
      <c r="CI16" s="235"/>
      <c r="CJ16" s="235"/>
      <c r="CK16" s="235"/>
      <c r="CL16" s="235"/>
      <c r="CM16" s="235"/>
      <c r="CN16" s="235"/>
      <c r="CO16" s="235"/>
      <c r="CP16" s="235"/>
      <c r="CQ16" s="235"/>
      <c r="CR16" s="235"/>
      <c r="CS16" s="235"/>
      <c r="CT16" s="235"/>
      <c r="CU16" s="235"/>
      <c r="CV16" s="235"/>
      <c r="CW16" s="235"/>
      <c r="CX16" s="235"/>
      <c r="CY16" s="235"/>
      <c r="CZ16" s="235"/>
      <c r="DA16" s="235"/>
      <c r="DB16" s="235"/>
      <c r="DC16" s="235"/>
      <c r="DD16" s="235"/>
      <c r="DE16" s="235"/>
      <c r="DF16" s="235"/>
      <c r="DG16" s="235"/>
      <c r="DH16" s="235"/>
      <c r="DI16" s="235"/>
      <c r="DJ16" s="235"/>
      <c r="DK16" s="235"/>
      <c r="DL16" s="235"/>
      <c r="DM16" s="235"/>
      <c r="DN16" s="235"/>
      <c r="DO16" s="235"/>
      <c r="DP16" s="235"/>
      <c r="DQ16" s="235"/>
      <c r="DR16" s="235"/>
      <c r="DS16" s="235"/>
      <c r="DT16" s="235"/>
      <c r="DU16" s="235"/>
      <c r="DV16" s="235"/>
      <c r="DW16" s="235"/>
      <c r="DX16" s="235"/>
      <c r="DY16" s="235"/>
      <c r="DZ16" s="235"/>
      <c r="EA16" s="235"/>
      <c r="EB16" s="235"/>
      <c r="EC16" s="235"/>
      <c r="ED16" s="235"/>
      <c r="EE16" s="235"/>
      <c r="EF16" s="235"/>
      <c r="EG16" s="235"/>
      <c r="EH16" s="235"/>
      <c r="EI16" s="235"/>
      <c r="EJ16" s="235"/>
      <c r="EK16" s="235"/>
      <c r="EL16" s="235"/>
      <c r="EM16" s="235"/>
      <c r="EN16" s="235"/>
      <c r="EO16" s="235"/>
      <c r="EP16" s="235"/>
      <c r="EQ16" s="235"/>
      <c r="ER16" s="235"/>
      <c r="ES16" s="235"/>
      <c r="ET16" s="235"/>
      <c r="EU16" s="235"/>
      <c r="EV16" s="235"/>
      <c r="EW16" s="235"/>
      <c r="EX16" s="235"/>
      <c r="EY16" s="235"/>
      <c r="EZ16" s="235"/>
      <c r="FA16" s="235"/>
      <c r="FB16" s="235"/>
      <c r="FC16" s="235"/>
      <c r="FD16" s="235"/>
      <c r="FE16" s="235"/>
      <c r="FF16" s="235"/>
      <c r="FG16" s="235"/>
      <c r="FH16" s="235"/>
      <c r="FI16" s="235"/>
      <c r="FJ16" s="235"/>
      <c r="FK16" s="235"/>
      <c r="FL16" s="235"/>
      <c r="FM16" s="235"/>
      <c r="FN16" s="235"/>
      <c r="FO16" s="235"/>
      <c r="FP16" s="235"/>
      <c r="FQ16" s="235"/>
      <c r="FR16" s="235"/>
      <c r="FS16" s="235"/>
      <c r="FT16" s="235"/>
      <c r="FU16" s="235"/>
      <c r="FV16" s="235"/>
      <c r="FW16" s="235"/>
      <c r="FX16" s="235"/>
      <c r="FY16" s="235"/>
      <c r="FZ16" s="235"/>
      <c r="GA16" s="235"/>
      <c r="GB16" s="235"/>
      <c r="GC16" s="235"/>
      <c r="GD16" s="235"/>
      <c r="GE16" s="235"/>
      <c r="GF16" s="235"/>
      <c r="GG16" s="235"/>
      <c r="GH16" s="235"/>
      <c r="GI16" s="235"/>
      <c r="GJ16" s="235"/>
      <c r="GK16" s="235"/>
      <c r="GL16" s="235"/>
      <c r="GM16" s="235"/>
      <c r="GN16" s="235"/>
      <c r="GO16" s="235"/>
      <c r="GP16" s="235"/>
      <c r="GQ16" s="235"/>
      <c r="GR16" s="235"/>
      <c r="GS16" s="235"/>
      <c r="GT16" s="235"/>
      <c r="GU16" s="235"/>
      <c r="GV16" s="235"/>
      <c r="GW16" s="235"/>
      <c r="GX16" s="235"/>
      <c r="GY16" s="235"/>
      <c r="GZ16" s="235"/>
      <c r="HA16" s="235"/>
      <c r="HB16" s="235"/>
      <c r="HC16" s="235"/>
      <c r="HD16" s="235"/>
      <c r="HE16" s="235"/>
      <c r="HF16" s="235"/>
      <c r="HG16" s="235"/>
      <c r="HH16" s="235"/>
      <c r="HI16" s="235"/>
      <c r="HJ16" s="235"/>
      <c r="HK16" s="235"/>
      <c r="HL16" s="235"/>
      <c r="HM16" s="235"/>
      <c r="HN16" s="235"/>
      <c r="HO16" s="235"/>
      <c r="HP16" s="235"/>
      <c r="HQ16" s="235"/>
      <c r="HR16" s="235"/>
      <c r="HS16" s="235"/>
      <c r="HT16" s="235"/>
      <c r="HU16" s="235"/>
      <c r="HV16" s="235"/>
      <c r="HW16" s="235"/>
      <c r="HX16" s="235"/>
      <c r="HY16" s="235"/>
      <c r="HZ16" s="235"/>
      <c r="IA16" s="235"/>
      <c r="IB16" s="235"/>
      <c r="IC16" s="235"/>
      <c r="ID16" s="235"/>
      <c r="IE16" s="235"/>
      <c r="IF16" s="235"/>
      <c r="IG16" s="235"/>
      <c r="IH16" s="235"/>
      <c r="II16" s="235"/>
      <c r="IJ16" s="235"/>
      <c r="IK16" s="235"/>
      <c r="IL16" s="235"/>
      <c r="IM16" s="235"/>
      <c r="IN16" s="235"/>
      <c r="IO16" s="235"/>
      <c r="IP16" s="235"/>
      <c r="IQ16" s="235"/>
      <c r="IR16" s="235"/>
      <c r="IS16" s="235"/>
      <c r="IT16" s="235"/>
      <c r="IU16" s="235"/>
      <c r="IV16" s="235"/>
      <c r="IW16" s="235"/>
    </row>
    <row r="17" customFormat="false" ht="12.75" hidden="false" customHeight="false" outlineLevel="0" collapsed="false">
      <c r="A17" s="210" t="s">
        <v>127</v>
      </c>
      <c r="B17" s="211" t="n">
        <v>12207</v>
      </c>
      <c r="C17" s="210"/>
      <c r="D17" s="211" t="s">
        <v>130</v>
      </c>
      <c r="E17" s="211" t="s">
        <v>116</v>
      </c>
      <c r="F17" s="212" t="s">
        <v>116</v>
      </c>
      <c r="G17" s="213" t="n">
        <f aca="false">VLOOKUP($B17,BTU,2,FALSE())/1000</f>
        <v>1.025</v>
      </c>
      <c r="H17" s="182" t="str">
        <f aca="false">VLOOKUP($B17,spotdata,3,FALSE())</f>
        <v>UNAV</v>
      </c>
      <c r="I17" s="204" t="n">
        <f aca="false">IF(VLOOKUP($B17,errordata,3,FALSE())="UNAV",J17*POLLHOURSFLOWED,IF(LEFT(B17,1)="1",VLOOKUP($B17,totalvolume,2,FALSE())*G17/1000,VLOOKUP($B17,totalvolume,2,FALSE())*G17/1000*-1))</f>
        <v>0.0825745298032407</v>
      </c>
      <c r="J17" s="205" t="n">
        <f aca="false">O17+T17</f>
        <v>0.0931145833333333</v>
      </c>
      <c r="K17" s="206" t="n">
        <f aca="false">I17-J17</f>
        <v>-0.0105400535300926</v>
      </c>
      <c r="L17" s="79" t="n">
        <f aca="false">L16+I17</f>
        <v>1.05340979137019</v>
      </c>
      <c r="M17" s="200" t="n">
        <f aca="false">M16+J17</f>
        <v>0.824729166666667</v>
      </c>
      <c r="N17" s="79"/>
      <c r="O17" s="205"/>
      <c r="P17" s="206"/>
      <c r="Q17" s="79"/>
      <c r="R17" s="201"/>
      <c r="S17" s="207" t="n">
        <f aca="false">I17-N17</f>
        <v>0.0825745298032407</v>
      </c>
      <c r="T17" s="205" t="n">
        <f aca="false">IF(LEFT(B17,1)="1",VLOOKUP(B17,Cigsch,2,FALSE())/1000,VLOOKUP(B17,Cigsch,2,FALSE())/1000*-1)*POLLHOURSFLOWED</f>
        <v>0.0931145833333333</v>
      </c>
      <c r="U17" s="206" t="n">
        <f aca="false">S17-T17</f>
        <v>-0.0105400535300926</v>
      </c>
      <c r="V17" s="203" t="n">
        <f aca="false">V16+S17</f>
        <v>1.05340979137019</v>
      </c>
      <c r="W17" s="79" t="n">
        <f aca="false">W16+T17</f>
        <v>0.824729166666667</v>
      </c>
      <c r="X17" s="208" t="n">
        <f aca="false">S17-Y17</f>
        <v>0.0825745298032407</v>
      </c>
      <c r="Y17" s="209" t="n">
        <f aca="false">IF(F17="OBA",I17-J17,0)</f>
        <v>0</v>
      </c>
      <c r="AB17" s="194"/>
      <c r="AC17" s="194"/>
    </row>
    <row r="18" customFormat="false" ht="12.75" hidden="false" customHeight="false" outlineLevel="0" collapsed="false">
      <c r="A18" s="210" t="s">
        <v>127</v>
      </c>
      <c r="B18" s="211" t="n">
        <v>10061</v>
      </c>
      <c r="C18" s="210"/>
      <c r="D18" s="211" t="s">
        <v>131</v>
      </c>
      <c r="E18" s="211" t="s">
        <v>116</v>
      </c>
      <c r="F18" s="212" t="s">
        <v>116</v>
      </c>
      <c r="G18" s="213" t="n">
        <f aca="false">VLOOKUP($B18,BTU,2,FALSE())/1000</f>
        <v>1.111</v>
      </c>
      <c r="H18" s="182" t="str">
        <f aca="false">VLOOKUP($B18,spotdata,3,FALSE())</f>
        <v>    </v>
      </c>
      <c r="I18" s="204" t="n">
        <f aca="false">IF(VLOOKUP($B18,errordata,3,FALSE())="UNAV",J18*POLLHOURSFLOWED,IF(LEFT(B18,1)="1",VLOOKUP($B18,totalvolume,2,FALSE())*G18/1000,VLOOKUP($B18,totalvolume,2,FALSE())*G18/1000*-1))</f>
        <v>1.64642157471</v>
      </c>
      <c r="J18" s="205" t="n">
        <f aca="false">O18+T18</f>
        <v>1.50756944444444</v>
      </c>
      <c r="K18" s="206" t="n">
        <f aca="false">I18-J18</f>
        <v>0.138852130265556</v>
      </c>
      <c r="L18" s="79" t="n">
        <f aca="false">L17+I18</f>
        <v>2.69983136608019</v>
      </c>
      <c r="M18" s="200" t="n">
        <f aca="false">M17+J18</f>
        <v>2.33229861111111</v>
      </c>
      <c r="N18" s="79"/>
      <c r="O18" s="205"/>
      <c r="P18" s="206"/>
      <c r="Q18" s="79"/>
      <c r="R18" s="201"/>
      <c r="S18" s="207" t="n">
        <f aca="false">I18-N18</f>
        <v>1.64642157471</v>
      </c>
      <c r="T18" s="205" t="n">
        <f aca="false">IF(LEFT(B18,1)="1",VLOOKUP(B18,Cigsch,2,FALSE())/1000,VLOOKUP(B18,Cigsch,2,FALSE())/1000*-1)*POLLHOURSFLOWED</f>
        <v>1.50756944444444</v>
      </c>
      <c r="U18" s="206" t="n">
        <f aca="false">S18-T18</f>
        <v>0.138852130265556</v>
      </c>
      <c r="V18" s="203" t="n">
        <f aca="false">V17+S18</f>
        <v>2.69983136608019</v>
      </c>
      <c r="W18" s="79" t="n">
        <f aca="false">W17+T18</f>
        <v>2.33229861111111</v>
      </c>
      <c r="X18" s="208" t="n">
        <f aca="false">S18-Y18</f>
        <v>1.64642157471</v>
      </c>
      <c r="Y18" s="209" t="n">
        <f aca="false">IF(F18="OBA",I18-J18,0)</f>
        <v>0</v>
      </c>
      <c r="AB18" s="194"/>
      <c r="AC18" s="194"/>
    </row>
    <row r="19" customFormat="false" ht="12.75" hidden="false" customHeight="false" outlineLevel="0" collapsed="false">
      <c r="A19" s="210" t="s">
        <v>127</v>
      </c>
      <c r="B19" s="211" t="n">
        <v>12377</v>
      </c>
      <c r="C19" s="210"/>
      <c r="D19" s="211" t="s">
        <v>132</v>
      </c>
      <c r="E19" s="211" t="s">
        <v>116</v>
      </c>
      <c r="F19" s="212" t="s">
        <v>116</v>
      </c>
      <c r="G19" s="213" t="n">
        <f aca="false">VLOOKUP($B19,BTU,2,FALSE())/1000</f>
        <v>1.099</v>
      </c>
      <c r="H19" s="182" t="str">
        <f aca="false">VLOOKUP($B19,spotdata,3,FALSE())</f>
        <v>    </v>
      </c>
      <c r="I19" s="204" t="n">
        <f aca="false">IF(VLOOKUP($B19,errordata,3,FALSE())="UNAV",J19*POLLHOURSFLOWED,IF(LEFT(B19,1)="1",VLOOKUP($B19,totalvolume,2,FALSE())*G19/1000,VLOOKUP($B19,totalvolume,2,FALSE())*G19/1000*-1))</f>
        <v>0.306926806641</v>
      </c>
      <c r="J19" s="205" t="n">
        <f aca="false">O19+T19</f>
        <v>0.354722222222222</v>
      </c>
      <c r="K19" s="206" t="n">
        <f aca="false">I19-J19</f>
        <v>-0.0477954155812222</v>
      </c>
      <c r="L19" s="79" t="n">
        <f aca="false">L18+I19</f>
        <v>3.00675817272119</v>
      </c>
      <c r="M19" s="200" t="n">
        <f aca="false">M18+J19</f>
        <v>2.68702083333333</v>
      </c>
      <c r="N19" s="79"/>
      <c r="O19" s="205"/>
      <c r="P19" s="206"/>
      <c r="Q19" s="79"/>
      <c r="R19" s="201"/>
      <c r="S19" s="207" t="n">
        <f aca="false">I19-N19</f>
        <v>0.306926806641</v>
      </c>
      <c r="T19" s="205" t="n">
        <f aca="false">IF(LEFT(B19,1)="1",VLOOKUP(B19,Cigsch,2,FALSE())/1000,VLOOKUP(B19,Cigsch,2,FALSE())/1000*-1)*POLLHOURSFLOWED</f>
        <v>0.354722222222222</v>
      </c>
      <c r="U19" s="206" t="n">
        <f aca="false">S19-T19</f>
        <v>-0.0477954155812222</v>
      </c>
      <c r="V19" s="203" t="n">
        <f aca="false">V18+S19</f>
        <v>3.00675817272119</v>
      </c>
      <c r="W19" s="79" t="n">
        <f aca="false">W18+T19</f>
        <v>2.68702083333333</v>
      </c>
      <c r="X19" s="208" t="n">
        <f aca="false">S19-Y19</f>
        <v>0.306926806641</v>
      </c>
      <c r="Y19" s="209" t="n">
        <f aca="false">IF(F19="OBA",I19-J19,0)</f>
        <v>0</v>
      </c>
      <c r="Z19" s="235"/>
      <c r="AA19" s="235"/>
      <c r="AB19" s="236"/>
      <c r="AC19" s="236"/>
      <c r="AD19" s="235"/>
      <c r="AE19" s="235"/>
      <c r="AF19" s="235"/>
      <c r="AG19" s="235"/>
      <c r="AH19" s="235"/>
      <c r="AI19" s="235"/>
      <c r="AJ19" s="235"/>
      <c r="AK19" s="235"/>
      <c r="AL19" s="235"/>
      <c r="AM19" s="235"/>
      <c r="AN19" s="235"/>
      <c r="AO19" s="235"/>
      <c r="AP19" s="235"/>
      <c r="AQ19" s="235"/>
      <c r="AR19" s="235"/>
      <c r="AS19" s="235"/>
      <c r="AT19" s="235"/>
      <c r="AU19" s="235"/>
      <c r="AV19" s="235"/>
      <c r="AW19" s="235"/>
      <c r="AX19" s="235"/>
      <c r="AY19" s="235"/>
      <c r="AZ19" s="235"/>
      <c r="BA19" s="235"/>
      <c r="BB19" s="235"/>
      <c r="BC19" s="235"/>
      <c r="BD19" s="235"/>
      <c r="BE19" s="235"/>
      <c r="BF19" s="235"/>
      <c r="BG19" s="235"/>
      <c r="BH19" s="235"/>
      <c r="BI19" s="235"/>
      <c r="BJ19" s="235"/>
      <c r="BK19" s="235"/>
      <c r="BL19" s="235"/>
      <c r="BM19" s="235"/>
      <c r="BN19" s="235"/>
      <c r="BO19" s="235"/>
      <c r="BP19" s="235"/>
      <c r="BQ19" s="235"/>
      <c r="BR19" s="235"/>
      <c r="BS19" s="235"/>
      <c r="BT19" s="235"/>
      <c r="BU19" s="235"/>
      <c r="BV19" s="235"/>
      <c r="BW19" s="235"/>
      <c r="BX19" s="235"/>
      <c r="BY19" s="235"/>
      <c r="BZ19" s="235"/>
      <c r="CA19" s="235"/>
      <c r="CB19" s="235"/>
      <c r="CC19" s="235"/>
      <c r="CD19" s="235"/>
      <c r="CE19" s="235"/>
      <c r="CF19" s="235"/>
      <c r="CG19" s="235"/>
      <c r="CH19" s="235"/>
      <c r="CI19" s="235"/>
      <c r="CJ19" s="235"/>
      <c r="CK19" s="235"/>
      <c r="CL19" s="235"/>
      <c r="CM19" s="235"/>
      <c r="CN19" s="235"/>
      <c r="CO19" s="235"/>
      <c r="CP19" s="235"/>
      <c r="CQ19" s="235"/>
      <c r="CR19" s="235"/>
      <c r="CS19" s="235"/>
      <c r="CT19" s="235"/>
      <c r="CU19" s="235"/>
      <c r="CV19" s="235"/>
      <c r="CW19" s="235"/>
      <c r="CX19" s="235"/>
      <c r="CY19" s="235"/>
      <c r="CZ19" s="235"/>
      <c r="DA19" s="235"/>
      <c r="DB19" s="235"/>
      <c r="DC19" s="235"/>
      <c r="DD19" s="235"/>
      <c r="DE19" s="235"/>
      <c r="DF19" s="235"/>
      <c r="DG19" s="235"/>
      <c r="DH19" s="235"/>
      <c r="DI19" s="235"/>
      <c r="DJ19" s="235"/>
      <c r="DK19" s="235"/>
      <c r="DL19" s="235"/>
      <c r="DM19" s="235"/>
      <c r="DN19" s="235"/>
      <c r="DO19" s="235"/>
      <c r="DP19" s="235"/>
      <c r="DQ19" s="235"/>
      <c r="DR19" s="235"/>
      <c r="DS19" s="235"/>
      <c r="DT19" s="235"/>
      <c r="DU19" s="235"/>
      <c r="DV19" s="235"/>
      <c r="DW19" s="235"/>
      <c r="DX19" s="235"/>
      <c r="DY19" s="235"/>
      <c r="DZ19" s="235"/>
      <c r="EA19" s="235"/>
      <c r="EB19" s="235"/>
      <c r="EC19" s="235"/>
      <c r="ED19" s="235"/>
      <c r="EE19" s="235"/>
      <c r="EF19" s="235"/>
      <c r="EG19" s="235"/>
      <c r="EH19" s="235"/>
      <c r="EI19" s="235"/>
      <c r="EJ19" s="235"/>
      <c r="EK19" s="235"/>
      <c r="EL19" s="235"/>
      <c r="EM19" s="235"/>
      <c r="EN19" s="235"/>
      <c r="EO19" s="235"/>
      <c r="EP19" s="235"/>
      <c r="EQ19" s="235"/>
      <c r="ER19" s="235"/>
      <c r="ES19" s="235"/>
      <c r="ET19" s="235"/>
      <c r="EU19" s="235"/>
      <c r="EV19" s="235"/>
      <c r="EW19" s="235"/>
      <c r="EX19" s="235"/>
      <c r="EY19" s="235"/>
      <c r="EZ19" s="235"/>
      <c r="FA19" s="235"/>
      <c r="FB19" s="235"/>
      <c r="FC19" s="235"/>
      <c r="FD19" s="235"/>
      <c r="FE19" s="235"/>
      <c r="FF19" s="235"/>
      <c r="FG19" s="235"/>
      <c r="FH19" s="235"/>
      <c r="FI19" s="235"/>
      <c r="FJ19" s="235"/>
      <c r="FK19" s="235"/>
      <c r="FL19" s="235"/>
      <c r="FM19" s="235"/>
      <c r="FN19" s="235"/>
      <c r="FO19" s="235"/>
      <c r="FP19" s="235"/>
      <c r="FQ19" s="235"/>
      <c r="FR19" s="235"/>
      <c r="FS19" s="235"/>
      <c r="FT19" s="235"/>
      <c r="FU19" s="235"/>
      <c r="FV19" s="235"/>
      <c r="FW19" s="235"/>
      <c r="FX19" s="235"/>
      <c r="FY19" s="235"/>
      <c r="FZ19" s="235"/>
      <c r="GA19" s="235"/>
      <c r="GB19" s="235"/>
      <c r="GC19" s="235"/>
      <c r="GD19" s="235"/>
      <c r="GE19" s="235"/>
      <c r="GF19" s="235"/>
      <c r="GG19" s="235"/>
      <c r="GH19" s="235"/>
      <c r="GI19" s="235"/>
      <c r="GJ19" s="235"/>
      <c r="GK19" s="235"/>
      <c r="GL19" s="235"/>
      <c r="GM19" s="235"/>
      <c r="GN19" s="235"/>
      <c r="GO19" s="235"/>
      <c r="GP19" s="235"/>
      <c r="GQ19" s="235"/>
      <c r="GR19" s="235"/>
      <c r="GS19" s="235"/>
      <c r="GT19" s="235"/>
      <c r="GU19" s="235"/>
      <c r="GV19" s="235"/>
      <c r="GW19" s="235"/>
      <c r="GX19" s="235"/>
      <c r="GY19" s="235"/>
      <c r="GZ19" s="235"/>
      <c r="HA19" s="235"/>
      <c r="HB19" s="235"/>
      <c r="HC19" s="235"/>
      <c r="HD19" s="235"/>
      <c r="HE19" s="235"/>
      <c r="HF19" s="235"/>
      <c r="HG19" s="235"/>
      <c r="HH19" s="235"/>
      <c r="HI19" s="235"/>
      <c r="HJ19" s="235"/>
      <c r="HK19" s="235"/>
      <c r="HL19" s="235"/>
      <c r="HM19" s="235"/>
      <c r="HN19" s="235"/>
      <c r="HO19" s="235"/>
      <c r="HP19" s="235"/>
      <c r="HQ19" s="235"/>
      <c r="HR19" s="235"/>
      <c r="HS19" s="235"/>
      <c r="HT19" s="235"/>
      <c r="HU19" s="235"/>
      <c r="HV19" s="235"/>
      <c r="HW19" s="235"/>
      <c r="HX19" s="235"/>
      <c r="HY19" s="235"/>
      <c r="HZ19" s="235"/>
      <c r="IA19" s="235"/>
      <c r="IB19" s="235"/>
      <c r="IC19" s="235"/>
      <c r="ID19" s="235"/>
      <c r="IE19" s="235"/>
      <c r="IF19" s="235"/>
      <c r="IG19" s="235"/>
      <c r="IH19" s="235"/>
      <c r="II19" s="235"/>
      <c r="IJ19" s="235"/>
      <c r="IK19" s="235"/>
      <c r="IL19" s="235"/>
      <c r="IM19" s="235"/>
      <c r="IN19" s="235"/>
      <c r="IO19" s="235"/>
      <c r="IP19" s="235"/>
      <c r="IQ19" s="235"/>
      <c r="IR19" s="235"/>
      <c r="IS19" s="235"/>
      <c r="IT19" s="235"/>
      <c r="IU19" s="235"/>
      <c r="IV19" s="235"/>
      <c r="IW19" s="235"/>
    </row>
    <row r="20" customFormat="false" ht="12.75" hidden="false" customHeight="false" outlineLevel="0" collapsed="false">
      <c r="A20" s="210" t="s">
        <v>127</v>
      </c>
      <c r="B20" s="211" t="n">
        <v>11889</v>
      </c>
      <c r="C20" s="210"/>
      <c r="D20" s="211" t="s">
        <v>133</v>
      </c>
      <c r="E20" s="211" t="s">
        <v>116</v>
      </c>
      <c r="F20" s="212" t="s">
        <v>116</v>
      </c>
      <c r="G20" s="213" t="n">
        <f aca="false">VLOOKUP($B20,BTU,2,FALSE())/1000</f>
        <v>1.025</v>
      </c>
      <c r="H20" s="182" t="str">
        <f aca="false">VLOOKUP($B20,spotdata,3,FALSE())</f>
        <v>UNAV</v>
      </c>
      <c r="I20" s="204" t="n">
        <f aca="false">IF(VLOOKUP($B20,errordata,3,FALSE())="UNAV",J20*POLLHOURSFLOWED,IF(LEFT(B20,1)="1",VLOOKUP($B20,totalvolume,2,FALSE())*G20/1000,VLOOKUP($B20,totalvolume,2,FALSE())*G20/1000*-1))</f>
        <v>0.275248432677469</v>
      </c>
      <c r="J20" s="205" t="n">
        <f aca="false">O20+T20</f>
        <v>0.310381944444444</v>
      </c>
      <c r="K20" s="206" t="n">
        <f aca="false">I20-J20</f>
        <v>-0.0351335117669753</v>
      </c>
      <c r="L20" s="79" t="n">
        <f aca="false">L19+I20</f>
        <v>3.28200660539865</v>
      </c>
      <c r="M20" s="200" t="n">
        <f aca="false">M19+J20</f>
        <v>2.99740277777778</v>
      </c>
      <c r="N20" s="79"/>
      <c r="O20" s="205"/>
      <c r="P20" s="206"/>
      <c r="Q20" s="79"/>
      <c r="R20" s="201"/>
      <c r="S20" s="207" t="n">
        <f aca="false">I20-N20</f>
        <v>0.275248432677469</v>
      </c>
      <c r="T20" s="205" t="n">
        <f aca="false">IF(LEFT(B20,1)="1",VLOOKUP(B20,Cigsch,2,FALSE())/1000,VLOOKUP(B20,Cigsch,2,FALSE())/1000*-1)*POLLHOURSFLOWED</f>
        <v>0.310381944444444</v>
      </c>
      <c r="U20" s="206" t="n">
        <f aca="false">S20-T20</f>
        <v>-0.0351335117669753</v>
      </c>
      <c r="V20" s="203" t="n">
        <f aca="false">V19+S20</f>
        <v>3.28200660539865</v>
      </c>
      <c r="W20" s="79" t="n">
        <f aca="false">W19+T20</f>
        <v>2.99740277777778</v>
      </c>
      <c r="X20" s="208" t="n">
        <f aca="false">S20-Y20</f>
        <v>0.275248432677469</v>
      </c>
      <c r="Y20" s="209" t="n">
        <f aca="false">IF(F20="OBA",I20-J20,0)</f>
        <v>0</v>
      </c>
      <c r="Z20" s="235"/>
      <c r="AA20" s="235"/>
      <c r="AB20" s="236"/>
      <c r="AC20" s="236"/>
      <c r="AD20" s="235"/>
      <c r="AE20" s="235"/>
      <c r="AF20" s="235"/>
      <c r="AG20" s="235"/>
      <c r="AH20" s="235"/>
      <c r="AI20" s="235"/>
      <c r="AJ20" s="235"/>
      <c r="AK20" s="235"/>
      <c r="AL20" s="235"/>
      <c r="AM20" s="235"/>
      <c r="AN20" s="235"/>
      <c r="AO20" s="235"/>
      <c r="AP20" s="235"/>
      <c r="AQ20" s="235"/>
      <c r="AR20" s="235"/>
      <c r="AS20" s="235"/>
      <c r="AT20" s="235"/>
      <c r="AU20" s="235"/>
      <c r="AV20" s="235"/>
      <c r="AW20" s="235"/>
      <c r="AX20" s="235"/>
      <c r="AY20" s="235"/>
      <c r="AZ20" s="235"/>
      <c r="BA20" s="235"/>
      <c r="BB20" s="235"/>
      <c r="BC20" s="235"/>
      <c r="BD20" s="235"/>
      <c r="BE20" s="235"/>
      <c r="BF20" s="235"/>
      <c r="BG20" s="235"/>
      <c r="BH20" s="235"/>
      <c r="BI20" s="235"/>
      <c r="BJ20" s="235"/>
      <c r="BK20" s="235"/>
      <c r="BL20" s="235"/>
      <c r="BM20" s="235"/>
      <c r="BN20" s="235"/>
      <c r="BO20" s="235"/>
      <c r="BP20" s="235"/>
      <c r="BQ20" s="235"/>
      <c r="BR20" s="235"/>
      <c r="BS20" s="235"/>
      <c r="BT20" s="235"/>
      <c r="BU20" s="235"/>
      <c r="BV20" s="235"/>
      <c r="BW20" s="235"/>
      <c r="BX20" s="235"/>
      <c r="BY20" s="235"/>
      <c r="BZ20" s="235"/>
      <c r="CA20" s="235"/>
      <c r="CB20" s="235"/>
      <c r="CC20" s="235"/>
      <c r="CD20" s="235"/>
      <c r="CE20" s="235"/>
      <c r="CF20" s="235"/>
      <c r="CG20" s="235"/>
      <c r="CH20" s="235"/>
      <c r="CI20" s="235"/>
      <c r="CJ20" s="235"/>
      <c r="CK20" s="235"/>
      <c r="CL20" s="235"/>
      <c r="CM20" s="235"/>
      <c r="CN20" s="235"/>
      <c r="CO20" s="235"/>
      <c r="CP20" s="235"/>
      <c r="CQ20" s="235"/>
      <c r="CR20" s="235"/>
      <c r="CS20" s="235"/>
      <c r="CT20" s="235"/>
      <c r="CU20" s="235"/>
      <c r="CV20" s="235"/>
      <c r="CW20" s="235"/>
      <c r="CX20" s="235"/>
      <c r="CY20" s="235"/>
      <c r="CZ20" s="235"/>
      <c r="DA20" s="235"/>
      <c r="DB20" s="235"/>
      <c r="DC20" s="235"/>
      <c r="DD20" s="235"/>
      <c r="DE20" s="235"/>
      <c r="DF20" s="235"/>
      <c r="DG20" s="235"/>
      <c r="DH20" s="235"/>
      <c r="DI20" s="235"/>
      <c r="DJ20" s="235"/>
      <c r="DK20" s="235"/>
      <c r="DL20" s="235"/>
      <c r="DM20" s="235"/>
      <c r="DN20" s="235"/>
      <c r="DO20" s="235"/>
      <c r="DP20" s="235"/>
      <c r="DQ20" s="235"/>
      <c r="DR20" s="235"/>
      <c r="DS20" s="235"/>
      <c r="DT20" s="235"/>
      <c r="DU20" s="235"/>
      <c r="DV20" s="235"/>
      <c r="DW20" s="235"/>
      <c r="DX20" s="235"/>
      <c r="DY20" s="235"/>
      <c r="DZ20" s="235"/>
      <c r="EA20" s="235"/>
      <c r="EB20" s="235"/>
      <c r="EC20" s="235"/>
      <c r="ED20" s="235"/>
      <c r="EE20" s="235"/>
      <c r="EF20" s="235"/>
      <c r="EG20" s="235"/>
      <c r="EH20" s="235"/>
      <c r="EI20" s="235"/>
      <c r="EJ20" s="235"/>
      <c r="EK20" s="235"/>
      <c r="EL20" s="235"/>
      <c r="EM20" s="235"/>
      <c r="EN20" s="235"/>
      <c r="EO20" s="235"/>
      <c r="EP20" s="235"/>
      <c r="EQ20" s="235"/>
      <c r="ER20" s="235"/>
      <c r="ES20" s="235"/>
      <c r="ET20" s="235"/>
      <c r="EU20" s="235"/>
      <c r="EV20" s="235"/>
      <c r="EW20" s="235"/>
      <c r="EX20" s="235"/>
      <c r="EY20" s="235"/>
      <c r="EZ20" s="235"/>
      <c r="FA20" s="235"/>
      <c r="FB20" s="235"/>
      <c r="FC20" s="235"/>
      <c r="FD20" s="235"/>
      <c r="FE20" s="235"/>
      <c r="FF20" s="235"/>
      <c r="FG20" s="235"/>
      <c r="FH20" s="235"/>
      <c r="FI20" s="235"/>
      <c r="FJ20" s="235"/>
      <c r="FK20" s="235"/>
      <c r="FL20" s="235"/>
      <c r="FM20" s="235"/>
      <c r="FN20" s="235"/>
      <c r="FO20" s="235"/>
      <c r="FP20" s="235"/>
      <c r="FQ20" s="235"/>
      <c r="FR20" s="235"/>
      <c r="FS20" s="235"/>
      <c r="FT20" s="235"/>
      <c r="FU20" s="235"/>
      <c r="FV20" s="235"/>
      <c r="FW20" s="235"/>
      <c r="FX20" s="235"/>
      <c r="FY20" s="235"/>
      <c r="FZ20" s="235"/>
      <c r="GA20" s="235"/>
      <c r="GB20" s="235"/>
      <c r="GC20" s="235"/>
      <c r="GD20" s="235"/>
      <c r="GE20" s="235"/>
      <c r="GF20" s="235"/>
      <c r="GG20" s="235"/>
      <c r="GH20" s="235"/>
      <c r="GI20" s="235"/>
      <c r="GJ20" s="235"/>
      <c r="GK20" s="235"/>
      <c r="GL20" s="235"/>
      <c r="GM20" s="235"/>
      <c r="GN20" s="235"/>
      <c r="GO20" s="235"/>
      <c r="GP20" s="235"/>
      <c r="GQ20" s="235"/>
      <c r="GR20" s="235"/>
      <c r="GS20" s="235"/>
      <c r="GT20" s="235"/>
      <c r="GU20" s="235"/>
      <c r="GV20" s="235"/>
      <c r="GW20" s="235"/>
      <c r="GX20" s="235"/>
      <c r="GY20" s="235"/>
      <c r="GZ20" s="235"/>
      <c r="HA20" s="235"/>
      <c r="HB20" s="235"/>
      <c r="HC20" s="235"/>
      <c r="HD20" s="235"/>
      <c r="HE20" s="235"/>
      <c r="HF20" s="235"/>
      <c r="HG20" s="235"/>
      <c r="HH20" s="235"/>
      <c r="HI20" s="235"/>
      <c r="HJ20" s="235"/>
      <c r="HK20" s="235"/>
      <c r="HL20" s="235"/>
      <c r="HM20" s="235"/>
      <c r="HN20" s="235"/>
      <c r="HO20" s="235"/>
      <c r="HP20" s="235"/>
      <c r="HQ20" s="235"/>
      <c r="HR20" s="235"/>
      <c r="HS20" s="235"/>
      <c r="HT20" s="235"/>
      <c r="HU20" s="235"/>
      <c r="HV20" s="235"/>
      <c r="HW20" s="235"/>
      <c r="HX20" s="235"/>
      <c r="HY20" s="235"/>
      <c r="HZ20" s="235"/>
      <c r="IA20" s="235"/>
      <c r="IB20" s="235"/>
      <c r="IC20" s="235"/>
      <c r="ID20" s="235"/>
      <c r="IE20" s="235"/>
      <c r="IF20" s="235"/>
      <c r="IG20" s="235"/>
      <c r="IH20" s="235"/>
      <c r="II20" s="235"/>
      <c r="IJ20" s="235"/>
      <c r="IK20" s="235"/>
      <c r="IL20" s="235"/>
      <c r="IM20" s="235"/>
      <c r="IN20" s="235"/>
      <c r="IO20" s="235"/>
      <c r="IP20" s="235"/>
      <c r="IQ20" s="235"/>
      <c r="IR20" s="235"/>
      <c r="IS20" s="235"/>
      <c r="IT20" s="235"/>
      <c r="IU20" s="235"/>
      <c r="IV20" s="235"/>
      <c r="IW20" s="235"/>
    </row>
    <row r="21" customFormat="false" ht="12.75" hidden="false" customHeight="false" outlineLevel="0" collapsed="false">
      <c r="A21" s="210" t="s">
        <v>127</v>
      </c>
      <c r="B21" s="211" t="n">
        <v>11583</v>
      </c>
      <c r="C21" s="210"/>
      <c r="D21" s="211" t="s">
        <v>134</v>
      </c>
      <c r="E21" s="211" t="s">
        <v>116</v>
      </c>
      <c r="F21" s="212" t="s">
        <v>116</v>
      </c>
      <c r="G21" s="213" t="n">
        <f aca="false">VLOOKUP($B21,BTU,2,FALSE())/1000</f>
        <v>1.025</v>
      </c>
      <c r="H21" s="182" t="str">
        <f aca="false">VLOOKUP($B21,spotdata,3,FALSE())</f>
        <v>UNAV</v>
      </c>
      <c r="I21" s="204" t="n">
        <f aca="false">IF(VLOOKUP($B21,errordata,3,FALSE())="UNAV",J21*POLLHOURSFLOWED,IF(LEFT(B21,1)="1",VLOOKUP($B21,totalvolume,2,FALSE())*G21/1000,VLOOKUP($B21,totalvolume,2,FALSE())*G21/1000*-1))</f>
        <v>0.137624216338735</v>
      </c>
      <c r="J21" s="205" t="n">
        <f aca="false">O21+T21</f>
        <v>0.155190972222222</v>
      </c>
      <c r="K21" s="206" t="n">
        <f aca="false">I21-J21</f>
        <v>-0.0175667558834877</v>
      </c>
      <c r="L21" s="79" t="n">
        <f aca="false">L20+I21</f>
        <v>3.41963082173739</v>
      </c>
      <c r="M21" s="200" t="n">
        <f aca="false">M20+J21</f>
        <v>3.15259375</v>
      </c>
      <c r="N21" s="79"/>
      <c r="O21" s="205"/>
      <c r="P21" s="206"/>
      <c r="Q21" s="79"/>
      <c r="R21" s="201"/>
      <c r="S21" s="207" t="n">
        <f aca="false">I21-N21</f>
        <v>0.137624216338735</v>
      </c>
      <c r="T21" s="205" t="n">
        <f aca="false">IF(LEFT(B21,1)="1",VLOOKUP(B21,Cigsch,2,FALSE())/1000,VLOOKUP(B21,Cigsch,2,FALSE())/1000*-1)*POLLHOURSFLOWED</f>
        <v>0.155190972222222</v>
      </c>
      <c r="U21" s="206" t="n">
        <f aca="false">S21-T21</f>
        <v>-0.0175667558834877</v>
      </c>
      <c r="V21" s="203" t="n">
        <f aca="false">V20+S21</f>
        <v>3.41963082173739</v>
      </c>
      <c r="W21" s="79" t="n">
        <f aca="false">W20+T21</f>
        <v>3.15259375</v>
      </c>
      <c r="X21" s="208" t="n">
        <f aca="false">S21-Y21</f>
        <v>0.137624216338735</v>
      </c>
      <c r="Y21" s="209" t="n">
        <f aca="false">IF(F21="OBA",I21-J21,0)</f>
        <v>0</v>
      </c>
      <c r="AB21" s="194"/>
      <c r="AC21" s="194"/>
    </row>
    <row r="22" customFormat="false" ht="12.75" hidden="false" customHeight="false" outlineLevel="0" collapsed="false">
      <c r="A22" s="210" t="s">
        <v>127</v>
      </c>
      <c r="B22" s="211" t="n">
        <v>11916</v>
      </c>
      <c r="C22" s="210"/>
      <c r="D22" s="211" t="s">
        <v>135</v>
      </c>
      <c r="E22" s="211" t="s">
        <v>116</v>
      </c>
      <c r="F22" s="212" t="s">
        <v>116</v>
      </c>
      <c r="G22" s="213" t="n">
        <f aca="false">VLOOKUP($B22,BTU,2,FALSE())/1000</f>
        <v>1.025</v>
      </c>
      <c r="H22" s="182" t="str">
        <f aca="false">VLOOKUP($B22,spotdata,3,FALSE())</f>
        <v>UNAV</v>
      </c>
      <c r="I22" s="204" t="n">
        <f aca="false">IF(VLOOKUP($B22,errordata,3,FALSE())="UNAV",J22*POLLHOURSFLOWED,IF(LEFT(B22,1)="1",VLOOKUP($B22,totalvolume,2,FALSE())*G22/1000,VLOOKUP($B22,totalvolume,2,FALSE())*G22/1000*-1))</f>
        <v>0.0275248432677469</v>
      </c>
      <c r="J22" s="205" t="n">
        <f aca="false">O22+T22</f>
        <v>0.0310381944444444</v>
      </c>
      <c r="K22" s="206" t="n">
        <f aca="false">I22-J22</f>
        <v>-0.00351335117669753</v>
      </c>
      <c r="L22" s="79" t="n">
        <f aca="false">L21+I22</f>
        <v>3.44715566500514</v>
      </c>
      <c r="M22" s="200" t="n">
        <f aca="false">M21+J22</f>
        <v>3.18363194444444</v>
      </c>
      <c r="N22" s="79"/>
      <c r="O22" s="205"/>
      <c r="P22" s="206"/>
      <c r="Q22" s="79"/>
      <c r="R22" s="201"/>
      <c r="S22" s="207" t="n">
        <f aca="false">I22-N22</f>
        <v>0.0275248432677469</v>
      </c>
      <c r="T22" s="205" t="n">
        <f aca="false">IF(LEFT(B22,1)="1",VLOOKUP(B22,Cigsch,2,FALSE())/1000,VLOOKUP(B22,Cigsch,2,FALSE())/1000*-1)*POLLHOURSFLOWED</f>
        <v>0.0310381944444444</v>
      </c>
      <c r="U22" s="206" t="n">
        <f aca="false">S22-T22</f>
        <v>-0.00351335117669753</v>
      </c>
      <c r="V22" s="203" t="n">
        <f aca="false">V21+S22</f>
        <v>3.44715566500514</v>
      </c>
      <c r="W22" s="79" t="n">
        <f aca="false">W21+T22</f>
        <v>3.18363194444444</v>
      </c>
      <c r="X22" s="208" t="n">
        <f aca="false">S22-Y22</f>
        <v>0.0275248432677469</v>
      </c>
      <c r="Y22" s="209" t="n">
        <f aca="false">IF(F22="OBA",I22-J22,0)</f>
        <v>0</v>
      </c>
      <c r="Z22" s="235"/>
      <c r="AA22" s="235"/>
      <c r="AB22" s="236"/>
      <c r="AC22" s="236"/>
      <c r="AD22" s="235"/>
      <c r="AE22" s="235"/>
      <c r="AF22" s="235"/>
      <c r="AG22" s="235"/>
      <c r="AH22" s="235"/>
      <c r="AI22" s="235"/>
      <c r="AJ22" s="235"/>
      <c r="AK22" s="235"/>
      <c r="AL22" s="235"/>
      <c r="AM22" s="235"/>
      <c r="AN22" s="235"/>
      <c r="AO22" s="235"/>
      <c r="AP22" s="235"/>
      <c r="AQ22" s="235"/>
      <c r="AR22" s="235"/>
      <c r="AS22" s="235"/>
      <c r="AT22" s="235"/>
      <c r="AU22" s="235"/>
      <c r="AV22" s="235"/>
      <c r="AW22" s="235"/>
      <c r="AX22" s="235"/>
      <c r="AY22" s="235"/>
      <c r="AZ22" s="235"/>
      <c r="BA22" s="235"/>
      <c r="BB22" s="235"/>
      <c r="BC22" s="235"/>
      <c r="BD22" s="235"/>
      <c r="BE22" s="235"/>
      <c r="BF22" s="235"/>
      <c r="BG22" s="235"/>
      <c r="BH22" s="235"/>
      <c r="BI22" s="235"/>
      <c r="BJ22" s="235"/>
      <c r="BK22" s="235"/>
      <c r="BL22" s="235"/>
      <c r="BM22" s="235"/>
      <c r="BN22" s="235"/>
      <c r="BO22" s="235"/>
      <c r="BP22" s="235"/>
      <c r="BQ22" s="235"/>
      <c r="BR22" s="235"/>
      <c r="BS22" s="235"/>
      <c r="BT22" s="235"/>
      <c r="BU22" s="235"/>
      <c r="BV22" s="235"/>
      <c r="BW22" s="235"/>
      <c r="BX22" s="235"/>
      <c r="BY22" s="235"/>
      <c r="BZ22" s="235"/>
      <c r="CA22" s="235"/>
      <c r="CB22" s="235"/>
      <c r="CC22" s="235"/>
      <c r="CD22" s="235"/>
      <c r="CE22" s="235"/>
      <c r="CF22" s="235"/>
      <c r="CG22" s="235"/>
      <c r="CH22" s="235"/>
      <c r="CI22" s="235"/>
      <c r="CJ22" s="235"/>
      <c r="CK22" s="235"/>
      <c r="CL22" s="235"/>
      <c r="CM22" s="235"/>
      <c r="CN22" s="235"/>
      <c r="CO22" s="235"/>
      <c r="CP22" s="235"/>
      <c r="CQ22" s="235"/>
      <c r="CR22" s="235"/>
      <c r="CS22" s="235"/>
      <c r="CT22" s="235"/>
      <c r="CU22" s="235"/>
      <c r="CV22" s="235"/>
      <c r="CW22" s="235"/>
      <c r="CX22" s="235"/>
      <c r="CY22" s="235"/>
      <c r="CZ22" s="235"/>
      <c r="DA22" s="235"/>
      <c r="DB22" s="235"/>
      <c r="DC22" s="235"/>
      <c r="DD22" s="235"/>
      <c r="DE22" s="235"/>
      <c r="DF22" s="235"/>
      <c r="DG22" s="235"/>
      <c r="DH22" s="235"/>
      <c r="DI22" s="235"/>
      <c r="DJ22" s="235"/>
      <c r="DK22" s="235"/>
      <c r="DL22" s="235"/>
      <c r="DM22" s="235"/>
      <c r="DN22" s="235"/>
      <c r="DO22" s="235"/>
      <c r="DP22" s="235"/>
      <c r="DQ22" s="235"/>
      <c r="DR22" s="235"/>
      <c r="DS22" s="235"/>
      <c r="DT22" s="235"/>
      <c r="DU22" s="235"/>
      <c r="DV22" s="235"/>
      <c r="DW22" s="235"/>
      <c r="DX22" s="235"/>
      <c r="DY22" s="235"/>
      <c r="DZ22" s="235"/>
      <c r="EA22" s="235"/>
      <c r="EB22" s="235"/>
      <c r="EC22" s="235"/>
      <c r="ED22" s="235"/>
      <c r="EE22" s="235"/>
      <c r="EF22" s="235"/>
      <c r="EG22" s="235"/>
      <c r="EH22" s="235"/>
      <c r="EI22" s="235"/>
      <c r="EJ22" s="235"/>
      <c r="EK22" s="235"/>
      <c r="EL22" s="235"/>
      <c r="EM22" s="235"/>
      <c r="EN22" s="235"/>
      <c r="EO22" s="235"/>
      <c r="EP22" s="235"/>
      <c r="EQ22" s="235"/>
      <c r="ER22" s="235"/>
      <c r="ES22" s="235"/>
      <c r="ET22" s="235"/>
      <c r="EU22" s="235"/>
      <c r="EV22" s="235"/>
      <c r="EW22" s="235"/>
      <c r="EX22" s="235"/>
      <c r="EY22" s="235"/>
      <c r="EZ22" s="235"/>
      <c r="FA22" s="235"/>
      <c r="FB22" s="235"/>
      <c r="FC22" s="235"/>
      <c r="FD22" s="235"/>
      <c r="FE22" s="235"/>
      <c r="FF22" s="235"/>
      <c r="FG22" s="235"/>
      <c r="FH22" s="235"/>
      <c r="FI22" s="235"/>
      <c r="FJ22" s="235"/>
      <c r="FK22" s="235"/>
      <c r="FL22" s="235"/>
      <c r="FM22" s="235"/>
      <c r="FN22" s="235"/>
      <c r="FO22" s="235"/>
      <c r="FP22" s="235"/>
      <c r="FQ22" s="235"/>
      <c r="FR22" s="235"/>
      <c r="FS22" s="235"/>
      <c r="FT22" s="235"/>
      <c r="FU22" s="235"/>
      <c r="FV22" s="235"/>
      <c r="FW22" s="235"/>
      <c r="FX22" s="235"/>
      <c r="FY22" s="235"/>
      <c r="FZ22" s="235"/>
      <c r="GA22" s="235"/>
      <c r="GB22" s="235"/>
      <c r="GC22" s="235"/>
      <c r="GD22" s="235"/>
      <c r="GE22" s="235"/>
      <c r="GF22" s="235"/>
      <c r="GG22" s="235"/>
      <c r="GH22" s="235"/>
      <c r="GI22" s="235"/>
      <c r="GJ22" s="235"/>
      <c r="GK22" s="235"/>
      <c r="GL22" s="235"/>
      <c r="GM22" s="235"/>
      <c r="GN22" s="235"/>
      <c r="GO22" s="235"/>
      <c r="GP22" s="235"/>
      <c r="GQ22" s="235"/>
      <c r="GR22" s="235"/>
      <c r="GS22" s="235"/>
      <c r="GT22" s="235"/>
      <c r="GU22" s="235"/>
      <c r="GV22" s="235"/>
      <c r="GW22" s="235"/>
      <c r="GX22" s="235"/>
      <c r="GY22" s="235"/>
      <c r="GZ22" s="235"/>
      <c r="HA22" s="235"/>
      <c r="HB22" s="235"/>
      <c r="HC22" s="235"/>
      <c r="HD22" s="235"/>
      <c r="HE22" s="235"/>
      <c r="HF22" s="235"/>
      <c r="HG22" s="235"/>
      <c r="HH22" s="235"/>
      <c r="HI22" s="235"/>
      <c r="HJ22" s="235"/>
      <c r="HK22" s="235"/>
      <c r="HL22" s="235"/>
      <c r="HM22" s="235"/>
      <c r="HN22" s="235"/>
      <c r="HO22" s="235"/>
      <c r="HP22" s="235"/>
      <c r="HQ22" s="235"/>
      <c r="HR22" s="235"/>
      <c r="HS22" s="235"/>
      <c r="HT22" s="235"/>
      <c r="HU22" s="235"/>
      <c r="HV22" s="235"/>
      <c r="HW22" s="235"/>
      <c r="HX22" s="235"/>
      <c r="HY22" s="235"/>
      <c r="HZ22" s="235"/>
      <c r="IA22" s="235"/>
      <c r="IB22" s="235"/>
      <c r="IC22" s="235"/>
      <c r="ID22" s="235"/>
      <c r="IE22" s="235"/>
      <c r="IF22" s="235"/>
      <c r="IG22" s="235"/>
      <c r="IH22" s="235"/>
      <c r="II22" s="235"/>
      <c r="IJ22" s="235"/>
      <c r="IK22" s="235"/>
      <c r="IL22" s="235"/>
      <c r="IM22" s="235"/>
      <c r="IN22" s="235"/>
      <c r="IO22" s="235"/>
      <c r="IP22" s="235"/>
      <c r="IQ22" s="235"/>
      <c r="IR22" s="235"/>
      <c r="IS22" s="235"/>
      <c r="IT22" s="235"/>
      <c r="IU22" s="235"/>
      <c r="IV22" s="235"/>
      <c r="IW22" s="235"/>
    </row>
    <row r="23" customFormat="false" ht="12.75" hidden="false" customHeight="false" outlineLevel="0" collapsed="false">
      <c r="A23" s="210" t="s">
        <v>127</v>
      </c>
      <c r="B23" s="211" t="n">
        <v>12323</v>
      </c>
      <c r="C23" s="210"/>
      <c r="D23" s="211" t="s">
        <v>136</v>
      </c>
      <c r="E23" s="211" t="s">
        <v>116</v>
      </c>
      <c r="F23" s="212" t="s">
        <v>116</v>
      </c>
      <c r="G23" s="213" t="n">
        <f aca="false">VLOOKUP($B23,BTU,2,FALSE())/1000</f>
        <v>1.025</v>
      </c>
      <c r="H23" s="182" t="str">
        <f aca="false">VLOOKUP($B23,spotdata,3,FALSE())</f>
        <v>UNAV</v>
      </c>
      <c r="I23" s="204" t="n">
        <f aca="false">IF(VLOOKUP($B23,errordata,3,FALSE())="UNAV",J23*POLLHOURSFLOWED,IF(LEFT(B23,1)="1",VLOOKUP($B23,totalvolume,2,FALSE())*G23/1000,VLOOKUP($B23,totalvolume,2,FALSE())*G23/1000*-1))</f>
        <v>0.106167252604167</v>
      </c>
      <c r="J23" s="205" t="n">
        <f aca="false">O23+T23</f>
        <v>0.11971875</v>
      </c>
      <c r="K23" s="206" t="n">
        <f aca="false">I23-J23</f>
        <v>-0.0135514973958333</v>
      </c>
      <c r="L23" s="79" t="n">
        <f aca="false">L22+I23</f>
        <v>3.5533229176093</v>
      </c>
      <c r="M23" s="200" t="n">
        <f aca="false">M22+J23</f>
        <v>3.30335069444444</v>
      </c>
      <c r="N23" s="79"/>
      <c r="O23" s="205"/>
      <c r="P23" s="206"/>
      <c r="Q23" s="79"/>
      <c r="R23" s="201"/>
      <c r="S23" s="207" t="n">
        <f aca="false">I23-N23</f>
        <v>0.106167252604167</v>
      </c>
      <c r="T23" s="205" t="n">
        <f aca="false">IF(LEFT(B23,1)="1",VLOOKUP(B23,Cigsch,2,FALSE())/1000,VLOOKUP(B23,Cigsch,2,FALSE())/1000*-1)*POLLHOURSFLOWED</f>
        <v>0.11971875</v>
      </c>
      <c r="U23" s="206" t="n">
        <f aca="false">S23-T23</f>
        <v>-0.0135514973958333</v>
      </c>
      <c r="V23" s="203" t="n">
        <f aca="false">V22+S23</f>
        <v>3.5533229176093</v>
      </c>
      <c r="W23" s="79" t="n">
        <f aca="false">W22+T23</f>
        <v>3.30335069444444</v>
      </c>
      <c r="X23" s="208" t="n">
        <f aca="false">S23-Y23</f>
        <v>0.106167252604167</v>
      </c>
      <c r="Y23" s="209" t="n">
        <f aca="false">IF(F23="OBA",I23-J23,0)</f>
        <v>0</v>
      </c>
      <c r="Z23" s="235"/>
      <c r="AA23" s="235"/>
      <c r="AB23" s="236"/>
      <c r="AC23" s="236"/>
      <c r="AD23" s="235"/>
      <c r="AE23" s="235"/>
      <c r="AF23" s="235"/>
      <c r="AG23" s="235"/>
      <c r="AH23" s="235"/>
      <c r="AI23" s="235"/>
      <c r="AJ23" s="235"/>
      <c r="AK23" s="235"/>
      <c r="AL23" s="235"/>
      <c r="AM23" s="235"/>
      <c r="AN23" s="235"/>
      <c r="AO23" s="235"/>
      <c r="AP23" s="235"/>
      <c r="AQ23" s="235"/>
      <c r="AR23" s="235"/>
      <c r="AS23" s="235"/>
      <c r="AT23" s="235"/>
      <c r="AU23" s="235"/>
      <c r="AV23" s="235"/>
      <c r="AW23" s="235"/>
      <c r="AX23" s="235"/>
      <c r="AY23" s="235"/>
      <c r="AZ23" s="235"/>
      <c r="BA23" s="235"/>
      <c r="BB23" s="235"/>
      <c r="BC23" s="235"/>
      <c r="BD23" s="235"/>
      <c r="BE23" s="235"/>
      <c r="BF23" s="235"/>
      <c r="BG23" s="235"/>
      <c r="BH23" s="235"/>
      <c r="BI23" s="235"/>
      <c r="BJ23" s="235"/>
      <c r="BK23" s="235"/>
      <c r="BL23" s="235"/>
      <c r="BM23" s="235"/>
      <c r="BN23" s="235"/>
      <c r="BO23" s="235"/>
      <c r="BP23" s="235"/>
      <c r="BQ23" s="235"/>
      <c r="BR23" s="235"/>
      <c r="BS23" s="235"/>
      <c r="BT23" s="235"/>
      <c r="BU23" s="235"/>
      <c r="BV23" s="235"/>
      <c r="BW23" s="235"/>
      <c r="BX23" s="235"/>
      <c r="BY23" s="235"/>
      <c r="BZ23" s="235"/>
      <c r="CA23" s="235"/>
      <c r="CB23" s="235"/>
      <c r="CC23" s="235"/>
      <c r="CD23" s="235"/>
      <c r="CE23" s="235"/>
      <c r="CF23" s="235"/>
      <c r="CG23" s="235"/>
      <c r="CH23" s="235"/>
      <c r="CI23" s="235"/>
      <c r="CJ23" s="235"/>
      <c r="CK23" s="235"/>
      <c r="CL23" s="235"/>
      <c r="CM23" s="235"/>
      <c r="CN23" s="235"/>
      <c r="CO23" s="235"/>
      <c r="CP23" s="235"/>
      <c r="CQ23" s="235"/>
      <c r="CR23" s="235"/>
      <c r="CS23" s="235"/>
      <c r="CT23" s="235"/>
      <c r="CU23" s="235"/>
      <c r="CV23" s="235"/>
      <c r="CW23" s="235"/>
      <c r="CX23" s="235"/>
      <c r="CY23" s="235"/>
      <c r="CZ23" s="235"/>
      <c r="DA23" s="235"/>
      <c r="DB23" s="235"/>
      <c r="DC23" s="235"/>
      <c r="DD23" s="235"/>
      <c r="DE23" s="235"/>
      <c r="DF23" s="235"/>
      <c r="DG23" s="235"/>
      <c r="DH23" s="235"/>
      <c r="DI23" s="235"/>
      <c r="DJ23" s="235"/>
      <c r="DK23" s="235"/>
      <c r="DL23" s="235"/>
      <c r="DM23" s="235"/>
      <c r="DN23" s="235"/>
      <c r="DO23" s="235"/>
      <c r="DP23" s="235"/>
      <c r="DQ23" s="235"/>
      <c r="DR23" s="235"/>
      <c r="DS23" s="235"/>
      <c r="DT23" s="235"/>
      <c r="DU23" s="235"/>
      <c r="DV23" s="235"/>
      <c r="DW23" s="235"/>
      <c r="DX23" s="235"/>
      <c r="DY23" s="235"/>
      <c r="DZ23" s="235"/>
      <c r="EA23" s="235"/>
      <c r="EB23" s="235"/>
      <c r="EC23" s="235"/>
      <c r="ED23" s="235"/>
      <c r="EE23" s="235"/>
      <c r="EF23" s="235"/>
      <c r="EG23" s="235"/>
      <c r="EH23" s="235"/>
      <c r="EI23" s="235"/>
      <c r="EJ23" s="235"/>
      <c r="EK23" s="235"/>
      <c r="EL23" s="235"/>
      <c r="EM23" s="235"/>
      <c r="EN23" s="235"/>
      <c r="EO23" s="235"/>
      <c r="EP23" s="235"/>
      <c r="EQ23" s="235"/>
      <c r="ER23" s="235"/>
      <c r="ES23" s="235"/>
      <c r="ET23" s="235"/>
      <c r="EU23" s="235"/>
      <c r="EV23" s="235"/>
      <c r="EW23" s="235"/>
      <c r="EX23" s="235"/>
      <c r="EY23" s="235"/>
      <c r="EZ23" s="235"/>
      <c r="FA23" s="235"/>
      <c r="FB23" s="235"/>
      <c r="FC23" s="235"/>
      <c r="FD23" s="235"/>
      <c r="FE23" s="235"/>
      <c r="FF23" s="235"/>
      <c r="FG23" s="235"/>
      <c r="FH23" s="235"/>
      <c r="FI23" s="235"/>
      <c r="FJ23" s="235"/>
      <c r="FK23" s="235"/>
      <c r="FL23" s="235"/>
      <c r="FM23" s="235"/>
      <c r="FN23" s="235"/>
      <c r="FO23" s="235"/>
      <c r="FP23" s="235"/>
      <c r="FQ23" s="235"/>
      <c r="FR23" s="235"/>
      <c r="FS23" s="235"/>
      <c r="FT23" s="235"/>
      <c r="FU23" s="235"/>
      <c r="FV23" s="235"/>
      <c r="FW23" s="235"/>
      <c r="FX23" s="235"/>
      <c r="FY23" s="235"/>
      <c r="FZ23" s="235"/>
      <c r="GA23" s="235"/>
      <c r="GB23" s="235"/>
      <c r="GC23" s="235"/>
      <c r="GD23" s="235"/>
      <c r="GE23" s="235"/>
      <c r="GF23" s="235"/>
      <c r="GG23" s="235"/>
      <c r="GH23" s="235"/>
      <c r="GI23" s="235"/>
      <c r="GJ23" s="235"/>
      <c r="GK23" s="235"/>
      <c r="GL23" s="235"/>
      <c r="GM23" s="235"/>
      <c r="GN23" s="235"/>
      <c r="GO23" s="235"/>
      <c r="GP23" s="235"/>
      <c r="GQ23" s="235"/>
      <c r="GR23" s="235"/>
      <c r="GS23" s="235"/>
      <c r="GT23" s="235"/>
      <c r="GU23" s="235"/>
      <c r="GV23" s="235"/>
      <c r="GW23" s="235"/>
      <c r="GX23" s="235"/>
      <c r="GY23" s="235"/>
      <c r="GZ23" s="235"/>
      <c r="HA23" s="235"/>
      <c r="HB23" s="235"/>
      <c r="HC23" s="235"/>
      <c r="HD23" s="235"/>
      <c r="HE23" s="235"/>
      <c r="HF23" s="235"/>
      <c r="HG23" s="235"/>
      <c r="HH23" s="235"/>
      <c r="HI23" s="235"/>
      <c r="HJ23" s="235"/>
      <c r="HK23" s="235"/>
      <c r="HL23" s="235"/>
      <c r="HM23" s="235"/>
      <c r="HN23" s="235"/>
      <c r="HO23" s="235"/>
      <c r="HP23" s="235"/>
      <c r="HQ23" s="235"/>
      <c r="HR23" s="235"/>
      <c r="HS23" s="235"/>
      <c r="HT23" s="235"/>
      <c r="HU23" s="235"/>
      <c r="HV23" s="235"/>
      <c r="HW23" s="235"/>
      <c r="HX23" s="235"/>
      <c r="HY23" s="235"/>
      <c r="HZ23" s="235"/>
      <c r="IA23" s="235"/>
      <c r="IB23" s="235"/>
      <c r="IC23" s="235"/>
      <c r="ID23" s="235"/>
      <c r="IE23" s="235"/>
      <c r="IF23" s="235"/>
      <c r="IG23" s="235"/>
      <c r="IH23" s="235"/>
      <c r="II23" s="235"/>
      <c r="IJ23" s="235"/>
      <c r="IK23" s="235"/>
      <c r="IL23" s="235"/>
      <c r="IM23" s="235"/>
      <c r="IN23" s="235"/>
      <c r="IO23" s="235"/>
      <c r="IP23" s="235"/>
      <c r="IQ23" s="235"/>
      <c r="IR23" s="235"/>
      <c r="IS23" s="235"/>
      <c r="IT23" s="235"/>
      <c r="IU23" s="235"/>
      <c r="IV23" s="235"/>
      <c r="IW23" s="235"/>
    </row>
    <row r="24" customFormat="false" ht="12.75" hidden="false" customHeight="false" outlineLevel="0" collapsed="false">
      <c r="A24" s="210" t="s">
        <v>127</v>
      </c>
      <c r="B24" s="211" t="n">
        <v>12408</v>
      </c>
      <c r="C24" s="210"/>
      <c r="D24" s="211" t="s">
        <v>137</v>
      </c>
      <c r="E24" s="211" t="s">
        <v>116</v>
      </c>
      <c r="F24" s="212" t="s">
        <v>116</v>
      </c>
      <c r="G24" s="213" t="n">
        <f aca="false">VLOOKUP($B24,BTU,2,FALSE())/1000</f>
        <v>1.025</v>
      </c>
      <c r="H24" s="182" t="str">
        <f aca="false">VLOOKUP($B24,spotdata,3,FALSE())</f>
        <v>UNAV</v>
      </c>
      <c r="I24" s="204" t="n">
        <f aca="false">IF(VLOOKUP($B24,errordata,3,FALSE())="UNAV",J24*POLLHOURSFLOWED,IF(LEFT(B24,1)="1",VLOOKUP($B24,totalvolume,2,FALSE())*G24/1000,VLOOKUP($B24,totalvolume,2,FALSE())*G24/1000*-1))</f>
        <v>0.0786424093364198</v>
      </c>
      <c r="J24" s="205" t="n">
        <f aca="false">O24+T24</f>
        <v>0.0886805555555556</v>
      </c>
      <c r="K24" s="206" t="n">
        <f aca="false">I24-J24</f>
        <v>-0.0100381462191358</v>
      </c>
      <c r="L24" s="79" t="n">
        <f aca="false">L23+I24</f>
        <v>3.63196532694572</v>
      </c>
      <c r="M24" s="200" t="n">
        <f aca="false">M23+J24</f>
        <v>3.39203125</v>
      </c>
      <c r="N24" s="79"/>
      <c r="O24" s="205"/>
      <c r="P24" s="206"/>
      <c r="Q24" s="79"/>
      <c r="R24" s="201"/>
      <c r="S24" s="207" t="n">
        <f aca="false">I24-N24</f>
        <v>0.0786424093364198</v>
      </c>
      <c r="T24" s="205" t="n">
        <f aca="false">IF(LEFT(B24,1)="1",VLOOKUP(B24,Cigsch,2,FALSE())/1000,VLOOKUP(B24,Cigsch,2,FALSE())/1000*-1)*POLLHOURSFLOWED</f>
        <v>0.0886805555555556</v>
      </c>
      <c r="U24" s="206" t="n">
        <f aca="false">S24-T24</f>
        <v>-0.0100381462191358</v>
      </c>
      <c r="V24" s="203" t="n">
        <f aca="false">V23+S24</f>
        <v>3.63196532694572</v>
      </c>
      <c r="W24" s="79" t="n">
        <f aca="false">W23+T24</f>
        <v>3.39203125</v>
      </c>
      <c r="X24" s="208" t="n">
        <f aca="false">S24-Y24</f>
        <v>0.0786424093364198</v>
      </c>
      <c r="Y24" s="209" t="n">
        <f aca="false">IF(F24="OBA",I24-J24,0)</f>
        <v>0</v>
      </c>
      <c r="Z24" s="235"/>
      <c r="AA24" s="235"/>
      <c r="AB24" s="236"/>
      <c r="AC24" s="236"/>
      <c r="AD24" s="235"/>
      <c r="AE24" s="235"/>
      <c r="AF24" s="235"/>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5"/>
      <c r="BC24" s="235"/>
      <c r="BD24" s="235"/>
      <c r="BE24" s="235"/>
      <c r="BF24" s="235"/>
      <c r="BG24" s="235"/>
      <c r="BH24" s="235"/>
      <c r="BI24" s="235"/>
      <c r="BJ24" s="235"/>
      <c r="BK24" s="235"/>
      <c r="BL24" s="235"/>
      <c r="BM24" s="235"/>
      <c r="BN24" s="235"/>
      <c r="BO24" s="235"/>
      <c r="BP24" s="235"/>
      <c r="BQ24" s="235"/>
      <c r="BR24" s="235"/>
      <c r="BS24" s="235"/>
      <c r="BT24" s="235"/>
      <c r="BU24" s="235"/>
      <c r="BV24" s="235"/>
      <c r="BW24" s="235"/>
      <c r="BX24" s="235"/>
      <c r="BY24" s="235"/>
      <c r="BZ24" s="235"/>
      <c r="CA24" s="235"/>
      <c r="CB24" s="235"/>
      <c r="CC24" s="235"/>
      <c r="CD24" s="235"/>
      <c r="CE24" s="235"/>
      <c r="CF24" s="235"/>
      <c r="CG24" s="235"/>
      <c r="CH24" s="235"/>
      <c r="CI24" s="235"/>
      <c r="CJ24" s="235"/>
      <c r="CK24" s="235"/>
      <c r="CL24" s="235"/>
      <c r="CM24" s="235"/>
      <c r="CN24" s="235"/>
      <c r="CO24" s="235"/>
      <c r="CP24" s="235"/>
      <c r="CQ24" s="235"/>
      <c r="CR24" s="235"/>
      <c r="CS24" s="235"/>
      <c r="CT24" s="235"/>
      <c r="CU24" s="235"/>
      <c r="CV24" s="235"/>
      <c r="CW24" s="235"/>
      <c r="CX24" s="235"/>
      <c r="CY24" s="235"/>
      <c r="CZ24" s="235"/>
      <c r="DA24" s="235"/>
      <c r="DB24" s="235"/>
      <c r="DC24" s="235"/>
      <c r="DD24" s="235"/>
      <c r="DE24" s="235"/>
      <c r="DF24" s="235"/>
      <c r="DG24" s="235"/>
      <c r="DH24" s="235"/>
      <c r="DI24" s="235"/>
      <c r="DJ24" s="235"/>
      <c r="DK24" s="235"/>
      <c r="DL24" s="235"/>
      <c r="DM24" s="235"/>
      <c r="DN24" s="235"/>
      <c r="DO24" s="235"/>
      <c r="DP24" s="235"/>
      <c r="DQ24" s="235"/>
      <c r="DR24" s="235"/>
      <c r="DS24" s="235"/>
      <c r="DT24" s="235"/>
      <c r="DU24" s="235"/>
      <c r="DV24" s="235"/>
      <c r="DW24" s="235"/>
      <c r="DX24" s="235"/>
      <c r="DY24" s="235"/>
      <c r="DZ24" s="235"/>
      <c r="EA24" s="235"/>
      <c r="EB24" s="235"/>
      <c r="EC24" s="235"/>
      <c r="ED24" s="235"/>
      <c r="EE24" s="235"/>
      <c r="EF24" s="235"/>
      <c r="EG24" s="235"/>
      <c r="EH24" s="235"/>
      <c r="EI24" s="235"/>
      <c r="EJ24" s="235"/>
      <c r="EK24" s="235"/>
      <c r="EL24" s="235"/>
      <c r="EM24" s="235"/>
      <c r="EN24" s="235"/>
      <c r="EO24" s="235"/>
      <c r="EP24" s="235"/>
      <c r="EQ24" s="235"/>
      <c r="ER24" s="235"/>
      <c r="ES24" s="235"/>
      <c r="ET24" s="235"/>
      <c r="EU24" s="235"/>
      <c r="EV24" s="235"/>
      <c r="EW24" s="235"/>
      <c r="EX24" s="235"/>
      <c r="EY24" s="235"/>
      <c r="EZ24" s="235"/>
      <c r="FA24" s="235"/>
      <c r="FB24" s="235"/>
      <c r="FC24" s="235"/>
      <c r="FD24" s="235"/>
      <c r="FE24" s="235"/>
      <c r="FF24" s="235"/>
      <c r="FG24" s="235"/>
      <c r="FH24" s="235"/>
      <c r="FI24" s="235"/>
      <c r="FJ24" s="235"/>
      <c r="FK24" s="235"/>
      <c r="FL24" s="235"/>
      <c r="FM24" s="235"/>
      <c r="FN24" s="235"/>
      <c r="FO24" s="235"/>
      <c r="FP24" s="235"/>
      <c r="FQ24" s="235"/>
      <c r="FR24" s="235"/>
      <c r="FS24" s="235"/>
      <c r="FT24" s="235"/>
      <c r="FU24" s="235"/>
      <c r="FV24" s="235"/>
      <c r="FW24" s="235"/>
      <c r="FX24" s="235"/>
      <c r="FY24" s="235"/>
      <c r="FZ24" s="235"/>
      <c r="GA24" s="235"/>
      <c r="GB24" s="235"/>
      <c r="GC24" s="235"/>
      <c r="GD24" s="235"/>
      <c r="GE24" s="235"/>
      <c r="GF24" s="235"/>
      <c r="GG24" s="235"/>
      <c r="GH24" s="235"/>
      <c r="GI24" s="235"/>
      <c r="GJ24" s="235"/>
      <c r="GK24" s="235"/>
      <c r="GL24" s="235"/>
      <c r="GM24" s="235"/>
      <c r="GN24" s="235"/>
      <c r="GO24" s="235"/>
      <c r="GP24" s="235"/>
      <c r="GQ24" s="235"/>
      <c r="GR24" s="235"/>
      <c r="GS24" s="235"/>
      <c r="GT24" s="235"/>
      <c r="GU24" s="235"/>
      <c r="GV24" s="235"/>
      <c r="GW24" s="235"/>
      <c r="GX24" s="235"/>
      <c r="GY24" s="235"/>
      <c r="GZ24" s="235"/>
      <c r="HA24" s="235"/>
      <c r="HB24" s="235"/>
      <c r="HC24" s="235"/>
      <c r="HD24" s="235"/>
      <c r="HE24" s="235"/>
      <c r="HF24" s="235"/>
      <c r="HG24" s="235"/>
      <c r="HH24" s="235"/>
      <c r="HI24" s="235"/>
      <c r="HJ24" s="235"/>
      <c r="HK24" s="235"/>
      <c r="HL24" s="235"/>
      <c r="HM24" s="235"/>
      <c r="HN24" s="235"/>
      <c r="HO24" s="235"/>
      <c r="HP24" s="235"/>
      <c r="HQ24" s="235"/>
      <c r="HR24" s="235"/>
      <c r="HS24" s="235"/>
      <c r="HT24" s="235"/>
      <c r="HU24" s="235"/>
      <c r="HV24" s="235"/>
      <c r="HW24" s="235"/>
      <c r="HX24" s="235"/>
      <c r="HY24" s="235"/>
      <c r="HZ24" s="235"/>
      <c r="IA24" s="235"/>
      <c r="IB24" s="235"/>
      <c r="IC24" s="235"/>
      <c r="ID24" s="235"/>
      <c r="IE24" s="235"/>
      <c r="IF24" s="235"/>
      <c r="IG24" s="235"/>
      <c r="IH24" s="235"/>
      <c r="II24" s="235"/>
      <c r="IJ24" s="235"/>
      <c r="IK24" s="235"/>
      <c r="IL24" s="235"/>
      <c r="IM24" s="235"/>
      <c r="IN24" s="235"/>
      <c r="IO24" s="235"/>
      <c r="IP24" s="235"/>
      <c r="IQ24" s="235"/>
      <c r="IR24" s="235"/>
      <c r="IS24" s="235"/>
      <c r="IT24" s="235"/>
      <c r="IU24" s="235"/>
      <c r="IV24" s="235"/>
      <c r="IW24" s="235"/>
    </row>
    <row r="25" customFormat="false" ht="12.75" hidden="false" customHeight="false" outlineLevel="0" collapsed="false">
      <c r="A25" s="210" t="s">
        <v>127</v>
      </c>
      <c r="B25" s="211" t="n">
        <v>11241</v>
      </c>
      <c r="C25" s="210"/>
      <c r="D25" s="211" t="s">
        <v>138</v>
      </c>
      <c r="E25" s="211" t="s">
        <v>116</v>
      </c>
      <c r="F25" s="212" t="s">
        <v>116</v>
      </c>
      <c r="G25" s="213" t="n">
        <f aca="false">VLOOKUP($B25,BTU,2,FALSE())/1000</f>
        <v>1.025</v>
      </c>
      <c r="H25" s="182" t="str">
        <f aca="false">VLOOKUP($B25,spotdata,3,FALSE())</f>
        <v>UNAV</v>
      </c>
      <c r="I25" s="204" t="n">
        <f aca="false">IF(VLOOKUP($B25,errordata,3,FALSE())="UNAV",J25*POLLHOURSFLOWED,IF(LEFT(B25,1)="1",VLOOKUP($B25,totalvolume,2,FALSE())*G25/1000,VLOOKUP($B25,totalvolume,2,FALSE())*G25/1000*-1))</f>
        <v>0.00393212046682099</v>
      </c>
      <c r="J25" s="205" t="n">
        <f aca="false">O25+T25</f>
        <v>0.00443402777777778</v>
      </c>
      <c r="K25" s="206" t="n">
        <f aca="false">I25-J25</f>
        <v>-0.00050190731095679</v>
      </c>
      <c r="L25" s="79" t="n">
        <f aca="false">L24+I25</f>
        <v>3.63589744741254</v>
      </c>
      <c r="M25" s="200" t="n">
        <f aca="false">M24+J25</f>
        <v>3.39646527777778</v>
      </c>
      <c r="N25" s="79"/>
      <c r="O25" s="205"/>
      <c r="P25" s="206"/>
      <c r="Q25" s="79"/>
      <c r="R25" s="201"/>
      <c r="S25" s="207" t="n">
        <f aca="false">I25-N25</f>
        <v>0.00393212046682099</v>
      </c>
      <c r="T25" s="205" t="n">
        <f aca="false">IF(LEFT(B25,1)="1",VLOOKUP(B25,Cigsch,2,FALSE())/1000,VLOOKUP(B25,Cigsch,2,FALSE())/1000*-1)*POLLHOURSFLOWED</f>
        <v>0.00443402777777778</v>
      </c>
      <c r="U25" s="206" t="n">
        <f aca="false">S25-T25</f>
        <v>-0.00050190731095679</v>
      </c>
      <c r="V25" s="203" t="n">
        <f aca="false">V24+S25</f>
        <v>3.63589744741254</v>
      </c>
      <c r="W25" s="79" t="n">
        <f aca="false">W24+T25</f>
        <v>3.39646527777778</v>
      </c>
      <c r="X25" s="208" t="n">
        <f aca="false">S25-Y25</f>
        <v>0.00393212046682099</v>
      </c>
      <c r="Y25" s="209" t="n">
        <f aca="false">IF(F25="OBA",I25-J25,0)</f>
        <v>0</v>
      </c>
      <c r="Z25" s="235"/>
      <c r="AA25" s="235"/>
      <c r="AB25" s="236"/>
      <c r="AC25" s="236"/>
      <c r="AD25" s="235"/>
      <c r="AE25" s="235"/>
      <c r="AF25" s="235"/>
      <c r="AG25" s="235"/>
      <c r="AH25" s="235"/>
      <c r="AI25" s="235"/>
      <c r="AJ25" s="235"/>
      <c r="AK25" s="235"/>
      <c r="AL25" s="235"/>
      <c r="AM25" s="235"/>
      <c r="AN25" s="235"/>
      <c r="AO25" s="235"/>
      <c r="AP25" s="235"/>
      <c r="AQ25" s="235"/>
      <c r="AR25" s="235"/>
      <c r="AS25" s="235"/>
      <c r="AT25" s="235"/>
      <c r="AU25" s="235"/>
      <c r="AV25" s="235"/>
      <c r="AW25" s="235"/>
      <c r="AX25" s="235"/>
      <c r="AY25" s="235"/>
      <c r="AZ25" s="235"/>
      <c r="BA25" s="235"/>
      <c r="BB25" s="235"/>
      <c r="BC25" s="235"/>
      <c r="BD25" s="235"/>
      <c r="BE25" s="235"/>
      <c r="BF25" s="235"/>
      <c r="BG25" s="235"/>
      <c r="BH25" s="235"/>
      <c r="BI25" s="235"/>
      <c r="BJ25" s="235"/>
      <c r="BK25" s="235"/>
      <c r="BL25" s="235"/>
      <c r="BM25" s="235"/>
      <c r="BN25" s="235"/>
      <c r="BO25" s="235"/>
      <c r="BP25" s="235"/>
      <c r="BQ25" s="235"/>
      <c r="BR25" s="235"/>
      <c r="BS25" s="235"/>
      <c r="BT25" s="235"/>
      <c r="BU25" s="235"/>
      <c r="BV25" s="235"/>
      <c r="BW25" s="235"/>
      <c r="BX25" s="235"/>
      <c r="BY25" s="235"/>
      <c r="BZ25" s="235"/>
      <c r="CA25" s="235"/>
      <c r="CB25" s="235"/>
      <c r="CC25" s="235"/>
      <c r="CD25" s="235"/>
      <c r="CE25" s="235"/>
      <c r="CF25" s="235"/>
      <c r="CG25" s="235"/>
      <c r="CH25" s="235"/>
      <c r="CI25" s="235"/>
      <c r="CJ25" s="235"/>
      <c r="CK25" s="235"/>
      <c r="CL25" s="235"/>
      <c r="CM25" s="235"/>
      <c r="CN25" s="235"/>
      <c r="CO25" s="235"/>
      <c r="CP25" s="235"/>
      <c r="CQ25" s="235"/>
      <c r="CR25" s="235"/>
      <c r="CS25" s="235"/>
      <c r="CT25" s="235"/>
      <c r="CU25" s="235"/>
      <c r="CV25" s="235"/>
      <c r="CW25" s="235"/>
      <c r="CX25" s="235"/>
      <c r="CY25" s="235"/>
      <c r="CZ25" s="235"/>
      <c r="DA25" s="235"/>
      <c r="DB25" s="235"/>
      <c r="DC25" s="235"/>
      <c r="DD25" s="235"/>
      <c r="DE25" s="235"/>
      <c r="DF25" s="235"/>
      <c r="DG25" s="235"/>
      <c r="DH25" s="235"/>
      <c r="DI25" s="235"/>
      <c r="DJ25" s="235"/>
      <c r="DK25" s="235"/>
      <c r="DL25" s="235"/>
      <c r="DM25" s="235"/>
      <c r="DN25" s="235"/>
      <c r="DO25" s="235"/>
      <c r="DP25" s="235"/>
      <c r="DQ25" s="235"/>
      <c r="DR25" s="235"/>
      <c r="DS25" s="235"/>
      <c r="DT25" s="235"/>
      <c r="DU25" s="235"/>
      <c r="DV25" s="235"/>
      <c r="DW25" s="235"/>
      <c r="DX25" s="235"/>
      <c r="DY25" s="235"/>
      <c r="DZ25" s="235"/>
      <c r="EA25" s="235"/>
      <c r="EB25" s="235"/>
      <c r="EC25" s="235"/>
      <c r="ED25" s="235"/>
      <c r="EE25" s="235"/>
      <c r="EF25" s="235"/>
      <c r="EG25" s="235"/>
      <c r="EH25" s="235"/>
      <c r="EI25" s="235"/>
      <c r="EJ25" s="235"/>
      <c r="EK25" s="235"/>
      <c r="EL25" s="235"/>
      <c r="EM25" s="235"/>
      <c r="EN25" s="235"/>
      <c r="EO25" s="235"/>
      <c r="EP25" s="235"/>
      <c r="EQ25" s="235"/>
      <c r="ER25" s="235"/>
      <c r="ES25" s="235"/>
      <c r="ET25" s="235"/>
      <c r="EU25" s="235"/>
      <c r="EV25" s="235"/>
      <c r="EW25" s="235"/>
      <c r="EX25" s="235"/>
      <c r="EY25" s="235"/>
      <c r="EZ25" s="235"/>
      <c r="FA25" s="235"/>
      <c r="FB25" s="235"/>
      <c r="FC25" s="235"/>
      <c r="FD25" s="235"/>
      <c r="FE25" s="235"/>
      <c r="FF25" s="235"/>
      <c r="FG25" s="235"/>
      <c r="FH25" s="235"/>
      <c r="FI25" s="235"/>
      <c r="FJ25" s="235"/>
      <c r="FK25" s="235"/>
      <c r="FL25" s="235"/>
      <c r="FM25" s="235"/>
      <c r="FN25" s="235"/>
      <c r="FO25" s="235"/>
      <c r="FP25" s="235"/>
      <c r="FQ25" s="235"/>
      <c r="FR25" s="235"/>
      <c r="FS25" s="235"/>
      <c r="FT25" s="235"/>
      <c r="FU25" s="235"/>
      <c r="FV25" s="235"/>
      <c r="FW25" s="235"/>
      <c r="FX25" s="235"/>
      <c r="FY25" s="235"/>
      <c r="FZ25" s="235"/>
      <c r="GA25" s="235"/>
      <c r="GB25" s="235"/>
      <c r="GC25" s="235"/>
      <c r="GD25" s="235"/>
      <c r="GE25" s="235"/>
      <c r="GF25" s="235"/>
      <c r="GG25" s="235"/>
      <c r="GH25" s="235"/>
      <c r="GI25" s="235"/>
      <c r="GJ25" s="235"/>
      <c r="GK25" s="235"/>
      <c r="GL25" s="235"/>
      <c r="GM25" s="235"/>
      <c r="GN25" s="235"/>
      <c r="GO25" s="235"/>
      <c r="GP25" s="235"/>
      <c r="GQ25" s="235"/>
      <c r="GR25" s="235"/>
      <c r="GS25" s="235"/>
      <c r="GT25" s="235"/>
      <c r="GU25" s="235"/>
      <c r="GV25" s="235"/>
      <c r="GW25" s="235"/>
      <c r="GX25" s="235"/>
      <c r="GY25" s="235"/>
      <c r="GZ25" s="235"/>
      <c r="HA25" s="235"/>
      <c r="HB25" s="235"/>
      <c r="HC25" s="235"/>
      <c r="HD25" s="235"/>
      <c r="HE25" s="235"/>
      <c r="HF25" s="235"/>
      <c r="HG25" s="235"/>
      <c r="HH25" s="235"/>
      <c r="HI25" s="235"/>
      <c r="HJ25" s="235"/>
      <c r="HK25" s="235"/>
      <c r="HL25" s="235"/>
      <c r="HM25" s="235"/>
      <c r="HN25" s="235"/>
      <c r="HO25" s="235"/>
      <c r="HP25" s="235"/>
      <c r="HQ25" s="235"/>
      <c r="HR25" s="235"/>
      <c r="HS25" s="235"/>
      <c r="HT25" s="235"/>
      <c r="HU25" s="235"/>
      <c r="HV25" s="235"/>
      <c r="HW25" s="235"/>
      <c r="HX25" s="235"/>
      <c r="HY25" s="235"/>
      <c r="HZ25" s="235"/>
      <c r="IA25" s="235"/>
      <c r="IB25" s="235"/>
      <c r="IC25" s="235"/>
      <c r="ID25" s="235"/>
      <c r="IE25" s="235"/>
      <c r="IF25" s="235"/>
      <c r="IG25" s="235"/>
      <c r="IH25" s="235"/>
      <c r="II25" s="235"/>
      <c r="IJ25" s="235"/>
      <c r="IK25" s="235"/>
      <c r="IL25" s="235"/>
      <c r="IM25" s="235"/>
      <c r="IN25" s="235"/>
      <c r="IO25" s="235"/>
      <c r="IP25" s="235"/>
      <c r="IQ25" s="235"/>
      <c r="IR25" s="235"/>
      <c r="IS25" s="235"/>
      <c r="IT25" s="235"/>
      <c r="IU25" s="235"/>
      <c r="IV25" s="235"/>
      <c r="IW25" s="235"/>
    </row>
    <row r="26" customFormat="false" ht="13.5" hidden="false" customHeight="false" outlineLevel="0" collapsed="false">
      <c r="A26" s="216" t="s">
        <v>127</v>
      </c>
      <c r="B26" s="217" t="n">
        <v>26218</v>
      </c>
      <c r="C26" s="216"/>
      <c r="D26" s="217" t="s">
        <v>139</v>
      </c>
      <c r="E26" s="217" t="s">
        <v>116</v>
      </c>
      <c r="F26" s="218" t="s">
        <v>116</v>
      </c>
      <c r="G26" s="219" t="n">
        <f aca="false">VLOOKUP($B26,BTU,2,FALSE())/1000</f>
        <v>1.025</v>
      </c>
      <c r="H26" s="220" t="str">
        <f aca="false">VLOOKUP($B26,spotdata,3,FALSE())</f>
        <v>UNAV</v>
      </c>
      <c r="I26" s="221" t="n">
        <f aca="false">IF(VLOOKUP($B26,errordata,3,FALSE())="UNAV",J26*POLLHOURSFLOWED,IF(LEFT(B26,1)="1",VLOOKUP($B26,totalvolume,2,FALSE())*G26/1000,VLOOKUP($B26,totalvolume,2,FALSE())*G26/1000*-1))</f>
        <v>-2.54408194203318</v>
      </c>
      <c r="J26" s="222" t="n">
        <f aca="false">O26+T26</f>
        <v>-2.86881597222222</v>
      </c>
      <c r="K26" s="223" t="n">
        <f aca="false">I26-J26</f>
        <v>0.324734030189043</v>
      </c>
      <c r="L26" s="224" t="n">
        <f aca="false">L25+I26</f>
        <v>1.09181550537936</v>
      </c>
      <c r="M26" s="225" t="n">
        <f aca="false">M25+J26</f>
        <v>0.527649305555555</v>
      </c>
      <c r="N26" s="224"/>
      <c r="O26" s="222"/>
      <c r="P26" s="223"/>
      <c r="Q26" s="224"/>
      <c r="R26" s="226"/>
      <c r="S26" s="227" t="n">
        <f aca="false">I26-N26</f>
        <v>-2.54408194203318</v>
      </c>
      <c r="T26" s="222" t="n">
        <f aca="false">IF(LEFT(B26,1)="1",VLOOKUP(B26,Cigsch,2,FALSE())/1000,VLOOKUP(B26,Cigsch,2,FALSE())/1000*-1)*POLLHOURSFLOWED</f>
        <v>-2.86881597222222</v>
      </c>
      <c r="U26" s="223" t="n">
        <f aca="false">S26-T26</f>
        <v>0.324734030189043</v>
      </c>
      <c r="V26" s="228" t="n">
        <f aca="false">V25+S26</f>
        <v>1.09181550537936</v>
      </c>
      <c r="W26" s="229" t="n">
        <f aca="false">W25+T26</f>
        <v>0.527649305555555</v>
      </c>
      <c r="X26" s="230" t="n">
        <f aca="false">S26-Y26</f>
        <v>-2.54408194203318</v>
      </c>
      <c r="Y26" s="231" t="n">
        <f aca="false">IF(F26="OBA",I26-J26,0)</f>
        <v>0</v>
      </c>
      <c r="Z26" s="235"/>
      <c r="AA26" s="235"/>
      <c r="AB26" s="236"/>
      <c r="AC26" s="236"/>
      <c r="AD26" s="235"/>
      <c r="AE26" s="235"/>
      <c r="AF26" s="235"/>
      <c r="AG26" s="235"/>
      <c r="AH26" s="235"/>
      <c r="AI26" s="235"/>
      <c r="AJ26" s="235"/>
      <c r="AK26" s="235"/>
      <c r="AL26" s="235"/>
      <c r="AM26" s="235"/>
      <c r="AN26" s="235"/>
      <c r="AO26" s="235"/>
      <c r="AP26" s="235"/>
      <c r="AQ26" s="235"/>
      <c r="AR26" s="235"/>
      <c r="AS26" s="235"/>
      <c r="AT26" s="235"/>
      <c r="AU26" s="235"/>
      <c r="AV26" s="235"/>
      <c r="AW26" s="235"/>
      <c r="AX26" s="235"/>
      <c r="AY26" s="235"/>
      <c r="AZ26" s="235"/>
      <c r="BA26" s="235"/>
      <c r="BB26" s="235"/>
      <c r="BC26" s="235"/>
      <c r="BD26" s="235"/>
      <c r="BE26" s="235"/>
      <c r="BF26" s="235"/>
      <c r="BG26" s="235"/>
      <c r="BH26" s="235"/>
      <c r="BI26" s="235"/>
      <c r="BJ26" s="235"/>
      <c r="BK26" s="235"/>
      <c r="BL26" s="235"/>
      <c r="BM26" s="235"/>
      <c r="BN26" s="235"/>
      <c r="BO26" s="235"/>
      <c r="BP26" s="235"/>
      <c r="BQ26" s="235"/>
      <c r="BR26" s="235"/>
      <c r="BS26" s="235"/>
      <c r="BT26" s="235"/>
      <c r="BU26" s="235"/>
      <c r="BV26" s="235"/>
      <c r="BW26" s="235"/>
      <c r="BX26" s="235"/>
      <c r="BY26" s="235"/>
      <c r="BZ26" s="235"/>
      <c r="CA26" s="235"/>
      <c r="CB26" s="235"/>
      <c r="CC26" s="235"/>
      <c r="CD26" s="235"/>
      <c r="CE26" s="235"/>
      <c r="CF26" s="235"/>
      <c r="CG26" s="235"/>
      <c r="CH26" s="235"/>
      <c r="CI26" s="235"/>
      <c r="CJ26" s="235"/>
      <c r="CK26" s="235"/>
      <c r="CL26" s="235"/>
      <c r="CM26" s="235"/>
      <c r="CN26" s="235"/>
      <c r="CO26" s="235"/>
      <c r="CP26" s="235"/>
      <c r="CQ26" s="235"/>
      <c r="CR26" s="235"/>
      <c r="CS26" s="235"/>
      <c r="CT26" s="235"/>
      <c r="CU26" s="235"/>
      <c r="CV26" s="235"/>
      <c r="CW26" s="235"/>
      <c r="CX26" s="235"/>
      <c r="CY26" s="235"/>
      <c r="CZ26" s="235"/>
      <c r="DA26" s="235"/>
      <c r="DB26" s="235"/>
      <c r="DC26" s="235"/>
      <c r="DD26" s="235"/>
      <c r="DE26" s="235"/>
      <c r="DF26" s="235"/>
      <c r="DG26" s="235"/>
      <c r="DH26" s="235"/>
      <c r="DI26" s="235"/>
      <c r="DJ26" s="235"/>
      <c r="DK26" s="235"/>
      <c r="DL26" s="235"/>
      <c r="DM26" s="235"/>
      <c r="DN26" s="235"/>
      <c r="DO26" s="235"/>
      <c r="DP26" s="235"/>
      <c r="DQ26" s="235"/>
      <c r="DR26" s="235"/>
      <c r="DS26" s="235"/>
      <c r="DT26" s="235"/>
      <c r="DU26" s="235"/>
      <c r="DV26" s="235"/>
      <c r="DW26" s="235"/>
      <c r="DX26" s="235"/>
      <c r="DY26" s="235"/>
      <c r="DZ26" s="235"/>
      <c r="EA26" s="235"/>
      <c r="EB26" s="235"/>
      <c r="EC26" s="235"/>
      <c r="ED26" s="235"/>
      <c r="EE26" s="235"/>
      <c r="EF26" s="235"/>
      <c r="EG26" s="235"/>
      <c r="EH26" s="235"/>
      <c r="EI26" s="235"/>
      <c r="EJ26" s="235"/>
      <c r="EK26" s="235"/>
      <c r="EL26" s="235"/>
      <c r="EM26" s="235"/>
      <c r="EN26" s="235"/>
      <c r="EO26" s="235"/>
      <c r="EP26" s="235"/>
      <c r="EQ26" s="235"/>
      <c r="ER26" s="235"/>
      <c r="ES26" s="235"/>
      <c r="ET26" s="235"/>
      <c r="EU26" s="235"/>
      <c r="EV26" s="235"/>
      <c r="EW26" s="235"/>
      <c r="EX26" s="235"/>
      <c r="EY26" s="235"/>
      <c r="EZ26" s="235"/>
      <c r="FA26" s="235"/>
      <c r="FB26" s="235"/>
      <c r="FC26" s="235"/>
      <c r="FD26" s="235"/>
      <c r="FE26" s="235"/>
      <c r="FF26" s="235"/>
      <c r="FG26" s="235"/>
      <c r="FH26" s="235"/>
      <c r="FI26" s="235"/>
      <c r="FJ26" s="235"/>
      <c r="FK26" s="235"/>
      <c r="FL26" s="235"/>
      <c r="FM26" s="235"/>
      <c r="FN26" s="235"/>
      <c r="FO26" s="235"/>
      <c r="FP26" s="235"/>
      <c r="FQ26" s="235"/>
      <c r="FR26" s="235"/>
      <c r="FS26" s="235"/>
      <c r="FT26" s="235"/>
      <c r="FU26" s="235"/>
      <c r="FV26" s="235"/>
      <c r="FW26" s="235"/>
      <c r="FX26" s="235"/>
      <c r="FY26" s="235"/>
      <c r="FZ26" s="235"/>
      <c r="GA26" s="235"/>
      <c r="GB26" s="235"/>
      <c r="GC26" s="235"/>
      <c r="GD26" s="235"/>
      <c r="GE26" s="235"/>
      <c r="GF26" s="235"/>
      <c r="GG26" s="235"/>
      <c r="GH26" s="235"/>
      <c r="GI26" s="235"/>
      <c r="GJ26" s="235"/>
      <c r="GK26" s="235"/>
      <c r="GL26" s="235"/>
      <c r="GM26" s="235"/>
      <c r="GN26" s="235"/>
      <c r="GO26" s="235"/>
      <c r="GP26" s="235"/>
      <c r="GQ26" s="235"/>
      <c r="GR26" s="235"/>
      <c r="GS26" s="235"/>
      <c r="GT26" s="235"/>
      <c r="GU26" s="235"/>
      <c r="GV26" s="235"/>
      <c r="GW26" s="235"/>
      <c r="GX26" s="235"/>
      <c r="GY26" s="235"/>
      <c r="GZ26" s="235"/>
      <c r="HA26" s="235"/>
      <c r="HB26" s="235"/>
      <c r="HC26" s="235"/>
      <c r="HD26" s="235"/>
      <c r="HE26" s="235"/>
      <c r="HF26" s="235"/>
      <c r="HG26" s="235"/>
      <c r="HH26" s="235"/>
      <c r="HI26" s="235"/>
      <c r="HJ26" s="235"/>
      <c r="HK26" s="235"/>
      <c r="HL26" s="235"/>
      <c r="HM26" s="235"/>
      <c r="HN26" s="235"/>
      <c r="HO26" s="235"/>
      <c r="HP26" s="235"/>
      <c r="HQ26" s="235"/>
      <c r="HR26" s="235"/>
      <c r="HS26" s="235"/>
      <c r="HT26" s="235"/>
      <c r="HU26" s="235"/>
      <c r="HV26" s="235"/>
      <c r="HW26" s="235"/>
      <c r="HX26" s="235"/>
      <c r="HY26" s="235"/>
      <c r="HZ26" s="235"/>
      <c r="IA26" s="235"/>
      <c r="IB26" s="235"/>
      <c r="IC26" s="235"/>
      <c r="ID26" s="235"/>
      <c r="IE26" s="235"/>
      <c r="IF26" s="235"/>
      <c r="IG26" s="235"/>
      <c r="IH26" s="235"/>
      <c r="II26" s="235"/>
      <c r="IJ26" s="235"/>
      <c r="IK26" s="235"/>
      <c r="IL26" s="235"/>
      <c r="IM26" s="235"/>
      <c r="IN26" s="235"/>
      <c r="IO26" s="235"/>
      <c r="IP26" s="235"/>
      <c r="IQ26" s="235"/>
      <c r="IR26" s="235"/>
      <c r="IS26" s="235"/>
      <c r="IT26" s="235"/>
      <c r="IU26" s="235"/>
      <c r="IV26" s="235"/>
      <c r="IW26" s="235"/>
    </row>
    <row r="27" customFormat="false" ht="36.75" hidden="true" customHeight="true" outlineLevel="0" collapsed="false">
      <c r="A27" s="166" t="s">
        <v>93</v>
      </c>
      <c r="B27" s="167" t="s">
        <v>94</v>
      </c>
      <c r="C27" s="168" t="s">
        <v>95</v>
      </c>
      <c r="D27" s="169" t="s">
        <v>73</v>
      </c>
      <c r="E27" s="167" t="s">
        <v>96</v>
      </c>
      <c r="F27" s="170" t="s">
        <v>97</v>
      </c>
      <c r="G27" s="170" t="s">
        <v>98</v>
      </c>
      <c r="H27" s="171" t="s">
        <v>99</v>
      </c>
      <c r="I27" s="172" t="s">
        <v>7</v>
      </c>
      <c r="J27" s="173" t="s">
        <v>100</v>
      </c>
      <c r="K27" s="173" t="s">
        <v>101</v>
      </c>
      <c r="L27" s="173" t="s">
        <v>102</v>
      </c>
      <c r="M27" s="174" t="s">
        <v>103</v>
      </c>
      <c r="N27" s="173" t="s">
        <v>11</v>
      </c>
      <c r="O27" s="173" t="s">
        <v>104</v>
      </c>
      <c r="P27" s="173" t="s">
        <v>105</v>
      </c>
      <c r="Q27" s="173" t="s">
        <v>106</v>
      </c>
      <c r="R27" s="175" t="s">
        <v>107</v>
      </c>
      <c r="S27" s="173" t="s">
        <v>9</v>
      </c>
      <c r="T27" s="173" t="s">
        <v>108</v>
      </c>
      <c r="U27" s="173" t="s">
        <v>109</v>
      </c>
      <c r="V27" s="173" t="s">
        <v>110</v>
      </c>
      <c r="W27" s="173" t="s">
        <v>111</v>
      </c>
      <c r="X27" s="176" t="s">
        <v>112</v>
      </c>
      <c r="Y27" s="177" t="s">
        <v>113</v>
      </c>
    </row>
    <row r="28" customFormat="false" ht="13.5" hidden="false" customHeight="false" outlineLevel="0" collapsed="false">
      <c r="A28" s="178" t="s">
        <v>140</v>
      </c>
      <c r="B28" s="179" t="n">
        <v>16127</v>
      </c>
      <c r="C28" s="178"/>
      <c r="D28" s="237" t="s">
        <v>141</v>
      </c>
      <c r="E28" s="179" t="s">
        <v>118</v>
      </c>
      <c r="F28" s="180" t="s">
        <v>142</v>
      </c>
      <c r="G28" s="181" t="n">
        <f aca="false">VLOOKUP($B28,BTU,2,FALSE())/1000</f>
        <v>1.015</v>
      </c>
      <c r="H28" s="182" t="str">
        <f aca="false">VLOOKUP($B28,spotdata,3,FALSE())</f>
        <v>    </v>
      </c>
      <c r="I28" s="204" t="n">
        <f aca="false">IF(VLOOKUP($B28,errordata,3,FALSE())="UNAV",J28*POLLHOURSFLOWED,IF(LEFT(B28,1)="1",VLOOKUP($B28,totalvolume,2,FALSE())*G28/1000,VLOOKUP($B28,totalvolume,2,FALSE())*G28/1000*-1))</f>
        <v>40.003449584</v>
      </c>
      <c r="J28" s="205" t="n">
        <f aca="false">O28+T28</f>
        <v>18.4934430555556</v>
      </c>
      <c r="K28" s="206" t="n">
        <f aca="false">I28-J28</f>
        <v>21.5100065284444</v>
      </c>
      <c r="L28" s="79" t="n">
        <f aca="false">I28</f>
        <v>40.003449584</v>
      </c>
      <c r="M28" s="200" t="n">
        <f aca="false">J28</f>
        <v>18.4934430555556</v>
      </c>
      <c r="N28" s="79"/>
      <c r="O28" s="205"/>
      <c r="P28" s="206"/>
      <c r="Q28" s="79" t="n">
        <f aca="false">N28</f>
        <v>0</v>
      </c>
      <c r="R28" s="201" t="n">
        <f aca="false">O28</f>
        <v>0</v>
      </c>
      <c r="S28" s="207" t="n">
        <f aca="false">I28-N28</f>
        <v>40.003449584</v>
      </c>
      <c r="T28" s="205" t="n">
        <f aca="false">IF(LEFT(B28,1)="1",VLOOKUP(B28,Cigsch,2,FALSE())/1000,VLOOKUP(B28,Cigsch,2,FALSE())/1000*-1)*POLLHOURSFLOWED</f>
        <v>18.4934430555556</v>
      </c>
      <c r="U28" s="206" t="n">
        <f aca="false">S28-T28</f>
        <v>21.5100065284444</v>
      </c>
      <c r="V28" s="203" t="n">
        <f aca="false">S28</f>
        <v>40.003449584</v>
      </c>
      <c r="W28" s="79" t="n">
        <f aca="false">T28</f>
        <v>18.4934430555556</v>
      </c>
      <c r="X28" s="208" t="n">
        <f aca="false">S28-Y28</f>
        <v>18.4934430555556</v>
      </c>
      <c r="Y28" s="209" t="n">
        <f aca="false">IF(F28="OBA",I28-J28,0)</f>
        <v>21.5100065284444</v>
      </c>
      <c r="Z28" s="235"/>
      <c r="AA28" s="235"/>
      <c r="AB28" s="236"/>
      <c r="AC28" s="236"/>
      <c r="AD28" s="235"/>
      <c r="AE28" s="235"/>
      <c r="AF28" s="235"/>
      <c r="AG28" s="235"/>
      <c r="AH28" s="235"/>
      <c r="AI28" s="235"/>
      <c r="AJ28" s="235"/>
      <c r="AK28" s="235"/>
      <c r="AL28" s="235"/>
      <c r="AM28" s="235"/>
      <c r="AN28" s="235"/>
      <c r="AO28" s="235"/>
      <c r="AP28" s="235"/>
      <c r="AQ28" s="235"/>
      <c r="AR28" s="235"/>
      <c r="AS28" s="235"/>
      <c r="AT28" s="235"/>
      <c r="AU28" s="235"/>
      <c r="AV28" s="235"/>
      <c r="AW28" s="235"/>
      <c r="AX28" s="235"/>
      <c r="AY28" s="235"/>
      <c r="AZ28" s="235"/>
      <c r="BA28" s="235"/>
      <c r="BB28" s="235"/>
      <c r="BC28" s="235"/>
      <c r="BD28" s="235"/>
      <c r="BE28" s="235"/>
      <c r="BF28" s="235"/>
      <c r="BG28" s="235"/>
      <c r="BH28" s="235"/>
      <c r="BI28" s="235"/>
      <c r="BJ28" s="235"/>
      <c r="BK28" s="235"/>
      <c r="BL28" s="235"/>
      <c r="BM28" s="235"/>
      <c r="BN28" s="235"/>
      <c r="BO28" s="235"/>
      <c r="BP28" s="235"/>
      <c r="BQ28" s="235"/>
      <c r="BR28" s="235"/>
      <c r="BS28" s="235"/>
      <c r="BT28" s="235"/>
      <c r="BU28" s="235"/>
      <c r="BV28" s="235"/>
      <c r="BW28" s="235"/>
      <c r="BX28" s="235"/>
      <c r="BY28" s="235"/>
      <c r="BZ28" s="235"/>
      <c r="CA28" s="235"/>
      <c r="CB28" s="235"/>
      <c r="CC28" s="235"/>
      <c r="CD28" s="235"/>
      <c r="CE28" s="235"/>
      <c r="CF28" s="235"/>
      <c r="CG28" s="235"/>
      <c r="CH28" s="235"/>
      <c r="CI28" s="235"/>
      <c r="CJ28" s="235"/>
      <c r="CK28" s="235"/>
      <c r="CL28" s="235"/>
      <c r="CM28" s="235"/>
      <c r="CN28" s="235"/>
      <c r="CO28" s="235"/>
      <c r="CP28" s="235"/>
      <c r="CQ28" s="235"/>
      <c r="CR28" s="235"/>
      <c r="CS28" s="235"/>
      <c r="CT28" s="235"/>
      <c r="CU28" s="235"/>
      <c r="CV28" s="235"/>
      <c r="CW28" s="235"/>
      <c r="CX28" s="235"/>
      <c r="CY28" s="235"/>
      <c r="CZ28" s="235"/>
      <c r="DA28" s="235"/>
      <c r="DB28" s="235"/>
      <c r="DC28" s="235"/>
      <c r="DD28" s="235"/>
      <c r="DE28" s="235"/>
      <c r="DF28" s="235"/>
      <c r="DG28" s="235"/>
      <c r="DH28" s="235"/>
      <c r="DI28" s="235"/>
      <c r="DJ28" s="235"/>
      <c r="DK28" s="235"/>
      <c r="DL28" s="235"/>
      <c r="DM28" s="235"/>
      <c r="DN28" s="235"/>
      <c r="DO28" s="235"/>
      <c r="DP28" s="235"/>
      <c r="DQ28" s="235"/>
      <c r="DR28" s="235"/>
      <c r="DS28" s="235"/>
      <c r="DT28" s="235"/>
      <c r="DU28" s="235"/>
      <c r="DV28" s="235"/>
      <c r="DW28" s="235"/>
      <c r="DX28" s="235"/>
      <c r="DY28" s="235"/>
      <c r="DZ28" s="235"/>
      <c r="EA28" s="235"/>
      <c r="EB28" s="235"/>
      <c r="EC28" s="235"/>
      <c r="ED28" s="235"/>
      <c r="EE28" s="235"/>
      <c r="EF28" s="235"/>
      <c r="EG28" s="235"/>
      <c r="EH28" s="235"/>
      <c r="EI28" s="235"/>
      <c r="EJ28" s="235"/>
      <c r="EK28" s="235"/>
      <c r="EL28" s="235"/>
      <c r="EM28" s="235"/>
      <c r="EN28" s="235"/>
      <c r="EO28" s="235"/>
      <c r="EP28" s="235"/>
      <c r="EQ28" s="235"/>
      <c r="ER28" s="235"/>
      <c r="ES28" s="235"/>
      <c r="ET28" s="235"/>
      <c r="EU28" s="235"/>
      <c r="EV28" s="235"/>
      <c r="EW28" s="235"/>
      <c r="EX28" s="235"/>
      <c r="EY28" s="235"/>
      <c r="EZ28" s="235"/>
      <c r="FA28" s="235"/>
      <c r="FB28" s="235"/>
      <c r="FC28" s="235"/>
      <c r="FD28" s="235"/>
      <c r="FE28" s="235"/>
      <c r="FF28" s="235"/>
      <c r="FG28" s="235"/>
      <c r="FH28" s="235"/>
      <c r="FI28" s="235"/>
      <c r="FJ28" s="235"/>
      <c r="FK28" s="235"/>
      <c r="FL28" s="235"/>
      <c r="FM28" s="235"/>
      <c r="FN28" s="235"/>
      <c r="FO28" s="235"/>
      <c r="FP28" s="235"/>
      <c r="FQ28" s="235"/>
      <c r="FR28" s="235"/>
      <c r="FS28" s="235"/>
      <c r="FT28" s="235"/>
      <c r="FU28" s="235"/>
      <c r="FV28" s="235"/>
      <c r="FW28" s="235"/>
      <c r="FX28" s="235"/>
      <c r="FY28" s="235"/>
      <c r="FZ28" s="235"/>
      <c r="GA28" s="235"/>
      <c r="GB28" s="235"/>
      <c r="GC28" s="235"/>
      <c r="GD28" s="235"/>
      <c r="GE28" s="235"/>
      <c r="GF28" s="235"/>
      <c r="GG28" s="235"/>
      <c r="GH28" s="235"/>
      <c r="GI28" s="235"/>
      <c r="GJ28" s="235"/>
      <c r="GK28" s="235"/>
      <c r="GL28" s="235"/>
      <c r="GM28" s="235"/>
      <c r="GN28" s="235"/>
      <c r="GO28" s="235"/>
      <c r="GP28" s="235"/>
      <c r="GQ28" s="235"/>
      <c r="GR28" s="235"/>
      <c r="GS28" s="235"/>
      <c r="GT28" s="235"/>
      <c r="GU28" s="235"/>
      <c r="GV28" s="235"/>
      <c r="GW28" s="235"/>
      <c r="GX28" s="235"/>
      <c r="GY28" s="235"/>
      <c r="GZ28" s="235"/>
      <c r="HA28" s="235"/>
      <c r="HB28" s="235"/>
      <c r="HC28" s="235"/>
      <c r="HD28" s="235"/>
      <c r="HE28" s="235"/>
      <c r="HF28" s="235"/>
      <c r="HG28" s="235"/>
      <c r="HH28" s="235"/>
      <c r="HI28" s="235"/>
      <c r="HJ28" s="235"/>
      <c r="HK28" s="235"/>
      <c r="HL28" s="235"/>
      <c r="HM28" s="235"/>
      <c r="HN28" s="235"/>
      <c r="HO28" s="235"/>
      <c r="HP28" s="235"/>
      <c r="HQ28" s="235"/>
      <c r="HR28" s="235"/>
      <c r="HS28" s="235"/>
      <c r="HT28" s="235"/>
      <c r="HU28" s="235"/>
      <c r="HV28" s="235"/>
      <c r="HW28" s="235"/>
      <c r="HX28" s="235"/>
      <c r="HY28" s="235"/>
      <c r="HZ28" s="235"/>
      <c r="IA28" s="235"/>
      <c r="IB28" s="235"/>
      <c r="IC28" s="235"/>
      <c r="ID28" s="235"/>
      <c r="IE28" s="235"/>
      <c r="IF28" s="235"/>
      <c r="IG28" s="235"/>
      <c r="IH28" s="235"/>
      <c r="II28" s="235"/>
      <c r="IJ28" s="235"/>
      <c r="IK28" s="235"/>
      <c r="IL28" s="235"/>
      <c r="IM28" s="235"/>
      <c r="IN28" s="235"/>
      <c r="IO28" s="235"/>
      <c r="IP28" s="235"/>
      <c r="IQ28" s="235"/>
      <c r="IR28" s="235"/>
      <c r="IS28" s="235"/>
      <c r="IT28" s="235"/>
      <c r="IU28" s="235"/>
      <c r="IV28" s="235"/>
      <c r="IW28" s="235"/>
    </row>
    <row r="29" customFormat="false" ht="12.75" hidden="false" customHeight="false" outlineLevel="0" collapsed="false">
      <c r="A29" s="210" t="s">
        <v>140</v>
      </c>
      <c r="B29" s="211" t="n">
        <v>26071</v>
      </c>
      <c r="C29" s="210"/>
      <c r="D29" s="211" t="s">
        <v>143</v>
      </c>
      <c r="E29" s="211" t="s">
        <v>116</v>
      </c>
      <c r="F29" s="212" t="s">
        <v>116</v>
      </c>
      <c r="G29" s="213" t="n">
        <f aca="false">VLOOKUP($B29,BTU,2,FALSE())/1000</f>
        <v>1.057</v>
      </c>
      <c r="H29" s="182" t="str">
        <f aca="false">VLOOKUP($B29,spotdata,3,FALSE())</f>
        <v>    </v>
      </c>
      <c r="I29" s="204" t="n">
        <f aca="false">IF(VLOOKUP($B29,errordata,3,FALSE())="UNAV",J29*POLLHOURSFLOWED,IF(LEFT(B29,1)="1",VLOOKUP($B29,totalvolume,2,FALSE())*G29/1000,VLOOKUP($B29,totalvolume,2,FALSE())*G29/1000*-1))</f>
        <v>-0</v>
      </c>
      <c r="J29" s="205" t="n">
        <f aca="false">O29+T29</f>
        <v>0</v>
      </c>
      <c r="K29" s="206" t="n">
        <f aca="false">I29-J29</f>
        <v>-0</v>
      </c>
      <c r="L29" s="79" t="n">
        <f aca="false">L28+I29</f>
        <v>40.003449584</v>
      </c>
      <c r="M29" s="200" t="n">
        <f aca="false">M28+J29</f>
        <v>18.4934430555556</v>
      </c>
      <c r="N29" s="79"/>
      <c r="O29" s="205"/>
      <c r="P29" s="206"/>
      <c r="Q29" s="79" t="n">
        <f aca="false">Q28+N29</f>
        <v>0</v>
      </c>
      <c r="R29" s="201" t="n">
        <f aca="false">R28+O29</f>
        <v>0</v>
      </c>
      <c r="S29" s="207" t="n">
        <f aca="false">I29-N29</f>
        <v>-0</v>
      </c>
      <c r="T29" s="205" t="n">
        <f aca="false">IF(LEFT(B29,1)="1",VLOOKUP(B29,Cigsch,2,FALSE())/1000,VLOOKUP(B29,Cigsch,2,FALSE())/1000*-1)*POLLHOURSFLOWED</f>
        <v>-0</v>
      </c>
      <c r="U29" s="206" t="n">
        <f aca="false">S29-T29</f>
        <v>0</v>
      </c>
      <c r="V29" s="203" t="n">
        <f aca="false">V28+S29</f>
        <v>40.003449584</v>
      </c>
      <c r="W29" s="79" t="n">
        <f aca="false">W28+T29</f>
        <v>18.4934430555556</v>
      </c>
      <c r="X29" s="208" t="n">
        <f aca="false">S29-Y29</f>
        <v>-0</v>
      </c>
      <c r="Y29" s="209" t="n">
        <f aca="false">IF(F29="OBA",I29-J29,0)</f>
        <v>0</v>
      </c>
      <c r="AB29" s="194"/>
      <c r="AC29" s="194"/>
    </row>
    <row r="30" customFormat="false" ht="12.75" hidden="false" customHeight="false" outlineLevel="0" collapsed="false">
      <c r="A30" s="210" t="s">
        <v>140</v>
      </c>
      <c r="B30" s="211" t="n">
        <v>26091</v>
      </c>
      <c r="C30" s="210"/>
      <c r="D30" s="211" t="s">
        <v>144</v>
      </c>
      <c r="E30" s="211" t="s">
        <v>116</v>
      </c>
      <c r="F30" s="212" t="s">
        <v>116</v>
      </c>
      <c r="G30" s="213" t="n">
        <f aca="false">VLOOKUP($B30,BTU,2,FALSE())/1000</f>
        <v>1.031</v>
      </c>
      <c r="H30" s="182" t="str">
        <f aca="false">VLOOKUP($B30,spotdata,3,FALSE())</f>
        <v>    </v>
      </c>
      <c r="I30" s="204" t="n">
        <f aca="false">IF(VLOOKUP($B30,errordata,3,FALSE())="UNAV",J30*POLLHOURSFLOWED,IF(LEFT(B30,1)="1",VLOOKUP($B30,totalvolume,2,FALSE())*G30/1000,VLOOKUP($B30,totalvolume,2,FALSE())*G30/1000*-1))</f>
        <v>-17.5897218129</v>
      </c>
      <c r="J30" s="205" t="n">
        <f aca="false">O30+T30</f>
        <v>-17.7361111111111</v>
      </c>
      <c r="K30" s="206" t="n">
        <f aca="false">I30-J30</f>
        <v>0.146389298211115</v>
      </c>
      <c r="L30" s="79" t="n">
        <f aca="false">L29+I30</f>
        <v>22.4137277711</v>
      </c>
      <c r="M30" s="200" t="n">
        <f aca="false">M29+J30</f>
        <v>0.757331944444442</v>
      </c>
      <c r="N30" s="79"/>
      <c r="O30" s="205"/>
      <c r="P30" s="206"/>
      <c r="Q30" s="79" t="n">
        <f aca="false">Q29+N30</f>
        <v>0</v>
      </c>
      <c r="R30" s="201" t="n">
        <f aca="false">R29+O30</f>
        <v>0</v>
      </c>
      <c r="S30" s="207" t="n">
        <f aca="false">I30-N30</f>
        <v>-17.5897218129</v>
      </c>
      <c r="T30" s="205" t="n">
        <f aca="false">IF(LEFT(B30,1)="1",VLOOKUP(B30,Cigsch,2,FALSE())/1000,VLOOKUP(B30,Cigsch,2,FALSE())/1000*-1)*POLLHOURSFLOWED</f>
        <v>-17.7361111111111</v>
      </c>
      <c r="U30" s="206" t="n">
        <f aca="false">S30-T30</f>
        <v>0.146389298211115</v>
      </c>
      <c r="V30" s="203" t="n">
        <f aca="false">V29+S30</f>
        <v>22.4137277711</v>
      </c>
      <c r="W30" s="79" t="n">
        <f aca="false">W29+T30</f>
        <v>0.757331944444442</v>
      </c>
      <c r="X30" s="208" t="n">
        <f aca="false">S30-Y30</f>
        <v>-17.5897218129</v>
      </c>
      <c r="Y30" s="209" t="n">
        <f aca="false">IF(F30="OBA",I30-J30,0)</f>
        <v>0</v>
      </c>
      <c r="Z30" s="235"/>
      <c r="AA30" s="235"/>
      <c r="AB30" s="236"/>
      <c r="AC30" s="236"/>
      <c r="AD30" s="235"/>
      <c r="AE30" s="235"/>
      <c r="AF30" s="235"/>
      <c r="AG30" s="235"/>
      <c r="AH30" s="235"/>
      <c r="AI30" s="235"/>
      <c r="AJ30" s="235"/>
      <c r="AK30" s="235"/>
      <c r="AL30" s="235"/>
      <c r="AM30" s="235"/>
      <c r="AN30" s="235"/>
      <c r="AO30" s="235"/>
      <c r="AP30" s="235"/>
      <c r="AQ30" s="235"/>
      <c r="AR30" s="235"/>
      <c r="AS30" s="235"/>
      <c r="AT30" s="235"/>
      <c r="AU30" s="235"/>
      <c r="AV30" s="235"/>
      <c r="AW30" s="235"/>
      <c r="AX30" s="235"/>
      <c r="AY30" s="235"/>
      <c r="AZ30" s="235"/>
      <c r="BA30" s="235"/>
      <c r="BB30" s="235"/>
      <c r="BC30" s="235"/>
      <c r="BD30" s="235"/>
      <c r="BE30" s="235"/>
      <c r="BF30" s="235"/>
      <c r="BG30" s="235"/>
      <c r="BH30" s="235"/>
      <c r="BI30" s="235"/>
      <c r="BJ30" s="235"/>
      <c r="BK30" s="235"/>
      <c r="BL30" s="235"/>
      <c r="BM30" s="235"/>
      <c r="BN30" s="235"/>
      <c r="BO30" s="235"/>
      <c r="BP30" s="235"/>
      <c r="BQ30" s="235"/>
      <c r="BR30" s="235"/>
      <c r="BS30" s="235"/>
      <c r="BT30" s="235"/>
      <c r="BU30" s="235"/>
      <c r="BV30" s="235"/>
      <c r="BW30" s="235"/>
      <c r="BX30" s="235"/>
      <c r="BY30" s="235"/>
      <c r="BZ30" s="235"/>
      <c r="CA30" s="235"/>
      <c r="CB30" s="235"/>
      <c r="CC30" s="235"/>
      <c r="CD30" s="235"/>
      <c r="CE30" s="235"/>
      <c r="CF30" s="235"/>
      <c r="CG30" s="235"/>
      <c r="CH30" s="235"/>
      <c r="CI30" s="235"/>
      <c r="CJ30" s="235"/>
      <c r="CK30" s="235"/>
      <c r="CL30" s="235"/>
      <c r="CM30" s="235"/>
      <c r="CN30" s="235"/>
      <c r="CO30" s="235"/>
      <c r="CP30" s="235"/>
      <c r="CQ30" s="235"/>
      <c r="CR30" s="235"/>
      <c r="CS30" s="235"/>
      <c r="CT30" s="235"/>
      <c r="CU30" s="235"/>
      <c r="CV30" s="235"/>
      <c r="CW30" s="235"/>
      <c r="CX30" s="235"/>
      <c r="CY30" s="235"/>
      <c r="CZ30" s="235"/>
      <c r="DA30" s="235"/>
      <c r="DB30" s="235"/>
      <c r="DC30" s="235"/>
      <c r="DD30" s="235"/>
      <c r="DE30" s="235"/>
      <c r="DF30" s="235"/>
      <c r="DG30" s="235"/>
      <c r="DH30" s="235"/>
      <c r="DI30" s="235"/>
      <c r="DJ30" s="235"/>
      <c r="DK30" s="235"/>
      <c r="DL30" s="235"/>
      <c r="DM30" s="235"/>
      <c r="DN30" s="235"/>
      <c r="DO30" s="235"/>
      <c r="DP30" s="235"/>
      <c r="DQ30" s="235"/>
      <c r="DR30" s="235"/>
      <c r="DS30" s="235"/>
      <c r="DT30" s="235"/>
      <c r="DU30" s="235"/>
      <c r="DV30" s="235"/>
      <c r="DW30" s="235"/>
      <c r="DX30" s="235"/>
      <c r="DY30" s="235"/>
      <c r="DZ30" s="235"/>
      <c r="EA30" s="235"/>
      <c r="EB30" s="235"/>
      <c r="EC30" s="235"/>
      <c r="ED30" s="235"/>
      <c r="EE30" s="235"/>
      <c r="EF30" s="235"/>
      <c r="EG30" s="235"/>
      <c r="EH30" s="235"/>
      <c r="EI30" s="235"/>
      <c r="EJ30" s="235"/>
      <c r="EK30" s="235"/>
      <c r="EL30" s="235"/>
      <c r="EM30" s="235"/>
      <c r="EN30" s="235"/>
      <c r="EO30" s="235"/>
      <c r="EP30" s="235"/>
      <c r="EQ30" s="235"/>
      <c r="ER30" s="235"/>
      <c r="ES30" s="235"/>
      <c r="ET30" s="235"/>
      <c r="EU30" s="235"/>
      <c r="EV30" s="235"/>
      <c r="EW30" s="235"/>
      <c r="EX30" s="235"/>
      <c r="EY30" s="235"/>
      <c r="EZ30" s="235"/>
      <c r="FA30" s="235"/>
      <c r="FB30" s="235"/>
      <c r="FC30" s="235"/>
      <c r="FD30" s="235"/>
      <c r="FE30" s="235"/>
      <c r="FF30" s="235"/>
      <c r="FG30" s="235"/>
      <c r="FH30" s="235"/>
      <c r="FI30" s="235"/>
      <c r="FJ30" s="235"/>
      <c r="FK30" s="235"/>
      <c r="FL30" s="235"/>
      <c r="FM30" s="235"/>
      <c r="FN30" s="235"/>
      <c r="FO30" s="235"/>
      <c r="FP30" s="235"/>
      <c r="FQ30" s="235"/>
      <c r="FR30" s="235"/>
      <c r="FS30" s="235"/>
      <c r="FT30" s="235"/>
      <c r="FU30" s="235"/>
      <c r="FV30" s="235"/>
      <c r="FW30" s="235"/>
      <c r="FX30" s="235"/>
      <c r="FY30" s="235"/>
      <c r="FZ30" s="235"/>
      <c r="GA30" s="235"/>
      <c r="GB30" s="235"/>
      <c r="GC30" s="235"/>
      <c r="GD30" s="235"/>
      <c r="GE30" s="235"/>
      <c r="GF30" s="235"/>
      <c r="GG30" s="235"/>
      <c r="GH30" s="235"/>
      <c r="GI30" s="235"/>
      <c r="GJ30" s="235"/>
      <c r="GK30" s="235"/>
      <c r="GL30" s="235"/>
      <c r="GM30" s="235"/>
      <c r="GN30" s="235"/>
      <c r="GO30" s="235"/>
      <c r="GP30" s="235"/>
      <c r="GQ30" s="235"/>
      <c r="GR30" s="235"/>
      <c r="GS30" s="235"/>
      <c r="GT30" s="235"/>
      <c r="GU30" s="235"/>
      <c r="GV30" s="235"/>
      <c r="GW30" s="235"/>
      <c r="GX30" s="235"/>
      <c r="GY30" s="235"/>
      <c r="GZ30" s="235"/>
      <c r="HA30" s="235"/>
      <c r="HB30" s="235"/>
      <c r="HC30" s="235"/>
      <c r="HD30" s="235"/>
      <c r="HE30" s="235"/>
      <c r="HF30" s="235"/>
      <c r="HG30" s="235"/>
      <c r="HH30" s="235"/>
      <c r="HI30" s="235"/>
      <c r="HJ30" s="235"/>
      <c r="HK30" s="235"/>
      <c r="HL30" s="235"/>
      <c r="HM30" s="235"/>
      <c r="HN30" s="235"/>
      <c r="HO30" s="235"/>
      <c r="HP30" s="235"/>
      <c r="HQ30" s="235"/>
      <c r="HR30" s="235"/>
      <c r="HS30" s="235"/>
      <c r="HT30" s="235"/>
      <c r="HU30" s="235"/>
      <c r="HV30" s="235"/>
      <c r="HW30" s="235"/>
      <c r="HX30" s="235"/>
      <c r="HY30" s="235"/>
      <c r="HZ30" s="235"/>
      <c r="IA30" s="235"/>
      <c r="IB30" s="235"/>
      <c r="IC30" s="235"/>
      <c r="ID30" s="235"/>
      <c r="IE30" s="235"/>
      <c r="IF30" s="235"/>
      <c r="IG30" s="235"/>
      <c r="IH30" s="235"/>
      <c r="II30" s="235"/>
      <c r="IJ30" s="235"/>
      <c r="IK30" s="235"/>
      <c r="IL30" s="235"/>
      <c r="IM30" s="235"/>
      <c r="IN30" s="235"/>
      <c r="IO30" s="235"/>
      <c r="IP30" s="235"/>
      <c r="IQ30" s="235"/>
      <c r="IR30" s="235"/>
      <c r="IS30" s="235"/>
      <c r="IT30" s="235"/>
      <c r="IU30" s="235"/>
      <c r="IV30" s="235"/>
      <c r="IW30" s="235"/>
    </row>
    <row r="31" customFormat="false" ht="13.5" hidden="false" customHeight="false" outlineLevel="0" collapsed="false">
      <c r="A31" s="238" t="s">
        <v>140</v>
      </c>
      <c r="B31" s="239" t="n">
        <v>16066</v>
      </c>
      <c r="C31" s="238"/>
      <c r="D31" s="239" t="s">
        <v>145</v>
      </c>
      <c r="E31" s="239" t="s">
        <v>118</v>
      </c>
      <c r="F31" s="240" t="s">
        <v>116</v>
      </c>
      <c r="G31" s="241" t="n">
        <f aca="false">VLOOKUP($B31,BTU,2,FALSE())/1000</f>
        <v>1.013</v>
      </c>
      <c r="H31" s="242" t="str">
        <f aca="false">VLOOKUP($B31,spotdata,3,FALSE())</f>
        <v>    </v>
      </c>
      <c r="I31" s="243" t="n">
        <f aca="false">IF(VLOOKUP($B31,errordata,3,FALSE())="UNAV",J31*POLLHOURSFLOWED,IF(LEFT(B31,1)="1",VLOOKUP($B31,totalvolume,2,FALSE())*G31/1000,VLOOKUP($B31,totalvolume,2,FALSE())*G31/1000*-1))</f>
        <v>25.0052639736</v>
      </c>
      <c r="J31" s="244" t="n">
        <f aca="false">O31+T31</f>
        <v>23.9739013888889</v>
      </c>
      <c r="K31" s="245" t="n">
        <f aca="false">I31-J31</f>
        <v>1.03136258471111</v>
      </c>
      <c r="L31" s="246" t="n">
        <f aca="false">L30+I31</f>
        <v>47.4189917447</v>
      </c>
      <c r="M31" s="247" t="n">
        <f aca="false">M30+J31</f>
        <v>24.7312333333333</v>
      </c>
      <c r="N31" s="246"/>
      <c r="O31" s="244"/>
      <c r="P31" s="245"/>
      <c r="Q31" s="246" t="n">
        <f aca="false">Q30+N31</f>
        <v>0</v>
      </c>
      <c r="R31" s="248" t="n">
        <f aca="false">R30+O31</f>
        <v>0</v>
      </c>
      <c r="S31" s="249" t="n">
        <f aca="false">I31-N31</f>
        <v>25.0052639736</v>
      </c>
      <c r="T31" s="244" t="n">
        <f aca="false">IF(LEFT(B31,1)="1",VLOOKUP(B31,Cigsch,2,FALSE())/1000,VLOOKUP(B31,Cigsch,2,FALSE())/1000*-1)*POLLHOURSFLOWED</f>
        <v>23.9739013888889</v>
      </c>
      <c r="U31" s="245" t="n">
        <f aca="false">S31-T31</f>
        <v>1.03136258471111</v>
      </c>
      <c r="V31" s="250" t="n">
        <f aca="false">V30+S31</f>
        <v>47.4189917447</v>
      </c>
      <c r="W31" s="246" t="n">
        <f aca="false">W30+T31</f>
        <v>24.7312333333333</v>
      </c>
      <c r="X31" s="251" t="n">
        <f aca="false">S31-Y31</f>
        <v>25.0052639736</v>
      </c>
      <c r="Y31" s="252" t="n">
        <f aca="false">IF(F31="OBA",I31-J31,0)</f>
        <v>0</v>
      </c>
      <c r="Z31" s="235"/>
      <c r="AA31" s="235"/>
      <c r="AB31" s="236"/>
      <c r="AC31" s="236"/>
      <c r="AD31" s="235"/>
      <c r="AE31" s="235"/>
      <c r="AF31" s="235"/>
      <c r="AG31" s="235"/>
      <c r="AH31" s="235"/>
      <c r="AI31" s="235"/>
      <c r="AJ31" s="235"/>
      <c r="AK31" s="235"/>
      <c r="AL31" s="235"/>
      <c r="AM31" s="235"/>
      <c r="AN31" s="235"/>
      <c r="AO31" s="235"/>
      <c r="AP31" s="235"/>
      <c r="AQ31" s="235"/>
      <c r="AR31" s="235"/>
      <c r="AS31" s="235"/>
      <c r="AT31" s="235"/>
      <c r="AU31" s="235"/>
      <c r="AV31" s="235"/>
      <c r="AW31" s="235"/>
      <c r="AX31" s="235"/>
      <c r="AY31" s="235"/>
      <c r="AZ31" s="235"/>
      <c r="BA31" s="235"/>
      <c r="BB31" s="235"/>
      <c r="BC31" s="235"/>
      <c r="BD31" s="235"/>
      <c r="BE31" s="235"/>
      <c r="BF31" s="235"/>
      <c r="BG31" s="235"/>
      <c r="BH31" s="235"/>
      <c r="BI31" s="235"/>
      <c r="BJ31" s="235"/>
      <c r="BK31" s="235"/>
      <c r="BL31" s="235"/>
      <c r="BM31" s="235"/>
      <c r="BN31" s="235"/>
      <c r="BO31" s="235"/>
      <c r="BP31" s="235"/>
      <c r="BQ31" s="235"/>
      <c r="BR31" s="235"/>
      <c r="BS31" s="235"/>
      <c r="BT31" s="235"/>
      <c r="BU31" s="235"/>
      <c r="BV31" s="235"/>
      <c r="BW31" s="235"/>
      <c r="BX31" s="235"/>
      <c r="BY31" s="235"/>
      <c r="BZ31" s="235"/>
      <c r="CA31" s="235"/>
      <c r="CB31" s="235"/>
      <c r="CC31" s="235"/>
      <c r="CD31" s="235"/>
      <c r="CE31" s="235"/>
      <c r="CF31" s="235"/>
      <c r="CG31" s="235"/>
      <c r="CH31" s="235"/>
      <c r="CI31" s="235"/>
      <c r="CJ31" s="235"/>
      <c r="CK31" s="235"/>
      <c r="CL31" s="235"/>
      <c r="CM31" s="235"/>
      <c r="CN31" s="235"/>
      <c r="CO31" s="235"/>
      <c r="CP31" s="235"/>
      <c r="CQ31" s="235"/>
      <c r="CR31" s="235"/>
      <c r="CS31" s="235"/>
      <c r="CT31" s="235"/>
      <c r="CU31" s="235"/>
      <c r="CV31" s="235"/>
      <c r="CW31" s="235"/>
      <c r="CX31" s="235"/>
      <c r="CY31" s="235"/>
      <c r="CZ31" s="235"/>
      <c r="DA31" s="235"/>
      <c r="DB31" s="235"/>
      <c r="DC31" s="235"/>
      <c r="DD31" s="235"/>
      <c r="DE31" s="235"/>
      <c r="DF31" s="235"/>
      <c r="DG31" s="235"/>
      <c r="DH31" s="235"/>
      <c r="DI31" s="235"/>
      <c r="DJ31" s="235"/>
      <c r="DK31" s="235"/>
      <c r="DL31" s="235"/>
      <c r="DM31" s="235"/>
      <c r="DN31" s="235"/>
      <c r="DO31" s="235"/>
      <c r="DP31" s="235"/>
      <c r="DQ31" s="235"/>
      <c r="DR31" s="235"/>
      <c r="DS31" s="235"/>
      <c r="DT31" s="235"/>
      <c r="DU31" s="235"/>
      <c r="DV31" s="235"/>
      <c r="DW31" s="235"/>
      <c r="DX31" s="235"/>
      <c r="DY31" s="235"/>
      <c r="DZ31" s="235"/>
      <c r="EA31" s="235"/>
      <c r="EB31" s="235"/>
      <c r="EC31" s="235"/>
      <c r="ED31" s="235"/>
      <c r="EE31" s="235"/>
      <c r="EF31" s="235"/>
      <c r="EG31" s="235"/>
      <c r="EH31" s="235"/>
      <c r="EI31" s="235"/>
      <c r="EJ31" s="235"/>
      <c r="EK31" s="235"/>
      <c r="EL31" s="235"/>
      <c r="EM31" s="235"/>
      <c r="EN31" s="235"/>
      <c r="EO31" s="235"/>
      <c r="EP31" s="235"/>
      <c r="EQ31" s="235"/>
      <c r="ER31" s="235"/>
      <c r="ES31" s="235"/>
      <c r="ET31" s="235"/>
      <c r="EU31" s="235"/>
      <c r="EV31" s="235"/>
      <c r="EW31" s="235"/>
      <c r="EX31" s="235"/>
      <c r="EY31" s="235"/>
      <c r="EZ31" s="235"/>
      <c r="FA31" s="235"/>
      <c r="FB31" s="235"/>
      <c r="FC31" s="235"/>
      <c r="FD31" s="235"/>
      <c r="FE31" s="235"/>
      <c r="FF31" s="235"/>
      <c r="FG31" s="235"/>
      <c r="FH31" s="235"/>
      <c r="FI31" s="235"/>
      <c r="FJ31" s="235"/>
      <c r="FK31" s="235"/>
      <c r="FL31" s="235"/>
      <c r="FM31" s="235"/>
      <c r="FN31" s="235"/>
      <c r="FO31" s="235"/>
      <c r="FP31" s="235"/>
      <c r="FQ31" s="235"/>
      <c r="FR31" s="235"/>
      <c r="FS31" s="235"/>
      <c r="FT31" s="235"/>
      <c r="FU31" s="235"/>
      <c r="FV31" s="235"/>
      <c r="FW31" s="235"/>
      <c r="FX31" s="235"/>
      <c r="FY31" s="235"/>
      <c r="FZ31" s="235"/>
      <c r="GA31" s="235"/>
      <c r="GB31" s="235"/>
      <c r="GC31" s="235"/>
      <c r="GD31" s="235"/>
      <c r="GE31" s="235"/>
      <c r="GF31" s="235"/>
      <c r="GG31" s="235"/>
      <c r="GH31" s="235"/>
      <c r="GI31" s="235"/>
      <c r="GJ31" s="235"/>
      <c r="GK31" s="235"/>
      <c r="GL31" s="235"/>
      <c r="GM31" s="235"/>
      <c r="GN31" s="235"/>
      <c r="GO31" s="235"/>
      <c r="GP31" s="235"/>
      <c r="GQ31" s="235"/>
      <c r="GR31" s="235"/>
      <c r="GS31" s="235"/>
      <c r="GT31" s="235"/>
      <c r="GU31" s="235"/>
      <c r="GV31" s="235"/>
      <c r="GW31" s="235"/>
      <c r="GX31" s="235"/>
      <c r="GY31" s="235"/>
      <c r="GZ31" s="235"/>
      <c r="HA31" s="235"/>
      <c r="HB31" s="235"/>
      <c r="HC31" s="235"/>
      <c r="HD31" s="235"/>
      <c r="HE31" s="235"/>
      <c r="HF31" s="235"/>
      <c r="HG31" s="235"/>
      <c r="HH31" s="235"/>
      <c r="HI31" s="235"/>
      <c r="HJ31" s="235"/>
      <c r="HK31" s="235"/>
      <c r="HL31" s="235"/>
      <c r="HM31" s="235"/>
      <c r="HN31" s="235"/>
      <c r="HO31" s="235"/>
      <c r="HP31" s="235"/>
      <c r="HQ31" s="235"/>
      <c r="HR31" s="235"/>
      <c r="HS31" s="235"/>
      <c r="HT31" s="235"/>
      <c r="HU31" s="235"/>
      <c r="HV31" s="235"/>
      <c r="HW31" s="235"/>
      <c r="HX31" s="235"/>
      <c r="HY31" s="235"/>
      <c r="HZ31" s="235"/>
      <c r="IA31" s="235"/>
      <c r="IB31" s="235"/>
      <c r="IC31" s="235"/>
      <c r="ID31" s="235"/>
      <c r="IE31" s="235"/>
      <c r="IF31" s="235"/>
      <c r="IG31" s="235"/>
      <c r="IH31" s="235"/>
      <c r="II31" s="235"/>
      <c r="IJ31" s="235"/>
      <c r="IK31" s="235"/>
      <c r="IL31" s="235"/>
      <c r="IM31" s="235"/>
      <c r="IN31" s="235"/>
      <c r="IO31" s="235"/>
      <c r="IP31" s="235"/>
      <c r="IQ31" s="235"/>
      <c r="IR31" s="235"/>
      <c r="IS31" s="235"/>
      <c r="IT31" s="235"/>
      <c r="IU31" s="235"/>
      <c r="IV31" s="235"/>
      <c r="IW31" s="235"/>
    </row>
    <row r="32" customFormat="false" ht="12.75" hidden="false" customHeight="false" outlineLevel="0" collapsed="false">
      <c r="A32" s="253" t="n">
        <v>801</v>
      </c>
      <c r="B32" s="214" t="n">
        <v>16281</v>
      </c>
      <c r="C32" s="178"/>
      <c r="D32" s="237" t="s">
        <v>146</v>
      </c>
      <c r="E32" s="179" t="s">
        <v>116</v>
      </c>
      <c r="F32" s="180" t="s">
        <v>142</v>
      </c>
      <c r="G32" s="254" t="n">
        <f aca="false">VLOOKUP(20679,BTU,2,FALSE())/1000</f>
        <v>1.05</v>
      </c>
      <c r="H32" s="255" t="str">
        <f aca="false">VLOOKUP(20679,spotdata,3,FALSE())</f>
        <v>    </v>
      </c>
      <c r="I32" s="215" t="n">
        <f aca="false">IF(VLOOKUP(20679,errordata,3,FALSE())="UNAV",J32*POLLHOURSFLOWED,IF(LEFT(B32,1)="1",VLOOKUP(20679,totalvolume,2,FALSE())*G32/1000,VLOOKUP(20679,totalvolume,2,FALSE())*G32/1000*-1))</f>
        <v>0</v>
      </c>
      <c r="J32" s="205" t="n">
        <f aca="false">O32+T32</f>
        <v>0</v>
      </c>
      <c r="K32" s="206" t="n">
        <f aca="false">I32-J32</f>
        <v>0</v>
      </c>
      <c r="L32" s="79" t="n">
        <f aca="false">L31+I32</f>
        <v>47.4189917447</v>
      </c>
      <c r="M32" s="200" t="n">
        <f aca="false">M31+J32</f>
        <v>24.7312333333333</v>
      </c>
      <c r="N32" s="79" t="n">
        <f aca="false">IF(F32="CIG",O32,IF(F32="OBA",O32,IF(F32="HPL",I32-T32,IF(ISERR((O32/$J32)*$I32),0,IF(F32="TP",(O32/$J32)*$I32)))))</f>
        <v>0</v>
      </c>
      <c r="O32" s="205" t="n">
        <f aca="false">IF(LEFT(B32,1)="1",VLOOKUP(B32,Cigsch,3,FALSE())/1000,VLOOKUP(B32,Cigsch,3,FALSE())/1000*-1)*POLLHOURSFLOWED</f>
        <v>0</v>
      </c>
      <c r="P32" s="206" t="n">
        <f aca="false">N32-O32</f>
        <v>0</v>
      </c>
      <c r="Q32" s="79" t="n">
        <f aca="false">Q31+N32</f>
        <v>0</v>
      </c>
      <c r="R32" s="201" t="n">
        <f aca="false">R31+O32</f>
        <v>0</v>
      </c>
      <c r="S32" s="207" t="n">
        <f aca="false">I32-N32</f>
        <v>0</v>
      </c>
      <c r="T32" s="205" t="n">
        <f aca="false">IF(LEFT(B32,1)="1",VLOOKUP(B32,Cigsch,2,FALSE())/1000,VLOOKUP(B32,Cigsch,2,FALSE())/1000*-1)*POLLHOURSFLOWED</f>
        <v>0</v>
      </c>
      <c r="U32" s="206" t="n">
        <f aca="false">S32-T32</f>
        <v>0</v>
      </c>
      <c r="V32" s="203" t="n">
        <f aca="false">V31+S32</f>
        <v>47.4189917447</v>
      </c>
      <c r="W32" s="79" t="n">
        <f aca="false">W31+T32</f>
        <v>24.7312333333333</v>
      </c>
      <c r="X32" s="208" t="n">
        <f aca="false">S32-Y32</f>
        <v>0</v>
      </c>
      <c r="Y32" s="209" t="n">
        <f aca="false">IF(F32="OBA",I32-J32,0)</f>
        <v>0</v>
      </c>
      <c r="AB32" s="194"/>
      <c r="AC32" s="194"/>
    </row>
    <row r="33" customFormat="false" ht="12.75" hidden="false" customHeight="false" outlineLevel="0" collapsed="false">
      <c r="A33" s="253" t="n">
        <v>801</v>
      </c>
      <c r="B33" s="214" t="n">
        <v>26081</v>
      </c>
      <c r="C33" s="178" t="n">
        <v>694</v>
      </c>
      <c r="D33" s="237" t="s">
        <v>147</v>
      </c>
      <c r="E33" s="179" t="s">
        <v>116</v>
      </c>
      <c r="F33" s="180" t="s">
        <v>142</v>
      </c>
      <c r="G33" s="181" t="n">
        <f aca="false">VLOOKUP($B33,BTU,2,FALSE())/1000</f>
        <v>1.018</v>
      </c>
      <c r="H33" s="182" t="str">
        <f aca="false">VLOOKUP($B33,spotdata,3,FALSE())</f>
        <v>    </v>
      </c>
      <c r="I33" s="204" t="n">
        <f aca="false">IF(VLOOKUP($B33,errordata,3,FALSE())="UNAV",J33*POLLHOURSFLOWED,IF(LEFT(B33,1)="1",VLOOKUP($B33,totalvolume,2,FALSE())*G33/1000,VLOOKUP($B33,totalvolume,2,FALSE())*G33/1000*-1))</f>
        <v>-8.0502634762</v>
      </c>
      <c r="J33" s="205" t="n">
        <f aca="false">O33+T33</f>
        <v>-1.1333375</v>
      </c>
      <c r="K33" s="206" t="n">
        <f aca="false">I33-J33</f>
        <v>-6.9169259762</v>
      </c>
      <c r="L33" s="79" t="n">
        <f aca="false">L32+I33</f>
        <v>39.3687282685</v>
      </c>
      <c r="M33" s="200" t="n">
        <f aca="false">M32+J33</f>
        <v>23.5978958333333</v>
      </c>
      <c r="N33" s="79" t="n">
        <f aca="false">IF(F33="CIG",O33,IF(F33="OBA",O33,IF(F33="HPL",I33-T33,IF(ISERR((O33/$J33)*$I33),0,IF(F33="TP",(O33/$J33)*$I33)))))</f>
        <v>-0.3831</v>
      </c>
      <c r="O33" s="205" t="n">
        <f aca="false">IF(LEFT(B33,1)="1",VLOOKUP(B33,Cigsch,3,FALSE())/1000,VLOOKUP(B33,Cigsch,3,FALSE())/1000*-1)*POLLHOURSFLOWED</f>
        <v>-0.3831</v>
      </c>
      <c r="P33" s="206" t="n">
        <f aca="false">N33-O33</f>
        <v>0</v>
      </c>
      <c r="Q33" s="79" t="n">
        <f aca="false">Q32+N33</f>
        <v>-0.3831</v>
      </c>
      <c r="R33" s="201" t="n">
        <f aca="false">R32+O33</f>
        <v>-0.3831</v>
      </c>
      <c r="S33" s="207" t="n">
        <f aca="false">I33-N33</f>
        <v>-7.6671634762</v>
      </c>
      <c r="T33" s="205" t="n">
        <f aca="false">IF(LEFT(B33,1)="1",VLOOKUP(B33,Cigsch,2,FALSE())/1000,VLOOKUP(B33,Cigsch,2,FALSE())/1000*-1)*POLLHOURSFLOWED</f>
        <v>-0.7502375</v>
      </c>
      <c r="U33" s="206" t="n">
        <f aca="false">S33-T33</f>
        <v>-6.9169259762</v>
      </c>
      <c r="V33" s="203" t="n">
        <f aca="false">V32+S33</f>
        <v>39.7518282685</v>
      </c>
      <c r="W33" s="79" t="n">
        <f aca="false">W32+T33</f>
        <v>23.9809958333333</v>
      </c>
      <c r="X33" s="208" t="n">
        <f aca="false">S33-Y33</f>
        <v>-0.7502375</v>
      </c>
      <c r="Y33" s="209" t="n">
        <f aca="false">IF(F33="OBA",I33-J33,0)</f>
        <v>-6.9169259762</v>
      </c>
      <c r="AB33" s="194"/>
      <c r="AC33" s="194"/>
    </row>
    <row r="34" customFormat="false" ht="12.75" hidden="false" customHeight="false" outlineLevel="0" collapsed="false">
      <c r="A34" s="253" t="n">
        <v>801</v>
      </c>
      <c r="B34" s="179" t="n">
        <v>16032</v>
      </c>
      <c r="C34" s="178" t="n">
        <v>3500</v>
      </c>
      <c r="D34" s="179" t="s">
        <v>148</v>
      </c>
      <c r="E34" s="179" t="s">
        <v>149</v>
      </c>
      <c r="F34" s="180" t="s">
        <v>149</v>
      </c>
      <c r="G34" s="181" t="n">
        <f aca="false">VLOOKUP($B34,BTU,2,FALSE())/1000</f>
        <v>1.025</v>
      </c>
      <c r="H34" s="182" t="str">
        <f aca="false">VLOOKUP($B34,spotdata,3,FALSE())</f>
        <v>    </v>
      </c>
      <c r="I34" s="204" t="n">
        <f aca="false">IF(VLOOKUP($B34,errordata,3,FALSE())="UNAV",J34*POLLHOURSFLOWED,IF(LEFT(B34,1)="1",VLOOKUP($B34,totalvolume,2,FALSE())*G34/1000,VLOOKUP($B34,totalvolume,2,FALSE())*G34/1000*-1))</f>
        <v>99.12199237</v>
      </c>
      <c r="J34" s="205" t="n">
        <f aca="false">O34+T34</f>
        <v>84.2465277777778</v>
      </c>
      <c r="K34" s="206" t="n">
        <f aca="false">I34-J34</f>
        <v>14.8754645922222</v>
      </c>
      <c r="L34" s="79" t="n">
        <f aca="false">L33+I34</f>
        <v>138.4907206385</v>
      </c>
      <c r="M34" s="200" t="n">
        <f aca="false">M33+J34</f>
        <v>107.844423611111</v>
      </c>
      <c r="N34" s="79" t="n">
        <f aca="false">IF(F34="CIG",O34,IF(F34="OBA",O34,IF(F34="HPL",I34-T34,IF(ISERR((O34/$J34)*$I34),0,IF(F34="TP",(O34/$J34)*$I34)))))</f>
        <v>81.1437833422222</v>
      </c>
      <c r="O34" s="205" t="n">
        <f aca="false">IF(LEFT(B34,1)="1",VLOOKUP(B34,Cigsch,3,FALSE())/1000,VLOOKUP(B34,Cigsch,3,FALSE())/1000*-1)*POLLHOURSFLOWED</f>
        <v>66.26831875</v>
      </c>
      <c r="P34" s="206" t="n">
        <f aca="false">N34-O34</f>
        <v>14.8754645922222</v>
      </c>
      <c r="Q34" s="79" t="n">
        <f aca="false">Q33+N34</f>
        <v>80.7606833422222</v>
      </c>
      <c r="R34" s="201" t="n">
        <f aca="false">R33+O34</f>
        <v>65.88521875</v>
      </c>
      <c r="S34" s="207" t="n">
        <f aca="false">I34-N34</f>
        <v>17.9782090277778</v>
      </c>
      <c r="T34" s="205" t="n">
        <f aca="false">IF(LEFT(B34,1)="1",VLOOKUP(B34,Cigsch,2,FALSE())/1000,VLOOKUP(B34,Cigsch,2,FALSE())/1000*-1)*POLLHOURSFLOWED</f>
        <v>17.9782090277778</v>
      </c>
      <c r="U34" s="206" t="n">
        <f aca="false">S34-T34</f>
        <v>0</v>
      </c>
      <c r="V34" s="203" t="n">
        <f aca="false">V33+S34</f>
        <v>57.7300372962778</v>
      </c>
      <c r="W34" s="79" t="n">
        <f aca="false">W33+T34</f>
        <v>41.9592048611111</v>
      </c>
      <c r="X34" s="208" t="n">
        <f aca="false">S34-Y34</f>
        <v>17.9782090277778</v>
      </c>
      <c r="Y34" s="209" t="n">
        <f aca="false">IF(F34="OBA",I34-J34,0)</f>
        <v>0</v>
      </c>
      <c r="AB34" s="194"/>
      <c r="AC34" s="194"/>
    </row>
    <row r="35" customFormat="false" ht="12.75" hidden="false" customHeight="false" outlineLevel="0" collapsed="false">
      <c r="A35" s="253" t="n">
        <v>801</v>
      </c>
      <c r="B35" s="179" t="n">
        <v>26205</v>
      </c>
      <c r="C35" s="178" t="n">
        <v>3561</v>
      </c>
      <c r="D35" s="179" t="s">
        <v>150</v>
      </c>
      <c r="E35" s="179" t="s">
        <v>149</v>
      </c>
      <c r="F35" s="180" t="s">
        <v>149</v>
      </c>
      <c r="G35" s="181" t="n">
        <f aca="false">VLOOKUP($B35,BTU,2,FALSE())/1000</f>
        <v>1.025</v>
      </c>
      <c r="H35" s="182" t="str">
        <f aca="false">VLOOKUP($B35,spotdata,3,FALSE())</f>
        <v>    </v>
      </c>
      <c r="I35" s="204" t="n">
        <f aca="false">IF(VLOOKUP($B35,errordata,3,FALSE())="UNAV",J35*POLLHOURSFLOWED,IF(LEFT(B35,1)="1",VLOOKUP($B35,totalvolume,2,FALSE())*G35/1000,VLOOKUP($B35,totalvolume,2,FALSE())*G35/1000*-1))</f>
        <v>-0</v>
      </c>
      <c r="J35" s="205" t="n">
        <f aca="false">O35+T35</f>
        <v>-0</v>
      </c>
      <c r="K35" s="206" t="n">
        <f aca="false">I35-J35</f>
        <v>0</v>
      </c>
      <c r="L35" s="79" t="n">
        <f aca="false">L34+I35</f>
        <v>138.4907206385</v>
      </c>
      <c r="M35" s="200" t="n">
        <f aca="false">M34+J35</f>
        <v>107.844423611111</v>
      </c>
      <c r="N35" s="79" t="n">
        <f aca="false">IF(F35="CIG",O35,IF(F35="OBA",O35,IF(F35="HPL",I35-T35,IF(ISERR((O35/$J35)*$I35),0,IF(F35="TP",(O35/$J35)*$I35)))))</f>
        <v>0</v>
      </c>
      <c r="O35" s="205" t="n">
        <f aca="false">IF(LEFT(B35,1)="1",VLOOKUP(B35,Cigsch,3,FALSE())/1000,VLOOKUP(B35,Cigsch,3,FALSE())/1000*-1)*POLLHOURSFLOWED</f>
        <v>-0</v>
      </c>
      <c r="P35" s="206" t="n">
        <f aca="false">N35-O35</f>
        <v>0</v>
      </c>
      <c r="Q35" s="79" t="n">
        <f aca="false">Q34+N35</f>
        <v>80.7606833422222</v>
      </c>
      <c r="R35" s="201" t="n">
        <f aca="false">R34+O35</f>
        <v>65.88521875</v>
      </c>
      <c r="S35" s="207" t="n">
        <f aca="false">I35-N35</f>
        <v>-0</v>
      </c>
      <c r="T35" s="205" t="n">
        <f aca="false">IF(LEFT(B35,1)="1",VLOOKUP(B35,Cigsch,2,FALSE())/1000,VLOOKUP(B35,Cigsch,2,FALSE())/1000*-1)*POLLHOURSFLOWED</f>
        <v>-0</v>
      </c>
      <c r="U35" s="206" t="n">
        <f aca="false">S35-T35</f>
        <v>0</v>
      </c>
      <c r="V35" s="203" t="n">
        <f aca="false">V34+S35</f>
        <v>57.7300372962778</v>
      </c>
      <c r="W35" s="79" t="n">
        <f aca="false">W34+T35</f>
        <v>41.9592048611111</v>
      </c>
      <c r="X35" s="208" t="n">
        <f aca="false">S35-Y35</f>
        <v>-0</v>
      </c>
      <c r="Y35" s="209" t="n">
        <f aca="false">IF(F35="OBA",I35-J35,0)</f>
        <v>0</v>
      </c>
      <c r="AB35" s="194"/>
      <c r="AC35" s="194"/>
    </row>
    <row r="36" customFormat="false" ht="12.75" hidden="false" customHeight="false" outlineLevel="0" collapsed="false">
      <c r="A36" s="253" t="n">
        <v>801</v>
      </c>
      <c r="B36" s="179" t="n">
        <v>16244</v>
      </c>
      <c r="C36" s="178" t="n">
        <v>7038</v>
      </c>
      <c r="D36" s="237" t="s">
        <v>151</v>
      </c>
      <c r="E36" s="179" t="s">
        <v>118</v>
      </c>
      <c r="F36" s="180" t="s">
        <v>142</v>
      </c>
      <c r="G36" s="181" t="n">
        <f aca="false">VLOOKUP($B36,BTU,2,FALSE())/1000</f>
        <v>1.019</v>
      </c>
      <c r="H36" s="182" t="str">
        <f aca="false">VLOOKUP($B36,spotdata,3,FALSE())</f>
        <v>    </v>
      </c>
      <c r="I36" s="204" t="n">
        <f aca="false">IF(VLOOKUP($B36,errordata,3,FALSE())="UNAV",J36*POLLHOURSFLOWED,IF(LEFT(B36,1)="1",VLOOKUP($B36,totalvolume,2,FALSE())*G36/1000,VLOOKUP($B36,totalvolume,2,FALSE())*G36/1000*-1))</f>
        <v>78.7656588964</v>
      </c>
      <c r="J36" s="205" t="n">
        <f aca="false">O36+T36</f>
        <v>75.1124305555556</v>
      </c>
      <c r="K36" s="206" t="n">
        <f aca="false">I36-J36</f>
        <v>3.65322834084445</v>
      </c>
      <c r="L36" s="79" t="n">
        <f aca="false">L35+I36</f>
        <v>217.2563795349</v>
      </c>
      <c r="M36" s="200" t="n">
        <f aca="false">M35+J36</f>
        <v>182.956854166667</v>
      </c>
      <c r="N36" s="79" t="n">
        <f aca="false">IF(F36="CIG",O36,IF(F36="OBA",O36,IF(F36="HPL",I36-T36,IF(ISERR((O36/$J36)*$I36),0,IF(F36="TP",(O36/$J36)*$I36)))))</f>
        <v>3.54722222222222</v>
      </c>
      <c r="O36" s="205" t="n">
        <f aca="false">IF(LEFT(B36,1)="1",VLOOKUP(B36,Cigsch,3,FALSE())/1000,VLOOKUP(B36,Cigsch,3,FALSE())/1000*-1)*POLLHOURSFLOWED</f>
        <v>3.54722222222222</v>
      </c>
      <c r="P36" s="206" t="n">
        <f aca="false">N36-O36</f>
        <v>0</v>
      </c>
      <c r="Q36" s="79" t="n">
        <f aca="false">Q35+N36</f>
        <v>84.3079055644444</v>
      </c>
      <c r="R36" s="201" t="n">
        <f aca="false">R35+O36</f>
        <v>69.4324409722222</v>
      </c>
      <c r="S36" s="207" t="n">
        <f aca="false">I36-N36</f>
        <v>75.2184366741778</v>
      </c>
      <c r="T36" s="205" t="n">
        <f aca="false">IF(LEFT(B36,1)="1",VLOOKUP(B36,Cigsch,2,FALSE())/1000,VLOOKUP(B36,Cigsch,2,FALSE())/1000*-1)*POLLHOURSFLOWED</f>
        <v>71.5652083333333</v>
      </c>
      <c r="U36" s="206" t="n">
        <f aca="false">S36-T36</f>
        <v>3.65322834084445</v>
      </c>
      <c r="V36" s="203" t="n">
        <f aca="false">V35+S36</f>
        <v>132.948473970456</v>
      </c>
      <c r="W36" s="79" t="n">
        <f aca="false">W35+T36</f>
        <v>113.524413194444</v>
      </c>
      <c r="X36" s="208" t="n">
        <f aca="false">S36-Y36</f>
        <v>71.5652083333333</v>
      </c>
      <c r="Y36" s="209" t="n">
        <f aca="false">IF(F36="OBA",I36-J36,0)</f>
        <v>3.65322834084445</v>
      </c>
      <c r="AB36" s="194"/>
      <c r="AC36" s="194"/>
    </row>
    <row r="37" customFormat="false" ht="12.75" hidden="false" customHeight="false" outlineLevel="0" collapsed="false">
      <c r="A37" s="253" t="n">
        <v>801</v>
      </c>
      <c r="B37" s="179" t="n">
        <v>16130</v>
      </c>
      <c r="C37" s="178" t="n">
        <v>584</v>
      </c>
      <c r="D37" s="237" t="s">
        <v>152</v>
      </c>
      <c r="E37" s="179" t="s">
        <v>118</v>
      </c>
      <c r="F37" s="180" t="s">
        <v>142</v>
      </c>
      <c r="G37" s="181" t="n">
        <f aca="false">VLOOKUP($B37,BTU,2,FALSE())/1000</f>
        <v>1.005</v>
      </c>
      <c r="H37" s="182" t="str">
        <f aca="false">VLOOKUP($B37,spotdata,3,FALSE())</f>
        <v>    </v>
      </c>
      <c r="I37" s="204" t="n">
        <f aca="false">IF(VLOOKUP($B37,errordata,3,FALSE())="UNAV",J37*POLLHOURSFLOWED,IF(LEFT(B37,1)="1",VLOOKUP($B37,totalvolume,2,FALSE())*G37/1000,VLOOKUP($B37,totalvolume,2,FALSE())*G37/1000*-1))</f>
        <v>65.5001762235</v>
      </c>
      <c r="J37" s="205" t="n">
        <f aca="false">O37+T37</f>
        <v>56.6810638888889</v>
      </c>
      <c r="K37" s="206" t="n">
        <f aca="false">I37-J37</f>
        <v>8.81911233461111</v>
      </c>
      <c r="L37" s="79" t="n">
        <f aca="false">L36+I37</f>
        <v>282.7565557584</v>
      </c>
      <c r="M37" s="200" t="n">
        <f aca="false">M36+J37</f>
        <v>239.637918055556</v>
      </c>
      <c r="N37" s="79" t="n">
        <f aca="false">IF(F37="CIG",O37,IF(F37="OBA",O37,IF(F37="HPL",I37-T37,IF(ISERR((O37/$J37)*$I37),0,IF(F37="TP",(O37/$J37)*$I37)))))</f>
        <v>6.92595138888889</v>
      </c>
      <c r="O37" s="205" t="n">
        <f aca="false">IF(LEFT(B37,1)="1",VLOOKUP(B37,Cigsch,3,FALSE())/1000,VLOOKUP(B37,Cigsch,3,FALSE())/1000*-1)*POLLHOURSFLOWED</f>
        <v>6.92595138888889</v>
      </c>
      <c r="P37" s="206" t="n">
        <f aca="false">N37-O37</f>
        <v>0</v>
      </c>
      <c r="Q37" s="79" t="n">
        <f aca="false">Q36+N37</f>
        <v>91.2338569533333</v>
      </c>
      <c r="R37" s="201" t="n">
        <f aca="false">R36+O37</f>
        <v>76.3583923611111</v>
      </c>
      <c r="S37" s="207" t="n">
        <f aca="false">I37-N37</f>
        <v>58.5742248346111</v>
      </c>
      <c r="T37" s="205" t="n">
        <f aca="false">IF(LEFT(B37,1)="1",VLOOKUP(B37,Cigsch,2,FALSE())/1000,VLOOKUP(B37,Cigsch,2,FALSE())/1000*-1)*POLLHOURSFLOWED</f>
        <v>49.7551125</v>
      </c>
      <c r="U37" s="206" t="n">
        <f aca="false">S37-T37</f>
        <v>8.81911233461111</v>
      </c>
      <c r="V37" s="203" t="n">
        <f aca="false">V36+S37</f>
        <v>191.522698805067</v>
      </c>
      <c r="W37" s="79" t="n">
        <f aca="false">W36+T37</f>
        <v>163.279525694444</v>
      </c>
      <c r="X37" s="208" t="n">
        <f aca="false">S37-Y37</f>
        <v>49.7551125</v>
      </c>
      <c r="Y37" s="209" t="n">
        <f aca="false">IF(F37="OBA",I37-J37,0)</f>
        <v>8.81911233461111</v>
      </c>
      <c r="AB37" s="194"/>
      <c r="AC37" s="194"/>
    </row>
    <row r="38" customFormat="false" ht="12.75" hidden="false" customHeight="false" outlineLevel="0" collapsed="false">
      <c r="A38" s="253" t="n">
        <v>801</v>
      </c>
      <c r="B38" s="179" t="n">
        <v>16291</v>
      </c>
      <c r="C38" s="178"/>
      <c r="D38" s="179" t="s">
        <v>153</v>
      </c>
      <c r="E38" s="179" t="s">
        <v>118</v>
      </c>
      <c r="F38" s="180" t="s">
        <v>149</v>
      </c>
      <c r="G38" s="181" t="n">
        <f aca="false">VLOOKUP($B38,BTU,2,FALSE())/1000</f>
        <v>1.014</v>
      </c>
      <c r="H38" s="182" t="str">
        <f aca="false">VLOOKUP($B38,spotdata,3,FALSE())</f>
        <v>    </v>
      </c>
      <c r="I38" s="204" t="n">
        <f aca="false">IF(VLOOKUP($B38,errordata,3,FALSE())="UNAV",J38*POLLHOURSFLOWED,IF(LEFT(B38,1)="1",VLOOKUP($B38,totalvolume,2,FALSE())*G38/1000,VLOOKUP($B38,totalvolume,2,FALSE())*G38/1000*-1))</f>
        <v>0</v>
      </c>
      <c r="J38" s="205" t="n">
        <f aca="false">O38+T38</f>
        <v>0.886805555555556</v>
      </c>
      <c r="K38" s="206" t="n">
        <f aca="false">I38-J38</f>
        <v>-0.886805555555556</v>
      </c>
      <c r="L38" s="79" t="n">
        <f aca="false">L37+I38</f>
        <v>282.7565557584</v>
      </c>
      <c r="M38" s="200" t="n">
        <f aca="false">M37+J38</f>
        <v>240.524723611111</v>
      </c>
      <c r="N38" s="79" t="n">
        <f aca="false">IF(F38="CIG",O38,IF(F38="OBA",O38,IF(F38="HPL",I38-T38,IF(ISERR((O38/$J38)*$I38),0,IF(F38="TP",(O38/$J38)*$I38)))))</f>
        <v>-0.886805555555556</v>
      </c>
      <c r="O38" s="205" t="n">
        <f aca="false">IF(LEFT(B38,1)="1",VLOOKUP(B38,Cigsch,3,FALSE())/1000,VLOOKUP(B38,Cigsch,3,FALSE())/1000*-1)*POLLHOURSFLOWED</f>
        <v>0</v>
      </c>
      <c r="P38" s="206" t="n">
        <f aca="false">N38-O38</f>
        <v>-0.886805555555556</v>
      </c>
      <c r="Q38" s="79" t="n">
        <f aca="false">Q37+N38</f>
        <v>90.3470513977778</v>
      </c>
      <c r="R38" s="201" t="n">
        <f aca="false">R37+O38</f>
        <v>76.3583923611111</v>
      </c>
      <c r="S38" s="207" t="n">
        <f aca="false">I38-N38</f>
        <v>0.886805555555556</v>
      </c>
      <c r="T38" s="205" t="n">
        <f aca="false">IF(LEFT(B38,1)="1",VLOOKUP(B38,Cigsch,2,FALSE())/1000,VLOOKUP(B38,Cigsch,2,FALSE())/1000*-1)*POLLHOURSFLOWED</f>
        <v>0.886805555555556</v>
      </c>
      <c r="U38" s="206" t="n">
        <f aca="false">S38-T38</f>
        <v>0</v>
      </c>
      <c r="V38" s="203" t="n">
        <f aca="false">V37+S38</f>
        <v>192.409504360622</v>
      </c>
      <c r="W38" s="79" t="n">
        <f aca="false">W37+T38</f>
        <v>164.16633125</v>
      </c>
      <c r="X38" s="208" t="n">
        <f aca="false">S38-Y38</f>
        <v>0.886805555555556</v>
      </c>
      <c r="Y38" s="209" t="n">
        <f aca="false">IF(F38="OBA",I38-J38,0)</f>
        <v>0</v>
      </c>
      <c r="AB38" s="194"/>
      <c r="AC38" s="194"/>
    </row>
    <row r="39" customFormat="false" ht="12.75" hidden="false" customHeight="false" outlineLevel="0" collapsed="false">
      <c r="A39" s="253" t="n">
        <v>801</v>
      </c>
      <c r="B39" s="179" t="n">
        <v>26176</v>
      </c>
      <c r="C39" s="178"/>
      <c r="D39" s="179" t="s">
        <v>154</v>
      </c>
      <c r="E39" s="179" t="s">
        <v>118</v>
      </c>
      <c r="F39" s="180" t="s">
        <v>149</v>
      </c>
      <c r="G39" s="181" t="n">
        <f aca="false">VLOOKUP($B39,BTU,2,FALSE())/1000</f>
        <v>1.014</v>
      </c>
      <c r="H39" s="182" t="str">
        <f aca="false">VLOOKUP($B39,spotdata,3,FALSE())</f>
        <v>    </v>
      </c>
      <c r="I39" s="204" t="n">
        <f aca="false">IF(VLOOKUP($B39,errordata,3,FALSE())="UNAV",J39*POLLHOURSFLOWED,IF(LEFT(B39,1)="1",VLOOKUP($B39,totalvolume,2,FALSE())*G39/1000,VLOOKUP($B39,totalvolume,2,FALSE())*G39/1000*-1))</f>
        <v>-0</v>
      </c>
      <c r="J39" s="205" t="n">
        <f aca="false">O39+T39</f>
        <v>-0</v>
      </c>
      <c r="K39" s="206" t="n">
        <f aca="false">I39-J39</f>
        <v>0</v>
      </c>
      <c r="L39" s="79" t="n">
        <f aca="false">L38+I39</f>
        <v>282.7565557584</v>
      </c>
      <c r="M39" s="200" t="n">
        <f aca="false">M38+J39</f>
        <v>240.524723611111</v>
      </c>
      <c r="N39" s="79" t="n">
        <f aca="false">IF(F39="CIG",O39,IF(F39="OBA",O39,IF(F39="HPL",I39-T39,IF(ISERR((O39/$J39)*$I39),0,IF(F39="TP",(O39/$J39)*$I39)))))</f>
        <v>0</v>
      </c>
      <c r="O39" s="205" t="n">
        <f aca="false">IF(LEFT(B39,1)="1",VLOOKUP(B39,Cigsch,3,FALSE())/1000,VLOOKUP(B39,Cigsch,3,FALSE())/1000*-1)*POLLHOURSFLOWED</f>
        <v>-0</v>
      </c>
      <c r="P39" s="206" t="n">
        <f aca="false">N39-O39</f>
        <v>0</v>
      </c>
      <c r="Q39" s="79" t="n">
        <f aca="false">Q38+N39</f>
        <v>90.3470513977778</v>
      </c>
      <c r="R39" s="201" t="n">
        <f aca="false">R38+O39</f>
        <v>76.3583923611111</v>
      </c>
      <c r="S39" s="207" t="n">
        <f aca="false">I39-N39</f>
        <v>-0</v>
      </c>
      <c r="T39" s="205" t="n">
        <f aca="false">IF(LEFT(B39,1)="1",VLOOKUP(B39,Cigsch,2,FALSE())/1000,VLOOKUP(B39,Cigsch,2,FALSE())/1000*-1)*POLLHOURSFLOWED</f>
        <v>-0</v>
      </c>
      <c r="U39" s="206" t="n">
        <f aca="false">S39-T39</f>
        <v>0</v>
      </c>
      <c r="V39" s="203" t="n">
        <f aca="false">V38+S39</f>
        <v>192.409504360622</v>
      </c>
      <c r="W39" s="79" t="n">
        <f aca="false">W38+T39</f>
        <v>164.16633125</v>
      </c>
      <c r="X39" s="208" t="n">
        <f aca="false">S39-Y39</f>
        <v>-0</v>
      </c>
      <c r="Y39" s="209" t="n">
        <f aca="false">IF(F39="OBA",I39-J39,0)</f>
        <v>0</v>
      </c>
      <c r="AB39" s="194"/>
      <c r="AC39" s="194"/>
    </row>
    <row r="40" customFormat="false" ht="12.75" hidden="false" customHeight="false" outlineLevel="0" collapsed="false">
      <c r="A40" s="253" t="n">
        <v>801</v>
      </c>
      <c r="B40" s="179" t="n">
        <v>16107</v>
      </c>
      <c r="C40" s="178"/>
      <c r="D40" s="179" t="s">
        <v>155</v>
      </c>
      <c r="E40" s="179" t="s">
        <v>118</v>
      </c>
      <c r="F40" s="180" t="s">
        <v>156</v>
      </c>
      <c r="G40" s="181" t="n">
        <f aca="false">VLOOKUP($B40,BTU,2,FALSE())/1000</f>
        <v>1.025</v>
      </c>
      <c r="H40" s="182" t="str">
        <f aca="false">VLOOKUP($B40,spotdata,3,FALSE())</f>
        <v>UNAV</v>
      </c>
      <c r="I40" s="204" t="n">
        <f aca="false">IF(VLOOKUP($B40,errordata,3,FALSE())="UNAV",J40*POLLHOURSFLOWED,IF(LEFT(B40,1)="1",VLOOKUP($B40,totalvolume,2,FALSE())*G40/1000,VLOOKUP($B40,totalvolume,2,FALSE())*G40/1000*-1))</f>
        <v>0</v>
      </c>
      <c r="J40" s="205" t="n">
        <f aca="false">O40+T40</f>
        <v>0</v>
      </c>
      <c r="K40" s="206" t="n">
        <f aca="false">I40-J40</f>
        <v>0</v>
      </c>
      <c r="L40" s="79" t="n">
        <f aca="false">L39+I40</f>
        <v>282.7565557584</v>
      </c>
      <c r="M40" s="200" t="n">
        <f aca="false">M39+J40</f>
        <v>240.524723611111</v>
      </c>
      <c r="N40" s="79" t="n">
        <f aca="false">IF(F40="CIG",O40,IF(F40="OBA",O40,IF(F40="HPL",I40-T40,IF(ISERR((O40/$J40)*$I40),0,IF(F40="TP",(O40/$J40)*$I40)))))</f>
        <v>0</v>
      </c>
      <c r="O40" s="205" t="n">
        <f aca="false">IF(LEFT(B40,1)="1",VLOOKUP(B40,Cigsch,3,FALSE())/1000,VLOOKUP(B40,Cigsch,3,FALSE())/1000*-1)*POLLHOURSFLOWED</f>
        <v>0</v>
      </c>
      <c r="P40" s="206" t="n">
        <f aca="false">N40-O40</f>
        <v>0</v>
      </c>
      <c r="Q40" s="79" t="n">
        <f aca="false">Q39+N40</f>
        <v>90.3470513977778</v>
      </c>
      <c r="R40" s="201" t="n">
        <f aca="false">R39+O40</f>
        <v>76.3583923611111</v>
      </c>
      <c r="S40" s="207" t="n">
        <f aca="false">I40-N40</f>
        <v>0</v>
      </c>
      <c r="T40" s="205" t="n">
        <f aca="false">IF(LEFT(B40,1)="1",VLOOKUP(B40,Cigsch,2,FALSE())/1000,VLOOKUP(B40,Cigsch,2,FALSE())/1000*-1)*POLLHOURSFLOWED</f>
        <v>0</v>
      </c>
      <c r="U40" s="206" t="n">
        <f aca="false">S40-T40</f>
        <v>0</v>
      </c>
      <c r="V40" s="203" t="n">
        <f aca="false">V39+S40</f>
        <v>192.409504360622</v>
      </c>
      <c r="W40" s="79" t="n">
        <f aca="false">W39+T40</f>
        <v>164.16633125</v>
      </c>
      <c r="X40" s="208" t="n">
        <f aca="false">S40-Y40</f>
        <v>0</v>
      </c>
      <c r="Y40" s="209" t="n">
        <f aca="false">IF(F40="OBA",I40-J40,0)</f>
        <v>0</v>
      </c>
      <c r="AB40" s="194"/>
      <c r="AC40" s="194"/>
    </row>
    <row r="41" customFormat="false" ht="12.75" hidden="false" customHeight="false" outlineLevel="0" collapsed="false">
      <c r="A41" s="253" t="n">
        <v>801</v>
      </c>
      <c r="B41" s="179" t="n">
        <v>26043</v>
      </c>
      <c r="C41" s="178"/>
      <c r="D41" s="179" t="s">
        <v>157</v>
      </c>
      <c r="E41" s="179" t="s">
        <v>116</v>
      </c>
      <c r="F41" s="180" t="s">
        <v>116</v>
      </c>
      <c r="G41" s="181" t="n">
        <f aca="false">VLOOKUP($B41,BTU,2,FALSE())/1000</f>
        <v>1.025</v>
      </c>
      <c r="H41" s="182" t="str">
        <f aca="false">VLOOKUP($B41,spotdata,3,FALSE())</f>
        <v>UNAV</v>
      </c>
      <c r="I41" s="204" t="n">
        <f aca="false">IF(VLOOKUP($B41,errordata,3,FALSE())="UNAV",J41*POLLHOURSFLOWED,IF(LEFT(B41,1)="1",VLOOKUP($B41,totalvolume,2,FALSE())*G41/1000,VLOOKUP($B41,totalvolume,2,FALSE())*G41/1000*-1))</f>
        <v>-0</v>
      </c>
      <c r="J41" s="205" t="n">
        <f aca="false">O41+T41</f>
        <v>-0</v>
      </c>
      <c r="K41" s="206" t="n">
        <f aca="false">I41-J41</f>
        <v>0</v>
      </c>
      <c r="L41" s="79" t="n">
        <f aca="false">L40+I41</f>
        <v>282.7565557584</v>
      </c>
      <c r="M41" s="200" t="n">
        <f aca="false">M40+J41</f>
        <v>240.524723611111</v>
      </c>
      <c r="N41" s="79" t="n">
        <f aca="false">IF(F41="CIG",O41,IF(F41="OBA",O41,IF(F41="HPL",I41-T41,IF(ISERR((O41/$J41)*$I41),0,IF(F41="TP",(O41/$J41)*$I41)))))</f>
        <v>-0</v>
      </c>
      <c r="O41" s="205" t="n">
        <f aca="false">IF(LEFT(B41,1)="1",VLOOKUP(B41,Cigsch,3,FALSE())/1000,VLOOKUP(B41,Cigsch,3,FALSE())/1000*-1)*POLLHOURSFLOWED</f>
        <v>-0</v>
      </c>
      <c r="P41" s="206" t="n">
        <f aca="false">N41-O41</f>
        <v>0</v>
      </c>
      <c r="Q41" s="79" t="n">
        <f aca="false">Q40+N41</f>
        <v>90.3470513977778</v>
      </c>
      <c r="R41" s="201" t="n">
        <f aca="false">R40+O41</f>
        <v>76.3583923611111</v>
      </c>
      <c r="S41" s="207" t="n">
        <f aca="false">I41-N41</f>
        <v>0</v>
      </c>
      <c r="T41" s="205" t="n">
        <f aca="false">IF(LEFT(B41,1)="1",VLOOKUP(B41,Cigsch,2,FALSE())/1000,VLOOKUP(B41,Cigsch,2,FALSE())/1000*-1)*POLLHOURSFLOWED</f>
        <v>-0</v>
      </c>
      <c r="U41" s="206" t="n">
        <f aca="false">S41-T41</f>
        <v>0</v>
      </c>
      <c r="V41" s="203" t="n">
        <f aca="false">V40+S41</f>
        <v>192.409504360622</v>
      </c>
      <c r="W41" s="79" t="n">
        <f aca="false">W40+T41</f>
        <v>164.16633125</v>
      </c>
      <c r="X41" s="208" t="n">
        <f aca="false">S41-Y41</f>
        <v>0</v>
      </c>
      <c r="Y41" s="209" t="n">
        <f aca="false">IF(F41="OBA",I41-J41,0)</f>
        <v>0</v>
      </c>
      <c r="AB41" s="194"/>
      <c r="AC41" s="194"/>
    </row>
    <row r="42" customFormat="false" ht="12.75" hidden="false" customHeight="false" outlineLevel="0" collapsed="false">
      <c r="A42" s="253" t="n">
        <v>801</v>
      </c>
      <c r="B42" s="179" t="n">
        <v>16182</v>
      </c>
      <c r="C42" s="178"/>
      <c r="D42" s="179" t="s">
        <v>158</v>
      </c>
      <c r="E42" s="179" t="s">
        <v>118</v>
      </c>
      <c r="F42" s="180" t="s">
        <v>116</v>
      </c>
      <c r="G42" s="181" t="n">
        <f aca="false">VLOOKUP($B42,BTU,2,FALSE())/1000</f>
        <v>1.025</v>
      </c>
      <c r="H42" s="182" t="str">
        <f aca="false">VLOOKUP($B42,spotdata,3,FALSE())</f>
        <v>UNAV</v>
      </c>
      <c r="I42" s="204" t="n">
        <f aca="false">IF(VLOOKUP($B42,errordata,3,FALSE())="UNAV",J42*POLLHOURSFLOWED,IF(LEFT(B42,1)="1",VLOOKUP($B42,totalvolume,2,FALSE())*G42/1000,VLOOKUP($B42,totalvolume,2,FALSE())*G42/1000*-1))</f>
        <v>0.196606023341049</v>
      </c>
      <c r="J42" s="205" t="n">
        <f aca="false">O42+T42</f>
        <v>0.221701388888889</v>
      </c>
      <c r="K42" s="206" t="n">
        <f aca="false">I42-J42</f>
        <v>-0.0250953655478395</v>
      </c>
      <c r="L42" s="79" t="n">
        <f aca="false">L41+I42</f>
        <v>282.953161781741</v>
      </c>
      <c r="M42" s="200" t="n">
        <f aca="false">M41+J42</f>
        <v>240.746425</v>
      </c>
      <c r="N42" s="79" t="n">
        <f aca="false">IF(F42="CIG",O42,IF(F42="OBA",O42,IF(F42="HPL",I42-T42,IF(ISERR((O42/$J42)*$I42),0,IF(F42="TP",(O42/$J42)*$I42)))))</f>
        <v>0</v>
      </c>
      <c r="O42" s="205" t="n">
        <f aca="false">IF(LEFT(B42,1)="1",VLOOKUP(B42,Cigsch,3,FALSE())/1000,VLOOKUP(B42,Cigsch,3,FALSE())/1000*-1)*POLLHOURSFLOWED</f>
        <v>0</v>
      </c>
      <c r="P42" s="206" t="n">
        <f aca="false">N42-O42</f>
        <v>0</v>
      </c>
      <c r="Q42" s="79" t="n">
        <f aca="false">Q41+N42</f>
        <v>90.3470513977778</v>
      </c>
      <c r="R42" s="201" t="n">
        <f aca="false">R41+O42</f>
        <v>76.3583923611111</v>
      </c>
      <c r="S42" s="207" t="n">
        <f aca="false">I42-N42</f>
        <v>0.196606023341049</v>
      </c>
      <c r="T42" s="205" t="n">
        <f aca="false">IF(LEFT(B42,1)="1",VLOOKUP(B42,Cigsch,2,FALSE())/1000,VLOOKUP(B42,Cigsch,2,FALSE())/1000*-1)*POLLHOURSFLOWED</f>
        <v>0.221701388888889</v>
      </c>
      <c r="U42" s="206" t="n">
        <f aca="false">S42-T42</f>
        <v>-0.0250953655478395</v>
      </c>
      <c r="V42" s="203" t="n">
        <f aca="false">V41+S42</f>
        <v>192.606110383963</v>
      </c>
      <c r="W42" s="79" t="n">
        <f aca="false">W41+T42</f>
        <v>164.388032638889</v>
      </c>
      <c r="X42" s="208" t="n">
        <f aca="false">S42-Y42</f>
        <v>0.196606023341049</v>
      </c>
      <c r="Y42" s="209" t="n">
        <f aca="false">IF(F42="OBA",I42-J42,0)</f>
        <v>0</v>
      </c>
      <c r="AB42" s="194"/>
      <c r="AC42" s="194"/>
    </row>
    <row r="43" customFormat="false" ht="12.75" hidden="false" customHeight="false" outlineLevel="0" collapsed="false">
      <c r="A43" s="253" t="n">
        <v>801</v>
      </c>
      <c r="B43" s="179" t="n">
        <v>16161</v>
      </c>
      <c r="C43" s="178"/>
      <c r="D43" s="179" t="s">
        <v>159</v>
      </c>
      <c r="E43" s="179" t="s">
        <v>118</v>
      </c>
      <c r="F43" s="180" t="s">
        <v>116</v>
      </c>
      <c r="G43" s="181" t="n">
        <f aca="false">VLOOKUP($B43,BTU,2,FALSE())/1000</f>
        <v>1.025</v>
      </c>
      <c r="H43" s="182" t="str">
        <f aca="false">VLOOKUP($B43,spotdata,3,FALSE())</f>
        <v>UNAV</v>
      </c>
      <c r="I43" s="204" t="n">
        <f aca="false">IF(VLOOKUP($B43,errordata,3,FALSE())="UNAV",J43*POLLHOURSFLOWED,IF(LEFT(B43,1)="1",VLOOKUP($B43,totalvolume,2,FALSE())*G43/1000,VLOOKUP($B43,totalvolume,2,FALSE())*G43/1000*-1))</f>
        <v>0.177731845100309</v>
      </c>
      <c r="J43" s="205" t="n">
        <f aca="false">O43+T43</f>
        <v>0.200418055555556</v>
      </c>
      <c r="K43" s="206" t="n">
        <f aca="false">I43-J43</f>
        <v>-0.0226862104552469</v>
      </c>
      <c r="L43" s="79" t="n">
        <f aca="false">L42+I43</f>
        <v>283.130893626841</v>
      </c>
      <c r="M43" s="200" t="n">
        <f aca="false">M42+J43</f>
        <v>240.946843055556</v>
      </c>
      <c r="N43" s="79" t="n">
        <f aca="false">IF(F43="CIG",O43,IF(F43="OBA",O43,IF(F43="HPL",I43-T43,IF(ISERR((O43/$J43)*$I43),0,IF(F43="TP",(O43/$J43)*$I43)))))</f>
        <v>0</v>
      </c>
      <c r="O43" s="205" t="n">
        <f aca="false">IF(LEFT(B43,1)="1",VLOOKUP(B43,Cigsch,3,FALSE())/1000,VLOOKUP(B43,Cigsch,3,FALSE())/1000*-1)*POLLHOURSFLOWED</f>
        <v>0</v>
      </c>
      <c r="P43" s="206" t="n">
        <f aca="false">N43-O43</f>
        <v>0</v>
      </c>
      <c r="Q43" s="79" t="n">
        <f aca="false">Q42+N43</f>
        <v>90.3470513977778</v>
      </c>
      <c r="R43" s="201" t="n">
        <f aca="false">R42+O43</f>
        <v>76.3583923611111</v>
      </c>
      <c r="S43" s="207" t="n">
        <f aca="false">I43-N43</f>
        <v>0.177731845100309</v>
      </c>
      <c r="T43" s="205" t="n">
        <f aca="false">IF(LEFT(B43,1)="1",VLOOKUP(B43,Cigsch,2,FALSE())/1000,VLOOKUP(B43,Cigsch,2,FALSE())/1000*-1)*POLLHOURSFLOWED</f>
        <v>0.200418055555556</v>
      </c>
      <c r="U43" s="206" t="n">
        <f aca="false">S43-T43</f>
        <v>-0.0226862104552469</v>
      </c>
      <c r="V43" s="203" t="n">
        <f aca="false">V42+S43</f>
        <v>192.783842229064</v>
      </c>
      <c r="W43" s="79" t="n">
        <f aca="false">W42+T43</f>
        <v>164.588450694444</v>
      </c>
      <c r="X43" s="208" t="n">
        <f aca="false">S43-Y43</f>
        <v>0.177731845100309</v>
      </c>
      <c r="Y43" s="209" t="n">
        <f aca="false">IF(F43="OBA",I43-J43,0)</f>
        <v>0</v>
      </c>
      <c r="AB43" s="194"/>
      <c r="AC43" s="194"/>
    </row>
    <row r="44" customFormat="false" ht="12.75" hidden="false" customHeight="false" outlineLevel="0" collapsed="false">
      <c r="A44" s="253" t="n">
        <v>801</v>
      </c>
      <c r="B44" s="179" t="n">
        <v>26107</v>
      </c>
      <c r="C44" s="178" t="n">
        <v>3545</v>
      </c>
      <c r="D44" s="179" t="s">
        <v>160</v>
      </c>
      <c r="E44" s="179" t="s">
        <v>149</v>
      </c>
      <c r="F44" s="180" t="s">
        <v>149</v>
      </c>
      <c r="G44" s="181" t="n">
        <f aca="false">VLOOKUP($B44,BTU,2,FALSE())/1000</f>
        <v>1.025</v>
      </c>
      <c r="H44" s="182" t="str">
        <f aca="false">VLOOKUP($B44,spotdata,3,FALSE())</f>
        <v>    </v>
      </c>
      <c r="I44" s="204" t="n">
        <f aca="false">IF(VLOOKUP($B44,errordata,3,FALSE())="UNAV",J44*POLLHOURSFLOWED,IF(LEFT(B44,1)="1",VLOOKUP($B44,totalvolume,2,FALSE())*G44/1000,VLOOKUP($B44,totalvolume,2,FALSE())*G44/1000*-1))</f>
        <v>-0</v>
      </c>
      <c r="J44" s="205" t="n">
        <f aca="false">O44+T44</f>
        <v>-0.886805555555556</v>
      </c>
      <c r="K44" s="206" t="n">
        <f aca="false">I44-J44</f>
        <v>0.886805555555556</v>
      </c>
      <c r="L44" s="79" t="n">
        <f aca="false">L43+I44</f>
        <v>283.130893626841</v>
      </c>
      <c r="M44" s="200" t="n">
        <f aca="false">M43+J44</f>
        <v>240.0600375</v>
      </c>
      <c r="N44" s="79" t="n">
        <f aca="false">IF(F44="CIG",O44,IF(F44="OBA",O44,IF(F44="HPL",I44-T44,IF(ISERR((O44/$J44)*$I44),0,IF(F44="TP",(O44/$J44)*$I44)))))</f>
        <v>0</v>
      </c>
      <c r="O44" s="205" t="n">
        <f aca="false">IF(LEFT(B44,1)="1",VLOOKUP(B44,Cigsch,3,FALSE())/1000,VLOOKUP(B44,Cigsch,3,FALSE())/1000*-1)*POLLHOURSFLOWED</f>
        <v>-0.886805555555556</v>
      </c>
      <c r="P44" s="206" t="n">
        <f aca="false">N44-O44</f>
        <v>0.886805555555556</v>
      </c>
      <c r="Q44" s="79" t="n">
        <f aca="false">Q43+N44</f>
        <v>90.3470513977778</v>
      </c>
      <c r="R44" s="201" t="n">
        <f aca="false">R43+O44</f>
        <v>75.4715868055556</v>
      </c>
      <c r="S44" s="207" t="n">
        <f aca="false">I44-N44</f>
        <v>-0</v>
      </c>
      <c r="T44" s="205" t="n">
        <f aca="false">IF(LEFT(B44,1)="1",VLOOKUP(B44,Cigsch,2,FALSE())/1000,VLOOKUP(B44,Cigsch,2,FALSE())/1000*-1)*POLLHOURSFLOWED</f>
        <v>-0</v>
      </c>
      <c r="U44" s="206" t="n">
        <f aca="false">S44-T44</f>
        <v>0</v>
      </c>
      <c r="V44" s="203" t="n">
        <f aca="false">V43+S44</f>
        <v>192.783842229064</v>
      </c>
      <c r="W44" s="79" t="n">
        <f aca="false">W43+T44</f>
        <v>164.588450694444</v>
      </c>
      <c r="X44" s="208" t="n">
        <f aca="false">S44-Y44</f>
        <v>-0</v>
      </c>
      <c r="Y44" s="209" t="n">
        <f aca="false">IF(F44="OBA",I44-J44,0)</f>
        <v>0</v>
      </c>
      <c r="AB44" s="194"/>
      <c r="AC44" s="194"/>
    </row>
    <row r="45" customFormat="false" ht="12.75" hidden="false" customHeight="false" outlineLevel="0" collapsed="false">
      <c r="A45" s="253" t="n">
        <v>801</v>
      </c>
      <c r="B45" s="214" t="n">
        <v>26123</v>
      </c>
      <c r="C45" s="178"/>
      <c r="D45" s="179" t="s">
        <v>161</v>
      </c>
      <c r="E45" s="179" t="s">
        <v>116</v>
      </c>
      <c r="F45" s="180" t="s">
        <v>116</v>
      </c>
      <c r="G45" s="181" t="n">
        <f aca="false">VLOOKUP($B45,BTU,2,FALSE())/1000</f>
        <v>1.017</v>
      </c>
      <c r="H45" s="182" t="str">
        <f aca="false">VLOOKUP($B45,spotdata,3,FALSE())</f>
        <v>    </v>
      </c>
      <c r="I45" s="204" t="n">
        <f aca="false">IF(VLOOKUP($B45,errordata,3,FALSE())="UNAV",J45*POLLHOURSFLOWED,IF(LEFT(B45,1)="1",VLOOKUP($B45,totalvolume,2,FALSE())*G45/1000,VLOOKUP($B45,totalvolume,2,FALSE())*G45/1000*-1))</f>
        <v>-0</v>
      </c>
      <c r="J45" s="205" t="n">
        <f aca="false">O45+T45</f>
        <v>-0</v>
      </c>
      <c r="K45" s="206" t="n">
        <f aca="false">I45-J45</f>
        <v>0</v>
      </c>
      <c r="L45" s="79" t="n">
        <f aca="false">L44+I45</f>
        <v>283.130893626841</v>
      </c>
      <c r="M45" s="200" t="n">
        <f aca="false">M44+J45</f>
        <v>240.0600375</v>
      </c>
      <c r="N45" s="79" t="n">
        <f aca="false">IF(F45="CIG",O45,IF(F45="OBA",O45,IF(F45="HPL",I45-T45,IF(ISERR((O45/$J45)*$I45),0,IF(F45="TP",(O45/$J45)*$I45)))))</f>
        <v>-0</v>
      </c>
      <c r="O45" s="205" t="n">
        <f aca="false">IF(LEFT(B45,1)="1",VLOOKUP(B45,Cigsch,3,FALSE())/1000,VLOOKUP(B45,Cigsch,3,FALSE())/1000*-1)*POLLHOURSFLOWED</f>
        <v>-0</v>
      </c>
      <c r="P45" s="206" t="n">
        <f aca="false">N45-O45</f>
        <v>0</v>
      </c>
      <c r="Q45" s="79" t="n">
        <f aca="false">Q44+N45</f>
        <v>90.3470513977778</v>
      </c>
      <c r="R45" s="201" t="n">
        <f aca="false">R44+O45</f>
        <v>75.4715868055556</v>
      </c>
      <c r="S45" s="207" t="n">
        <f aca="false">I45-N45</f>
        <v>0</v>
      </c>
      <c r="T45" s="205" t="n">
        <f aca="false">IF(LEFT(B45,1)="1",VLOOKUP(B45,Cigsch,2,FALSE())/1000,VLOOKUP(B45,Cigsch,2,FALSE())/1000*-1)*POLLHOURSFLOWED</f>
        <v>-0</v>
      </c>
      <c r="U45" s="206" t="n">
        <f aca="false">S45-T45</f>
        <v>0</v>
      </c>
      <c r="V45" s="203" t="n">
        <f aca="false">V44+S45</f>
        <v>192.783842229064</v>
      </c>
      <c r="W45" s="79" t="n">
        <f aca="false">W44+T45</f>
        <v>164.588450694444</v>
      </c>
      <c r="X45" s="208" t="n">
        <f aca="false">S45-Y45</f>
        <v>0</v>
      </c>
      <c r="Y45" s="209" t="n">
        <f aca="false">IF(F45="OBA",I45-J45,0)</f>
        <v>0</v>
      </c>
      <c r="AB45" s="194"/>
      <c r="AC45" s="194"/>
    </row>
    <row r="46" customFormat="false" ht="12.75" hidden="false" customHeight="false" outlineLevel="0" collapsed="false">
      <c r="A46" s="253" t="n">
        <v>801</v>
      </c>
      <c r="B46" s="179" t="n">
        <v>26083</v>
      </c>
      <c r="C46" s="178"/>
      <c r="D46" s="179" t="s">
        <v>162</v>
      </c>
      <c r="E46" s="179" t="s">
        <v>116</v>
      </c>
      <c r="F46" s="180" t="s">
        <v>116</v>
      </c>
      <c r="G46" s="181" t="n">
        <f aca="false">VLOOKUP($B46,BTU,2,FALSE())/1000</f>
        <v>1.018</v>
      </c>
      <c r="H46" s="182" t="str">
        <f aca="false">VLOOKUP($B46,spotdata,3,FALSE())</f>
        <v>    </v>
      </c>
      <c r="I46" s="204" t="n">
        <f aca="false">IF(VLOOKUP($B46,errordata,3,FALSE())="UNAV",J46*POLLHOURSFLOWED,IF(LEFT(B46,1)="1",VLOOKUP($B46,totalvolume,2,FALSE())*G46/1000,VLOOKUP($B46,totalvolume,2,FALSE())*G46/1000*-1))</f>
        <v>-4.420219625</v>
      </c>
      <c r="J46" s="205" t="n">
        <f aca="false">O46+T46</f>
        <v>-4.43402777777778</v>
      </c>
      <c r="K46" s="206" t="n">
        <f aca="false">I46-J46</f>
        <v>0.013808152777778</v>
      </c>
      <c r="L46" s="79" t="n">
        <f aca="false">L45+I46</f>
        <v>278.710674001841</v>
      </c>
      <c r="M46" s="200" t="n">
        <f aca="false">M45+J46</f>
        <v>235.626009722222</v>
      </c>
      <c r="N46" s="79" t="n">
        <f aca="false">IF(F46="CIG",O46,IF(F46="OBA",O46,IF(F46="HPL",I46-T46,IF(ISERR((O46/$J46)*$I46),0,IF(F46="TP",(O46/$J46)*$I46)))))</f>
        <v>-0</v>
      </c>
      <c r="O46" s="205" t="n">
        <f aca="false">IF(LEFT(B46,1)="1",VLOOKUP(B46,Cigsch,3,FALSE())/1000,VLOOKUP(B46,Cigsch,3,FALSE())/1000*-1)*POLLHOURSFLOWED</f>
        <v>-0</v>
      </c>
      <c r="P46" s="206" t="n">
        <f aca="false">N46-O46</f>
        <v>0</v>
      </c>
      <c r="Q46" s="79" t="n">
        <f aca="false">Q45+N46</f>
        <v>90.3470513977778</v>
      </c>
      <c r="R46" s="201" t="n">
        <f aca="false">R45+O46</f>
        <v>75.4715868055556</v>
      </c>
      <c r="S46" s="207" t="n">
        <f aca="false">I46-N46</f>
        <v>-4.420219625</v>
      </c>
      <c r="T46" s="205" t="n">
        <f aca="false">IF(LEFT(B46,1)="1",VLOOKUP(B46,Cigsch,2,FALSE())/1000,VLOOKUP(B46,Cigsch,2,FALSE())/1000*-1)*POLLHOURSFLOWED</f>
        <v>-4.43402777777778</v>
      </c>
      <c r="U46" s="206" t="n">
        <f aca="false">S46-T46</f>
        <v>0.013808152777778</v>
      </c>
      <c r="V46" s="203" t="n">
        <f aca="false">V45+S46</f>
        <v>188.363622604064</v>
      </c>
      <c r="W46" s="79" t="n">
        <f aca="false">W45+T46</f>
        <v>160.154422916667</v>
      </c>
      <c r="X46" s="208" t="n">
        <f aca="false">S46-Y46</f>
        <v>-4.420219625</v>
      </c>
      <c r="Y46" s="209" t="n">
        <f aca="false">IF(F46="OBA",I46-J46,0)</f>
        <v>0</v>
      </c>
      <c r="AB46" s="194"/>
      <c r="AC46" s="194"/>
    </row>
    <row r="47" customFormat="false" ht="12.75" hidden="false" customHeight="false" outlineLevel="0" collapsed="false">
      <c r="A47" s="253" t="n">
        <v>801</v>
      </c>
      <c r="B47" s="179" t="n">
        <v>26124</v>
      </c>
      <c r="C47" s="178"/>
      <c r="D47" s="179" t="s">
        <v>163</v>
      </c>
      <c r="E47" s="179" t="s">
        <v>116</v>
      </c>
      <c r="F47" s="180" t="s">
        <v>116</v>
      </c>
      <c r="G47" s="181" t="n">
        <f aca="false">VLOOKUP($B47,BTU,2,FALSE())/1000</f>
        <v>1.015</v>
      </c>
      <c r="H47" s="182" t="str">
        <f aca="false">VLOOKUP($B47,spotdata,3,FALSE())</f>
        <v>    </v>
      </c>
      <c r="I47" s="204" t="n">
        <f aca="false">IF(VLOOKUP($B47,errordata,3,FALSE())="UNAV",J47*POLLHOURSFLOWED,IF(LEFT(B47,1)="1",VLOOKUP($B47,totalvolume,2,FALSE())*G47/1000,VLOOKUP($B47,totalvolume,2,FALSE())*G47/1000*-1))</f>
        <v>-6.79126290115</v>
      </c>
      <c r="J47" s="205" t="n">
        <f aca="false">O47+T47</f>
        <v>-13.3020833333333</v>
      </c>
      <c r="K47" s="206" t="n">
        <f aca="false">I47-J47</f>
        <v>6.51082043218333</v>
      </c>
      <c r="L47" s="79" t="n">
        <f aca="false">L46+I47</f>
        <v>271.919411100691</v>
      </c>
      <c r="M47" s="200" t="n">
        <f aca="false">M46+J47</f>
        <v>222.323926388889</v>
      </c>
      <c r="N47" s="79" t="n">
        <f aca="false">IF(F47="CIG",O47,IF(F47="OBA",O47,IF(F47="HPL",I47-T47,IF(ISERR((O47/$J47)*$I47),0,IF(F47="TP",(O47/$J47)*$I47)))))</f>
        <v>-0</v>
      </c>
      <c r="O47" s="205" t="n">
        <f aca="false">IF(LEFT(B47,1)="1",VLOOKUP(B47,Cigsch,3,FALSE())/1000,VLOOKUP(B47,Cigsch,3,FALSE())/1000*-1)*POLLHOURSFLOWED</f>
        <v>-0</v>
      </c>
      <c r="P47" s="206" t="n">
        <f aca="false">N47-O47</f>
        <v>0</v>
      </c>
      <c r="Q47" s="79" t="n">
        <f aca="false">Q46+N47</f>
        <v>90.3470513977778</v>
      </c>
      <c r="R47" s="201" t="n">
        <f aca="false">R46+O47</f>
        <v>75.4715868055556</v>
      </c>
      <c r="S47" s="207" t="n">
        <f aca="false">I47-N47</f>
        <v>-6.79126290115</v>
      </c>
      <c r="T47" s="205" t="n">
        <f aca="false">IF(LEFT(B47,1)="1",VLOOKUP(B47,Cigsch,2,FALSE())/1000,VLOOKUP(B47,Cigsch,2,FALSE())/1000*-1)*POLLHOURSFLOWED</f>
        <v>-13.3020833333333</v>
      </c>
      <c r="U47" s="206" t="n">
        <f aca="false">S47-T47</f>
        <v>6.51082043218333</v>
      </c>
      <c r="V47" s="203" t="n">
        <f aca="false">V46+S47</f>
        <v>181.572359702914</v>
      </c>
      <c r="W47" s="79" t="n">
        <f aca="false">W46+T47</f>
        <v>146.852339583333</v>
      </c>
      <c r="X47" s="208" t="n">
        <f aca="false">S47-Y47</f>
        <v>-6.79126290115</v>
      </c>
      <c r="Y47" s="209" t="n">
        <f aca="false">IF(F47="OBA",I47-J47,0)</f>
        <v>0</v>
      </c>
      <c r="AB47" s="194"/>
      <c r="AC47" s="194"/>
    </row>
    <row r="48" customFormat="false" ht="12.75" hidden="false" customHeight="false" outlineLevel="0" collapsed="false">
      <c r="A48" s="253" t="n">
        <v>801</v>
      </c>
      <c r="B48" s="179" t="n">
        <v>26101</v>
      </c>
      <c r="C48" s="178" t="n">
        <v>3543</v>
      </c>
      <c r="D48" s="179" t="s">
        <v>164</v>
      </c>
      <c r="E48" s="179" t="s">
        <v>149</v>
      </c>
      <c r="F48" s="180" t="s">
        <v>149</v>
      </c>
      <c r="G48" s="181" t="n">
        <f aca="false">VLOOKUP($B48,BTU,2,FALSE())/1000</f>
        <v>1.016</v>
      </c>
      <c r="H48" s="182" t="str">
        <f aca="false">VLOOKUP($B48,spotdata,3,FALSE())</f>
        <v>    </v>
      </c>
      <c r="I48" s="204" t="n">
        <f aca="false">IF(VLOOKUP($B48,errordata,3,FALSE())="UNAV",J48*POLLHOURSFLOWED,IF(LEFT(B48,1)="1",VLOOKUP($B48,totalvolume,2,FALSE())*G48/1000,VLOOKUP($B48,totalvolume,2,FALSE())*G48/1000*-1))</f>
        <v>-0</v>
      </c>
      <c r="J48" s="205" t="n">
        <f aca="false">O48+T48</f>
        <v>-0</v>
      </c>
      <c r="K48" s="206" t="n">
        <f aca="false">I48-J48</f>
        <v>0</v>
      </c>
      <c r="L48" s="79" t="n">
        <f aca="false">L47+I48</f>
        <v>271.919411100691</v>
      </c>
      <c r="M48" s="200" t="n">
        <f aca="false">M47+J48</f>
        <v>222.323926388889</v>
      </c>
      <c r="N48" s="79" t="n">
        <f aca="false">IF(F48="CIG",O48,IF(F48="OBA",O48,IF(F48="HPL",I48-T48,IF(ISERR((O48/$J48)*$I48),0,IF(F48="TP",(O48/$J48)*$I48)))))</f>
        <v>0</v>
      </c>
      <c r="O48" s="205" t="n">
        <f aca="false">IF(LEFT(B48,1)="1",VLOOKUP(B48,Cigsch,3,FALSE())/1000,VLOOKUP(B48,Cigsch,3,FALSE())/1000*-1)*POLLHOURSFLOWED</f>
        <v>-0</v>
      </c>
      <c r="P48" s="206" t="n">
        <f aca="false">N48-O48</f>
        <v>0</v>
      </c>
      <c r="Q48" s="79" t="n">
        <f aca="false">Q47+N48</f>
        <v>90.3470513977778</v>
      </c>
      <c r="R48" s="201" t="n">
        <f aca="false">R47+O48</f>
        <v>75.4715868055556</v>
      </c>
      <c r="S48" s="207" t="n">
        <f aca="false">I48-N48</f>
        <v>-0</v>
      </c>
      <c r="T48" s="205" t="n">
        <f aca="false">IF(LEFT(B48,1)="1",VLOOKUP(B48,Cigsch,2,FALSE())/1000,VLOOKUP(B48,Cigsch,2,FALSE())/1000*-1)*POLLHOURSFLOWED</f>
        <v>-0</v>
      </c>
      <c r="U48" s="206" t="n">
        <f aca="false">S48-T48</f>
        <v>0</v>
      </c>
      <c r="V48" s="203" t="n">
        <f aca="false">V47+S48</f>
        <v>181.572359702914</v>
      </c>
      <c r="W48" s="79" t="n">
        <f aca="false">W47+T48</f>
        <v>146.852339583333</v>
      </c>
      <c r="X48" s="208" t="n">
        <f aca="false">S48-Y48</f>
        <v>-0</v>
      </c>
      <c r="Y48" s="209" t="n">
        <f aca="false">IF(F48="OBA",I48-J48,0)</f>
        <v>0</v>
      </c>
      <c r="AB48" s="194"/>
      <c r="AC48" s="194"/>
    </row>
    <row r="49" customFormat="false" ht="12.75" hidden="false" customHeight="false" outlineLevel="0" collapsed="false">
      <c r="A49" s="256" t="n">
        <v>801</v>
      </c>
      <c r="B49" s="257" t="n">
        <v>16222</v>
      </c>
      <c r="C49" s="258" t="n">
        <v>6040</v>
      </c>
      <c r="D49" s="259" t="s">
        <v>165</v>
      </c>
      <c r="E49" s="257" t="s">
        <v>149</v>
      </c>
      <c r="F49" s="260" t="s">
        <v>149</v>
      </c>
      <c r="G49" s="261" t="n">
        <f aca="false">VLOOKUP($B49,BTU,2,FALSE())/1000</f>
        <v>1.025</v>
      </c>
      <c r="H49" s="262" t="str">
        <f aca="false">VLOOKUP($B49,spotdata,3,FALSE())</f>
        <v>    </v>
      </c>
      <c r="I49" s="263" t="n">
        <f aca="false">IF(VLOOKUP($B49,errordata,3,FALSE())="UNAV",J49*POLLHOURSFLOWED,IF(LEFT(B49,1)="1",VLOOKUP($B49,totalvolume,2,FALSE())*G49/1000,VLOOKUP($B49,totalvolume,2,FALSE())*G49/1000*-1))</f>
        <v>18.72193332</v>
      </c>
      <c r="J49" s="264" t="n">
        <f aca="false">O49+T49</f>
        <v>18.4358006944444</v>
      </c>
      <c r="K49" s="265" t="n">
        <f aca="false">I49-J49</f>
        <v>0.28613262555556</v>
      </c>
      <c r="L49" s="266" t="n">
        <f aca="false">L48+I49</f>
        <v>290.641344420691</v>
      </c>
      <c r="M49" s="267" t="n">
        <f aca="false">M48+J49</f>
        <v>240.759727083333</v>
      </c>
      <c r="N49" s="266" t="n">
        <f aca="false">IF(F49="CIG",O49,IF(F49="OBA",O49,IF(F49="HPL",I49-T49,IF(ISERR((O49/$J49)*$I49),0,IF(F49="TP",(O49/$J49)*$I49)))))</f>
        <v>10.9490826255556</v>
      </c>
      <c r="O49" s="264" t="n">
        <f aca="false">IF(LEFT(B49,1)="1",VLOOKUP(B49,Cigsch,3,FALSE())/1000,VLOOKUP(B49,Cigsch,3,FALSE())/1000*-1)*POLLHOURSFLOWED</f>
        <v>10.66295</v>
      </c>
      <c r="P49" s="265" t="n">
        <f aca="false">N49-O49</f>
        <v>0.28613262555556</v>
      </c>
      <c r="Q49" s="266" t="n">
        <f aca="false">Q48+N49</f>
        <v>101.296134023333</v>
      </c>
      <c r="R49" s="268" t="n">
        <f aca="false">R48+O49</f>
        <v>86.1345368055556</v>
      </c>
      <c r="S49" s="269" t="n">
        <f aca="false">I49-N49</f>
        <v>7.77285069444444</v>
      </c>
      <c r="T49" s="264" t="n">
        <f aca="false">IF(LEFT(B49,1)="1",VLOOKUP(B49,Cigsch,2,FALSE())/1000,VLOOKUP(B49,Cigsch,2,FALSE())/1000*-1)*POLLHOURSFLOWED</f>
        <v>7.77285069444444</v>
      </c>
      <c r="U49" s="265" t="n">
        <f aca="false">S49-T49</f>
        <v>0</v>
      </c>
      <c r="V49" s="270" t="n">
        <f aca="false">V48+S49</f>
        <v>189.345210397358</v>
      </c>
      <c r="W49" s="266" t="n">
        <f aca="false">W48+T49</f>
        <v>154.625190277778</v>
      </c>
      <c r="X49" s="271" t="n">
        <f aca="false">S49-Y49</f>
        <v>7.77285069444444</v>
      </c>
      <c r="Y49" s="272" t="n">
        <f aca="false">IF(F49="OBA",I49-J49,0)</f>
        <v>0</v>
      </c>
      <c r="Z49" s="235"/>
      <c r="AA49" s="235"/>
      <c r="AB49" s="236"/>
      <c r="AC49" s="236"/>
      <c r="AD49" s="235"/>
      <c r="AE49" s="235"/>
      <c r="AF49" s="235"/>
      <c r="AG49" s="235"/>
      <c r="AH49" s="235"/>
      <c r="AI49" s="235"/>
      <c r="AJ49" s="235"/>
      <c r="AK49" s="235"/>
      <c r="AL49" s="235"/>
      <c r="AM49" s="235"/>
      <c r="AN49" s="235"/>
      <c r="AO49" s="235"/>
      <c r="AP49" s="235"/>
      <c r="AQ49" s="235"/>
      <c r="AR49" s="235"/>
      <c r="AS49" s="235"/>
      <c r="AT49" s="235"/>
      <c r="AU49" s="235"/>
      <c r="AV49" s="235"/>
      <c r="AW49" s="235"/>
      <c r="AX49" s="235"/>
      <c r="AY49" s="235"/>
      <c r="AZ49" s="235"/>
      <c r="BA49" s="235"/>
      <c r="BB49" s="235"/>
      <c r="BC49" s="235"/>
      <c r="BD49" s="235"/>
      <c r="BE49" s="235"/>
      <c r="BF49" s="235"/>
      <c r="BG49" s="235"/>
      <c r="BH49" s="235"/>
      <c r="BI49" s="235"/>
      <c r="BJ49" s="235"/>
      <c r="BK49" s="235"/>
      <c r="BL49" s="235"/>
      <c r="BM49" s="235"/>
      <c r="BN49" s="235"/>
      <c r="BO49" s="235"/>
      <c r="BP49" s="235"/>
      <c r="BQ49" s="235"/>
      <c r="BR49" s="235"/>
      <c r="BS49" s="235"/>
      <c r="BT49" s="235"/>
      <c r="BU49" s="235"/>
      <c r="BV49" s="235"/>
      <c r="BW49" s="235"/>
      <c r="BX49" s="235"/>
      <c r="BY49" s="235"/>
      <c r="BZ49" s="235"/>
      <c r="CA49" s="235"/>
      <c r="CB49" s="235"/>
      <c r="CC49" s="235"/>
      <c r="CD49" s="235"/>
      <c r="CE49" s="235"/>
      <c r="CF49" s="235"/>
      <c r="CG49" s="235"/>
      <c r="CH49" s="235"/>
      <c r="CI49" s="235"/>
      <c r="CJ49" s="235"/>
      <c r="CK49" s="235"/>
      <c r="CL49" s="235"/>
      <c r="CM49" s="235"/>
      <c r="CN49" s="235"/>
      <c r="CO49" s="235"/>
      <c r="CP49" s="235"/>
      <c r="CQ49" s="235"/>
      <c r="CR49" s="235"/>
      <c r="CS49" s="235"/>
      <c r="CT49" s="235"/>
      <c r="CU49" s="235"/>
      <c r="CV49" s="235"/>
      <c r="CW49" s="235"/>
      <c r="CX49" s="235"/>
      <c r="CY49" s="235"/>
      <c r="CZ49" s="235"/>
      <c r="DA49" s="235"/>
      <c r="DB49" s="235"/>
      <c r="DC49" s="235"/>
      <c r="DD49" s="235"/>
      <c r="DE49" s="235"/>
      <c r="DF49" s="235"/>
      <c r="DG49" s="235"/>
      <c r="DH49" s="235"/>
      <c r="DI49" s="235"/>
      <c r="DJ49" s="235"/>
      <c r="DK49" s="235"/>
      <c r="DL49" s="235"/>
      <c r="DM49" s="235"/>
      <c r="DN49" s="235"/>
      <c r="DO49" s="235"/>
      <c r="DP49" s="235"/>
      <c r="DQ49" s="235"/>
      <c r="DR49" s="235"/>
      <c r="DS49" s="235"/>
      <c r="DT49" s="235"/>
      <c r="DU49" s="235"/>
      <c r="DV49" s="235"/>
      <c r="DW49" s="235"/>
      <c r="DX49" s="235"/>
      <c r="DY49" s="235"/>
      <c r="DZ49" s="235"/>
      <c r="EA49" s="235"/>
      <c r="EB49" s="235"/>
      <c r="EC49" s="235"/>
      <c r="ED49" s="235"/>
      <c r="EE49" s="235"/>
      <c r="EF49" s="235"/>
      <c r="EG49" s="235"/>
      <c r="EH49" s="235"/>
      <c r="EI49" s="235"/>
      <c r="EJ49" s="235"/>
      <c r="EK49" s="235"/>
      <c r="EL49" s="235"/>
      <c r="EM49" s="235"/>
      <c r="EN49" s="235"/>
      <c r="EO49" s="235"/>
      <c r="EP49" s="235"/>
      <c r="EQ49" s="235"/>
      <c r="ER49" s="235"/>
      <c r="ES49" s="235"/>
      <c r="ET49" s="235"/>
      <c r="EU49" s="235"/>
      <c r="EV49" s="235"/>
      <c r="EW49" s="235"/>
      <c r="EX49" s="235"/>
      <c r="EY49" s="235"/>
      <c r="EZ49" s="235"/>
      <c r="FA49" s="235"/>
      <c r="FB49" s="235"/>
      <c r="FC49" s="235"/>
      <c r="FD49" s="235"/>
      <c r="FE49" s="235"/>
      <c r="FF49" s="235"/>
      <c r="FG49" s="235"/>
      <c r="FH49" s="235"/>
      <c r="FI49" s="235"/>
      <c r="FJ49" s="235"/>
      <c r="FK49" s="235"/>
      <c r="FL49" s="235"/>
      <c r="FM49" s="235"/>
      <c r="FN49" s="235"/>
      <c r="FO49" s="235"/>
      <c r="FP49" s="235"/>
      <c r="FQ49" s="235"/>
      <c r="FR49" s="235"/>
      <c r="FS49" s="235"/>
      <c r="FT49" s="235"/>
      <c r="FU49" s="235"/>
      <c r="FV49" s="235"/>
      <c r="FW49" s="235"/>
      <c r="FX49" s="235"/>
      <c r="FY49" s="235"/>
      <c r="FZ49" s="235"/>
      <c r="GA49" s="235"/>
      <c r="GB49" s="235"/>
      <c r="GC49" s="235"/>
      <c r="GD49" s="235"/>
      <c r="GE49" s="235"/>
      <c r="GF49" s="235"/>
      <c r="GG49" s="235"/>
      <c r="GH49" s="235"/>
      <c r="GI49" s="235"/>
      <c r="GJ49" s="235"/>
      <c r="GK49" s="235"/>
      <c r="GL49" s="235"/>
      <c r="GM49" s="235"/>
      <c r="GN49" s="235"/>
      <c r="GO49" s="235"/>
      <c r="GP49" s="235"/>
      <c r="GQ49" s="235"/>
      <c r="GR49" s="235"/>
      <c r="GS49" s="235"/>
      <c r="GT49" s="235"/>
      <c r="GU49" s="235"/>
      <c r="GV49" s="235"/>
      <c r="GW49" s="235"/>
      <c r="GX49" s="235"/>
      <c r="GY49" s="235"/>
      <c r="GZ49" s="235"/>
      <c r="HA49" s="235"/>
      <c r="HB49" s="235"/>
      <c r="HC49" s="235"/>
      <c r="HD49" s="235"/>
      <c r="HE49" s="235"/>
      <c r="HF49" s="235"/>
      <c r="HG49" s="235"/>
      <c r="HH49" s="235"/>
      <c r="HI49" s="235"/>
      <c r="HJ49" s="235"/>
      <c r="HK49" s="235"/>
      <c r="HL49" s="235"/>
      <c r="HM49" s="235"/>
      <c r="HN49" s="235"/>
      <c r="HO49" s="235"/>
      <c r="HP49" s="235"/>
      <c r="HQ49" s="235"/>
      <c r="HR49" s="235"/>
      <c r="HS49" s="235"/>
      <c r="HT49" s="235"/>
      <c r="HU49" s="235"/>
      <c r="HV49" s="235"/>
      <c r="HW49" s="235"/>
      <c r="HX49" s="235"/>
      <c r="HY49" s="235"/>
      <c r="HZ49" s="235"/>
      <c r="IA49" s="235"/>
      <c r="IB49" s="235"/>
      <c r="IC49" s="235"/>
      <c r="ID49" s="235"/>
      <c r="IE49" s="235"/>
      <c r="IF49" s="235"/>
      <c r="IG49" s="235"/>
      <c r="IH49" s="235"/>
      <c r="II49" s="235"/>
      <c r="IJ49" s="235"/>
      <c r="IK49" s="235"/>
      <c r="IL49" s="235"/>
      <c r="IM49" s="235"/>
      <c r="IN49" s="235"/>
      <c r="IO49" s="235"/>
      <c r="IP49" s="235"/>
      <c r="IQ49" s="235"/>
      <c r="IR49" s="235"/>
      <c r="IS49" s="235"/>
      <c r="IT49" s="235"/>
      <c r="IU49" s="235"/>
      <c r="IV49" s="235"/>
      <c r="IW49" s="235"/>
    </row>
    <row r="50" customFormat="false" ht="12.75" hidden="false" customHeight="false" outlineLevel="0" collapsed="false">
      <c r="A50" s="273" t="n">
        <v>802</v>
      </c>
      <c r="B50" s="211" t="n">
        <v>16069</v>
      </c>
      <c r="C50" s="210" t="n">
        <v>3525</v>
      </c>
      <c r="D50" s="211" t="s">
        <v>166</v>
      </c>
      <c r="E50" s="211" t="s">
        <v>149</v>
      </c>
      <c r="F50" s="212" t="s">
        <v>149</v>
      </c>
      <c r="G50" s="213" t="n">
        <f aca="false">VLOOKUP($B50,BTU,2,FALSE())/1000</f>
        <v>1.025</v>
      </c>
      <c r="H50" s="182" t="str">
        <f aca="false">VLOOKUP($B50,spotdata,3,FALSE())</f>
        <v>    </v>
      </c>
      <c r="I50" s="204" t="n">
        <f aca="false">IF(VLOOKUP($B50,errordata,3,FALSE())="UNAV",J50*POLLHOURSFLOWED,IF(LEFT(B50,1)="1",VLOOKUP($B50,totalvolume,2,FALSE())*G50/1000,VLOOKUP($B50,totalvolume,2,FALSE())*G50/1000*-1))</f>
        <v>0</v>
      </c>
      <c r="J50" s="205" t="n">
        <f aca="false">O50+T50</f>
        <v>0</v>
      </c>
      <c r="K50" s="206" t="n">
        <f aca="false">I50-J50</f>
        <v>0</v>
      </c>
      <c r="L50" s="79" t="n">
        <f aca="false">L49+I50</f>
        <v>290.641344420691</v>
      </c>
      <c r="M50" s="200" t="n">
        <f aca="false">M49+J50</f>
        <v>240.759727083333</v>
      </c>
      <c r="N50" s="79" t="n">
        <f aca="false">IF(F50="CIG",O50,IF(F50="OBA",O50,IF(F50="HPL",I50-T50,IF(ISERR((O50/$J50)*$I50),0,IF(F50="TP",(O50/$J50)*$I50)))))</f>
        <v>0</v>
      </c>
      <c r="O50" s="205" t="n">
        <f aca="false">IF(LEFT(B50,1)="1",VLOOKUP(B50,Cigsch,3,FALSE())/1000,VLOOKUP(B50,Cigsch,3,FALSE())/1000*-1)*POLLHOURSFLOWED</f>
        <v>0</v>
      </c>
      <c r="P50" s="206" t="n">
        <f aca="false">N50-O50</f>
        <v>0</v>
      </c>
      <c r="Q50" s="79" t="n">
        <f aca="false">Q49+N50</f>
        <v>101.296134023333</v>
      </c>
      <c r="R50" s="201" t="n">
        <f aca="false">R49+O50</f>
        <v>86.1345368055556</v>
      </c>
      <c r="S50" s="207" t="n">
        <f aca="false">I50-N50</f>
        <v>0</v>
      </c>
      <c r="T50" s="205" t="n">
        <f aca="false">IF(LEFT(B50,1)="1",VLOOKUP(B50,Cigsch,2,FALSE())/1000,VLOOKUP(B50,Cigsch,2,FALSE())/1000*-1)*POLLHOURSFLOWED</f>
        <v>0</v>
      </c>
      <c r="U50" s="206" t="n">
        <f aca="false">S50-T50</f>
        <v>0</v>
      </c>
      <c r="V50" s="203" t="n">
        <f aca="false">V49+S50</f>
        <v>189.345210397358</v>
      </c>
      <c r="W50" s="79" t="n">
        <f aca="false">W49+T50</f>
        <v>154.625190277778</v>
      </c>
      <c r="X50" s="208" t="n">
        <f aca="false">S50-Y50</f>
        <v>0</v>
      </c>
      <c r="Y50" s="209" t="n">
        <f aca="false">IF(F50="OBA",I50-J50,0)</f>
        <v>0</v>
      </c>
      <c r="AB50" s="194"/>
      <c r="AC50" s="194"/>
    </row>
    <row r="51" customFormat="false" ht="13.5" hidden="false" customHeight="false" outlineLevel="0" collapsed="false">
      <c r="A51" s="274" t="n">
        <v>802</v>
      </c>
      <c r="B51" s="239" t="n">
        <v>26093</v>
      </c>
      <c r="C51" s="238"/>
      <c r="D51" s="239" t="s">
        <v>167</v>
      </c>
      <c r="E51" s="239" t="s">
        <v>149</v>
      </c>
      <c r="F51" s="240" t="s">
        <v>149</v>
      </c>
      <c r="G51" s="241" t="n">
        <f aca="false">VLOOKUP($B51,BTU,2,FALSE())/1000</f>
        <v>1.025</v>
      </c>
      <c r="H51" s="242" t="str">
        <f aca="false">VLOOKUP($B51,spotdata,3,FALSE())</f>
        <v>    </v>
      </c>
      <c r="I51" s="243" t="n">
        <f aca="false">IF(VLOOKUP($B51,errordata,3,FALSE())="UNAV",J51*POLLHOURSFLOWED,IF(LEFT(B51,1)="1",VLOOKUP($B51,totalvolume,2,FALSE())*G51/1000,VLOOKUP($B51,totalvolume,2,FALSE())*G51/1000*-1))</f>
        <v>-0</v>
      </c>
      <c r="J51" s="244" t="n">
        <f aca="false">O51+T51</f>
        <v>-0</v>
      </c>
      <c r="K51" s="245" t="n">
        <f aca="false">I51-J51</f>
        <v>0</v>
      </c>
      <c r="L51" s="246" t="n">
        <f aca="false">L50+I51</f>
        <v>290.641344420691</v>
      </c>
      <c r="M51" s="247" t="n">
        <f aca="false">M50+J51</f>
        <v>240.759727083333</v>
      </c>
      <c r="N51" s="246" t="n">
        <f aca="false">IF(F51="CIG",O51,IF(F51="OBA",O51,IF(F51="HPL",I51-T51,IF(ISERR((O51/$J51)*$I51),0,IF(F51="TP",(O51/$J51)*$I51)))))</f>
        <v>0</v>
      </c>
      <c r="O51" s="244" t="n">
        <f aca="false">IF(LEFT(B51,1)="1",VLOOKUP(B51,Cigsch,3,FALSE())/1000,VLOOKUP(B51,Cigsch,3,FALSE())/1000*-1)*POLLHOURSFLOWED</f>
        <v>-0</v>
      </c>
      <c r="P51" s="245" t="n">
        <f aca="false">N51-O51</f>
        <v>0</v>
      </c>
      <c r="Q51" s="246" t="n">
        <f aca="false">Q50+N51</f>
        <v>101.296134023333</v>
      </c>
      <c r="R51" s="248" t="n">
        <f aca="false">R50+O51</f>
        <v>86.1345368055556</v>
      </c>
      <c r="S51" s="249" t="n">
        <f aca="false">I51-N51</f>
        <v>-0</v>
      </c>
      <c r="T51" s="244" t="n">
        <f aca="false">IF(LEFT(B51,1)="1",VLOOKUP(B51,Cigsch,2,FALSE())/1000,VLOOKUP(B51,Cigsch,2,FALSE())/1000*-1)*POLLHOURSFLOWED</f>
        <v>-0</v>
      </c>
      <c r="U51" s="245" t="n">
        <f aca="false">S51-T51</f>
        <v>0</v>
      </c>
      <c r="V51" s="250" t="n">
        <f aca="false">V50+S51</f>
        <v>189.345210397358</v>
      </c>
      <c r="W51" s="246" t="n">
        <f aca="false">W50+T51</f>
        <v>154.625190277778</v>
      </c>
      <c r="X51" s="251" t="n">
        <f aca="false">S51-Y51</f>
        <v>-0</v>
      </c>
      <c r="Y51" s="252" t="n">
        <f aca="false">IF(F51="OBA",I51-J51,0)</f>
        <v>0</v>
      </c>
      <c r="AB51" s="194"/>
      <c r="AC51" s="194"/>
    </row>
    <row r="52" customFormat="false" ht="12.75" hidden="false" customHeight="false" outlineLevel="0" collapsed="false">
      <c r="A52" s="253" t="n">
        <v>803</v>
      </c>
      <c r="B52" s="214" t="n">
        <v>26046</v>
      </c>
      <c r="C52" s="178"/>
      <c r="D52" s="179" t="s">
        <v>168</v>
      </c>
      <c r="E52" s="179" t="s">
        <v>116</v>
      </c>
      <c r="F52" s="180" t="s">
        <v>116</v>
      </c>
      <c r="G52" s="181" t="n">
        <f aca="false">VLOOKUP($B52,BTU,2,FALSE())/1000</f>
        <v>1.017</v>
      </c>
      <c r="H52" s="182" t="str">
        <f aca="false">VLOOKUP($B52,spotdata,3,FALSE())</f>
        <v>    </v>
      </c>
      <c r="I52" s="204" t="n">
        <f aca="false">IF(VLOOKUP($B52,errordata,3,FALSE())="UNAV",J52*POLLHOURSFLOWED,IF(LEFT(B52,1)="1",VLOOKUP($B52,totalvolume,2,FALSE())*G52/1000,VLOOKUP($B52,totalvolume,2,FALSE())*G52/1000*-1))</f>
        <v>-0</v>
      </c>
      <c r="J52" s="205" t="n">
        <f aca="false">O52+T52</f>
        <v>-0</v>
      </c>
      <c r="K52" s="206" t="n">
        <f aca="false">I52-J52</f>
        <v>0</v>
      </c>
      <c r="L52" s="79" t="n">
        <f aca="false">L51+I52</f>
        <v>290.641344420691</v>
      </c>
      <c r="M52" s="200" t="n">
        <f aca="false">M51+J52</f>
        <v>240.759727083333</v>
      </c>
      <c r="N52" s="79" t="n">
        <f aca="false">IF(F52="CIG",O52,IF(F52="OBA",O52,IF(F52="HPL",I52-T52,IF(ISERR((O52/$J52)*$I52),0,IF(F52="TP",(O52/$J52)*$I52)))))</f>
        <v>-0</v>
      </c>
      <c r="O52" s="205" t="n">
        <f aca="false">IF(LEFT(B52,1)="1",VLOOKUP(B52,Cigsch,3,FALSE())/1000,VLOOKUP(B52,Cigsch,3,FALSE())/1000*-1)*POLLHOURSFLOWED</f>
        <v>-0</v>
      </c>
      <c r="P52" s="206" t="n">
        <f aca="false">N52-O52</f>
        <v>0</v>
      </c>
      <c r="Q52" s="79" t="n">
        <f aca="false">Q51+N52</f>
        <v>101.296134023333</v>
      </c>
      <c r="R52" s="201" t="n">
        <f aca="false">R51+O52</f>
        <v>86.1345368055556</v>
      </c>
      <c r="S52" s="207" t="n">
        <f aca="false">I52-N52</f>
        <v>0</v>
      </c>
      <c r="T52" s="205" t="n">
        <f aca="false">IF(LEFT(B52,1)="1",VLOOKUP(B52,Cigsch,2,FALSE())/1000,VLOOKUP(B52,Cigsch,2,FALSE())/1000*-1)*POLLHOURSFLOWED</f>
        <v>-0</v>
      </c>
      <c r="U52" s="206" t="n">
        <f aca="false">S52-T52</f>
        <v>0</v>
      </c>
      <c r="V52" s="203" t="n">
        <f aca="false">V51+S52</f>
        <v>189.345210397358</v>
      </c>
      <c r="W52" s="79" t="n">
        <f aca="false">W51+T52</f>
        <v>154.625190277778</v>
      </c>
      <c r="X52" s="208" t="n">
        <f aca="false">S52-Y52</f>
        <v>0</v>
      </c>
      <c r="Y52" s="209" t="n">
        <f aca="false">IF(F52="OBA",I52-J52,0)</f>
        <v>0</v>
      </c>
      <c r="AB52" s="194"/>
      <c r="AC52" s="194"/>
    </row>
    <row r="53" customFormat="false" ht="12.75" hidden="false" customHeight="false" outlineLevel="0" collapsed="false">
      <c r="A53" s="253" t="n">
        <v>803</v>
      </c>
      <c r="B53" s="179" t="n">
        <v>16152</v>
      </c>
      <c r="C53" s="178"/>
      <c r="D53" s="179" t="s">
        <v>169</v>
      </c>
      <c r="E53" s="179" t="s">
        <v>118</v>
      </c>
      <c r="F53" s="180" t="s">
        <v>156</v>
      </c>
      <c r="G53" s="181" t="n">
        <f aca="false">VLOOKUP($B53,BTU,2,FALSE())/1000</f>
        <v>1.179</v>
      </c>
      <c r="H53" s="182" t="str">
        <f aca="false">VLOOKUP($B53,spotdata,3,FALSE())</f>
        <v>    </v>
      </c>
      <c r="I53" s="204" t="n">
        <f aca="false">IF(VLOOKUP($B53,errordata,3,FALSE())="UNAV",J53*POLLHOURSFLOWED,IF(LEFT(B53,1)="1",VLOOKUP($B53,totalvolume,2,FALSE())*G53/1000,VLOOKUP($B53,totalvolume,2,FALSE())*G53/1000*-1))</f>
        <v>0</v>
      </c>
      <c r="J53" s="205" t="n">
        <f aca="false">O53+T53</f>
        <v>0</v>
      </c>
      <c r="K53" s="206" t="n">
        <f aca="false">I53-J53</f>
        <v>0</v>
      </c>
      <c r="L53" s="79" t="n">
        <f aca="false">L52+I53</f>
        <v>290.641344420691</v>
      </c>
      <c r="M53" s="200" t="n">
        <f aca="false">M52+J53</f>
        <v>240.759727083333</v>
      </c>
      <c r="N53" s="79" t="n">
        <f aca="false">IF(F53="CIG",O53,IF(F53="OBA",O53,IF(F53="HPL",I53-T53,IF(ISERR((O53/$J53)*$I53),0,IF(F53="TP",(O53/$J53)*$I53)))))</f>
        <v>0</v>
      </c>
      <c r="O53" s="205" t="n">
        <f aca="false">IF(LEFT(B53,1)="1",VLOOKUP(B53,Cigsch,3,FALSE())/1000,VLOOKUP(B53,Cigsch,3,FALSE())/1000*-1)*POLLHOURSFLOWED</f>
        <v>0</v>
      </c>
      <c r="P53" s="206" t="n">
        <f aca="false">N53-O53</f>
        <v>0</v>
      </c>
      <c r="Q53" s="79" t="n">
        <f aca="false">Q52+N53</f>
        <v>101.296134023333</v>
      </c>
      <c r="R53" s="201" t="n">
        <f aca="false">R52+O53</f>
        <v>86.1345368055556</v>
      </c>
      <c r="S53" s="207" t="n">
        <f aca="false">I53-N53</f>
        <v>0</v>
      </c>
      <c r="T53" s="205" t="n">
        <f aca="false">IF(LEFT(B53,1)="1",VLOOKUP(B53,Cigsch,2,FALSE())/1000,VLOOKUP(B53,Cigsch,2,FALSE())/1000*-1)*POLLHOURSFLOWED</f>
        <v>0</v>
      </c>
      <c r="U53" s="206" t="n">
        <f aca="false">S53-T53</f>
        <v>0</v>
      </c>
      <c r="V53" s="203" t="n">
        <f aca="false">V52+S53</f>
        <v>189.345210397358</v>
      </c>
      <c r="W53" s="79" t="n">
        <f aca="false">W52+T53</f>
        <v>154.625190277778</v>
      </c>
      <c r="X53" s="208" t="n">
        <f aca="false">S53-Y53</f>
        <v>0</v>
      </c>
      <c r="Y53" s="209" t="n">
        <f aca="false">IF(F53="OBA",I53-J53,0)</f>
        <v>0</v>
      </c>
      <c r="AB53" s="194"/>
      <c r="AC53" s="194"/>
    </row>
    <row r="54" customFormat="false" ht="12.75" hidden="false" customHeight="false" outlineLevel="0" collapsed="false">
      <c r="A54" s="253" t="n">
        <v>803</v>
      </c>
      <c r="B54" s="179" t="n">
        <v>16164</v>
      </c>
      <c r="C54" s="178"/>
      <c r="D54" s="179" t="s">
        <v>170</v>
      </c>
      <c r="E54" s="179" t="s">
        <v>118</v>
      </c>
      <c r="F54" s="180" t="s">
        <v>116</v>
      </c>
      <c r="G54" s="181" t="n">
        <f aca="false">VLOOKUP($B54,BTU,2,FALSE())/1000</f>
        <v>1.025</v>
      </c>
      <c r="H54" s="182" t="str">
        <f aca="false">VLOOKUP($B54,spotdata,3,FALSE())</f>
        <v>UNAV</v>
      </c>
      <c r="I54" s="204" t="n">
        <f aca="false">IF(VLOOKUP($B54,errordata,3,FALSE())="UNAV",J54*POLLHOURSFLOWED,IF(LEFT(B54,1)="1",VLOOKUP($B54,totalvolume,2,FALSE())*G54/1000,VLOOKUP($B54,totalvolume,2,FALSE())*G54/1000*-1))</f>
        <v>0.314569637345679</v>
      </c>
      <c r="J54" s="205" t="n">
        <f aca="false">O54+T54</f>
        <v>0.354722222222222</v>
      </c>
      <c r="K54" s="206" t="n">
        <f aca="false">I54-J54</f>
        <v>-0.0401525848765432</v>
      </c>
      <c r="L54" s="79" t="n">
        <f aca="false">L53+I54</f>
        <v>290.955914058037</v>
      </c>
      <c r="M54" s="200" t="n">
        <f aca="false">M53+J54</f>
        <v>241.114449305556</v>
      </c>
      <c r="N54" s="79" t="n">
        <f aca="false">IF(F54="CIG",O54,IF(F54="OBA",O54,IF(F54="HPL",I54-T54,IF(ISERR((O54/$J54)*$I54),0,IF(F54="TP",(O54/$J54)*$I54)))))</f>
        <v>0</v>
      </c>
      <c r="O54" s="205" t="n">
        <f aca="false">IF(LEFT(B54,1)="1",VLOOKUP(B54,Cigsch,3,FALSE())/1000,VLOOKUP(B54,Cigsch,3,FALSE())/1000*-1)*POLLHOURSFLOWED</f>
        <v>0</v>
      </c>
      <c r="P54" s="206" t="n">
        <f aca="false">N54-O54</f>
        <v>0</v>
      </c>
      <c r="Q54" s="79" t="n">
        <f aca="false">Q53+N54</f>
        <v>101.296134023333</v>
      </c>
      <c r="R54" s="201" t="n">
        <f aca="false">R53+O54</f>
        <v>86.1345368055556</v>
      </c>
      <c r="S54" s="207" t="n">
        <f aca="false">I54-N54</f>
        <v>0.314569637345679</v>
      </c>
      <c r="T54" s="205" t="n">
        <f aca="false">IF(LEFT(B54,1)="1",VLOOKUP(B54,Cigsch,2,FALSE())/1000,VLOOKUP(B54,Cigsch,2,FALSE())/1000*-1)*POLLHOURSFLOWED</f>
        <v>0.354722222222222</v>
      </c>
      <c r="U54" s="206" t="n">
        <f aca="false">S54-T54</f>
        <v>-0.0401525848765432</v>
      </c>
      <c r="V54" s="203" t="n">
        <f aca="false">V53+S54</f>
        <v>189.659780034704</v>
      </c>
      <c r="W54" s="79" t="n">
        <f aca="false">W53+T54</f>
        <v>154.9799125</v>
      </c>
      <c r="X54" s="208" t="n">
        <f aca="false">S54-Y54</f>
        <v>0.314569637345679</v>
      </c>
      <c r="Y54" s="209" t="n">
        <f aca="false">IF(F54="OBA",I54-J54,0)</f>
        <v>0</v>
      </c>
      <c r="AB54" s="194"/>
      <c r="AC54" s="194"/>
    </row>
    <row r="55" customFormat="false" ht="12.75" hidden="false" customHeight="false" outlineLevel="0" collapsed="false">
      <c r="A55" s="253" t="n">
        <v>803</v>
      </c>
      <c r="B55" s="179" t="n">
        <v>16227</v>
      </c>
      <c r="C55" s="178"/>
      <c r="D55" s="179" t="s">
        <v>171</v>
      </c>
      <c r="E55" s="179" t="s">
        <v>149</v>
      </c>
      <c r="F55" s="180" t="s">
        <v>149</v>
      </c>
      <c r="G55" s="181" t="n">
        <f aca="false">VLOOKUP($B55,BTU,2,FALSE())/1000</f>
        <v>1.025</v>
      </c>
      <c r="H55" s="182" t="str">
        <f aca="false">VLOOKUP($B55,spotdata,3,FALSE())</f>
        <v>UNAV</v>
      </c>
      <c r="I55" s="204" t="n">
        <f aca="false">IF(VLOOKUP($B55,errordata,3,FALSE())="UNAV",J55*POLLHOURSFLOWED,IF(LEFT(B55,1)="1",VLOOKUP($B55,totalvolume,2,FALSE())*G55/1000,VLOOKUP($B55,totalvolume,2,FALSE())*G55/1000*-1))</f>
        <v>0</v>
      </c>
      <c r="J55" s="205" t="n">
        <f aca="false">O55+T55</f>
        <v>0</v>
      </c>
      <c r="K55" s="206" t="n">
        <f aca="false">I55-J55</f>
        <v>0</v>
      </c>
      <c r="L55" s="79" t="n">
        <f aca="false">L54+I55</f>
        <v>290.955914058037</v>
      </c>
      <c r="M55" s="200" t="n">
        <f aca="false">M54+J55</f>
        <v>241.114449305556</v>
      </c>
      <c r="N55" s="79" t="n">
        <f aca="false">IF(F55="CIG",O55,IF(F55="OBA",O55,IF(F55="HPL",I55-T55,IF(ISERR((O55/$J55)*$I55),0,IF(F55="TP",(O55/$J55)*$I55)))))</f>
        <v>0</v>
      </c>
      <c r="O55" s="205" t="n">
        <f aca="false">IF(LEFT(B55,1)="1",VLOOKUP(B55,Cigsch,3,FALSE())/1000,VLOOKUP(B55,Cigsch,3,FALSE())/1000*-1)*POLLHOURSFLOWED</f>
        <v>0</v>
      </c>
      <c r="P55" s="206" t="n">
        <f aca="false">N55-O55</f>
        <v>0</v>
      </c>
      <c r="Q55" s="79" t="n">
        <f aca="false">Q54+N55</f>
        <v>101.296134023333</v>
      </c>
      <c r="R55" s="201" t="n">
        <f aca="false">R54+O55</f>
        <v>86.1345368055556</v>
      </c>
      <c r="S55" s="207" t="n">
        <f aca="false">I55-N55</f>
        <v>0</v>
      </c>
      <c r="T55" s="205" t="n">
        <f aca="false">IF(LEFT(B55,1)="1",VLOOKUP(B55,Cigsch,2,FALSE())/1000,VLOOKUP(B55,Cigsch,2,FALSE())/1000*-1)*POLLHOURSFLOWED</f>
        <v>0</v>
      </c>
      <c r="U55" s="206" t="n">
        <f aca="false">S55-T55</f>
        <v>0</v>
      </c>
      <c r="V55" s="203" t="n">
        <f aca="false">V54+S55</f>
        <v>189.659780034704</v>
      </c>
      <c r="W55" s="79" t="n">
        <f aca="false">W54+T55</f>
        <v>154.9799125</v>
      </c>
      <c r="X55" s="208" t="n">
        <f aca="false">S55-Y55</f>
        <v>0</v>
      </c>
      <c r="Y55" s="209" t="n">
        <f aca="false">IF(F55="OBA",I55-J55,0)</f>
        <v>0</v>
      </c>
      <c r="AB55" s="194"/>
      <c r="AC55" s="194"/>
    </row>
    <row r="56" customFormat="false" ht="12.75" hidden="false" customHeight="false" outlineLevel="0" collapsed="false">
      <c r="A56" s="273" t="n">
        <v>803</v>
      </c>
      <c r="B56" s="211" t="n">
        <v>16304</v>
      </c>
      <c r="C56" s="210"/>
      <c r="D56" s="211" t="s">
        <v>172</v>
      </c>
      <c r="E56" s="211" t="s">
        <v>116</v>
      </c>
      <c r="F56" s="212" t="s">
        <v>149</v>
      </c>
      <c r="G56" s="213" t="n">
        <f aca="false">VLOOKUP($B56,BTU,2,FALSE())/1000</f>
        <v>1.025</v>
      </c>
      <c r="H56" s="182" t="str">
        <f aca="false">VLOOKUP($B56,spotdata,3,FALSE())</f>
        <v>UNAV</v>
      </c>
      <c r="I56" s="204" t="n">
        <f aca="false">IF(VLOOKUP($B56,errordata,3,FALSE())="UNAV",J56*POLLHOURSFLOWED,IF(LEFT(B56,1)="1",VLOOKUP($B56,totalvolume,2,FALSE())*G56/1000,VLOOKUP($B56,totalvolume,2,FALSE())*G56/1000*-1))</f>
        <v>0.235927228009259</v>
      </c>
      <c r="J56" s="205" t="n">
        <f aca="false">O56+T56</f>
        <v>0.266041666666667</v>
      </c>
      <c r="K56" s="206" t="n">
        <f aca="false">I56-J56</f>
        <v>-0.0301144386574074</v>
      </c>
      <c r="L56" s="79" t="n">
        <f aca="false">L55+I56</f>
        <v>291.191841286046</v>
      </c>
      <c r="M56" s="200" t="n">
        <f aca="false">M55+J56</f>
        <v>241.380490972222</v>
      </c>
      <c r="N56" s="79" t="n">
        <f aca="false">IF(F56="CIG",O56,IF(F56="OBA",O56,IF(F56="HPL",I56-T56,IF(ISERR((O56/$J56)*$I56),0,IF(F56="TP",(O56/$J56)*$I56)))))</f>
        <v>-0.0301144386574074</v>
      </c>
      <c r="O56" s="205" t="n">
        <f aca="false">IF(LEFT(B56,1)="1",VLOOKUP(B56,Cigsch,3,FALSE())/1000,VLOOKUP(B56,Cigsch,3,FALSE())/1000*-1)*POLLHOURSFLOWED</f>
        <v>0</v>
      </c>
      <c r="P56" s="206" t="n">
        <f aca="false">N56-O56</f>
        <v>-0.0301144386574074</v>
      </c>
      <c r="Q56" s="79" t="n">
        <f aca="false">Q55+N56</f>
        <v>101.266019584676</v>
      </c>
      <c r="R56" s="201" t="n">
        <f aca="false">R55+O56</f>
        <v>86.1345368055556</v>
      </c>
      <c r="S56" s="207" t="n">
        <f aca="false">I56-N56</f>
        <v>0.266041666666667</v>
      </c>
      <c r="T56" s="205" t="n">
        <f aca="false">IF(LEFT(B56,1)="1",VLOOKUP(B56,Cigsch,2,FALSE())/1000,VLOOKUP(B56,Cigsch,2,FALSE())/1000*-1)*POLLHOURSFLOWED</f>
        <v>0.266041666666667</v>
      </c>
      <c r="U56" s="206" t="n">
        <f aca="false">S56-T56</f>
        <v>0</v>
      </c>
      <c r="V56" s="203" t="n">
        <f aca="false">V55+S56</f>
        <v>189.92582170137</v>
      </c>
      <c r="W56" s="79" t="n">
        <f aca="false">W55+T56</f>
        <v>155.245954166667</v>
      </c>
      <c r="X56" s="208" t="n">
        <f aca="false">S56-Y56</f>
        <v>0.266041666666667</v>
      </c>
      <c r="Y56" s="209" t="n">
        <f aca="false">IF(F56="OBA",I56-J56,0)</f>
        <v>0</v>
      </c>
      <c r="AB56" s="194"/>
      <c r="AC56" s="194"/>
    </row>
    <row r="57" customFormat="false" ht="12.75" hidden="false" customHeight="false" outlineLevel="0" collapsed="false">
      <c r="A57" s="253" t="n">
        <v>803</v>
      </c>
      <c r="B57" s="179" t="n">
        <v>26075</v>
      </c>
      <c r="C57" s="178"/>
      <c r="D57" s="179" t="s">
        <v>173</v>
      </c>
      <c r="E57" s="179" t="s">
        <v>116</v>
      </c>
      <c r="F57" s="180" t="s">
        <v>116</v>
      </c>
      <c r="G57" s="181" t="n">
        <f aca="false">VLOOKUP($B57,BTU,2,FALSE())/1000</f>
        <v>1.025</v>
      </c>
      <c r="H57" s="182" t="str">
        <f aca="false">VLOOKUP($B57,spotdata,3,FALSE())</f>
        <v>UNAV</v>
      </c>
      <c r="I57" s="204" t="n">
        <f aca="false">IF(VLOOKUP($B57,errordata,3,FALSE())="UNAV",J57*POLLHOURSFLOWED,IF(LEFT(B57,1)="1",VLOOKUP($B57,totalvolume,2,FALSE())*G57/1000,VLOOKUP($B57,totalvolume,2,FALSE())*G57/1000*-1))</f>
        <v>-0.000786424093364197</v>
      </c>
      <c r="J57" s="205" t="n">
        <f aca="false">O57+T57</f>
        <v>-0.000886805555555556</v>
      </c>
      <c r="K57" s="206" t="n">
        <f aca="false">I57-J57</f>
        <v>0.000100381462191358</v>
      </c>
      <c r="L57" s="79" t="n">
        <f aca="false">L56+I57</f>
        <v>291.191054861953</v>
      </c>
      <c r="M57" s="200" t="n">
        <f aca="false">M56+J57</f>
        <v>241.379604166667</v>
      </c>
      <c r="N57" s="79" t="n">
        <f aca="false">IF(F57="CIG",O57,IF(F57="OBA",O57,IF(F57="HPL",I57-T57,IF(ISERR((O57/$J57)*$I57),0,IF(F57="TP",(O57/$J57)*$I57)))))</f>
        <v>-0</v>
      </c>
      <c r="O57" s="205" t="n">
        <f aca="false">IF(LEFT(B57,1)="1",VLOOKUP(B57,Cigsch,3,FALSE())/1000,VLOOKUP(B57,Cigsch,3,FALSE())/1000*-1)*POLLHOURSFLOWED</f>
        <v>-0</v>
      </c>
      <c r="P57" s="206" t="n">
        <f aca="false">N57-O57</f>
        <v>0</v>
      </c>
      <c r="Q57" s="79" t="n">
        <f aca="false">Q56+N57</f>
        <v>101.266019584676</v>
      </c>
      <c r="R57" s="201" t="n">
        <f aca="false">R56+O57</f>
        <v>86.1345368055556</v>
      </c>
      <c r="S57" s="207" t="n">
        <f aca="false">I57-N57</f>
        <v>-0.000786424093364197</v>
      </c>
      <c r="T57" s="205" t="n">
        <f aca="false">IF(LEFT(B57,1)="1",VLOOKUP(B57,Cigsch,2,FALSE())/1000,VLOOKUP(B57,Cigsch,2,FALSE())/1000*-1)*POLLHOURSFLOWED</f>
        <v>-0.000886805555555556</v>
      </c>
      <c r="U57" s="206" t="n">
        <f aca="false">S57-T57</f>
        <v>0.000100381462191358</v>
      </c>
      <c r="V57" s="203" t="n">
        <f aca="false">V56+S57</f>
        <v>189.925035277277</v>
      </c>
      <c r="W57" s="79" t="n">
        <f aca="false">W56+T57</f>
        <v>155.245067361111</v>
      </c>
      <c r="X57" s="208" t="n">
        <f aca="false">S57-Y57</f>
        <v>-0.000786424093364197</v>
      </c>
      <c r="Y57" s="209" t="n">
        <f aca="false">IF(F57="OBA",I57-J57,0)</f>
        <v>0</v>
      </c>
      <c r="AB57" s="194"/>
      <c r="AC57" s="194"/>
    </row>
    <row r="58" customFormat="false" ht="12.75" hidden="false" customHeight="false" outlineLevel="0" collapsed="false">
      <c r="A58" s="253" t="n">
        <v>803</v>
      </c>
      <c r="B58" s="179" t="n">
        <v>16351</v>
      </c>
      <c r="C58" s="178" t="n">
        <v>3506</v>
      </c>
      <c r="D58" s="179" t="s">
        <v>174</v>
      </c>
      <c r="E58" s="179" t="s">
        <v>149</v>
      </c>
      <c r="F58" s="180" t="s">
        <v>149</v>
      </c>
      <c r="G58" s="181" t="n">
        <f aca="false">VLOOKUP($B58,BTU,2,FALSE())/1000</f>
        <v>1.025</v>
      </c>
      <c r="H58" s="182" t="str">
        <f aca="false">VLOOKUP($B58,spotdata,3,FALSE())</f>
        <v>    </v>
      </c>
      <c r="I58" s="204" t="n">
        <f aca="false">IF(VLOOKUP($B58,errordata,3,FALSE())="UNAV",J58*POLLHOURSFLOWED,IF(LEFT(B58,1)="1",VLOOKUP($B58,totalvolume,2,FALSE())*G58/1000,VLOOKUP($B58,totalvolume,2,FALSE())*G58/1000*-1))</f>
        <v>0</v>
      </c>
      <c r="J58" s="205" t="n">
        <f aca="false">O58+T58</f>
        <v>0</v>
      </c>
      <c r="K58" s="206" t="n">
        <f aca="false">I58-J58</f>
        <v>0</v>
      </c>
      <c r="L58" s="79" t="n">
        <f aca="false">L57+I58</f>
        <v>291.191054861953</v>
      </c>
      <c r="M58" s="200" t="n">
        <f aca="false">M57+J58</f>
        <v>241.379604166667</v>
      </c>
      <c r="N58" s="79" t="n">
        <f aca="false">IF(F58="CIG",O58,IF(F58="OBA",O58,IF(F58="HPL",I58-T58,IF(ISERR((O58/$J58)*$I58),0,IF(F58="TP",(O58/$J58)*$I58)))))</f>
        <v>0</v>
      </c>
      <c r="O58" s="205" t="n">
        <f aca="false">IF(LEFT(B58,1)="1",VLOOKUP(B58,Cigsch,3,FALSE())/1000,VLOOKUP(B58,Cigsch,3,FALSE())/1000*-1)*POLLHOURSFLOWED</f>
        <v>0</v>
      </c>
      <c r="P58" s="206" t="n">
        <f aca="false">N58-O58</f>
        <v>0</v>
      </c>
      <c r="Q58" s="79" t="n">
        <f aca="false">Q57+N58</f>
        <v>101.266019584676</v>
      </c>
      <c r="R58" s="201" t="n">
        <f aca="false">R57+O58</f>
        <v>86.1345368055556</v>
      </c>
      <c r="S58" s="207" t="n">
        <f aca="false">I58-N58</f>
        <v>0</v>
      </c>
      <c r="T58" s="205" t="n">
        <f aca="false">IF(LEFT(B58,1)="1",VLOOKUP(B58,Cigsch,2,FALSE())/1000,VLOOKUP(B58,Cigsch,2,FALSE())/1000*-1)*POLLHOURSFLOWED</f>
        <v>0</v>
      </c>
      <c r="U58" s="206" t="n">
        <f aca="false">S58-T58</f>
        <v>0</v>
      </c>
      <c r="V58" s="203" t="n">
        <f aca="false">V57+S58</f>
        <v>189.925035277277</v>
      </c>
      <c r="W58" s="79" t="n">
        <f aca="false">W57+T58</f>
        <v>155.245067361111</v>
      </c>
      <c r="X58" s="208" t="n">
        <f aca="false">S58-Y58</f>
        <v>0</v>
      </c>
      <c r="Y58" s="209" t="n">
        <f aca="false">IF(F58="OBA",I58-J58,0)</f>
        <v>0</v>
      </c>
      <c r="AB58" s="194"/>
      <c r="AC58" s="194"/>
    </row>
    <row r="59" customFormat="false" ht="12.75" hidden="false" customHeight="false" outlineLevel="0" collapsed="false">
      <c r="A59" s="253" t="n">
        <v>803</v>
      </c>
      <c r="B59" s="179" t="n">
        <v>26191</v>
      </c>
      <c r="C59" s="178" t="n">
        <v>3540</v>
      </c>
      <c r="D59" s="179" t="s">
        <v>175</v>
      </c>
      <c r="E59" s="179" t="s">
        <v>149</v>
      </c>
      <c r="F59" s="180" t="s">
        <v>149</v>
      </c>
      <c r="G59" s="181" t="n">
        <f aca="false">VLOOKUP($B59,BTU,2,FALSE())/1000</f>
        <v>1.025</v>
      </c>
      <c r="H59" s="182" t="str">
        <f aca="false">VLOOKUP($B59,spotdata,3,FALSE())</f>
        <v>    </v>
      </c>
      <c r="I59" s="204" t="n">
        <f aca="false">IF(VLOOKUP($B59,errordata,3,FALSE())="UNAV",J59*POLLHOURSFLOWED,IF(LEFT(B59,1)="1",VLOOKUP($B59,totalvolume,2,FALSE())*G59/1000,VLOOKUP($B59,totalvolume,2,FALSE())*G59/1000*-1))</f>
        <v>-10.145754302</v>
      </c>
      <c r="J59" s="205" t="n">
        <f aca="false">O59+T59</f>
        <v>-20.3965277777778</v>
      </c>
      <c r="K59" s="206" t="n">
        <f aca="false">I59-J59</f>
        <v>10.2507734757778</v>
      </c>
      <c r="L59" s="79" t="n">
        <f aca="false">L58+I59</f>
        <v>281.045300559953</v>
      </c>
      <c r="M59" s="200" t="n">
        <f aca="false">M58+J59</f>
        <v>220.983076388889</v>
      </c>
      <c r="N59" s="79" t="n">
        <f aca="false">IF(F59="CIG",O59,IF(F59="OBA",O59,IF(F59="HPL",I59-T59,IF(ISERR((O59/$J59)*$I59),0,IF(F59="TP",(O59/$J59)*$I59)))))</f>
        <v>-10.145754302</v>
      </c>
      <c r="O59" s="205" t="n">
        <f aca="false">IF(LEFT(B59,1)="1",VLOOKUP(B59,Cigsch,3,FALSE())/1000,VLOOKUP(B59,Cigsch,3,FALSE())/1000*-1)*POLLHOURSFLOWED</f>
        <v>-20.3965277777778</v>
      </c>
      <c r="P59" s="206" t="n">
        <f aca="false">N59-O59</f>
        <v>10.2507734757778</v>
      </c>
      <c r="Q59" s="79" t="n">
        <f aca="false">Q58+N59</f>
        <v>91.1202652826759</v>
      </c>
      <c r="R59" s="201" t="n">
        <f aca="false">R58+O59</f>
        <v>65.7380090277778</v>
      </c>
      <c r="S59" s="207" t="n">
        <f aca="false">I59-N59</f>
        <v>0</v>
      </c>
      <c r="T59" s="205" t="n">
        <f aca="false">IF(LEFT(B59,1)="1",VLOOKUP(B59,Cigsch,2,FALSE())/1000,VLOOKUP(B59,Cigsch,2,FALSE())/1000*-1)*POLLHOURSFLOWED</f>
        <v>-0</v>
      </c>
      <c r="U59" s="206" t="n">
        <f aca="false">S59-T59</f>
        <v>0</v>
      </c>
      <c r="V59" s="203" t="n">
        <f aca="false">V58+S59</f>
        <v>189.925035277277</v>
      </c>
      <c r="W59" s="79" t="n">
        <f aca="false">W58+T59</f>
        <v>155.245067361111</v>
      </c>
      <c r="X59" s="208" t="n">
        <f aca="false">S59-Y59</f>
        <v>0</v>
      </c>
      <c r="Y59" s="209" t="n">
        <f aca="false">IF(F59="OBA",I59-J59,0)</f>
        <v>0</v>
      </c>
      <c r="Z59" s="235"/>
      <c r="AA59" s="235"/>
      <c r="AB59" s="236"/>
      <c r="AC59" s="236"/>
      <c r="AD59" s="235"/>
      <c r="AE59" s="235"/>
      <c r="AF59" s="235"/>
      <c r="AG59" s="235"/>
      <c r="AH59" s="235"/>
      <c r="AI59" s="235"/>
      <c r="AJ59" s="235"/>
      <c r="AK59" s="235"/>
      <c r="AL59" s="235"/>
      <c r="AM59" s="235"/>
      <c r="AN59" s="235"/>
      <c r="AO59" s="235"/>
      <c r="AP59" s="235"/>
      <c r="AQ59" s="235"/>
      <c r="AR59" s="235"/>
      <c r="AS59" s="235"/>
      <c r="AT59" s="235"/>
      <c r="AU59" s="235"/>
      <c r="AV59" s="235"/>
      <c r="AW59" s="235"/>
      <c r="AX59" s="235"/>
      <c r="AY59" s="235"/>
      <c r="AZ59" s="235"/>
      <c r="BA59" s="235"/>
      <c r="BB59" s="235"/>
      <c r="BC59" s="235"/>
      <c r="BD59" s="235"/>
      <c r="BE59" s="235"/>
      <c r="BF59" s="235"/>
      <c r="BG59" s="235"/>
      <c r="BH59" s="235"/>
      <c r="BI59" s="235"/>
      <c r="BJ59" s="235"/>
      <c r="BK59" s="235"/>
      <c r="BL59" s="235"/>
      <c r="BM59" s="235"/>
      <c r="BN59" s="235"/>
      <c r="BO59" s="235"/>
      <c r="BP59" s="235"/>
      <c r="BQ59" s="235"/>
      <c r="BR59" s="235"/>
      <c r="BS59" s="235"/>
      <c r="BT59" s="235"/>
      <c r="BU59" s="235"/>
      <c r="BV59" s="235"/>
      <c r="BW59" s="235"/>
      <c r="BX59" s="235"/>
      <c r="BY59" s="235"/>
      <c r="BZ59" s="235"/>
      <c r="CA59" s="235"/>
      <c r="CB59" s="235"/>
      <c r="CC59" s="235"/>
      <c r="CD59" s="235"/>
      <c r="CE59" s="235"/>
      <c r="CF59" s="235"/>
      <c r="CG59" s="235"/>
      <c r="CH59" s="235"/>
      <c r="CI59" s="235"/>
      <c r="CJ59" s="235"/>
      <c r="CK59" s="235"/>
      <c r="CL59" s="235"/>
      <c r="CM59" s="235"/>
      <c r="CN59" s="235"/>
      <c r="CO59" s="235"/>
      <c r="CP59" s="235"/>
      <c r="CQ59" s="235"/>
      <c r="CR59" s="235"/>
      <c r="CS59" s="235"/>
      <c r="CT59" s="235"/>
      <c r="CU59" s="235"/>
      <c r="CV59" s="235"/>
      <c r="CW59" s="235"/>
      <c r="CX59" s="235"/>
      <c r="CY59" s="235"/>
      <c r="CZ59" s="235"/>
      <c r="DA59" s="235"/>
      <c r="DB59" s="235"/>
      <c r="DC59" s="235"/>
      <c r="DD59" s="235"/>
      <c r="DE59" s="235"/>
      <c r="DF59" s="235"/>
      <c r="DG59" s="235"/>
      <c r="DH59" s="235"/>
      <c r="DI59" s="235"/>
      <c r="DJ59" s="235"/>
      <c r="DK59" s="235"/>
      <c r="DL59" s="235"/>
      <c r="DM59" s="235"/>
      <c r="DN59" s="235"/>
      <c r="DO59" s="235"/>
      <c r="DP59" s="235"/>
      <c r="DQ59" s="235"/>
      <c r="DR59" s="235"/>
      <c r="DS59" s="235"/>
      <c r="DT59" s="235"/>
      <c r="DU59" s="235"/>
      <c r="DV59" s="235"/>
      <c r="DW59" s="235"/>
      <c r="DX59" s="235"/>
      <c r="DY59" s="235"/>
      <c r="DZ59" s="235"/>
      <c r="EA59" s="235"/>
      <c r="EB59" s="235"/>
      <c r="EC59" s="235"/>
      <c r="ED59" s="235"/>
      <c r="EE59" s="235"/>
      <c r="EF59" s="235"/>
      <c r="EG59" s="235"/>
      <c r="EH59" s="235"/>
      <c r="EI59" s="235"/>
      <c r="EJ59" s="235"/>
      <c r="EK59" s="235"/>
      <c r="EL59" s="235"/>
      <c r="EM59" s="235"/>
      <c r="EN59" s="235"/>
      <c r="EO59" s="235"/>
      <c r="EP59" s="235"/>
      <c r="EQ59" s="235"/>
      <c r="ER59" s="235"/>
      <c r="ES59" s="235"/>
      <c r="ET59" s="235"/>
      <c r="EU59" s="235"/>
      <c r="EV59" s="235"/>
      <c r="EW59" s="235"/>
      <c r="EX59" s="235"/>
      <c r="EY59" s="235"/>
      <c r="EZ59" s="235"/>
      <c r="FA59" s="235"/>
      <c r="FB59" s="235"/>
      <c r="FC59" s="235"/>
      <c r="FD59" s="235"/>
      <c r="FE59" s="235"/>
      <c r="FF59" s="235"/>
      <c r="FG59" s="235"/>
      <c r="FH59" s="235"/>
      <c r="FI59" s="235"/>
      <c r="FJ59" s="235"/>
      <c r="FK59" s="235"/>
      <c r="FL59" s="235"/>
      <c r="FM59" s="235"/>
      <c r="FN59" s="235"/>
      <c r="FO59" s="235"/>
      <c r="FP59" s="235"/>
      <c r="FQ59" s="235"/>
      <c r="FR59" s="235"/>
      <c r="FS59" s="235"/>
      <c r="FT59" s="235"/>
      <c r="FU59" s="235"/>
      <c r="FV59" s="235"/>
      <c r="FW59" s="235"/>
      <c r="FX59" s="235"/>
      <c r="FY59" s="235"/>
      <c r="FZ59" s="235"/>
      <c r="GA59" s="235"/>
      <c r="GB59" s="235"/>
      <c r="GC59" s="235"/>
      <c r="GD59" s="235"/>
      <c r="GE59" s="235"/>
      <c r="GF59" s="235"/>
      <c r="GG59" s="235"/>
      <c r="GH59" s="235"/>
      <c r="GI59" s="235"/>
      <c r="GJ59" s="235"/>
      <c r="GK59" s="235"/>
      <c r="GL59" s="235"/>
      <c r="GM59" s="235"/>
      <c r="GN59" s="235"/>
      <c r="GO59" s="235"/>
      <c r="GP59" s="235"/>
      <c r="GQ59" s="235"/>
      <c r="GR59" s="235"/>
      <c r="GS59" s="235"/>
      <c r="GT59" s="235"/>
      <c r="GU59" s="235"/>
      <c r="GV59" s="235"/>
      <c r="GW59" s="235"/>
      <c r="GX59" s="235"/>
      <c r="GY59" s="235"/>
      <c r="GZ59" s="235"/>
      <c r="HA59" s="235"/>
      <c r="HB59" s="235"/>
      <c r="HC59" s="235"/>
      <c r="HD59" s="235"/>
      <c r="HE59" s="235"/>
      <c r="HF59" s="235"/>
      <c r="HG59" s="235"/>
      <c r="HH59" s="235"/>
      <c r="HI59" s="235"/>
      <c r="HJ59" s="235"/>
      <c r="HK59" s="235"/>
      <c r="HL59" s="235"/>
      <c r="HM59" s="235"/>
      <c r="HN59" s="235"/>
      <c r="HO59" s="235"/>
      <c r="HP59" s="235"/>
      <c r="HQ59" s="235"/>
      <c r="HR59" s="235"/>
      <c r="HS59" s="235"/>
      <c r="HT59" s="235"/>
      <c r="HU59" s="235"/>
      <c r="HV59" s="235"/>
      <c r="HW59" s="235"/>
      <c r="HX59" s="235"/>
      <c r="HY59" s="235"/>
      <c r="HZ59" s="235"/>
      <c r="IA59" s="235"/>
      <c r="IB59" s="235"/>
      <c r="IC59" s="235"/>
      <c r="ID59" s="235"/>
      <c r="IE59" s="235"/>
      <c r="IF59" s="235"/>
      <c r="IG59" s="235"/>
      <c r="IH59" s="235"/>
      <c r="II59" s="235"/>
      <c r="IJ59" s="235"/>
      <c r="IK59" s="235"/>
      <c r="IL59" s="235"/>
      <c r="IM59" s="235"/>
      <c r="IN59" s="235"/>
      <c r="IO59" s="235"/>
      <c r="IP59" s="235"/>
      <c r="IQ59" s="235"/>
      <c r="IR59" s="235"/>
      <c r="IS59" s="235"/>
      <c r="IT59" s="235"/>
      <c r="IU59" s="235"/>
      <c r="IV59" s="235"/>
      <c r="IW59" s="235"/>
    </row>
    <row r="60" customFormat="false" ht="12.75" hidden="false" customHeight="false" outlineLevel="0" collapsed="false">
      <c r="A60" s="253" t="n">
        <v>803</v>
      </c>
      <c r="B60" s="179" t="n">
        <v>26079</v>
      </c>
      <c r="C60" s="178" t="n">
        <v>3537</v>
      </c>
      <c r="D60" s="179" t="s">
        <v>176</v>
      </c>
      <c r="E60" s="179" t="s">
        <v>149</v>
      </c>
      <c r="F60" s="180" t="s">
        <v>149</v>
      </c>
      <c r="G60" s="181" t="n">
        <f aca="false">VLOOKUP($B60,BTU,2,FALSE())/1000</f>
        <v>1.025</v>
      </c>
      <c r="H60" s="182" t="str">
        <f aca="false">VLOOKUP($B60,spotdata,3,FALSE())</f>
        <v>    </v>
      </c>
      <c r="I60" s="204" t="n">
        <f aca="false">IF(VLOOKUP($B60,errordata,3,FALSE())="UNAV",J60*POLLHOURSFLOWED,IF(LEFT(B60,1)="1",VLOOKUP($B60,totalvolume,2,FALSE())*G60/1000,VLOOKUP($B60,totalvolume,2,FALSE())*G60/1000*-1))</f>
        <v>-19.6474342125</v>
      </c>
      <c r="J60" s="205" t="n">
        <f aca="false">O60+T60</f>
        <v>-22.1701388888889</v>
      </c>
      <c r="K60" s="206" t="n">
        <f aca="false">I60-J60</f>
        <v>2.52270467638889</v>
      </c>
      <c r="L60" s="79" t="n">
        <f aca="false">L59+I60</f>
        <v>261.397866347453</v>
      </c>
      <c r="M60" s="200" t="n">
        <f aca="false">M59+J60</f>
        <v>198.8129375</v>
      </c>
      <c r="N60" s="79" t="n">
        <f aca="false">IF(F60="CIG",O60,IF(F60="OBA",O60,IF(F60="HPL",I60-T60,IF(ISERR((O60/$J60)*$I60),0,IF(F60="TP",(O60/$J60)*$I60)))))</f>
        <v>-19.6474342125</v>
      </c>
      <c r="O60" s="205" t="n">
        <f aca="false">IF(LEFT(B60,1)="1",VLOOKUP(B60,Cigsch,3,FALSE())/1000,VLOOKUP(B60,Cigsch,3,FALSE())/1000*-1)*POLLHOURSFLOWED</f>
        <v>-22.1701388888889</v>
      </c>
      <c r="P60" s="206" t="n">
        <f aca="false">N60-O60</f>
        <v>2.52270467638889</v>
      </c>
      <c r="Q60" s="79" t="n">
        <f aca="false">Q59+N60</f>
        <v>71.4728310701759</v>
      </c>
      <c r="R60" s="201" t="n">
        <f aca="false">R59+O60</f>
        <v>43.5678701388889</v>
      </c>
      <c r="S60" s="207" t="n">
        <f aca="false">I60-N60</f>
        <v>0</v>
      </c>
      <c r="T60" s="205" t="n">
        <f aca="false">IF(LEFT(B60,1)="1",VLOOKUP(B60,Cigsch,2,FALSE())/1000,VLOOKUP(B60,Cigsch,2,FALSE())/1000*-1)*POLLHOURSFLOWED</f>
        <v>-0</v>
      </c>
      <c r="U60" s="206" t="n">
        <f aca="false">S60-T60</f>
        <v>0</v>
      </c>
      <c r="V60" s="203" t="n">
        <f aca="false">V59+S60</f>
        <v>189.925035277277</v>
      </c>
      <c r="W60" s="79" t="n">
        <f aca="false">W59+T60</f>
        <v>155.245067361111</v>
      </c>
      <c r="X60" s="208" t="n">
        <f aca="false">S60-Y60</f>
        <v>0</v>
      </c>
      <c r="Y60" s="209" t="n">
        <f aca="false">IF(F60="OBA",I60-J60,0)</f>
        <v>0</v>
      </c>
      <c r="AB60" s="194"/>
      <c r="AC60" s="194"/>
    </row>
    <row r="61" customFormat="false" ht="12.75" hidden="false" customHeight="false" outlineLevel="0" collapsed="false">
      <c r="A61" s="256" t="n">
        <v>803</v>
      </c>
      <c r="B61" s="257" t="n">
        <v>26210</v>
      </c>
      <c r="C61" s="258"/>
      <c r="D61" s="257" t="s">
        <v>177</v>
      </c>
      <c r="E61" s="257" t="s">
        <v>116</v>
      </c>
      <c r="F61" s="260" t="s">
        <v>116</v>
      </c>
      <c r="G61" s="261" t="n">
        <f aca="false">VLOOKUP($B61,BTU,2,FALSE())/1000</f>
        <v>1.025</v>
      </c>
      <c r="H61" s="262" t="str">
        <f aca="false">VLOOKUP($B61,spotdata,3,FALSE())</f>
        <v>UNAV</v>
      </c>
      <c r="I61" s="263" t="n">
        <f aca="false">IF(VLOOKUP($B61,errordata,3,FALSE())="UNAV",J61*POLLHOURSFLOWED,IF(LEFT(B61,1)="1",VLOOKUP($B61,totalvolume,2,FALSE())*G61/1000,VLOOKUP($B61,totalvolume,2,FALSE())*G61/1000*-1))</f>
        <v>-0</v>
      </c>
      <c r="J61" s="264" t="n">
        <f aca="false">O61+T61</f>
        <v>-0</v>
      </c>
      <c r="K61" s="265" t="n">
        <f aca="false">I61-J61</f>
        <v>0</v>
      </c>
      <c r="L61" s="266" t="n">
        <f aca="false">L60+I61</f>
        <v>261.397866347453</v>
      </c>
      <c r="M61" s="267" t="n">
        <f aca="false">M60+J61</f>
        <v>198.8129375</v>
      </c>
      <c r="N61" s="266" t="n">
        <f aca="false">IF(F61="CIG",O61,IF(F61="OBA",O61,IF(F61="HPL",I61-T61,IF(ISERR((O61/$J61)*$I61),0,IF(F61="TP",(O61/$J61)*$I61)))))</f>
        <v>-0</v>
      </c>
      <c r="O61" s="264" t="n">
        <f aca="false">IF(LEFT(B61,1)="1",VLOOKUP(B61,Cigsch,3,FALSE())/1000,VLOOKUP(B61,Cigsch,3,FALSE())/1000*-1)*POLLHOURSFLOWED</f>
        <v>-0</v>
      </c>
      <c r="P61" s="265" t="n">
        <f aca="false">N61-O61</f>
        <v>0</v>
      </c>
      <c r="Q61" s="266" t="n">
        <f aca="false">Q60+N61</f>
        <v>71.4728310701759</v>
      </c>
      <c r="R61" s="268" t="n">
        <f aca="false">R60+O61</f>
        <v>43.5678701388889</v>
      </c>
      <c r="S61" s="269" t="n">
        <f aca="false">I61-N61</f>
        <v>0</v>
      </c>
      <c r="T61" s="264" t="n">
        <f aca="false">IF(LEFT(B61,1)="1",VLOOKUP(B61,Cigsch,2,FALSE())/1000,VLOOKUP(B61,Cigsch,2,FALSE())/1000*-1)*POLLHOURSFLOWED</f>
        <v>-0</v>
      </c>
      <c r="U61" s="265" t="n">
        <f aca="false">S61-T61</f>
        <v>0</v>
      </c>
      <c r="V61" s="270" t="n">
        <f aca="false">V60+S61</f>
        <v>189.925035277277</v>
      </c>
      <c r="W61" s="266" t="n">
        <f aca="false">W60+T61</f>
        <v>155.245067361111</v>
      </c>
      <c r="X61" s="271" t="n">
        <f aca="false">S61-Y61</f>
        <v>0</v>
      </c>
      <c r="Y61" s="272" t="n">
        <f aca="false">IF(F61="OBA",I61-J61,0)</f>
        <v>0</v>
      </c>
      <c r="AB61" s="194"/>
      <c r="AC61" s="194"/>
    </row>
    <row r="62" customFormat="false" ht="12.75" hidden="false" customHeight="false" outlineLevel="0" collapsed="false">
      <c r="A62" s="253" t="n">
        <v>804</v>
      </c>
      <c r="B62" s="179" t="n">
        <v>16340</v>
      </c>
      <c r="C62" s="178"/>
      <c r="D62" s="179" t="s">
        <v>178</v>
      </c>
      <c r="E62" s="179" t="s">
        <v>118</v>
      </c>
      <c r="F62" s="180" t="s">
        <v>156</v>
      </c>
      <c r="G62" s="181" t="n">
        <f aca="false">VLOOKUP($B62,BTU,2,FALSE())/1000</f>
        <v>1.16</v>
      </c>
      <c r="H62" s="275" t="str">
        <f aca="false">VLOOKUP($B62,spotdata,3,FALSE())</f>
        <v>UNAV</v>
      </c>
      <c r="I62" s="204" t="n">
        <f aca="false">IF(VLOOKUP($B62,errordata,3,FALSE())="UNAV",J62*POLLHOURSFLOWED,IF(LEFT(B62,1)="1",VLOOKUP($B62,totalvolume,2,FALSE())*G62/1000,VLOOKUP($B62,totalvolume,2,FALSE())*G62/1000*-1))</f>
        <v>0</v>
      </c>
      <c r="J62" s="205" t="n">
        <f aca="false">O62+T62</f>
        <v>0</v>
      </c>
      <c r="K62" s="206" t="n">
        <f aca="false">I62-J62</f>
        <v>0</v>
      </c>
      <c r="L62" s="79" t="n">
        <f aca="false">L61+I62</f>
        <v>261.397866347453</v>
      </c>
      <c r="M62" s="200" t="n">
        <f aca="false">M61+J62</f>
        <v>198.8129375</v>
      </c>
      <c r="N62" s="79" t="n">
        <f aca="false">IF(F62="CIG",O62,IF(F62="OBA",O62,IF(F62="HPL",I62-T62,IF(ISERR((O62/$J62)*$I62),0,IF(F62="TP",(O62/$J62)*$I62)))))</f>
        <v>0</v>
      </c>
      <c r="O62" s="205" t="n">
        <f aca="false">IF(LEFT(B62,1)="1",VLOOKUP(B62,Cigsch,3,FALSE())/1000,VLOOKUP(B62,Cigsch,3,FALSE())/1000*-1)*POLLHOURSFLOWED</f>
        <v>0</v>
      </c>
      <c r="P62" s="206" t="n">
        <f aca="false">N62-O62</f>
        <v>0</v>
      </c>
      <c r="Q62" s="79" t="n">
        <f aca="false">Q61+N62</f>
        <v>71.4728310701759</v>
      </c>
      <c r="R62" s="201" t="n">
        <f aca="false">R61+O62</f>
        <v>43.5678701388889</v>
      </c>
      <c r="S62" s="207" t="n">
        <f aca="false">I62-N62</f>
        <v>0</v>
      </c>
      <c r="T62" s="205" t="n">
        <f aca="false">IF(LEFT(B62,1)="1",VLOOKUP(B62,Cigsch,2,FALSE())/1000,VLOOKUP(B62,Cigsch,2,FALSE())/1000*-1)*POLLHOURSFLOWED</f>
        <v>0</v>
      </c>
      <c r="U62" s="206" t="n">
        <f aca="false">S62-T62</f>
        <v>0</v>
      </c>
      <c r="V62" s="203" t="n">
        <f aca="false">V61+S62</f>
        <v>189.925035277277</v>
      </c>
      <c r="W62" s="79" t="n">
        <f aca="false">W61+T62</f>
        <v>155.245067361111</v>
      </c>
      <c r="X62" s="208" t="n">
        <f aca="false">S62-Y62</f>
        <v>0</v>
      </c>
      <c r="Y62" s="209" t="n">
        <f aca="false">IF(F62="OBA",I62-J62,0)</f>
        <v>0</v>
      </c>
      <c r="AB62" s="194"/>
      <c r="AC62" s="194"/>
    </row>
    <row r="63" customFormat="false" ht="12.75" hidden="false" customHeight="false" outlineLevel="0" collapsed="false">
      <c r="A63" s="253" t="n">
        <v>804</v>
      </c>
      <c r="B63" s="179" t="n">
        <v>16341</v>
      </c>
      <c r="C63" s="178"/>
      <c r="D63" s="179" t="s">
        <v>178</v>
      </c>
      <c r="E63" s="179" t="s">
        <v>118</v>
      </c>
      <c r="F63" s="180" t="s">
        <v>116</v>
      </c>
      <c r="G63" s="181" t="n">
        <f aca="false">VLOOKUP($B63,BTU,2,FALSE())/1000</f>
        <v>1.025</v>
      </c>
      <c r="H63" s="182" t="str">
        <f aca="false">VLOOKUP($B63,spotdata,3,FALSE())</f>
        <v>UNAV</v>
      </c>
      <c r="I63" s="204" t="n">
        <f aca="false">IF(VLOOKUP($B63,errordata,3,FALSE())="UNAV",J63*POLLHOURSFLOWED,IF(LEFT(B63,1)="1",VLOOKUP($B63,totalvolume,2,FALSE())*G63/1000,VLOOKUP($B63,totalvolume,2,FALSE())*G63/1000*-1))</f>
        <v>0</v>
      </c>
      <c r="J63" s="205" t="n">
        <f aca="false">O63+T63</f>
        <v>0</v>
      </c>
      <c r="K63" s="206" t="n">
        <f aca="false">I63-J63</f>
        <v>0</v>
      </c>
      <c r="L63" s="79" t="n">
        <f aca="false">L62+I63</f>
        <v>261.397866347453</v>
      </c>
      <c r="M63" s="200" t="n">
        <f aca="false">M62+J63</f>
        <v>198.8129375</v>
      </c>
      <c r="N63" s="79" t="n">
        <f aca="false">IF(F63="CIG",O63,IF(F63="OBA",O63,IF(F63="HPL",I63-T63,IF(ISERR((O63/$J63)*$I63),0,IF(F63="TP",(O63/$J63)*$I63)))))</f>
        <v>0</v>
      </c>
      <c r="O63" s="205" t="n">
        <f aca="false">IF(LEFT(B63,1)="1",VLOOKUP(B63,Cigsch,3,FALSE())/1000,VLOOKUP(B63,Cigsch,3,FALSE())/1000*-1)*POLLHOURSFLOWED</f>
        <v>0</v>
      </c>
      <c r="P63" s="206" t="n">
        <f aca="false">N63-O63</f>
        <v>0</v>
      </c>
      <c r="Q63" s="79" t="n">
        <f aca="false">Q62+N63</f>
        <v>71.4728310701759</v>
      </c>
      <c r="R63" s="201" t="n">
        <f aca="false">R62+O63</f>
        <v>43.5678701388889</v>
      </c>
      <c r="S63" s="207" t="n">
        <f aca="false">I63-N63</f>
        <v>0</v>
      </c>
      <c r="T63" s="205" t="n">
        <f aca="false">IF(LEFT(B63,1)="1",VLOOKUP(B63,Cigsch,2,FALSE())/1000,VLOOKUP(B63,Cigsch,2,FALSE())/1000*-1)*POLLHOURSFLOWED</f>
        <v>0</v>
      </c>
      <c r="U63" s="206" t="n">
        <f aca="false">S63-T63</f>
        <v>0</v>
      </c>
      <c r="V63" s="203" t="n">
        <f aca="false">V62+S63</f>
        <v>189.925035277277</v>
      </c>
      <c r="W63" s="79" t="n">
        <f aca="false">W62+T63</f>
        <v>155.245067361111</v>
      </c>
      <c r="X63" s="208" t="n">
        <f aca="false">S63-Y63</f>
        <v>0</v>
      </c>
      <c r="Y63" s="209" t="n">
        <f aca="false">IF(F63="OBA",I63-J63,0)</f>
        <v>0</v>
      </c>
      <c r="AB63" s="194"/>
      <c r="AC63" s="194"/>
    </row>
    <row r="64" customFormat="false" ht="13.5" hidden="false" customHeight="false" outlineLevel="0" collapsed="false">
      <c r="A64" s="274" t="n">
        <v>804</v>
      </c>
      <c r="B64" s="239" t="n">
        <v>16036</v>
      </c>
      <c r="C64" s="238" t="n">
        <v>3520</v>
      </c>
      <c r="D64" s="239" t="s">
        <v>179</v>
      </c>
      <c r="E64" s="239" t="s">
        <v>149</v>
      </c>
      <c r="F64" s="240" t="s">
        <v>149</v>
      </c>
      <c r="G64" s="241" t="n">
        <f aca="false">VLOOKUP($B64,BTU,2,FALSE())/1000</f>
        <v>1.025</v>
      </c>
      <c r="H64" s="242" t="str">
        <f aca="false">VLOOKUP($B64,spotdata,3,FALSE())</f>
        <v>    </v>
      </c>
      <c r="I64" s="243" t="n">
        <f aca="false">IF(VLOOKUP($B64,errordata,3,FALSE())="UNAV",J64*POLLHOURSFLOWED,IF(LEFT(B64,1)="1",VLOOKUP($B64,totalvolume,2,FALSE())*G64/1000,VLOOKUP($B64,totalvolume,2,FALSE())*G64/1000*-1))</f>
        <v>18.77882082</v>
      </c>
      <c r="J64" s="244" t="n">
        <f aca="false">O64+T64</f>
        <v>19.5097222222222</v>
      </c>
      <c r="K64" s="245" t="n">
        <f aca="false">I64-J64</f>
        <v>-0.730901402222223</v>
      </c>
      <c r="L64" s="246" t="n">
        <f aca="false">L63+I64</f>
        <v>280.176687167453</v>
      </c>
      <c r="M64" s="247" t="n">
        <f aca="false">M63+J64</f>
        <v>218.322659722222</v>
      </c>
      <c r="N64" s="246" t="n">
        <f aca="false">IF(F64="CIG",O64,IF(F64="OBA",O64,IF(F64="HPL",I64-T64,IF(ISERR((O64/$J64)*$I64),0,IF(F64="TP",(O64/$J64)*$I64)))))</f>
        <v>18.77882082</v>
      </c>
      <c r="O64" s="244" t="n">
        <f aca="false">IF(LEFT(B64,1)="1",VLOOKUP(B64,Cigsch,3,FALSE())/1000,VLOOKUP(B64,Cigsch,3,FALSE())/1000*-1)*POLLHOURSFLOWED</f>
        <v>19.5097222222222</v>
      </c>
      <c r="P64" s="245" t="n">
        <f aca="false">N64-O64</f>
        <v>-0.730901402222223</v>
      </c>
      <c r="Q64" s="246" t="n">
        <f aca="false">Q63+N64</f>
        <v>90.2516518901759</v>
      </c>
      <c r="R64" s="248" t="n">
        <f aca="false">R63+O64</f>
        <v>63.0775923611111</v>
      </c>
      <c r="S64" s="249" t="n">
        <f aca="false">I64-N64</f>
        <v>0</v>
      </c>
      <c r="T64" s="244" t="n">
        <f aca="false">IF(LEFT(B64,1)="1",VLOOKUP(B64,Cigsch,2,FALSE())/1000,VLOOKUP(B64,Cigsch,2,FALSE())/1000*-1)*POLLHOURSFLOWED</f>
        <v>0</v>
      </c>
      <c r="U64" s="245" t="n">
        <f aca="false">S64-T64</f>
        <v>0</v>
      </c>
      <c r="V64" s="250" t="n">
        <f aca="false">V63+S64</f>
        <v>189.925035277277</v>
      </c>
      <c r="W64" s="246" t="n">
        <f aca="false">W63+T64</f>
        <v>155.245067361111</v>
      </c>
      <c r="X64" s="251" t="n">
        <f aca="false">S64-Y64</f>
        <v>0</v>
      </c>
      <c r="Y64" s="252" t="n">
        <f aca="false">IF(F64="OBA",I64-J64,0)</f>
        <v>0</v>
      </c>
      <c r="AB64" s="194"/>
      <c r="AC64" s="194"/>
    </row>
    <row r="65" customFormat="false" ht="12.75" hidden="false" customHeight="false" outlineLevel="0" collapsed="false">
      <c r="A65" s="253" t="n">
        <v>805</v>
      </c>
      <c r="B65" s="179" t="n">
        <v>26179</v>
      </c>
      <c r="C65" s="178" t="n">
        <v>3560</v>
      </c>
      <c r="D65" s="179" t="s">
        <v>179</v>
      </c>
      <c r="E65" s="179" t="s">
        <v>149</v>
      </c>
      <c r="F65" s="180" t="s">
        <v>149</v>
      </c>
      <c r="G65" s="181" t="n">
        <f aca="false">VLOOKUP($B65,BTU,2,FALSE())/1000</f>
        <v>1.025</v>
      </c>
      <c r="H65" s="182" t="str">
        <f aca="false">VLOOKUP($B65,spotdata,3,FALSE())</f>
        <v>    </v>
      </c>
      <c r="I65" s="204" t="n">
        <f aca="false">IF(VLOOKUP($B65,errordata,3,FALSE())="UNAV",J65*POLLHOURSFLOWED,IF(LEFT(B65,1)="1",VLOOKUP($B65,totalvolume,2,FALSE())*G65/1000,VLOOKUP($B65,totalvolume,2,FALSE())*G65/1000*-1))</f>
        <v>-0</v>
      </c>
      <c r="J65" s="205" t="n">
        <f aca="false">O65+T65</f>
        <v>-0</v>
      </c>
      <c r="K65" s="206" t="n">
        <f aca="false">I65-J65</f>
        <v>0</v>
      </c>
      <c r="L65" s="79" t="n">
        <f aca="false">L64+I65</f>
        <v>280.176687167453</v>
      </c>
      <c r="M65" s="200" t="n">
        <f aca="false">M64+J65</f>
        <v>218.322659722222</v>
      </c>
      <c r="N65" s="79" t="n">
        <f aca="false">IF(F65="CIG",O65,IF(F65="OBA",O65,IF(F65="HPL",I65-T65,IF(ISERR((O65/$J65)*$I65),0,IF(F65="TP",(O65/$J65)*$I65)))))</f>
        <v>0</v>
      </c>
      <c r="O65" s="205" t="n">
        <f aca="false">IF(LEFT(B65,1)="1",VLOOKUP(B65,Cigsch,3,FALSE())/1000,VLOOKUP(B65,Cigsch,3,FALSE())/1000*-1)*POLLHOURSFLOWED</f>
        <v>-0</v>
      </c>
      <c r="P65" s="206" t="n">
        <f aca="false">N65-O65</f>
        <v>0</v>
      </c>
      <c r="Q65" s="79" t="n">
        <f aca="false">Q64+N65</f>
        <v>90.2516518901759</v>
      </c>
      <c r="R65" s="201" t="n">
        <f aca="false">R64+O65</f>
        <v>63.0775923611111</v>
      </c>
      <c r="S65" s="207" t="n">
        <f aca="false">I65-N65</f>
        <v>-0</v>
      </c>
      <c r="T65" s="205" t="n">
        <f aca="false">IF(LEFT(B65,1)="1",VLOOKUP(B65,Cigsch,2,FALSE())/1000,VLOOKUP(B65,Cigsch,2,FALSE())/1000*-1)*POLLHOURSFLOWED</f>
        <v>-0</v>
      </c>
      <c r="U65" s="206" t="n">
        <f aca="false">S65-T65</f>
        <v>0</v>
      </c>
      <c r="V65" s="203" t="n">
        <f aca="false">V64+S65</f>
        <v>189.925035277277</v>
      </c>
      <c r="W65" s="79" t="n">
        <f aca="false">W64+T65</f>
        <v>155.245067361111</v>
      </c>
      <c r="X65" s="208" t="n">
        <f aca="false">S65-Y65</f>
        <v>-0</v>
      </c>
      <c r="Y65" s="209" t="n">
        <f aca="false">IF(F65="OBA",I65-J65,0)</f>
        <v>0</v>
      </c>
      <c r="AB65" s="194"/>
      <c r="AC65" s="194"/>
    </row>
    <row r="66" customFormat="false" ht="12.75" hidden="false" customHeight="false" outlineLevel="0" collapsed="false">
      <c r="A66" s="273" t="n">
        <v>805</v>
      </c>
      <c r="B66" s="211" t="n">
        <v>16055</v>
      </c>
      <c r="C66" s="210" t="n">
        <v>3527</v>
      </c>
      <c r="D66" s="211" t="s">
        <v>180</v>
      </c>
      <c r="E66" s="211" t="s">
        <v>149</v>
      </c>
      <c r="F66" s="212" t="s">
        <v>149</v>
      </c>
      <c r="G66" s="213" t="n">
        <f aca="false">VLOOKUP($B66,BTU,2,FALSE())/1000</f>
        <v>1.025</v>
      </c>
      <c r="H66" s="182" t="str">
        <f aca="false">VLOOKUP($B66,spotdata,3,FALSE())</f>
        <v>    </v>
      </c>
      <c r="I66" s="204" t="n">
        <f aca="false">IF(VLOOKUP($B66,errordata,3,FALSE())="UNAV",J66*POLLHOURSFLOWED,IF(LEFT(B66,1)="1",VLOOKUP($B66,totalvolume,2,FALSE())*G66/1000,VLOOKUP($B66,totalvolume,2,FALSE())*G66/1000*-1))</f>
        <v>2.85225268875</v>
      </c>
      <c r="J66" s="205" t="n">
        <f aca="false">O66+T66</f>
        <v>3.10381944444444</v>
      </c>
      <c r="K66" s="206" t="n">
        <f aca="false">I66-J66</f>
        <v>-0.251566755694445</v>
      </c>
      <c r="L66" s="79" t="n">
        <f aca="false">L65+I66</f>
        <v>283.028939856203</v>
      </c>
      <c r="M66" s="200" t="n">
        <f aca="false">M65+J66</f>
        <v>221.426479166667</v>
      </c>
      <c r="N66" s="79" t="n">
        <f aca="false">IF(F66="CIG",O66,IF(F66="OBA",O66,IF(F66="HPL",I66-T66,IF(ISERR((O66/$J66)*$I66),0,IF(F66="TP",(O66/$J66)*$I66)))))</f>
        <v>2.85225268875</v>
      </c>
      <c r="O66" s="205" t="n">
        <f aca="false">IF(LEFT(B66,1)="1",VLOOKUP(B66,Cigsch,3,FALSE())/1000,VLOOKUP(B66,Cigsch,3,FALSE())/1000*-1)*POLLHOURSFLOWED</f>
        <v>3.10381944444444</v>
      </c>
      <c r="P66" s="206" t="n">
        <f aca="false">N66-O66</f>
        <v>-0.251566755694445</v>
      </c>
      <c r="Q66" s="79" t="n">
        <f aca="false">Q65+N66</f>
        <v>93.1039045789259</v>
      </c>
      <c r="R66" s="201" t="n">
        <f aca="false">R65+O66</f>
        <v>66.1814118055556</v>
      </c>
      <c r="S66" s="207" t="n">
        <f aca="false">I66-N66</f>
        <v>0</v>
      </c>
      <c r="T66" s="205" t="n">
        <f aca="false">IF(LEFT(B66,1)="1",VLOOKUP(B66,Cigsch,2,FALSE())/1000,VLOOKUP(B66,Cigsch,2,FALSE())/1000*-1)*POLLHOURSFLOWED</f>
        <v>0</v>
      </c>
      <c r="U66" s="206" t="n">
        <f aca="false">S66-T66</f>
        <v>0</v>
      </c>
      <c r="V66" s="203" t="n">
        <f aca="false">V65+S66</f>
        <v>189.925035277277</v>
      </c>
      <c r="W66" s="79" t="n">
        <f aca="false">W65+T66</f>
        <v>155.245067361111</v>
      </c>
      <c r="X66" s="208" t="n">
        <f aca="false">S66-Y66</f>
        <v>0</v>
      </c>
      <c r="Y66" s="209" t="n">
        <f aca="false">IF(F66="OBA",I66-J66,0)</f>
        <v>0</v>
      </c>
      <c r="AB66" s="194"/>
      <c r="AC66" s="194"/>
    </row>
    <row r="67" customFormat="false" ht="12.75" hidden="false" customHeight="false" outlineLevel="0" collapsed="false">
      <c r="A67" s="256" t="n">
        <v>805</v>
      </c>
      <c r="B67" s="257" t="n">
        <v>16210</v>
      </c>
      <c r="C67" s="258" t="n">
        <v>5674</v>
      </c>
      <c r="D67" s="257" t="s">
        <v>181</v>
      </c>
      <c r="E67" s="257" t="s">
        <v>149</v>
      </c>
      <c r="F67" s="260" t="s">
        <v>149</v>
      </c>
      <c r="G67" s="261" t="n">
        <f aca="false">VLOOKUP($B67,BTU,2,FALSE())/1000</f>
        <v>1.025</v>
      </c>
      <c r="H67" s="262" t="str">
        <f aca="false">VLOOKUP($B67,spotdata,3,FALSE())</f>
        <v>    </v>
      </c>
      <c r="I67" s="263" t="n">
        <f aca="false">IF(VLOOKUP($B67,errordata,3,FALSE())="UNAV",J67*POLLHOURSFLOWED,IF(LEFT(B67,1)="1",VLOOKUP($B67,totalvolume,2,FALSE())*G67/1000,VLOOKUP($B67,totalvolume,2,FALSE())*G67/1000*-1))</f>
        <v>0</v>
      </c>
      <c r="J67" s="264" t="n">
        <f aca="false">O67+T67</f>
        <v>1.33020833333333</v>
      </c>
      <c r="K67" s="265" t="n">
        <f aca="false">I67-J67</f>
        <v>-1.33020833333333</v>
      </c>
      <c r="L67" s="266" t="n">
        <f aca="false">L66+I67</f>
        <v>283.028939856203</v>
      </c>
      <c r="M67" s="267" t="n">
        <f aca="false">M66+J67</f>
        <v>222.7566875</v>
      </c>
      <c r="N67" s="266" t="n">
        <f aca="false">IF(F67="CIG",O67,IF(F67="OBA",O67,IF(F67="HPL",I67-T67,IF(ISERR((O67/$J67)*$I67),0,IF(F67="TP",(O67/$J67)*$I67)))))</f>
        <v>0</v>
      </c>
      <c r="O67" s="264" t="n">
        <f aca="false">IF(LEFT(B67,1)="1",VLOOKUP(B67,Cigsch,3,FALSE())/1000,VLOOKUP(B67,Cigsch,3,FALSE())/1000*-1)*POLLHOURSFLOWED</f>
        <v>1.33020833333333</v>
      </c>
      <c r="P67" s="265" t="n">
        <f aca="false">N67-O67</f>
        <v>-1.33020833333333</v>
      </c>
      <c r="Q67" s="266" t="n">
        <f aca="false">Q66+N67</f>
        <v>93.1039045789259</v>
      </c>
      <c r="R67" s="268" t="n">
        <f aca="false">R66+O67</f>
        <v>67.5116201388889</v>
      </c>
      <c r="S67" s="269" t="n">
        <f aca="false">I67-N67</f>
        <v>0</v>
      </c>
      <c r="T67" s="264" t="n">
        <f aca="false">IF(LEFT(B67,1)="1",VLOOKUP(B67,Cigsch,2,FALSE())/1000,VLOOKUP(B67,Cigsch,2,FALSE())/1000*-1)*POLLHOURSFLOWED</f>
        <v>0</v>
      </c>
      <c r="U67" s="265" t="n">
        <f aca="false">S67-T67</f>
        <v>0</v>
      </c>
      <c r="V67" s="270" t="n">
        <f aca="false">V66+S67</f>
        <v>189.925035277277</v>
      </c>
      <c r="W67" s="266" t="n">
        <f aca="false">W66+T67</f>
        <v>155.245067361111</v>
      </c>
      <c r="X67" s="271" t="n">
        <f aca="false">S67-Y67</f>
        <v>0</v>
      </c>
      <c r="Y67" s="272" t="n">
        <f aca="false">IF(F67="OBA",I67-J67,0)</f>
        <v>0</v>
      </c>
      <c r="Z67" s="235"/>
      <c r="AA67" s="235"/>
      <c r="AB67" s="236"/>
      <c r="AC67" s="236"/>
      <c r="AD67" s="235"/>
      <c r="AE67" s="235"/>
      <c r="AF67" s="235"/>
      <c r="AG67" s="235"/>
      <c r="AH67" s="235"/>
      <c r="AI67" s="235"/>
      <c r="AJ67" s="235"/>
      <c r="AK67" s="235"/>
      <c r="AL67" s="235"/>
      <c r="AM67" s="235"/>
      <c r="AN67" s="235"/>
      <c r="AO67" s="235"/>
      <c r="AP67" s="235"/>
      <c r="AQ67" s="235"/>
      <c r="AR67" s="235"/>
      <c r="AS67" s="235"/>
      <c r="AT67" s="235"/>
      <c r="AU67" s="235"/>
      <c r="AV67" s="235"/>
      <c r="AW67" s="235"/>
      <c r="AX67" s="235"/>
      <c r="AY67" s="235"/>
      <c r="AZ67" s="235"/>
      <c r="BA67" s="235"/>
      <c r="BB67" s="235"/>
      <c r="BC67" s="235"/>
      <c r="BD67" s="235"/>
      <c r="BE67" s="235"/>
      <c r="BF67" s="235"/>
      <c r="BG67" s="235"/>
      <c r="BH67" s="235"/>
      <c r="BI67" s="235"/>
      <c r="BJ67" s="235"/>
      <c r="BK67" s="235"/>
      <c r="BL67" s="235"/>
      <c r="BM67" s="235"/>
      <c r="BN67" s="235"/>
      <c r="BO67" s="235"/>
      <c r="BP67" s="235"/>
      <c r="BQ67" s="235"/>
      <c r="BR67" s="235"/>
      <c r="BS67" s="235"/>
      <c r="BT67" s="235"/>
      <c r="BU67" s="235"/>
      <c r="BV67" s="235"/>
      <c r="BW67" s="235"/>
      <c r="BX67" s="235"/>
      <c r="BY67" s="235"/>
      <c r="BZ67" s="235"/>
      <c r="CA67" s="235"/>
      <c r="CB67" s="235"/>
      <c r="CC67" s="235"/>
      <c r="CD67" s="235"/>
      <c r="CE67" s="235"/>
      <c r="CF67" s="235"/>
      <c r="CG67" s="235"/>
      <c r="CH67" s="235"/>
      <c r="CI67" s="235"/>
      <c r="CJ67" s="235"/>
      <c r="CK67" s="235"/>
      <c r="CL67" s="235"/>
      <c r="CM67" s="235"/>
      <c r="CN67" s="235"/>
      <c r="CO67" s="235"/>
      <c r="CP67" s="235"/>
      <c r="CQ67" s="235"/>
      <c r="CR67" s="235"/>
      <c r="CS67" s="235"/>
      <c r="CT67" s="235"/>
      <c r="CU67" s="235"/>
      <c r="CV67" s="235"/>
      <c r="CW67" s="235"/>
      <c r="CX67" s="235"/>
      <c r="CY67" s="235"/>
      <c r="CZ67" s="235"/>
      <c r="DA67" s="235"/>
      <c r="DB67" s="235"/>
      <c r="DC67" s="235"/>
      <c r="DD67" s="235"/>
      <c r="DE67" s="235"/>
      <c r="DF67" s="235"/>
      <c r="DG67" s="235"/>
      <c r="DH67" s="235"/>
      <c r="DI67" s="235"/>
      <c r="DJ67" s="235"/>
      <c r="DK67" s="235"/>
      <c r="DL67" s="235"/>
      <c r="DM67" s="235"/>
      <c r="DN67" s="235"/>
      <c r="DO67" s="235"/>
      <c r="DP67" s="235"/>
      <c r="DQ67" s="235"/>
      <c r="DR67" s="235"/>
      <c r="DS67" s="235"/>
      <c r="DT67" s="235"/>
      <c r="DU67" s="235"/>
      <c r="DV67" s="235"/>
      <c r="DW67" s="235"/>
      <c r="DX67" s="235"/>
      <c r="DY67" s="235"/>
      <c r="DZ67" s="235"/>
      <c r="EA67" s="235"/>
      <c r="EB67" s="235"/>
      <c r="EC67" s="235"/>
      <c r="ED67" s="235"/>
      <c r="EE67" s="235"/>
      <c r="EF67" s="235"/>
      <c r="EG67" s="235"/>
      <c r="EH67" s="235"/>
      <c r="EI67" s="235"/>
      <c r="EJ67" s="235"/>
      <c r="EK67" s="235"/>
      <c r="EL67" s="235"/>
      <c r="EM67" s="235"/>
      <c r="EN67" s="235"/>
      <c r="EO67" s="235"/>
      <c r="EP67" s="235"/>
      <c r="EQ67" s="235"/>
      <c r="ER67" s="235"/>
      <c r="ES67" s="235"/>
      <c r="ET67" s="235"/>
      <c r="EU67" s="235"/>
      <c r="EV67" s="235"/>
      <c r="EW67" s="235"/>
      <c r="EX67" s="235"/>
      <c r="EY67" s="235"/>
      <c r="EZ67" s="235"/>
      <c r="FA67" s="235"/>
      <c r="FB67" s="235"/>
      <c r="FC67" s="235"/>
      <c r="FD67" s="235"/>
      <c r="FE67" s="235"/>
      <c r="FF67" s="235"/>
      <c r="FG67" s="235"/>
      <c r="FH67" s="235"/>
      <c r="FI67" s="235"/>
      <c r="FJ67" s="235"/>
      <c r="FK67" s="235"/>
      <c r="FL67" s="235"/>
      <c r="FM67" s="235"/>
      <c r="FN67" s="235"/>
      <c r="FO67" s="235"/>
      <c r="FP67" s="235"/>
      <c r="FQ67" s="235"/>
      <c r="FR67" s="235"/>
      <c r="FS67" s="235"/>
      <c r="FT67" s="235"/>
      <c r="FU67" s="235"/>
      <c r="FV67" s="235"/>
      <c r="FW67" s="235"/>
      <c r="FX67" s="235"/>
      <c r="FY67" s="235"/>
      <c r="FZ67" s="235"/>
      <c r="GA67" s="235"/>
      <c r="GB67" s="235"/>
      <c r="GC67" s="235"/>
      <c r="GD67" s="235"/>
      <c r="GE67" s="235"/>
      <c r="GF67" s="235"/>
      <c r="GG67" s="235"/>
      <c r="GH67" s="235"/>
      <c r="GI67" s="235"/>
      <c r="GJ67" s="235"/>
      <c r="GK67" s="235"/>
      <c r="GL67" s="235"/>
      <c r="GM67" s="235"/>
      <c r="GN67" s="235"/>
      <c r="GO67" s="235"/>
      <c r="GP67" s="235"/>
      <c r="GQ67" s="235"/>
      <c r="GR67" s="235"/>
      <c r="GS67" s="235"/>
      <c r="GT67" s="235"/>
      <c r="GU67" s="235"/>
      <c r="GV67" s="235"/>
      <c r="GW67" s="235"/>
      <c r="GX67" s="235"/>
      <c r="GY67" s="235"/>
      <c r="GZ67" s="235"/>
      <c r="HA67" s="235"/>
      <c r="HB67" s="235"/>
      <c r="HC67" s="235"/>
      <c r="HD67" s="235"/>
      <c r="HE67" s="235"/>
      <c r="HF67" s="235"/>
      <c r="HG67" s="235"/>
      <c r="HH67" s="235"/>
      <c r="HI67" s="235"/>
      <c r="HJ67" s="235"/>
      <c r="HK67" s="235"/>
      <c r="HL67" s="235"/>
      <c r="HM67" s="235"/>
      <c r="HN67" s="235"/>
      <c r="HO67" s="235"/>
      <c r="HP67" s="235"/>
      <c r="HQ67" s="235"/>
      <c r="HR67" s="235"/>
      <c r="HS67" s="235"/>
      <c r="HT67" s="235"/>
      <c r="HU67" s="235"/>
      <c r="HV67" s="235"/>
      <c r="HW67" s="235"/>
      <c r="HX67" s="235"/>
      <c r="HY67" s="235"/>
      <c r="HZ67" s="235"/>
      <c r="IA67" s="235"/>
      <c r="IB67" s="235"/>
      <c r="IC67" s="235"/>
      <c r="ID67" s="235"/>
      <c r="IE67" s="235"/>
      <c r="IF67" s="235"/>
      <c r="IG67" s="235"/>
      <c r="IH67" s="235"/>
      <c r="II67" s="235"/>
      <c r="IJ67" s="235"/>
      <c r="IK67" s="235"/>
      <c r="IL67" s="235"/>
      <c r="IM67" s="235"/>
      <c r="IN67" s="235"/>
      <c r="IO67" s="235"/>
      <c r="IP67" s="235"/>
      <c r="IQ67" s="235"/>
      <c r="IR67" s="235"/>
      <c r="IS67" s="235"/>
      <c r="IT67" s="235"/>
      <c r="IU67" s="235"/>
      <c r="IV67" s="235"/>
      <c r="IW67" s="235"/>
    </row>
    <row r="68" customFormat="false" ht="12.75" hidden="false" customHeight="false" outlineLevel="0" collapsed="false">
      <c r="A68" s="253" t="n">
        <v>806</v>
      </c>
      <c r="B68" s="179" t="n">
        <v>26113</v>
      </c>
      <c r="C68" s="178"/>
      <c r="D68" s="179" t="s">
        <v>182</v>
      </c>
      <c r="E68" s="179" t="s">
        <v>116</v>
      </c>
      <c r="F68" s="180" t="s">
        <v>116</v>
      </c>
      <c r="G68" s="181" t="n">
        <f aca="false">VLOOKUP($B68,BTU,2,FALSE())/1000</f>
        <v>1.025</v>
      </c>
      <c r="H68" s="182" t="str">
        <f aca="false">VLOOKUP($B68,spotdata,3,FALSE())</f>
        <v>UNAV</v>
      </c>
      <c r="I68" s="204" t="n">
        <f aca="false">IF(VLOOKUP($B68,errordata,3,FALSE())="UNAV",J68*POLLHOURSFLOWED,IF(LEFT(B68,1)="1",VLOOKUP($B68,totalvolume,2,FALSE())*G68/1000,VLOOKUP($B68,totalvolume,2,FALSE())*G68/1000*-1))</f>
        <v>-0.0943708912037037</v>
      </c>
      <c r="J68" s="205" t="n">
        <f aca="false">O68+T68</f>
        <v>-0.106416666666667</v>
      </c>
      <c r="K68" s="206" t="n">
        <f aca="false">I68-J68</f>
        <v>0.012045775462963</v>
      </c>
      <c r="L68" s="79" t="n">
        <f aca="false">L67+I68</f>
        <v>282.934568964999</v>
      </c>
      <c r="M68" s="200" t="n">
        <f aca="false">M67+J68</f>
        <v>222.650270833333</v>
      </c>
      <c r="N68" s="79" t="n">
        <f aca="false">IF(F68="CIG",O68,IF(F68="OBA",O68,IF(F68="HPL",I68-T68,IF(ISERR((O68/$J68)*$I68),0,IF(F68="TP",(O68/$J68)*$I68)))))</f>
        <v>-0</v>
      </c>
      <c r="O68" s="205" t="n">
        <f aca="false">IF(LEFT(B68,1)="1",VLOOKUP(B68,Cigsch,3,FALSE())/1000,VLOOKUP(B68,Cigsch,3,FALSE())/1000*-1)*POLLHOURSFLOWED</f>
        <v>-0</v>
      </c>
      <c r="P68" s="206" t="n">
        <f aca="false">N68-O68</f>
        <v>0</v>
      </c>
      <c r="Q68" s="79" t="n">
        <f aca="false">Q67+N68</f>
        <v>93.1039045789259</v>
      </c>
      <c r="R68" s="201" t="n">
        <f aca="false">R67+O68</f>
        <v>67.5116201388889</v>
      </c>
      <c r="S68" s="207" t="n">
        <f aca="false">I68-N68</f>
        <v>-0.0943708912037037</v>
      </c>
      <c r="T68" s="205" t="n">
        <f aca="false">IF(LEFT(B68,1)="1",VLOOKUP(B68,Cigsch,2,FALSE())/1000,VLOOKUP(B68,Cigsch,2,FALSE())/1000*-1)*POLLHOURSFLOWED</f>
        <v>-0.106416666666667</v>
      </c>
      <c r="U68" s="206" t="n">
        <f aca="false">S68-T68</f>
        <v>0.012045775462963</v>
      </c>
      <c r="V68" s="203" t="n">
        <f aca="false">V67+S68</f>
        <v>189.830664386073</v>
      </c>
      <c r="W68" s="79" t="n">
        <f aca="false">W67+T68</f>
        <v>155.138650694444</v>
      </c>
      <c r="X68" s="208" t="n">
        <f aca="false">S68-Y68</f>
        <v>-0.0943708912037037</v>
      </c>
      <c r="Y68" s="209" t="n">
        <f aca="false">IF(F68="OBA",I68-J68,0)</f>
        <v>0</v>
      </c>
      <c r="AB68" s="194"/>
      <c r="AC68" s="194"/>
    </row>
    <row r="69" customFormat="false" ht="12.75" hidden="false" customHeight="false" outlineLevel="0" collapsed="false">
      <c r="A69" s="253" t="n">
        <v>806</v>
      </c>
      <c r="B69" s="179" t="n">
        <v>26002</v>
      </c>
      <c r="C69" s="178"/>
      <c r="D69" s="179" t="s">
        <v>183</v>
      </c>
      <c r="E69" s="179" t="s">
        <v>116</v>
      </c>
      <c r="F69" s="180" t="s">
        <v>116</v>
      </c>
      <c r="G69" s="181" t="n">
        <f aca="false">VLOOKUP($B69,BTU,2,FALSE())/1000</f>
        <v>1.02</v>
      </c>
      <c r="H69" s="182" t="str">
        <f aca="false">VLOOKUP($B69,spotdata,3,FALSE())</f>
        <v>    </v>
      </c>
      <c r="I69" s="204" t="n">
        <f aca="false">IF(VLOOKUP($B69,errordata,3,FALSE())="UNAV",J69*POLLHOURSFLOWED,IF(LEFT(B69,1)="1",VLOOKUP($B69,totalvolume,2,FALSE())*G69/1000,VLOOKUP($B69,totalvolume,2,FALSE())*G69/1000*-1))</f>
        <v>-4.2853228176</v>
      </c>
      <c r="J69" s="205" t="n">
        <f aca="false">O69+T69</f>
        <v>-3.990625</v>
      </c>
      <c r="K69" s="206" t="n">
        <f aca="false">I69-J69</f>
        <v>-0.2946978176</v>
      </c>
      <c r="L69" s="79" t="n">
        <f aca="false">L68+I69</f>
        <v>278.649246147399</v>
      </c>
      <c r="M69" s="200" t="n">
        <f aca="false">M68+J69</f>
        <v>218.659645833333</v>
      </c>
      <c r="N69" s="79" t="n">
        <f aca="false">IF(F69="CIG",O69,IF(F69="OBA",O69,IF(F69="HPL",I69-T69,IF(ISERR((O69/$J69)*$I69),0,IF(F69="TP",(O69/$J69)*$I69)))))</f>
        <v>-0</v>
      </c>
      <c r="O69" s="205" t="n">
        <f aca="false">IF(LEFT(B69,1)="1",VLOOKUP(B69,Cigsch,3,FALSE())/1000,VLOOKUP(B69,Cigsch,3,FALSE())/1000*-1)*POLLHOURSFLOWED</f>
        <v>-0</v>
      </c>
      <c r="P69" s="206" t="n">
        <f aca="false">N69-O69</f>
        <v>0</v>
      </c>
      <c r="Q69" s="79" t="n">
        <f aca="false">Q68+N69</f>
        <v>93.1039045789259</v>
      </c>
      <c r="R69" s="201" t="n">
        <f aca="false">R68+O69</f>
        <v>67.5116201388889</v>
      </c>
      <c r="S69" s="207" t="n">
        <f aca="false">I69-N69</f>
        <v>-4.2853228176</v>
      </c>
      <c r="T69" s="205" t="n">
        <f aca="false">IF(LEFT(B69,1)="1",VLOOKUP(B69,Cigsch,2,FALSE())/1000,VLOOKUP(B69,Cigsch,2,FALSE())/1000*-1)*POLLHOURSFLOWED</f>
        <v>-3.990625</v>
      </c>
      <c r="U69" s="206" t="n">
        <f aca="false">S69-T69</f>
        <v>-0.2946978176</v>
      </c>
      <c r="V69" s="203" t="n">
        <f aca="false">V68+S69</f>
        <v>185.545341568473</v>
      </c>
      <c r="W69" s="79" t="n">
        <f aca="false">W68+T69</f>
        <v>151.148025694444</v>
      </c>
      <c r="X69" s="208" t="n">
        <f aca="false">S69-Y69</f>
        <v>-4.2853228176</v>
      </c>
      <c r="Y69" s="209" t="n">
        <f aca="false">IF(F69="OBA",I69-J69,0)</f>
        <v>0</v>
      </c>
      <c r="AB69" s="194"/>
      <c r="AC69" s="194"/>
    </row>
    <row r="70" customFormat="false" ht="12.75" hidden="false" customHeight="false" outlineLevel="0" collapsed="false">
      <c r="A70" s="253" t="n">
        <v>806</v>
      </c>
      <c r="B70" s="179" t="n">
        <v>26080</v>
      </c>
      <c r="C70" s="178" t="n">
        <v>1332</v>
      </c>
      <c r="D70" s="179" t="s">
        <v>183</v>
      </c>
      <c r="E70" s="179" t="s">
        <v>149</v>
      </c>
      <c r="F70" s="180" t="s">
        <v>149</v>
      </c>
      <c r="G70" s="181" t="n">
        <f aca="false">VLOOKUP($B70,BTU,2,FALSE())/1000</f>
        <v>1.025</v>
      </c>
      <c r="H70" s="182" t="str">
        <f aca="false">VLOOKUP($B70,spotdata,3,FALSE())</f>
        <v>    </v>
      </c>
      <c r="I70" s="204" t="n">
        <f aca="false">IF(VLOOKUP($B70,errordata,3,FALSE())="UNAV",J70*POLLHOURSFLOWED,IF(LEFT(B70,1)="1",VLOOKUP($B70,totalvolume,2,FALSE())*G70/1000,VLOOKUP($B70,totalvolume,2,FALSE())*G70/1000*-1))</f>
        <v>-11.84065691</v>
      </c>
      <c r="J70" s="205" t="n">
        <f aca="false">O70+T70</f>
        <v>-8.86805555555556</v>
      </c>
      <c r="K70" s="206" t="n">
        <f aca="false">I70-J70</f>
        <v>-2.97260135444444</v>
      </c>
      <c r="L70" s="79" t="n">
        <f aca="false">L69+I70</f>
        <v>266.808589237399</v>
      </c>
      <c r="M70" s="200" t="n">
        <f aca="false">M69+J70</f>
        <v>209.791590277778</v>
      </c>
      <c r="N70" s="79" t="n">
        <f aca="false">IF(F70="CIG",O70,IF(F70="OBA",O70,IF(F70="HPL",I70-T70,IF(ISERR((O70/$J70)*$I70),0,IF(F70="TP",(O70/$J70)*$I70)))))</f>
        <v>-11.84065691</v>
      </c>
      <c r="O70" s="205" t="n">
        <f aca="false">IF(LEFT(B70,1)="1",VLOOKUP(B70,Cigsch,3,FALSE())/1000,VLOOKUP(B70,Cigsch,3,FALSE())/1000*-1)*POLLHOURSFLOWED</f>
        <v>-8.86805555555556</v>
      </c>
      <c r="P70" s="206" t="n">
        <f aca="false">N70-O70</f>
        <v>-2.97260135444444</v>
      </c>
      <c r="Q70" s="79" t="n">
        <f aca="false">Q69+N70</f>
        <v>81.2632476689259</v>
      </c>
      <c r="R70" s="201" t="n">
        <f aca="false">R69+O70</f>
        <v>58.6435645833333</v>
      </c>
      <c r="S70" s="207" t="n">
        <f aca="false">I70-N70</f>
        <v>0</v>
      </c>
      <c r="T70" s="205" t="n">
        <f aca="false">IF(LEFT(B70,1)="1",VLOOKUP(B70,Cigsch,2,FALSE())/1000,VLOOKUP(B70,Cigsch,2,FALSE())/1000*-1)*POLLHOURSFLOWED</f>
        <v>-0</v>
      </c>
      <c r="U70" s="206" t="n">
        <f aca="false">S70-T70</f>
        <v>0</v>
      </c>
      <c r="V70" s="203" t="n">
        <f aca="false">V69+S70</f>
        <v>185.545341568473</v>
      </c>
      <c r="W70" s="79" t="n">
        <f aca="false">W69+T70</f>
        <v>151.148025694444</v>
      </c>
      <c r="X70" s="208" t="n">
        <f aca="false">S70-Y70</f>
        <v>0</v>
      </c>
      <c r="Y70" s="209" t="n">
        <f aca="false">IF(F70="OBA",I70-J70,0)</f>
        <v>0</v>
      </c>
      <c r="AB70" s="194"/>
      <c r="AC70" s="194"/>
    </row>
    <row r="71" customFormat="false" ht="12.75" hidden="false" customHeight="false" outlineLevel="0" collapsed="false">
      <c r="A71" s="253" t="n">
        <v>806</v>
      </c>
      <c r="B71" s="179" t="n">
        <v>16290</v>
      </c>
      <c r="C71" s="178" t="n">
        <v>553</v>
      </c>
      <c r="D71" s="237" t="s">
        <v>184</v>
      </c>
      <c r="E71" s="179" t="s">
        <v>118</v>
      </c>
      <c r="F71" s="180" t="s">
        <v>142</v>
      </c>
      <c r="G71" s="181" t="n">
        <f aca="false">VLOOKUP($B71,BTU,2,FALSE())/1000</f>
        <v>1.05406897</v>
      </c>
      <c r="H71" s="182" t="str">
        <f aca="false">VLOOKUP($B71,spotdata,3,FALSE())</f>
        <v>    </v>
      </c>
      <c r="I71" s="204" t="n">
        <f aca="false">IF(VLOOKUP($B71,errordata,3,FALSE())="UNAV",J71*POLLHOURSFLOWED,IF(LEFT(B71,1)="1",VLOOKUP($B71,totalvolume,2,FALSE())*G71/1000,VLOOKUP($B71,totalvolume,2,FALSE())*G71/1000*-1))</f>
        <v>14.0006432666042</v>
      </c>
      <c r="J71" s="205" t="n">
        <f aca="false">O71+T71</f>
        <v>6.02052291666667</v>
      </c>
      <c r="K71" s="206" t="n">
        <f aca="false">I71-J71</f>
        <v>7.98012034993753</v>
      </c>
      <c r="L71" s="79" t="n">
        <f aca="false">L70+I71</f>
        <v>280.809232504003</v>
      </c>
      <c r="M71" s="200" t="n">
        <f aca="false">M70+J71</f>
        <v>215.812113194444</v>
      </c>
      <c r="N71" s="79" t="n">
        <f aca="false">IF(F71="CIG",O71,IF(F71="OBA",O71,IF(F71="HPL",I71-T71,IF(ISERR((O71/$J71)*$I71),0,IF(F71="TP",(O71/$J71)*$I71)))))</f>
        <v>5.56825208333333</v>
      </c>
      <c r="O71" s="205" t="n">
        <f aca="false">IF(LEFT(B71,1)="1",VLOOKUP(B71,Cigsch,3,FALSE())/1000,VLOOKUP(B71,Cigsch,3,FALSE())/1000*-1)*POLLHOURSFLOWED</f>
        <v>5.56825208333333</v>
      </c>
      <c r="P71" s="206" t="n">
        <f aca="false">N71-O71</f>
        <v>0</v>
      </c>
      <c r="Q71" s="79" t="n">
        <f aca="false">Q70+N71</f>
        <v>86.8314997522593</v>
      </c>
      <c r="R71" s="201" t="n">
        <f aca="false">R70+O71</f>
        <v>64.2118166666667</v>
      </c>
      <c r="S71" s="207" t="n">
        <f aca="false">I71-N71</f>
        <v>8.43239118327086</v>
      </c>
      <c r="T71" s="205" t="n">
        <f aca="false">IF(LEFT(B71,1)="1",VLOOKUP(B71,Cigsch,2,FALSE())/1000,VLOOKUP(B71,Cigsch,2,FALSE())/1000*-1)*POLLHOURSFLOWED</f>
        <v>0.452270833333333</v>
      </c>
      <c r="U71" s="206" t="n">
        <f aca="false">S71-T71</f>
        <v>7.98012034993753</v>
      </c>
      <c r="V71" s="203" t="n">
        <f aca="false">V70+S71</f>
        <v>193.977732751744</v>
      </c>
      <c r="W71" s="79" t="n">
        <f aca="false">W70+T71</f>
        <v>151.600296527778</v>
      </c>
      <c r="X71" s="208" t="n">
        <f aca="false">S71-Y71</f>
        <v>0.452270833333333</v>
      </c>
      <c r="Y71" s="209" t="n">
        <f aca="false">IF(F71="OBA",I71-J71,0)</f>
        <v>7.98012034993753</v>
      </c>
      <c r="AB71" s="194"/>
      <c r="AC71" s="194"/>
    </row>
    <row r="72" customFormat="false" ht="12.75" hidden="false" customHeight="false" outlineLevel="0" collapsed="false">
      <c r="A72" s="253" t="n">
        <v>806</v>
      </c>
      <c r="B72" s="179" t="n">
        <v>26038</v>
      </c>
      <c r="C72" s="178"/>
      <c r="D72" s="179" t="s">
        <v>185</v>
      </c>
      <c r="E72" s="179" t="s">
        <v>149</v>
      </c>
      <c r="F72" s="180" t="s">
        <v>149</v>
      </c>
      <c r="G72" s="181" t="n">
        <f aca="false">VLOOKUP($B72,BTU,2,FALSE())/1000</f>
        <v>1.025</v>
      </c>
      <c r="H72" s="182" t="str">
        <f aca="false">VLOOKUP($B72,spotdata,3,FALSE())</f>
        <v>UNAV</v>
      </c>
      <c r="I72" s="204" t="n">
        <f aca="false">IF(VLOOKUP($B72,errordata,3,FALSE())="UNAV",J72*POLLHOURSFLOWED,IF(LEFT(B72,1)="1",VLOOKUP($B72,totalvolume,2,FALSE())*G72/1000,VLOOKUP($B72,totalvolume,2,FALSE())*G72/1000*-1))</f>
        <v>-0.000786424093364197</v>
      </c>
      <c r="J72" s="205" t="n">
        <f aca="false">O72+T72</f>
        <v>-0.000886805555555556</v>
      </c>
      <c r="K72" s="206" t="n">
        <f aca="false">I72-J72</f>
        <v>0.000100381462191358</v>
      </c>
      <c r="L72" s="79" t="n">
        <f aca="false">L71+I72</f>
        <v>280.80844607991</v>
      </c>
      <c r="M72" s="200" t="n">
        <f aca="false">M71+J72</f>
        <v>215.811226388889</v>
      </c>
      <c r="N72" s="79" t="n">
        <f aca="false">IF(F72="CIG",O72,IF(F72="OBA",O72,IF(F72="HPL",I72-T72,IF(ISERR((O72/$J72)*$I72),0,IF(F72="TP",(O72/$J72)*$I72)))))</f>
        <v>-0.000786424093364197</v>
      </c>
      <c r="O72" s="205" t="n">
        <f aca="false">IF(LEFT(B72,1)="1",VLOOKUP(B72,Cigsch,3,FALSE())/1000,VLOOKUP(B72,Cigsch,3,FALSE())/1000*-1)*POLLHOURSFLOWED</f>
        <v>-0.000886805555555556</v>
      </c>
      <c r="P72" s="206" t="n">
        <f aca="false">N72-O72</f>
        <v>0.000100381462191358</v>
      </c>
      <c r="Q72" s="79" t="n">
        <f aca="false">Q71+N72</f>
        <v>86.8307133281659</v>
      </c>
      <c r="R72" s="201" t="n">
        <f aca="false">R71+O72</f>
        <v>64.2109298611111</v>
      </c>
      <c r="S72" s="207" t="n">
        <f aca="false">I72-N72</f>
        <v>0</v>
      </c>
      <c r="T72" s="205" t="n">
        <f aca="false">IF(LEFT(B72,1)="1",VLOOKUP(B72,Cigsch,2,FALSE())/1000,VLOOKUP(B72,Cigsch,2,FALSE())/1000*-1)*POLLHOURSFLOWED</f>
        <v>-0</v>
      </c>
      <c r="U72" s="206" t="n">
        <f aca="false">S72-T72</f>
        <v>0</v>
      </c>
      <c r="V72" s="203" t="n">
        <f aca="false">V71+S72</f>
        <v>193.977732751744</v>
      </c>
      <c r="W72" s="79" t="n">
        <f aca="false">W71+T72</f>
        <v>151.600296527778</v>
      </c>
      <c r="X72" s="208" t="n">
        <f aca="false">S72-Y72</f>
        <v>0</v>
      </c>
      <c r="Y72" s="209" t="n">
        <f aca="false">IF(F72="OBA",I72-J72,0)</f>
        <v>0</v>
      </c>
      <c r="AB72" s="194"/>
      <c r="AC72" s="194"/>
    </row>
    <row r="73" customFormat="false" ht="13.5" hidden="false" customHeight="false" outlineLevel="0" collapsed="false">
      <c r="A73" s="274" t="n">
        <v>806</v>
      </c>
      <c r="B73" s="239" t="n">
        <v>26192</v>
      </c>
      <c r="C73" s="238"/>
      <c r="D73" s="239" t="s">
        <v>186</v>
      </c>
      <c r="E73" s="239" t="s">
        <v>149</v>
      </c>
      <c r="F73" s="240" t="s">
        <v>116</v>
      </c>
      <c r="G73" s="241" t="n">
        <f aca="false">VLOOKUP($B73,BTU,2,FALSE())/1000</f>
        <v>1.025</v>
      </c>
      <c r="H73" s="242" t="str">
        <f aca="false">VLOOKUP($B73,spotdata,3,FALSE())</f>
        <v>UNAV</v>
      </c>
      <c r="I73" s="243" t="n">
        <f aca="false">IF(VLOOKUP($B73,errordata,3,FALSE())="UNAV",J73*POLLHOURSFLOWED,IF(LEFT(B73,1)="1",VLOOKUP($B73,totalvolume,2,FALSE())*G73/1000,VLOOKUP($B73,totalvolume,2,FALSE())*G73/1000*-1))</f>
        <v>-0</v>
      </c>
      <c r="J73" s="244" t="n">
        <f aca="false">O73+T73</f>
        <v>-0</v>
      </c>
      <c r="K73" s="245" t="n">
        <f aca="false">I73-J73</f>
        <v>0</v>
      </c>
      <c r="L73" s="246" t="n">
        <f aca="false">L72+I73</f>
        <v>280.80844607991</v>
      </c>
      <c r="M73" s="247" t="n">
        <f aca="false">M72+J73</f>
        <v>215.811226388889</v>
      </c>
      <c r="N73" s="246" t="n">
        <f aca="false">IF(F73="CIG",O73,IF(F73="OBA",O73,IF(F73="HPL",I73-T73,IF(ISERR((O73/$J73)*$I73),0,IF(F73="TP",(O73/$J73)*$I73)))))</f>
        <v>-0</v>
      </c>
      <c r="O73" s="244" t="n">
        <f aca="false">IF(LEFT(B73,1)="1",VLOOKUP(B73,Cigsch,3,FALSE())/1000,VLOOKUP(B73,Cigsch,3,FALSE())/1000*-1)*POLLHOURSFLOWED</f>
        <v>-0</v>
      </c>
      <c r="P73" s="245" t="n">
        <f aca="false">N73-O73</f>
        <v>0</v>
      </c>
      <c r="Q73" s="246" t="n">
        <f aca="false">Q72+N73</f>
        <v>86.8307133281659</v>
      </c>
      <c r="R73" s="248" t="n">
        <f aca="false">R72+O73</f>
        <v>64.2109298611111</v>
      </c>
      <c r="S73" s="249" t="n">
        <f aca="false">I73-N73</f>
        <v>0</v>
      </c>
      <c r="T73" s="244" t="n">
        <f aca="false">IF(LEFT(B73,1)="1",VLOOKUP(B73,Cigsch,2,FALSE())/1000,VLOOKUP(B73,Cigsch,2,FALSE())/1000*-1)*POLLHOURSFLOWED</f>
        <v>-0</v>
      </c>
      <c r="U73" s="245" t="n">
        <f aca="false">S73-T73</f>
        <v>0</v>
      </c>
      <c r="V73" s="250" t="n">
        <f aca="false">V72+S73</f>
        <v>193.977732751744</v>
      </c>
      <c r="W73" s="246" t="n">
        <f aca="false">W72+T73</f>
        <v>151.600296527778</v>
      </c>
      <c r="X73" s="251" t="n">
        <f aca="false">S73-Y73</f>
        <v>0</v>
      </c>
      <c r="Y73" s="252" t="n">
        <f aca="false">IF(F73="OBA",I73-J73,0)</f>
        <v>0</v>
      </c>
      <c r="AB73" s="194"/>
      <c r="AC73" s="194"/>
    </row>
    <row r="74" customFormat="false" ht="12.75" hidden="false" customHeight="false" outlineLevel="0" collapsed="false">
      <c r="A74" s="273" t="n">
        <v>807</v>
      </c>
      <c r="B74" s="211" t="n">
        <v>16254</v>
      </c>
      <c r="C74" s="210"/>
      <c r="D74" s="211" t="s">
        <v>187</v>
      </c>
      <c r="E74" s="211" t="s">
        <v>118</v>
      </c>
      <c r="F74" s="212" t="s">
        <v>156</v>
      </c>
      <c r="G74" s="213" t="n">
        <f aca="false">VLOOKUP($B74,BTU,2,FALSE())/1000</f>
        <v>1.025</v>
      </c>
      <c r="H74" s="182" t="str">
        <f aca="false">VLOOKUP($B74,spotdata,3,FALSE())</f>
        <v>UNAV</v>
      </c>
      <c r="I74" s="204" t="n">
        <f aca="false">IF(VLOOKUP($B74,errordata,3,FALSE())="UNAV",J74*POLLHOURSFLOWED,IF(LEFT(B74,1)="1",VLOOKUP($B74,totalvolume,2,FALSE())*G74/1000,VLOOKUP($B74,totalvolume,2,FALSE())*G74/1000*-1))</f>
        <v>0</v>
      </c>
      <c r="J74" s="205" t="n">
        <f aca="false">O74+T74</f>
        <v>0</v>
      </c>
      <c r="K74" s="206" t="n">
        <f aca="false">I74-J74</f>
        <v>0</v>
      </c>
      <c r="L74" s="79" t="n">
        <f aca="false">L73+I74</f>
        <v>280.80844607991</v>
      </c>
      <c r="M74" s="200" t="n">
        <f aca="false">M73+J74</f>
        <v>215.811226388889</v>
      </c>
      <c r="N74" s="79" t="n">
        <f aca="false">IF(F74="CIG",O74,IF(F74="OBA",O74,IF(F74="HPL",I74-T74,IF(ISERR((O74/$J74)*$I74),0,IF(F74="TP",(O74/$J74)*$I74)))))</f>
        <v>0</v>
      </c>
      <c r="O74" s="205" t="n">
        <f aca="false">IF(LEFT(B74,1)="1",VLOOKUP(B74,Cigsch,3,FALSE())/1000,VLOOKUP(B74,Cigsch,3,FALSE())/1000*-1)*POLLHOURSFLOWED</f>
        <v>0</v>
      </c>
      <c r="P74" s="206" t="n">
        <f aca="false">N74-O74</f>
        <v>0</v>
      </c>
      <c r="Q74" s="79" t="n">
        <f aca="false">Q73+N74</f>
        <v>86.8307133281659</v>
      </c>
      <c r="R74" s="201" t="n">
        <f aca="false">R73+O74</f>
        <v>64.2109298611111</v>
      </c>
      <c r="S74" s="207" t="n">
        <f aca="false">I74-N74</f>
        <v>0</v>
      </c>
      <c r="T74" s="205" t="n">
        <f aca="false">IF(LEFT(B74,1)="1",VLOOKUP(B74,Cigsch,2,FALSE())/1000,VLOOKUP(B74,Cigsch,2,FALSE())/1000*-1)*POLLHOURSFLOWED</f>
        <v>0</v>
      </c>
      <c r="U74" s="206" t="n">
        <f aca="false">S74-T74</f>
        <v>0</v>
      </c>
      <c r="V74" s="203" t="n">
        <f aca="false">V73+S74</f>
        <v>193.977732751744</v>
      </c>
      <c r="W74" s="79" t="n">
        <f aca="false">W73+T74</f>
        <v>151.600296527778</v>
      </c>
      <c r="X74" s="208" t="n">
        <f aca="false">S74-Y74</f>
        <v>0</v>
      </c>
      <c r="Y74" s="209" t="n">
        <f aca="false">IF(F74="OBA",I74-J74,0)</f>
        <v>0</v>
      </c>
      <c r="AB74" s="194"/>
      <c r="AC74" s="194"/>
    </row>
    <row r="75" customFormat="false" ht="12.75" hidden="false" customHeight="false" outlineLevel="0" collapsed="false">
      <c r="A75" s="253" t="n">
        <v>807</v>
      </c>
      <c r="B75" s="179" t="n">
        <v>26146</v>
      </c>
      <c r="C75" s="178"/>
      <c r="D75" s="179" t="s">
        <v>188</v>
      </c>
      <c r="E75" s="179" t="s">
        <v>116</v>
      </c>
      <c r="F75" s="180" t="s">
        <v>116</v>
      </c>
      <c r="G75" s="181" t="n">
        <f aca="false">VLOOKUP($B75,BTU,2,FALSE())/1000</f>
        <v>1.0208941</v>
      </c>
      <c r="H75" s="182" t="str">
        <f aca="false">VLOOKUP($B75,spotdata,3,FALSE())</f>
        <v>    </v>
      </c>
      <c r="I75" s="204" t="n">
        <f aca="false">IF(VLOOKUP($B75,errordata,3,FALSE())="UNAV",J75*POLLHOURSFLOWED,IF(LEFT(B75,1)="1",VLOOKUP($B75,totalvolume,2,FALSE())*G75/1000,VLOOKUP($B75,totalvolume,2,FALSE())*G75/1000*-1))</f>
        <v>-0</v>
      </c>
      <c r="J75" s="205" t="n">
        <f aca="false">O75+T75</f>
        <v>-0</v>
      </c>
      <c r="K75" s="206" t="n">
        <f aca="false">I75-J75</f>
        <v>0</v>
      </c>
      <c r="L75" s="79" t="n">
        <f aca="false">L74+I75</f>
        <v>280.80844607991</v>
      </c>
      <c r="M75" s="200" t="n">
        <f aca="false">M74+J75</f>
        <v>215.811226388889</v>
      </c>
      <c r="N75" s="79" t="n">
        <f aca="false">IF(F75="CIG",O75,IF(F75="OBA",O75,IF(F75="HPL",I75-T75,IF(ISERR((O75/$J75)*$I75),0,IF(F75="TP",(O75/$J75)*$I75)))))</f>
        <v>-0</v>
      </c>
      <c r="O75" s="205" t="n">
        <f aca="false">IF(LEFT(B75,1)="1",VLOOKUP(B75,Cigsch,3,FALSE())/1000,VLOOKUP(B75,Cigsch,3,FALSE())/1000*-1)*POLLHOURSFLOWED</f>
        <v>-0</v>
      </c>
      <c r="P75" s="206" t="n">
        <f aca="false">N75-O75</f>
        <v>0</v>
      </c>
      <c r="Q75" s="79" t="n">
        <f aca="false">Q74+N75</f>
        <v>86.8307133281659</v>
      </c>
      <c r="R75" s="201" t="n">
        <f aca="false">R74+O75</f>
        <v>64.2109298611111</v>
      </c>
      <c r="S75" s="207" t="n">
        <f aca="false">I75-N75</f>
        <v>0</v>
      </c>
      <c r="T75" s="205" t="n">
        <f aca="false">IF(LEFT(B75,1)="1",VLOOKUP(B75,Cigsch,2,FALSE())/1000,VLOOKUP(B75,Cigsch,2,FALSE())/1000*-1)*POLLHOURSFLOWED</f>
        <v>-0</v>
      </c>
      <c r="U75" s="206" t="n">
        <f aca="false">S75-T75</f>
        <v>0</v>
      </c>
      <c r="V75" s="203" t="n">
        <f aca="false">V74+S75</f>
        <v>193.977732751744</v>
      </c>
      <c r="W75" s="79" t="n">
        <f aca="false">W74+T75</f>
        <v>151.600296527778</v>
      </c>
      <c r="X75" s="208" t="n">
        <f aca="false">S75-Y75</f>
        <v>0</v>
      </c>
      <c r="Y75" s="209" t="n">
        <f aca="false">IF(F75="OBA",I75-J75,0)</f>
        <v>0</v>
      </c>
      <c r="AB75" s="194"/>
      <c r="AC75" s="194"/>
    </row>
    <row r="76" customFormat="false" ht="12.75" hidden="false" customHeight="false" outlineLevel="0" collapsed="false">
      <c r="A76" s="273" t="n">
        <v>807</v>
      </c>
      <c r="B76" s="211" t="n">
        <v>26136</v>
      </c>
      <c r="C76" s="210"/>
      <c r="D76" s="211" t="s">
        <v>189</v>
      </c>
      <c r="E76" s="211" t="s">
        <v>116</v>
      </c>
      <c r="F76" s="212" t="s">
        <v>116</v>
      </c>
      <c r="G76" s="213" t="n">
        <f aca="false">VLOOKUP($B76,BTU,2,FALSE())/1000</f>
        <v>1.0208941</v>
      </c>
      <c r="H76" s="182" t="str">
        <f aca="false">VLOOKUP($B76,spotdata,3,FALSE())</f>
        <v>    </v>
      </c>
      <c r="I76" s="204" t="n">
        <f aca="false">IF(VLOOKUP($B76,errordata,3,FALSE())="UNAV",J76*POLLHOURSFLOWED,IF(LEFT(B76,1)="1",VLOOKUP($B76,totalvolume,2,FALSE())*G76/1000,VLOOKUP($B76,totalvolume,2,FALSE())*G76/1000*-1))</f>
        <v>-0</v>
      </c>
      <c r="J76" s="205" t="n">
        <f aca="false">O76+T76</f>
        <v>-0</v>
      </c>
      <c r="K76" s="206" t="n">
        <f aca="false">I76-J76</f>
        <v>0</v>
      </c>
      <c r="L76" s="79" t="n">
        <f aca="false">L75+I76</f>
        <v>280.80844607991</v>
      </c>
      <c r="M76" s="200" t="n">
        <f aca="false">M75+J76</f>
        <v>215.811226388889</v>
      </c>
      <c r="N76" s="79" t="n">
        <f aca="false">IF(F76="CIG",O76,IF(F76="OBA",O76,IF(F76="HPL",I76-T76,IF(ISERR((O76/$J76)*$I76),0,IF(F76="TP",(O76/$J76)*$I76)))))</f>
        <v>-0</v>
      </c>
      <c r="O76" s="205" t="n">
        <f aca="false">IF(LEFT(B76,1)="1",VLOOKUP(B76,Cigsch,3,FALSE())/1000,VLOOKUP(B76,Cigsch,3,FALSE())/1000*-1)*POLLHOURSFLOWED</f>
        <v>-0</v>
      </c>
      <c r="P76" s="206" t="n">
        <f aca="false">N76-O76</f>
        <v>0</v>
      </c>
      <c r="Q76" s="79" t="n">
        <f aca="false">Q75+N76</f>
        <v>86.8307133281659</v>
      </c>
      <c r="R76" s="201" t="n">
        <f aca="false">R75+O76</f>
        <v>64.2109298611111</v>
      </c>
      <c r="S76" s="207" t="n">
        <f aca="false">I76-N76</f>
        <v>0</v>
      </c>
      <c r="T76" s="205" t="n">
        <f aca="false">IF(LEFT(B76,1)="1",VLOOKUP(B76,Cigsch,2,FALSE())/1000,VLOOKUP(B76,Cigsch,2,FALSE())/1000*-1)*POLLHOURSFLOWED</f>
        <v>-0</v>
      </c>
      <c r="U76" s="206" t="n">
        <f aca="false">S76-T76</f>
        <v>0</v>
      </c>
      <c r="V76" s="203" t="n">
        <f aca="false">V75+S76</f>
        <v>193.977732751744</v>
      </c>
      <c r="W76" s="79" t="n">
        <f aca="false">W75+T76</f>
        <v>151.600296527778</v>
      </c>
      <c r="X76" s="208" t="n">
        <f aca="false">S76-Y76</f>
        <v>0</v>
      </c>
      <c r="Y76" s="209" t="n">
        <f aca="false">IF(F76="OBA",I76-J76,0)</f>
        <v>0</v>
      </c>
      <c r="AB76" s="194"/>
      <c r="AC76" s="194"/>
    </row>
    <row r="77" customFormat="false" ht="12.75" hidden="false" customHeight="false" outlineLevel="0" collapsed="false">
      <c r="A77" s="253" t="n">
        <v>807</v>
      </c>
      <c r="B77" s="179" t="n">
        <v>26184</v>
      </c>
      <c r="C77" s="178"/>
      <c r="D77" s="179" t="s">
        <v>190</v>
      </c>
      <c r="E77" s="179" t="s">
        <v>116</v>
      </c>
      <c r="F77" s="180" t="s">
        <v>116</v>
      </c>
      <c r="G77" s="181" t="n">
        <f aca="false">VLOOKUP($B77,BTU,2,FALSE())/1000</f>
        <v>1.0208941</v>
      </c>
      <c r="H77" s="182" t="str">
        <f aca="false">VLOOKUP($B77,spotdata,3,FALSE())</f>
        <v>    </v>
      </c>
      <c r="I77" s="204" t="n">
        <f aca="false">IF(VLOOKUP($B77,errordata,3,FALSE())="UNAV",J77*POLLHOURSFLOWED,IF(LEFT(B77,1)="1",VLOOKUP($B77,totalvolume,2,FALSE())*G77/1000,VLOOKUP($B77,totalvolume,2,FALSE())*G77/1000*-1))</f>
        <v>-17.6819795300784</v>
      </c>
      <c r="J77" s="205" t="n">
        <f aca="false">O77+T77</f>
        <v>-13.3020833333333</v>
      </c>
      <c r="K77" s="206" t="n">
        <f aca="false">I77-J77</f>
        <v>-4.37989619674504</v>
      </c>
      <c r="L77" s="79" t="n">
        <f aca="false">L76+I77</f>
        <v>263.126466549832</v>
      </c>
      <c r="M77" s="200" t="n">
        <f aca="false">M76+J77</f>
        <v>202.509143055556</v>
      </c>
      <c r="N77" s="79" t="n">
        <f aca="false">IF(F77="CIG",O77,IF(F77="OBA",O77,IF(F77="HPL",I77-T77,IF(ISERR((O77/$J77)*$I77),0,IF(F77="TP",(O77/$J77)*$I77)))))</f>
        <v>-0</v>
      </c>
      <c r="O77" s="205" t="n">
        <f aca="false">IF(LEFT(B77,1)="1",VLOOKUP(B77,Cigsch,3,FALSE())/1000,VLOOKUP(B77,Cigsch,3,FALSE())/1000*-1)*POLLHOURSFLOWED</f>
        <v>-0</v>
      </c>
      <c r="P77" s="206" t="n">
        <f aca="false">N77-O77</f>
        <v>0</v>
      </c>
      <c r="Q77" s="79" t="n">
        <f aca="false">Q76+N77</f>
        <v>86.8307133281659</v>
      </c>
      <c r="R77" s="201" t="n">
        <f aca="false">R76+O77</f>
        <v>64.2109298611111</v>
      </c>
      <c r="S77" s="207" t="n">
        <f aca="false">I77-N77</f>
        <v>-17.6819795300784</v>
      </c>
      <c r="T77" s="205" t="n">
        <f aca="false">IF(LEFT(B77,1)="1",VLOOKUP(B77,Cigsch,2,FALSE())/1000,VLOOKUP(B77,Cigsch,2,FALSE())/1000*-1)*POLLHOURSFLOWED</f>
        <v>-13.3020833333333</v>
      </c>
      <c r="U77" s="206" t="n">
        <f aca="false">S77-T77</f>
        <v>-4.37989619674504</v>
      </c>
      <c r="V77" s="203" t="n">
        <f aca="false">V76+S77</f>
        <v>176.295753221666</v>
      </c>
      <c r="W77" s="79" t="n">
        <f aca="false">W76+T77</f>
        <v>138.298213194444</v>
      </c>
      <c r="X77" s="208" t="n">
        <f aca="false">S77-Y77</f>
        <v>-17.6819795300784</v>
      </c>
      <c r="Y77" s="209" t="n">
        <f aca="false">IF(F77="OBA",I77-J77,0)</f>
        <v>0</v>
      </c>
      <c r="AB77" s="194"/>
      <c r="AC77" s="194"/>
    </row>
    <row r="78" customFormat="false" ht="12.75" hidden="false" customHeight="false" outlineLevel="0" collapsed="false">
      <c r="A78" s="253" t="n">
        <v>807</v>
      </c>
      <c r="B78" s="179" t="n">
        <v>16306</v>
      </c>
      <c r="C78" s="178"/>
      <c r="D78" s="179" t="s">
        <v>191</v>
      </c>
      <c r="E78" s="179" t="s">
        <v>116</v>
      </c>
      <c r="F78" s="180" t="s">
        <v>116</v>
      </c>
      <c r="G78" s="181" t="n">
        <f aca="false">VLOOKUP($B78,BTU,2,FALSE())/1000</f>
        <v>1.02552417</v>
      </c>
      <c r="H78" s="182" t="str">
        <f aca="false">VLOOKUP($B78,spotdata,3,FALSE())</f>
        <v>UNAV</v>
      </c>
      <c r="I78" s="204" t="n">
        <f aca="false">IF(VLOOKUP($B78,errordata,3,FALSE())="UNAV",J78*POLLHOURSFLOWED,IF(LEFT(B78,1)="1",VLOOKUP($B78,totalvolume,2,FALSE())*G78/1000,VLOOKUP($B78,totalvolume,2,FALSE())*G78/1000*-1))</f>
        <v>0</v>
      </c>
      <c r="J78" s="205" t="n">
        <f aca="false">O78+T78</f>
        <v>0</v>
      </c>
      <c r="K78" s="206" t="n">
        <f aca="false">I78-J78</f>
        <v>0</v>
      </c>
      <c r="L78" s="79" t="n">
        <f aca="false">L77+I78</f>
        <v>263.126466549832</v>
      </c>
      <c r="M78" s="200" t="n">
        <f aca="false">M77+J78</f>
        <v>202.509143055556</v>
      </c>
      <c r="N78" s="79" t="n">
        <f aca="false">IF(F78="CIG",O78,IF(F78="OBA",O78,IF(F78="HPL",I78-T78,IF(ISERR((O78/$J78)*$I78),0,IF(F78="TP",(O78/$J78)*$I78)))))</f>
        <v>0</v>
      </c>
      <c r="O78" s="205" t="n">
        <f aca="false">IF(LEFT(B78,1)="1",VLOOKUP(B78,Cigsch,3,FALSE())/1000,VLOOKUP(B78,Cigsch,3,FALSE())/1000*-1)*POLLHOURSFLOWED</f>
        <v>0</v>
      </c>
      <c r="P78" s="206" t="n">
        <f aca="false">N78-O78</f>
        <v>0</v>
      </c>
      <c r="Q78" s="79" t="n">
        <f aca="false">Q77+N78</f>
        <v>86.8307133281659</v>
      </c>
      <c r="R78" s="201" t="n">
        <f aca="false">R77+O78</f>
        <v>64.2109298611111</v>
      </c>
      <c r="S78" s="207" t="n">
        <f aca="false">I78-N78</f>
        <v>0</v>
      </c>
      <c r="T78" s="205" t="n">
        <f aca="false">IF(LEFT(B78,1)="1",VLOOKUP(B78,Cigsch,2,FALSE())/1000,VLOOKUP(B78,Cigsch,2,FALSE())/1000*-1)*POLLHOURSFLOWED</f>
        <v>0</v>
      </c>
      <c r="U78" s="206" t="n">
        <f aca="false">S78-T78</f>
        <v>0</v>
      </c>
      <c r="V78" s="203" t="n">
        <f aca="false">V77+S78</f>
        <v>176.295753221666</v>
      </c>
      <c r="W78" s="79" t="n">
        <f aca="false">W77+T78</f>
        <v>138.298213194444</v>
      </c>
      <c r="X78" s="208" t="n">
        <f aca="false">S78-Y78</f>
        <v>0</v>
      </c>
      <c r="Y78" s="209" t="n">
        <f aca="false">IF(F78="OBA",I78-J78,0)</f>
        <v>0</v>
      </c>
      <c r="AB78" s="194"/>
      <c r="AC78" s="194"/>
    </row>
    <row r="79" customFormat="false" ht="12.75" hidden="false" customHeight="false" outlineLevel="0" collapsed="false">
      <c r="A79" s="253" t="n">
        <v>807</v>
      </c>
      <c r="B79" s="214" t="n">
        <v>26168</v>
      </c>
      <c r="C79" s="178"/>
      <c r="D79" s="179" t="s">
        <v>192</v>
      </c>
      <c r="E79" s="179" t="s">
        <v>116</v>
      </c>
      <c r="F79" s="180" t="s">
        <v>116</v>
      </c>
      <c r="G79" s="181" t="n">
        <f aca="false">VLOOKUP($B79,BTU,2,FALSE())/1000</f>
        <v>1.02070123</v>
      </c>
      <c r="H79" s="182" t="str">
        <f aca="false">VLOOKUP($B79,spotdata,3,FALSE())</f>
        <v>    </v>
      </c>
      <c r="I79" s="204" t="n">
        <f aca="false">IF(VLOOKUP($B79,errordata,3,FALSE())="UNAV",J79*POLLHOURSFLOWED,IF(LEFT(B79,1)="1",VLOOKUP($B79,totalvolume,2,FALSE())*G79/1000,VLOOKUP($B79,totalvolume,2,FALSE())*G79/1000*-1))</f>
        <v>-17.6280544799958</v>
      </c>
      <c r="J79" s="205" t="n">
        <f aca="false">O79+T79</f>
        <v>-17.7361111111111</v>
      </c>
      <c r="K79" s="206" t="n">
        <f aca="false">I79-J79</f>
        <v>0.108056631115275</v>
      </c>
      <c r="L79" s="79" t="n">
        <f aca="false">L78+I79</f>
        <v>245.498412069836</v>
      </c>
      <c r="M79" s="200" t="n">
        <f aca="false">M78+J79</f>
        <v>184.773031944444</v>
      </c>
      <c r="N79" s="79" t="n">
        <f aca="false">IF(F79="CIG",O79,IF(F79="OBA",O79,IF(F79="HPL",I79-T79,IF(ISERR((O79/$J79)*$I79),0,IF(F79="TP",(O79/$J79)*$I79)))))</f>
        <v>-0</v>
      </c>
      <c r="O79" s="205" t="n">
        <f aca="false">IF(LEFT(B79,1)="1",VLOOKUP(B79,Cigsch,3,FALSE())/1000,VLOOKUP(B79,Cigsch,3,FALSE())/1000*-1)*POLLHOURSFLOWED</f>
        <v>-0</v>
      </c>
      <c r="P79" s="206" t="n">
        <f aca="false">N79-O79</f>
        <v>0</v>
      </c>
      <c r="Q79" s="79" t="n">
        <f aca="false">Q78+N79</f>
        <v>86.8307133281659</v>
      </c>
      <c r="R79" s="201" t="n">
        <f aca="false">R78+O79</f>
        <v>64.2109298611111</v>
      </c>
      <c r="S79" s="207" t="n">
        <f aca="false">I79-N79</f>
        <v>-17.6280544799958</v>
      </c>
      <c r="T79" s="205" t="n">
        <f aca="false">IF(LEFT(B79,1)="1",VLOOKUP(B79,Cigsch,2,FALSE())/1000,VLOOKUP(B79,Cigsch,2,FALSE())/1000*-1)*POLLHOURSFLOWED</f>
        <v>-17.7361111111111</v>
      </c>
      <c r="U79" s="206" t="n">
        <f aca="false">S79-T79</f>
        <v>0.108056631115275</v>
      </c>
      <c r="V79" s="203" t="n">
        <f aca="false">V78+S79</f>
        <v>158.66769874167</v>
      </c>
      <c r="W79" s="79" t="n">
        <f aca="false">W78+T79</f>
        <v>120.562102083333</v>
      </c>
      <c r="X79" s="208" t="n">
        <f aca="false">S79-Y79</f>
        <v>-17.6280544799958</v>
      </c>
      <c r="Y79" s="209" t="n">
        <f aca="false">IF(F79="OBA",I79-J79,0)</f>
        <v>0</v>
      </c>
      <c r="AB79" s="194"/>
      <c r="AC79" s="194"/>
    </row>
    <row r="80" customFormat="false" ht="12.75" hidden="false" customHeight="false" outlineLevel="0" collapsed="false">
      <c r="A80" s="253" t="n">
        <v>807</v>
      </c>
      <c r="B80" s="179" t="n">
        <v>26154</v>
      </c>
      <c r="C80" s="178"/>
      <c r="D80" s="179" t="s">
        <v>193</v>
      </c>
      <c r="E80" s="179" t="s">
        <v>116</v>
      </c>
      <c r="F80" s="180" t="s">
        <v>116</v>
      </c>
      <c r="G80" s="181" t="n">
        <f aca="false">VLOOKUP($B80,BTU,2,FALSE())/1000</f>
        <v>1.0208941</v>
      </c>
      <c r="H80" s="182" t="str">
        <f aca="false">VLOOKUP($B80,spotdata,3,FALSE())</f>
        <v>    </v>
      </c>
      <c r="I80" s="204" t="n">
        <f aca="false">IF(VLOOKUP($B80,errordata,3,FALSE())="UNAV",J80*POLLHOURSFLOWED,IF(LEFT(B80,1)="1",VLOOKUP($B80,totalvolume,2,FALSE())*G80/1000,VLOOKUP($B80,totalvolume,2,FALSE())*G80/1000*-1))</f>
        <v>-0</v>
      </c>
      <c r="J80" s="205" t="n">
        <f aca="false">O80+T80</f>
        <v>-0</v>
      </c>
      <c r="K80" s="206" t="n">
        <f aca="false">I80-J80</f>
        <v>0</v>
      </c>
      <c r="L80" s="79" t="n">
        <f aca="false">L79+I80</f>
        <v>245.498412069836</v>
      </c>
      <c r="M80" s="200" t="n">
        <f aca="false">M79+J80</f>
        <v>184.773031944444</v>
      </c>
      <c r="N80" s="79" t="n">
        <f aca="false">IF(F80="CIG",O80,IF(F80="OBA",O80,IF(F80="HPL",I80-T80,IF(ISERR((O80/$J80)*$I80),0,IF(F80="TP",(O80/$J80)*$I80)))))</f>
        <v>-0</v>
      </c>
      <c r="O80" s="205" t="n">
        <f aca="false">IF(LEFT(B80,1)="1",VLOOKUP(B80,Cigsch,3,FALSE())/1000,VLOOKUP(B80,Cigsch,3,FALSE())/1000*-1)*POLLHOURSFLOWED</f>
        <v>-0</v>
      </c>
      <c r="P80" s="206" t="n">
        <f aca="false">N80-O80</f>
        <v>0</v>
      </c>
      <c r="Q80" s="79" t="n">
        <f aca="false">Q79+N80</f>
        <v>86.8307133281659</v>
      </c>
      <c r="R80" s="201" t="n">
        <f aca="false">R79+O80</f>
        <v>64.2109298611111</v>
      </c>
      <c r="S80" s="207" t="n">
        <f aca="false">I80-N80</f>
        <v>0</v>
      </c>
      <c r="T80" s="205" t="n">
        <f aca="false">IF(LEFT(B80,1)="1",VLOOKUP(B80,Cigsch,2,FALSE())/1000,VLOOKUP(B80,Cigsch,2,FALSE())/1000*-1)*POLLHOURSFLOWED</f>
        <v>-0</v>
      </c>
      <c r="U80" s="206" t="n">
        <f aca="false">S80-T80</f>
        <v>0</v>
      </c>
      <c r="V80" s="203" t="n">
        <f aca="false">V79+S80</f>
        <v>158.66769874167</v>
      </c>
      <c r="W80" s="79" t="n">
        <f aca="false">W79+T80</f>
        <v>120.562102083333</v>
      </c>
      <c r="X80" s="208" t="n">
        <f aca="false">S80-Y80</f>
        <v>0</v>
      </c>
      <c r="Y80" s="209" t="n">
        <f aca="false">IF(F80="OBA",I80-J80,0)</f>
        <v>0</v>
      </c>
      <c r="Z80" s="235"/>
      <c r="AA80" s="235"/>
      <c r="AB80" s="236"/>
      <c r="AC80" s="236"/>
      <c r="AD80" s="235"/>
      <c r="AE80" s="235"/>
      <c r="AF80" s="235"/>
      <c r="AG80" s="235"/>
      <c r="AH80" s="235"/>
      <c r="AI80" s="235"/>
      <c r="AJ80" s="235"/>
      <c r="AK80" s="235"/>
      <c r="AL80" s="235"/>
      <c r="AM80" s="235"/>
      <c r="AN80" s="235"/>
      <c r="AO80" s="235"/>
      <c r="AP80" s="235"/>
      <c r="AQ80" s="235"/>
      <c r="AR80" s="235"/>
      <c r="AS80" s="235"/>
      <c r="AT80" s="235"/>
      <c r="AU80" s="235"/>
      <c r="AV80" s="235"/>
      <c r="AW80" s="235"/>
      <c r="AX80" s="235"/>
      <c r="AY80" s="235"/>
      <c r="AZ80" s="235"/>
      <c r="BA80" s="235"/>
      <c r="BB80" s="235"/>
      <c r="BC80" s="235"/>
      <c r="BD80" s="235"/>
      <c r="BE80" s="235"/>
      <c r="BF80" s="235"/>
      <c r="BG80" s="235"/>
      <c r="BH80" s="235"/>
      <c r="BI80" s="235"/>
      <c r="BJ80" s="235"/>
      <c r="BK80" s="235"/>
      <c r="BL80" s="235"/>
      <c r="BM80" s="235"/>
      <c r="BN80" s="235"/>
      <c r="BO80" s="235"/>
      <c r="BP80" s="235"/>
      <c r="BQ80" s="235"/>
      <c r="BR80" s="235"/>
      <c r="BS80" s="235"/>
      <c r="BT80" s="235"/>
      <c r="BU80" s="235"/>
      <c r="BV80" s="235"/>
      <c r="BW80" s="235"/>
      <c r="BX80" s="235"/>
      <c r="BY80" s="235"/>
      <c r="BZ80" s="235"/>
      <c r="CA80" s="235"/>
      <c r="CB80" s="235"/>
      <c r="CC80" s="235"/>
      <c r="CD80" s="235"/>
      <c r="CE80" s="235"/>
      <c r="CF80" s="235"/>
      <c r="CG80" s="235"/>
      <c r="CH80" s="235"/>
      <c r="CI80" s="235"/>
      <c r="CJ80" s="235"/>
      <c r="CK80" s="235"/>
      <c r="CL80" s="235"/>
      <c r="CM80" s="235"/>
      <c r="CN80" s="235"/>
      <c r="CO80" s="235"/>
      <c r="CP80" s="235"/>
      <c r="CQ80" s="235"/>
      <c r="CR80" s="235"/>
      <c r="CS80" s="235"/>
      <c r="CT80" s="235"/>
      <c r="CU80" s="235"/>
      <c r="CV80" s="235"/>
      <c r="CW80" s="235"/>
      <c r="CX80" s="235"/>
      <c r="CY80" s="235"/>
      <c r="CZ80" s="235"/>
      <c r="DA80" s="235"/>
      <c r="DB80" s="235"/>
      <c r="DC80" s="235"/>
      <c r="DD80" s="235"/>
      <c r="DE80" s="235"/>
      <c r="DF80" s="235"/>
      <c r="DG80" s="235"/>
      <c r="DH80" s="235"/>
      <c r="DI80" s="235"/>
      <c r="DJ80" s="235"/>
      <c r="DK80" s="235"/>
      <c r="DL80" s="235"/>
      <c r="DM80" s="235"/>
      <c r="DN80" s="235"/>
      <c r="DO80" s="235"/>
      <c r="DP80" s="235"/>
      <c r="DQ80" s="235"/>
      <c r="DR80" s="235"/>
      <c r="DS80" s="235"/>
      <c r="DT80" s="235"/>
      <c r="DU80" s="235"/>
      <c r="DV80" s="235"/>
      <c r="DW80" s="235"/>
      <c r="DX80" s="235"/>
      <c r="DY80" s="235"/>
      <c r="DZ80" s="235"/>
      <c r="EA80" s="235"/>
      <c r="EB80" s="235"/>
      <c r="EC80" s="235"/>
      <c r="ED80" s="235"/>
      <c r="EE80" s="235"/>
      <c r="EF80" s="235"/>
      <c r="EG80" s="235"/>
      <c r="EH80" s="235"/>
      <c r="EI80" s="235"/>
      <c r="EJ80" s="235"/>
      <c r="EK80" s="235"/>
      <c r="EL80" s="235"/>
      <c r="EM80" s="235"/>
      <c r="EN80" s="235"/>
      <c r="EO80" s="235"/>
      <c r="EP80" s="235"/>
      <c r="EQ80" s="235"/>
      <c r="ER80" s="235"/>
      <c r="ES80" s="235"/>
      <c r="ET80" s="235"/>
      <c r="EU80" s="235"/>
      <c r="EV80" s="235"/>
      <c r="EW80" s="235"/>
      <c r="EX80" s="235"/>
      <c r="EY80" s="235"/>
      <c r="EZ80" s="235"/>
      <c r="FA80" s="235"/>
      <c r="FB80" s="235"/>
      <c r="FC80" s="235"/>
      <c r="FD80" s="235"/>
      <c r="FE80" s="235"/>
      <c r="FF80" s="235"/>
      <c r="FG80" s="235"/>
      <c r="FH80" s="235"/>
      <c r="FI80" s="235"/>
      <c r="FJ80" s="235"/>
      <c r="FK80" s="235"/>
      <c r="FL80" s="235"/>
      <c r="FM80" s="235"/>
      <c r="FN80" s="235"/>
      <c r="FO80" s="235"/>
      <c r="FP80" s="235"/>
      <c r="FQ80" s="235"/>
      <c r="FR80" s="235"/>
      <c r="FS80" s="235"/>
      <c r="FT80" s="235"/>
      <c r="FU80" s="235"/>
      <c r="FV80" s="235"/>
      <c r="FW80" s="235"/>
      <c r="FX80" s="235"/>
      <c r="FY80" s="235"/>
      <c r="FZ80" s="235"/>
      <c r="GA80" s="235"/>
      <c r="GB80" s="235"/>
      <c r="GC80" s="235"/>
      <c r="GD80" s="235"/>
      <c r="GE80" s="235"/>
      <c r="GF80" s="235"/>
      <c r="GG80" s="235"/>
      <c r="GH80" s="235"/>
      <c r="GI80" s="235"/>
      <c r="GJ80" s="235"/>
      <c r="GK80" s="235"/>
      <c r="GL80" s="235"/>
      <c r="GM80" s="235"/>
      <c r="GN80" s="235"/>
      <c r="GO80" s="235"/>
      <c r="GP80" s="235"/>
      <c r="GQ80" s="235"/>
      <c r="GR80" s="235"/>
      <c r="GS80" s="235"/>
      <c r="GT80" s="235"/>
      <c r="GU80" s="235"/>
      <c r="GV80" s="235"/>
      <c r="GW80" s="235"/>
      <c r="GX80" s="235"/>
      <c r="GY80" s="235"/>
      <c r="GZ80" s="235"/>
      <c r="HA80" s="235"/>
      <c r="HB80" s="235"/>
      <c r="HC80" s="235"/>
      <c r="HD80" s="235"/>
      <c r="HE80" s="235"/>
      <c r="HF80" s="235"/>
      <c r="HG80" s="235"/>
      <c r="HH80" s="235"/>
      <c r="HI80" s="235"/>
      <c r="HJ80" s="235"/>
      <c r="HK80" s="235"/>
      <c r="HL80" s="235"/>
      <c r="HM80" s="235"/>
      <c r="HN80" s="235"/>
      <c r="HO80" s="235"/>
      <c r="HP80" s="235"/>
      <c r="HQ80" s="235"/>
      <c r="HR80" s="235"/>
      <c r="HS80" s="235"/>
      <c r="HT80" s="235"/>
      <c r="HU80" s="235"/>
      <c r="HV80" s="235"/>
      <c r="HW80" s="235"/>
      <c r="HX80" s="235"/>
      <c r="HY80" s="235"/>
      <c r="HZ80" s="235"/>
      <c r="IA80" s="235"/>
      <c r="IB80" s="235"/>
      <c r="IC80" s="235"/>
      <c r="ID80" s="235"/>
      <c r="IE80" s="235"/>
      <c r="IF80" s="235"/>
      <c r="IG80" s="235"/>
      <c r="IH80" s="235"/>
      <c r="II80" s="235"/>
      <c r="IJ80" s="235"/>
      <c r="IK80" s="235"/>
      <c r="IL80" s="235"/>
      <c r="IM80" s="235"/>
      <c r="IN80" s="235"/>
      <c r="IO80" s="235"/>
      <c r="IP80" s="235"/>
      <c r="IQ80" s="235"/>
      <c r="IR80" s="235"/>
      <c r="IS80" s="235"/>
      <c r="IT80" s="235"/>
      <c r="IU80" s="235"/>
      <c r="IV80" s="235"/>
      <c r="IW80" s="235"/>
    </row>
    <row r="81" customFormat="false" ht="12.75" hidden="false" customHeight="false" outlineLevel="0" collapsed="false">
      <c r="A81" s="253" t="n">
        <v>807</v>
      </c>
      <c r="B81" s="179" t="n">
        <v>26073</v>
      </c>
      <c r="C81" s="178" t="n">
        <v>3521</v>
      </c>
      <c r="D81" s="179" t="s">
        <v>194</v>
      </c>
      <c r="E81" s="179" t="s">
        <v>149</v>
      </c>
      <c r="F81" s="180" t="s">
        <v>149</v>
      </c>
      <c r="G81" s="181" t="n">
        <f aca="false">VLOOKUP($B81,BTU,2,FALSE())/1000</f>
        <v>1.025</v>
      </c>
      <c r="H81" s="182" t="str">
        <f aca="false">VLOOKUP($B81,spotdata,3,FALSE())</f>
        <v>    </v>
      </c>
      <c r="I81" s="204" t="n">
        <f aca="false">IF(VLOOKUP($B81,errordata,3,FALSE())="UNAV",J81*POLLHOURSFLOWED,IF(LEFT(B81,1)="1",VLOOKUP($B81,totalvolume,2,FALSE())*G81/1000,VLOOKUP($B81,totalvolume,2,FALSE())*G81/1000*-1))</f>
        <v>-16.77702985</v>
      </c>
      <c r="J81" s="205" t="n">
        <f aca="false">O81+T81</f>
        <v>-25.1790701388889</v>
      </c>
      <c r="K81" s="206" t="n">
        <f aca="false">I81-J81</f>
        <v>8.40204028888889</v>
      </c>
      <c r="L81" s="79" t="n">
        <f aca="false">L80+I81</f>
        <v>228.721382219836</v>
      </c>
      <c r="M81" s="200" t="n">
        <f aca="false">M80+J81</f>
        <v>159.593961805556</v>
      </c>
      <c r="N81" s="79" t="n">
        <f aca="false">IF(F81="CIG",O81,IF(F81="OBA",O81,IF(F81="HPL",I81-T81,IF(ISERR((O81/$J81)*$I81),0,IF(F81="TP",(O81/$J81)*$I81)))))</f>
        <v>-16.77702985</v>
      </c>
      <c r="O81" s="205" t="n">
        <f aca="false">IF(LEFT(B81,1)="1",VLOOKUP(B81,Cigsch,3,FALSE())/1000,VLOOKUP(B81,Cigsch,3,FALSE())/1000*-1)*POLLHOURSFLOWED</f>
        <v>-25.1790701388889</v>
      </c>
      <c r="P81" s="206" t="n">
        <f aca="false">N81-O81</f>
        <v>8.40204028888889</v>
      </c>
      <c r="Q81" s="79" t="n">
        <f aca="false">Q80+N81</f>
        <v>70.0536834781659</v>
      </c>
      <c r="R81" s="201" t="n">
        <f aca="false">R80+O81</f>
        <v>39.0318597222222</v>
      </c>
      <c r="S81" s="207" t="n">
        <f aca="false">I81-N81</f>
        <v>0</v>
      </c>
      <c r="T81" s="205" t="n">
        <f aca="false">IF(LEFT(B81,1)="1",VLOOKUP(B81,Cigsch,2,FALSE())/1000,VLOOKUP(B81,Cigsch,2,FALSE())/1000*-1)*POLLHOURSFLOWED</f>
        <v>-0</v>
      </c>
      <c r="U81" s="206" t="n">
        <f aca="false">S81-T81</f>
        <v>0</v>
      </c>
      <c r="V81" s="203" t="n">
        <f aca="false">V80+S81</f>
        <v>158.66769874167</v>
      </c>
      <c r="W81" s="79" t="n">
        <f aca="false">W80+T81</f>
        <v>120.562102083333</v>
      </c>
      <c r="X81" s="208" t="n">
        <f aca="false">S81-Y81</f>
        <v>0</v>
      </c>
      <c r="Y81" s="209" t="n">
        <f aca="false">IF(F81="OBA",I81-J81,0)</f>
        <v>0</v>
      </c>
      <c r="Z81" s="235"/>
      <c r="AA81" s="235"/>
      <c r="AB81" s="236"/>
      <c r="AC81" s="236"/>
      <c r="AD81" s="235"/>
      <c r="AE81" s="235"/>
      <c r="AF81" s="235"/>
      <c r="AG81" s="235"/>
      <c r="AH81" s="235"/>
      <c r="AI81" s="235"/>
      <c r="AJ81" s="235"/>
      <c r="AK81" s="235"/>
      <c r="AL81" s="235"/>
      <c r="AM81" s="235"/>
      <c r="AN81" s="235"/>
      <c r="AO81" s="235"/>
      <c r="AP81" s="235"/>
      <c r="AQ81" s="235"/>
      <c r="AR81" s="235"/>
      <c r="AS81" s="235"/>
      <c r="AT81" s="235"/>
      <c r="AU81" s="235"/>
      <c r="AV81" s="235"/>
      <c r="AW81" s="235"/>
      <c r="AX81" s="235"/>
      <c r="AY81" s="235"/>
      <c r="AZ81" s="235"/>
      <c r="BA81" s="235"/>
      <c r="BB81" s="235"/>
      <c r="BC81" s="235"/>
      <c r="BD81" s="235"/>
      <c r="BE81" s="235"/>
      <c r="BF81" s="235"/>
      <c r="BG81" s="235"/>
      <c r="BH81" s="235"/>
      <c r="BI81" s="235"/>
      <c r="BJ81" s="235"/>
      <c r="BK81" s="235"/>
      <c r="BL81" s="235"/>
      <c r="BM81" s="235"/>
      <c r="BN81" s="235"/>
      <c r="BO81" s="235"/>
      <c r="BP81" s="235"/>
      <c r="BQ81" s="235"/>
      <c r="BR81" s="235"/>
      <c r="BS81" s="235"/>
      <c r="BT81" s="235"/>
      <c r="BU81" s="235"/>
      <c r="BV81" s="235"/>
      <c r="BW81" s="235"/>
      <c r="BX81" s="235"/>
      <c r="BY81" s="235"/>
      <c r="BZ81" s="235"/>
      <c r="CA81" s="235"/>
      <c r="CB81" s="235"/>
      <c r="CC81" s="235"/>
      <c r="CD81" s="235"/>
      <c r="CE81" s="235"/>
      <c r="CF81" s="235"/>
      <c r="CG81" s="235"/>
      <c r="CH81" s="235"/>
      <c r="CI81" s="235"/>
      <c r="CJ81" s="235"/>
      <c r="CK81" s="235"/>
      <c r="CL81" s="235"/>
      <c r="CM81" s="235"/>
      <c r="CN81" s="235"/>
      <c r="CO81" s="235"/>
      <c r="CP81" s="235"/>
      <c r="CQ81" s="235"/>
      <c r="CR81" s="235"/>
      <c r="CS81" s="235"/>
      <c r="CT81" s="235"/>
      <c r="CU81" s="235"/>
      <c r="CV81" s="235"/>
      <c r="CW81" s="235"/>
      <c r="CX81" s="235"/>
      <c r="CY81" s="235"/>
      <c r="CZ81" s="235"/>
      <c r="DA81" s="235"/>
      <c r="DB81" s="235"/>
      <c r="DC81" s="235"/>
      <c r="DD81" s="235"/>
      <c r="DE81" s="235"/>
      <c r="DF81" s="235"/>
      <c r="DG81" s="235"/>
      <c r="DH81" s="235"/>
      <c r="DI81" s="235"/>
      <c r="DJ81" s="235"/>
      <c r="DK81" s="235"/>
      <c r="DL81" s="235"/>
      <c r="DM81" s="235"/>
      <c r="DN81" s="235"/>
      <c r="DO81" s="235"/>
      <c r="DP81" s="235"/>
      <c r="DQ81" s="235"/>
      <c r="DR81" s="235"/>
      <c r="DS81" s="235"/>
      <c r="DT81" s="235"/>
      <c r="DU81" s="235"/>
      <c r="DV81" s="235"/>
      <c r="DW81" s="235"/>
      <c r="DX81" s="235"/>
      <c r="DY81" s="235"/>
      <c r="DZ81" s="235"/>
      <c r="EA81" s="235"/>
      <c r="EB81" s="235"/>
      <c r="EC81" s="235"/>
      <c r="ED81" s="235"/>
      <c r="EE81" s="235"/>
      <c r="EF81" s="235"/>
      <c r="EG81" s="235"/>
      <c r="EH81" s="235"/>
      <c r="EI81" s="235"/>
      <c r="EJ81" s="235"/>
      <c r="EK81" s="235"/>
      <c r="EL81" s="235"/>
      <c r="EM81" s="235"/>
      <c r="EN81" s="235"/>
      <c r="EO81" s="235"/>
      <c r="EP81" s="235"/>
      <c r="EQ81" s="235"/>
      <c r="ER81" s="235"/>
      <c r="ES81" s="235"/>
      <c r="ET81" s="235"/>
      <c r="EU81" s="235"/>
      <c r="EV81" s="235"/>
      <c r="EW81" s="235"/>
      <c r="EX81" s="235"/>
      <c r="EY81" s="235"/>
      <c r="EZ81" s="235"/>
      <c r="FA81" s="235"/>
      <c r="FB81" s="235"/>
      <c r="FC81" s="235"/>
      <c r="FD81" s="235"/>
      <c r="FE81" s="235"/>
      <c r="FF81" s="235"/>
      <c r="FG81" s="235"/>
      <c r="FH81" s="235"/>
      <c r="FI81" s="235"/>
      <c r="FJ81" s="235"/>
      <c r="FK81" s="235"/>
      <c r="FL81" s="235"/>
      <c r="FM81" s="235"/>
      <c r="FN81" s="235"/>
      <c r="FO81" s="235"/>
      <c r="FP81" s="235"/>
      <c r="FQ81" s="235"/>
      <c r="FR81" s="235"/>
      <c r="FS81" s="235"/>
      <c r="FT81" s="235"/>
      <c r="FU81" s="235"/>
      <c r="FV81" s="235"/>
      <c r="FW81" s="235"/>
      <c r="FX81" s="235"/>
      <c r="FY81" s="235"/>
      <c r="FZ81" s="235"/>
      <c r="GA81" s="235"/>
      <c r="GB81" s="235"/>
      <c r="GC81" s="235"/>
      <c r="GD81" s="235"/>
      <c r="GE81" s="235"/>
      <c r="GF81" s="235"/>
      <c r="GG81" s="235"/>
      <c r="GH81" s="235"/>
      <c r="GI81" s="235"/>
      <c r="GJ81" s="235"/>
      <c r="GK81" s="235"/>
      <c r="GL81" s="235"/>
      <c r="GM81" s="235"/>
      <c r="GN81" s="235"/>
      <c r="GO81" s="235"/>
      <c r="GP81" s="235"/>
      <c r="GQ81" s="235"/>
      <c r="GR81" s="235"/>
      <c r="GS81" s="235"/>
      <c r="GT81" s="235"/>
      <c r="GU81" s="235"/>
      <c r="GV81" s="235"/>
      <c r="GW81" s="235"/>
      <c r="GX81" s="235"/>
      <c r="GY81" s="235"/>
      <c r="GZ81" s="235"/>
      <c r="HA81" s="235"/>
      <c r="HB81" s="235"/>
      <c r="HC81" s="235"/>
      <c r="HD81" s="235"/>
      <c r="HE81" s="235"/>
      <c r="HF81" s="235"/>
      <c r="HG81" s="235"/>
      <c r="HH81" s="235"/>
      <c r="HI81" s="235"/>
      <c r="HJ81" s="235"/>
      <c r="HK81" s="235"/>
      <c r="HL81" s="235"/>
      <c r="HM81" s="235"/>
      <c r="HN81" s="235"/>
      <c r="HO81" s="235"/>
      <c r="HP81" s="235"/>
      <c r="HQ81" s="235"/>
      <c r="HR81" s="235"/>
      <c r="HS81" s="235"/>
      <c r="HT81" s="235"/>
      <c r="HU81" s="235"/>
      <c r="HV81" s="235"/>
      <c r="HW81" s="235"/>
      <c r="HX81" s="235"/>
      <c r="HY81" s="235"/>
      <c r="HZ81" s="235"/>
      <c r="IA81" s="235"/>
      <c r="IB81" s="235"/>
      <c r="IC81" s="235"/>
      <c r="ID81" s="235"/>
      <c r="IE81" s="235"/>
      <c r="IF81" s="235"/>
      <c r="IG81" s="235"/>
      <c r="IH81" s="235"/>
      <c r="II81" s="235"/>
      <c r="IJ81" s="235"/>
      <c r="IK81" s="235"/>
      <c r="IL81" s="235"/>
      <c r="IM81" s="235"/>
      <c r="IN81" s="235"/>
      <c r="IO81" s="235"/>
      <c r="IP81" s="235"/>
      <c r="IQ81" s="235"/>
      <c r="IR81" s="235"/>
      <c r="IS81" s="235"/>
      <c r="IT81" s="235"/>
      <c r="IU81" s="235"/>
      <c r="IV81" s="235"/>
      <c r="IW81" s="235"/>
    </row>
    <row r="82" customFormat="false" ht="12.75" hidden="false" customHeight="false" outlineLevel="0" collapsed="false">
      <c r="A82" s="253" t="n">
        <v>807</v>
      </c>
      <c r="B82" s="214" t="n">
        <v>26063</v>
      </c>
      <c r="C82" s="178"/>
      <c r="D82" s="179" t="s">
        <v>195</v>
      </c>
      <c r="E82" s="179" t="s">
        <v>116</v>
      </c>
      <c r="F82" s="180" t="s">
        <v>116</v>
      </c>
      <c r="G82" s="181" t="n">
        <f aca="false">VLOOKUP($B82,BTU,2,FALSE())/1000</f>
        <v>1.04</v>
      </c>
      <c r="H82" s="182" t="str">
        <f aca="false">VLOOKUP($B82,spotdata,3,FALSE())</f>
        <v>UNAV</v>
      </c>
      <c r="I82" s="204" t="n">
        <f aca="false">IF(VLOOKUP($B82,errordata,3,FALSE())="UNAV",J82*POLLHOURSFLOWED,IF(LEFT(B82,1)="1",VLOOKUP($B82,totalvolume,2,FALSE())*G82/1000,VLOOKUP($B82,totalvolume,2,FALSE())*G82/1000*-1))</f>
        <v>-0</v>
      </c>
      <c r="J82" s="205" t="n">
        <f aca="false">O82+T82</f>
        <v>-0</v>
      </c>
      <c r="K82" s="206" t="n">
        <f aca="false">I82-J82</f>
        <v>0</v>
      </c>
      <c r="L82" s="79" t="n">
        <f aca="false">L81+I82</f>
        <v>228.721382219836</v>
      </c>
      <c r="M82" s="200" t="n">
        <f aca="false">M81+J82</f>
        <v>159.593961805556</v>
      </c>
      <c r="N82" s="79" t="n">
        <f aca="false">IF(F82="CIG",O82,IF(F82="OBA",O82,IF(F82="HPL",I82-T82,IF(ISERR((O82/$J82)*$I82),0,IF(F82="TP",(O82/$J82)*$I82)))))</f>
        <v>-0</v>
      </c>
      <c r="O82" s="205" t="n">
        <f aca="false">IF(LEFT(B82,1)="1",VLOOKUP(B82,Cigsch,3,FALSE())/1000,VLOOKUP(B82,Cigsch,3,FALSE())/1000*-1)*POLLHOURSFLOWED</f>
        <v>-0</v>
      </c>
      <c r="P82" s="206" t="n">
        <f aca="false">N82-O82</f>
        <v>0</v>
      </c>
      <c r="Q82" s="79" t="n">
        <f aca="false">Q81+N82</f>
        <v>70.0536834781659</v>
      </c>
      <c r="R82" s="201" t="n">
        <f aca="false">R81+O82</f>
        <v>39.0318597222222</v>
      </c>
      <c r="S82" s="207" t="n">
        <f aca="false">I82-N82</f>
        <v>0</v>
      </c>
      <c r="T82" s="205" t="n">
        <f aca="false">IF(LEFT(B82,1)="1",VLOOKUP(B82,Cigsch,2,FALSE())/1000,VLOOKUP(B82,Cigsch,2,FALSE())/1000*-1)*POLLHOURSFLOWED</f>
        <v>-0</v>
      </c>
      <c r="U82" s="206" t="n">
        <f aca="false">S82-T82</f>
        <v>0</v>
      </c>
      <c r="V82" s="203" t="n">
        <f aca="false">V81+S82</f>
        <v>158.66769874167</v>
      </c>
      <c r="W82" s="79" t="n">
        <f aca="false">W81+T82</f>
        <v>120.562102083333</v>
      </c>
      <c r="X82" s="208" t="n">
        <f aca="false">S82-Y82</f>
        <v>0</v>
      </c>
      <c r="Y82" s="209" t="n">
        <f aca="false">IF(F82="OBA",I82-J82,0)</f>
        <v>0</v>
      </c>
      <c r="AB82" s="194"/>
      <c r="AC82" s="194"/>
    </row>
    <row r="83" customFormat="false" ht="12.75" hidden="false" customHeight="false" outlineLevel="0" collapsed="false">
      <c r="A83" s="256" t="n">
        <v>807</v>
      </c>
      <c r="B83" s="257" t="n">
        <v>16241</v>
      </c>
      <c r="C83" s="258"/>
      <c r="D83" s="257" t="s">
        <v>196</v>
      </c>
      <c r="E83" s="257" t="s">
        <v>116</v>
      </c>
      <c r="F83" s="260" t="s">
        <v>116</v>
      </c>
      <c r="G83" s="261" t="n">
        <f aca="false">VLOOKUP($B83,BTU,2,FALSE())/1000</f>
        <v>1.025</v>
      </c>
      <c r="H83" s="262" t="str">
        <f aca="false">VLOOKUP($B83,spotdata,3,FALSE())</f>
        <v>UNAV</v>
      </c>
      <c r="I83" s="263" t="n">
        <f aca="false">IF(VLOOKUP($B83,errordata,3,FALSE())="UNAV",J83*POLLHOURSFLOWED,IF(LEFT(B83,1)="1",VLOOKUP($B83,totalvolume,2,FALSE())*G83/1000,VLOOKUP($B83,totalvolume,2,FALSE())*G83/1000*-1))</f>
        <v>0.0786424093364198</v>
      </c>
      <c r="J83" s="264" t="n">
        <f aca="false">O83+T83</f>
        <v>0.0886805555555556</v>
      </c>
      <c r="K83" s="265" t="n">
        <f aca="false">I83-J83</f>
        <v>-0.0100381462191358</v>
      </c>
      <c r="L83" s="266" t="n">
        <f aca="false">L82+I83</f>
        <v>228.800024629172</v>
      </c>
      <c r="M83" s="267" t="n">
        <f aca="false">M82+J83</f>
        <v>159.682642361111</v>
      </c>
      <c r="N83" s="266" t="n">
        <f aca="false">IF(F83="CIG",O83,IF(F83="OBA",O83,IF(F83="HPL",I83-T83,IF(ISERR((O83/$J83)*$I83),0,IF(F83="TP",(O83/$J83)*$I83)))))</f>
        <v>0</v>
      </c>
      <c r="O83" s="264" t="n">
        <f aca="false">IF(LEFT(B83,1)="1",VLOOKUP(B83,Cigsch,3,FALSE())/1000,VLOOKUP(B83,Cigsch,3,FALSE())/1000*-1)*POLLHOURSFLOWED</f>
        <v>0</v>
      </c>
      <c r="P83" s="265" t="n">
        <f aca="false">N83-O83</f>
        <v>0</v>
      </c>
      <c r="Q83" s="266" t="n">
        <f aca="false">Q82+N83</f>
        <v>70.0536834781659</v>
      </c>
      <c r="R83" s="268" t="n">
        <f aca="false">R82+O83</f>
        <v>39.0318597222222</v>
      </c>
      <c r="S83" s="269" t="n">
        <f aca="false">I83-N83</f>
        <v>0.0786424093364198</v>
      </c>
      <c r="T83" s="264" t="n">
        <f aca="false">IF(LEFT(B83,1)="1",VLOOKUP(B83,Cigsch,2,FALSE())/1000,VLOOKUP(B83,Cigsch,2,FALSE())/1000*-1)*POLLHOURSFLOWED</f>
        <v>0.0886805555555556</v>
      </c>
      <c r="U83" s="265" t="n">
        <f aca="false">S83-T83</f>
        <v>-0.0100381462191358</v>
      </c>
      <c r="V83" s="270" t="n">
        <f aca="false">V82+S83</f>
        <v>158.746341151006</v>
      </c>
      <c r="W83" s="266" t="n">
        <f aca="false">W82+T83</f>
        <v>120.650782638889</v>
      </c>
      <c r="X83" s="271" t="n">
        <f aca="false">S83-Y83</f>
        <v>0.0786424093364198</v>
      </c>
      <c r="Y83" s="272" t="n">
        <f aca="false">IF(F83="OBA",I83-J83,0)</f>
        <v>0</v>
      </c>
      <c r="AB83" s="194"/>
      <c r="AC83" s="194"/>
    </row>
    <row r="84" customFormat="false" ht="12.75" hidden="false" customHeight="false" outlineLevel="0" collapsed="false">
      <c r="A84" s="253" t="n">
        <v>808</v>
      </c>
      <c r="B84" s="179" t="n">
        <v>16094</v>
      </c>
      <c r="C84" s="178"/>
      <c r="D84" s="179" t="s">
        <v>197</v>
      </c>
      <c r="E84" s="179" t="s">
        <v>118</v>
      </c>
      <c r="F84" s="180" t="s">
        <v>156</v>
      </c>
      <c r="G84" s="181" t="n">
        <f aca="false">VLOOKUP($B84,BTU,2,FALSE())/1000</f>
        <v>1.025</v>
      </c>
      <c r="H84" s="182" t="str">
        <f aca="false">VLOOKUP($B84,spotdata,3,FALSE())</f>
        <v>UNAV</v>
      </c>
      <c r="I84" s="204" t="n">
        <f aca="false">IF(VLOOKUP($B84,errordata,3,FALSE())="UNAV",J84*POLLHOURSFLOWED,IF(LEFT(B84,1)="1",VLOOKUP($B84,totalvolume,2,FALSE())*G84/1000,VLOOKUP($B84,totalvolume,2,FALSE())*G84/1000*-1))</f>
        <v>0.011796361400463</v>
      </c>
      <c r="J84" s="205" t="n">
        <f aca="false">O84+T84</f>
        <v>0.0133020833333333</v>
      </c>
      <c r="K84" s="206" t="n">
        <f aca="false">I84-J84</f>
        <v>-0.00150572193287037</v>
      </c>
      <c r="L84" s="79" t="n">
        <f aca="false">L83+I84</f>
        <v>228.811820990573</v>
      </c>
      <c r="M84" s="200" t="n">
        <f aca="false">M83+J84</f>
        <v>159.695944444444</v>
      </c>
      <c r="N84" s="79" t="n">
        <f aca="false">IF(F84="CIG",O84,IF(F84="OBA",O84,IF(F84="HPL",I84-T84,IF(ISERR((O84/$J84)*$I84),0,IF(F84="TP",(O84/$J84)*$I84)))))</f>
        <v>0</v>
      </c>
      <c r="O84" s="205" t="n">
        <f aca="false">IF(LEFT(B84,1)="1",VLOOKUP(B84,Cigsch,3,FALSE())/1000,VLOOKUP(B84,Cigsch,3,FALSE())/1000*-1)*POLLHOURSFLOWED</f>
        <v>0</v>
      </c>
      <c r="P84" s="206" t="n">
        <f aca="false">N84-O84</f>
        <v>0</v>
      </c>
      <c r="Q84" s="79" t="n">
        <f aca="false">Q83+N84</f>
        <v>70.0536834781659</v>
      </c>
      <c r="R84" s="201" t="n">
        <f aca="false">R83+O84</f>
        <v>39.0318597222222</v>
      </c>
      <c r="S84" s="207" t="n">
        <f aca="false">I84-N84</f>
        <v>0.011796361400463</v>
      </c>
      <c r="T84" s="205" t="n">
        <f aca="false">IF(LEFT(B84,1)="1",VLOOKUP(B84,Cigsch,2,FALSE())/1000,VLOOKUP(B84,Cigsch,2,FALSE())/1000*-1)*POLLHOURSFLOWED</f>
        <v>0.0133020833333333</v>
      </c>
      <c r="U84" s="206" t="n">
        <f aca="false">S84-T84</f>
        <v>-0.00150572193287037</v>
      </c>
      <c r="V84" s="203" t="n">
        <f aca="false">V83+S84</f>
        <v>158.758137512407</v>
      </c>
      <c r="W84" s="79" t="n">
        <f aca="false">W83+T84</f>
        <v>120.664084722222</v>
      </c>
      <c r="X84" s="208" t="n">
        <f aca="false">S84-Y84</f>
        <v>0.011796361400463</v>
      </c>
      <c r="Y84" s="209" t="n">
        <f aca="false">IF(F84="OBA",I84-J84,0)</f>
        <v>0</v>
      </c>
      <c r="AB84" s="194"/>
      <c r="AC84" s="194"/>
    </row>
    <row r="85" customFormat="false" ht="12.75" hidden="false" customHeight="false" outlineLevel="0" collapsed="false">
      <c r="A85" s="256" t="n">
        <v>808</v>
      </c>
      <c r="B85" s="257" t="n">
        <v>26013</v>
      </c>
      <c r="C85" s="258"/>
      <c r="D85" s="257" t="s">
        <v>198</v>
      </c>
      <c r="E85" s="257" t="s">
        <v>116</v>
      </c>
      <c r="F85" s="260" t="s">
        <v>116</v>
      </c>
      <c r="G85" s="261" t="n">
        <f aca="false">VLOOKUP($B85,BTU,2,FALSE())/1000</f>
        <v>1.025</v>
      </c>
      <c r="H85" s="262" t="str">
        <f aca="false">VLOOKUP($B85,spotdata,3,FALSE())</f>
        <v>UNAV</v>
      </c>
      <c r="I85" s="263" t="n">
        <f aca="false">IF(VLOOKUP($B85,errordata,3,FALSE())="UNAV",J85*POLLHOURSFLOWED,IF(LEFT(B85,1)="1",VLOOKUP($B85,totalvolume,2,FALSE())*G85/1000,VLOOKUP($B85,totalvolume,2,FALSE())*G85/1000*-1))</f>
        <v>-0.00786424093364198</v>
      </c>
      <c r="J85" s="264" t="n">
        <f aca="false">O85+T85</f>
        <v>-0.00886805555555556</v>
      </c>
      <c r="K85" s="265" t="n">
        <f aca="false">I85-J85</f>
        <v>0.00100381462191358</v>
      </c>
      <c r="L85" s="266" t="n">
        <f aca="false">L84+I85</f>
        <v>228.803956749639</v>
      </c>
      <c r="M85" s="267" t="n">
        <f aca="false">M84+J85</f>
        <v>159.687076388889</v>
      </c>
      <c r="N85" s="266" t="n">
        <f aca="false">IF(F85="CIG",O85,IF(F85="OBA",O85,IF(F85="HPL",I85-T85,IF(ISERR((O85/$J85)*$I85),0,IF(F85="TP",(O85/$J85)*$I85)))))</f>
        <v>-0</v>
      </c>
      <c r="O85" s="264" t="n">
        <f aca="false">IF(LEFT(B85,1)="1",VLOOKUP(B85,Cigsch,3,FALSE())/1000,VLOOKUP(B85,Cigsch,3,FALSE())/1000*-1)*POLLHOURSFLOWED</f>
        <v>-0</v>
      </c>
      <c r="P85" s="265" t="n">
        <f aca="false">N85-O85</f>
        <v>0</v>
      </c>
      <c r="Q85" s="266" t="n">
        <f aca="false">Q84+N85</f>
        <v>70.0536834781659</v>
      </c>
      <c r="R85" s="268" t="n">
        <f aca="false">R84+O85</f>
        <v>39.0318597222222</v>
      </c>
      <c r="S85" s="269" t="n">
        <f aca="false">I85-N85</f>
        <v>-0.00786424093364198</v>
      </c>
      <c r="T85" s="264" t="n">
        <f aca="false">IF(LEFT(B85,1)="1",VLOOKUP(B85,Cigsch,2,FALSE())/1000,VLOOKUP(B85,Cigsch,2,FALSE())/1000*-1)*POLLHOURSFLOWED</f>
        <v>-0.00886805555555556</v>
      </c>
      <c r="U85" s="265" t="n">
        <f aca="false">S85-T85</f>
        <v>0.00100381462191358</v>
      </c>
      <c r="V85" s="270" t="n">
        <f aca="false">V84+S85</f>
        <v>158.750273271473</v>
      </c>
      <c r="W85" s="266" t="n">
        <f aca="false">W84+T85</f>
        <v>120.655216666667</v>
      </c>
      <c r="X85" s="271" t="n">
        <f aca="false">S85-Y85</f>
        <v>-0.00786424093364198</v>
      </c>
      <c r="Y85" s="272" t="n">
        <f aca="false">IF(F85="OBA",I85-J85,0)</f>
        <v>0</v>
      </c>
      <c r="AB85" s="194"/>
      <c r="AC85" s="194"/>
    </row>
    <row r="86" customFormat="false" ht="12.75" hidden="false" customHeight="false" outlineLevel="0" collapsed="false">
      <c r="A86" s="273" t="n">
        <v>809</v>
      </c>
      <c r="B86" s="211" t="n">
        <v>26151</v>
      </c>
      <c r="C86" s="210"/>
      <c r="D86" s="211" t="s">
        <v>199</v>
      </c>
      <c r="E86" s="211" t="s">
        <v>149</v>
      </c>
      <c r="F86" s="212" t="s">
        <v>149</v>
      </c>
      <c r="G86" s="213" t="n">
        <f aca="false">VLOOKUP($B86,BTU,2,FALSE())/1000</f>
        <v>1.025</v>
      </c>
      <c r="H86" s="182" t="str">
        <f aca="false">VLOOKUP($B86,spotdata,3,FALSE())</f>
        <v>UNAV</v>
      </c>
      <c r="I86" s="204" t="n">
        <f aca="false">IF(VLOOKUP($B86,errordata,3,FALSE())="UNAV",J86*POLLHOURSFLOWED,IF(LEFT(B86,1)="1",VLOOKUP($B86,totalvolume,2,FALSE())*G86/1000,VLOOKUP($B86,totalvolume,2,FALSE())*G86/1000*-1))</f>
        <v>-0</v>
      </c>
      <c r="J86" s="205" t="n">
        <f aca="false">O86+T86</f>
        <v>-0</v>
      </c>
      <c r="K86" s="206" t="n">
        <f aca="false">I86-J86</f>
        <v>0</v>
      </c>
      <c r="L86" s="79" t="n">
        <f aca="false">L85+I86</f>
        <v>228.803956749639</v>
      </c>
      <c r="M86" s="200" t="n">
        <f aca="false">M85+J86</f>
        <v>159.687076388889</v>
      </c>
      <c r="N86" s="79" t="n">
        <f aca="false">IF(F86="CIG",O86,IF(F86="OBA",O86,IF(F86="HPL",I86-T86,IF(ISERR((O86/$J86)*$I86),0,IF(F86="TP",(O86/$J86)*$I86)))))</f>
        <v>0</v>
      </c>
      <c r="O86" s="205" t="n">
        <f aca="false">IF(LEFT(B86,1)="1",VLOOKUP(B86,Cigsch,3,FALSE())/1000,VLOOKUP(B86,Cigsch,3,FALSE())/1000*-1)*POLLHOURSFLOWED</f>
        <v>-0</v>
      </c>
      <c r="P86" s="206" t="n">
        <f aca="false">N86-O86</f>
        <v>0</v>
      </c>
      <c r="Q86" s="79" t="n">
        <f aca="false">Q85+N86</f>
        <v>70.0536834781659</v>
      </c>
      <c r="R86" s="201" t="n">
        <f aca="false">R85+O86</f>
        <v>39.0318597222222</v>
      </c>
      <c r="S86" s="207" t="n">
        <f aca="false">I86-N86</f>
        <v>-0</v>
      </c>
      <c r="T86" s="205" t="n">
        <f aca="false">IF(LEFT(B86,1)="1",VLOOKUP(B86,Cigsch,2,FALSE())/1000,VLOOKUP(B86,Cigsch,2,FALSE())/1000*-1)*POLLHOURSFLOWED</f>
        <v>-0</v>
      </c>
      <c r="U86" s="206" t="n">
        <f aca="false">S86-T86</f>
        <v>0</v>
      </c>
      <c r="V86" s="203" t="n">
        <f aca="false">V85+S86</f>
        <v>158.750273271473</v>
      </c>
      <c r="W86" s="79" t="n">
        <f aca="false">W85+T86</f>
        <v>120.655216666667</v>
      </c>
      <c r="X86" s="208" t="n">
        <f aca="false">S86-Y86</f>
        <v>-0</v>
      </c>
      <c r="Y86" s="209" t="n">
        <f aca="false">IF(F86="OBA",I86-J86,0)</f>
        <v>0</v>
      </c>
      <c r="AB86" s="194"/>
      <c r="AC86" s="194"/>
    </row>
    <row r="87" customFormat="false" ht="12.75" hidden="false" customHeight="false" outlineLevel="0" collapsed="false">
      <c r="A87" s="273" t="n">
        <v>809</v>
      </c>
      <c r="B87" s="211" t="n">
        <v>26207</v>
      </c>
      <c r="C87" s="210"/>
      <c r="D87" s="211" t="s">
        <v>200</v>
      </c>
      <c r="E87" s="211" t="s">
        <v>116</v>
      </c>
      <c r="F87" s="212" t="s">
        <v>116</v>
      </c>
      <c r="G87" s="213" t="n">
        <f aca="false">VLOOKUP($B87,BTU,2,FALSE())/1000</f>
        <v>1.025</v>
      </c>
      <c r="H87" s="182" t="str">
        <f aca="false">VLOOKUP($B87,spotdata,3,FALSE())</f>
        <v>UNAV</v>
      </c>
      <c r="I87" s="204" t="n">
        <f aca="false">IF(VLOOKUP($B87,errordata,3,FALSE())="UNAV",J87*POLLHOURSFLOWED,IF(LEFT(B87,1)="1",VLOOKUP($B87,totalvolume,2,FALSE())*G87/1000,VLOOKUP($B87,totalvolume,2,FALSE())*G87/1000*-1))</f>
        <v>-0</v>
      </c>
      <c r="J87" s="205" t="n">
        <f aca="false">O87+T87</f>
        <v>-0</v>
      </c>
      <c r="K87" s="206" t="n">
        <f aca="false">I87-J87</f>
        <v>0</v>
      </c>
      <c r="L87" s="79" t="n">
        <f aca="false">L86+I87</f>
        <v>228.803956749639</v>
      </c>
      <c r="M87" s="200" t="n">
        <f aca="false">M86+J87</f>
        <v>159.687076388889</v>
      </c>
      <c r="N87" s="79" t="n">
        <f aca="false">IF(F87="CIG",O87,IF(F87="OBA",O87,IF(F87="HPL",I87-T87,IF(ISERR((O87/$J87)*$I87),0,IF(F87="TP",(O87/$J87)*$I87)))))</f>
        <v>-0</v>
      </c>
      <c r="O87" s="205" t="n">
        <f aca="false">IF(LEFT(B87,1)="1",VLOOKUP(B87,Cigsch,3,FALSE())/1000,VLOOKUP(B87,Cigsch,3,FALSE())/1000*-1)*POLLHOURSFLOWED</f>
        <v>-0</v>
      </c>
      <c r="P87" s="206" t="n">
        <f aca="false">N87-O87</f>
        <v>0</v>
      </c>
      <c r="Q87" s="79" t="n">
        <f aca="false">Q86+N87</f>
        <v>70.0536834781659</v>
      </c>
      <c r="R87" s="201" t="n">
        <f aca="false">R86+O87</f>
        <v>39.0318597222222</v>
      </c>
      <c r="S87" s="207" t="n">
        <f aca="false">I87-N87</f>
        <v>0</v>
      </c>
      <c r="T87" s="205" t="n">
        <f aca="false">IF(LEFT(B87,1)="1",VLOOKUP(B87,Cigsch,2,FALSE())/1000,VLOOKUP(B87,Cigsch,2,FALSE())/1000*-1)*POLLHOURSFLOWED</f>
        <v>-0</v>
      </c>
      <c r="U87" s="206" t="n">
        <f aca="false">S87-T87</f>
        <v>0</v>
      </c>
      <c r="V87" s="203" t="n">
        <f aca="false">V86+S87</f>
        <v>158.750273271473</v>
      </c>
      <c r="W87" s="79" t="n">
        <f aca="false">W86+T87</f>
        <v>120.655216666667</v>
      </c>
      <c r="X87" s="208" t="n">
        <f aca="false">S87-Y87</f>
        <v>0</v>
      </c>
      <c r="Y87" s="209" t="n">
        <f aca="false">IF(F87="OBA",I87-J87,0)</f>
        <v>0</v>
      </c>
      <c r="AB87" s="194"/>
      <c r="AC87" s="194"/>
    </row>
    <row r="88" customFormat="false" ht="12.75" hidden="false" customHeight="false" outlineLevel="0" collapsed="false">
      <c r="A88" s="273" t="n">
        <v>809</v>
      </c>
      <c r="B88" s="211" t="n">
        <v>16057</v>
      </c>
      <c r="C88" s="210"/>
      <c r="D88" s="211" t="s">
        <v>201</v>
      </c>
      <c r="E88" s="211" t="s">
        <v>118</v>
      </c>
      <c r="F88" s="212" t="s">
        <v>156</v>
      </c>
      <c r="G88" s="213" t="n">
        <f aca="false">VLOOKUP($B88,BTU,2,FALSE())/1000</f>
        <v>1.025</v>
      </c>
      <c r="H88" s="182" t="str">
        <f aca="false">VLOOKUP($B88,spotdata,3,FALSE())</f>
        <v>UNAV</v>
      </c>
      <c r="I88" s="204" t="n">
        <f aca="false">IF(VLOOKUP($B88,errordata,3,FALSE())="UNAV",J88*POLLHOURSFLOWED,IF(LEFT(B88,1)="1",VLOOKUP($B88,totalvolume,2,FALSE())*G88/1000,VLOOKUP($B88,totalvolume,2,FALSE())*G88/1000*-1))</f>
        <v>0.556001834008488</v>
      </c>
      <c r="J88" s="205" t="n">
        <f aca="false">O88+T88</f>
        <v>0.626971527777778</v>
      </c>
      <c r="K88" s="206" t="n">
        <f aca="false">I88-J88</f>
        <v>-0.0709696937692902</v>
      </c>
      <c r="L88" s="79" t="n">
        <f aca="false">L87+I88</f>
        <v>229.359958583648</v>
      </c>
      <c r="M88" s="200" t="n">
        <f aca="false">M87+J88</f>
        <v>160.314047916667</v>
      </c>
      <c r="N88" s="79" t="n">
        <f aca="false">IF(F88="CIG",O88,IF(F88="OBA",O88,IF(F88="HPL",I88-T88,IF(ISERR((O88/$J88)*$I88),0,IF(F88="TP",(O88/$J88)*$I88)))))</f>
        <v>0</v>
      </c>
      <c r="O88" s="205" t="n">
        <f aca="false">IF(LEFT(B88,1)="1",VLOOKUP(B88,Cigsch,3,FALSE())/1000,VLOOKUP(B88,Cigsch,3,FALSE())/1000*-1)*POLLHOURSFLOWED</f>
        <v>0</v>
      </c>
      <c r="P88" s="206" t="n">
        <f aca="false">N88-O88</f>
        <v>0</v>
      </c>
      <c r="Q88" s="79" t="n">
        <f aca="false">Q87+N88</f>
        <v>70.0536834781659</v>
      </c>
      <c r="R88" s="201" t="n">
        <f aca="false">R87+O88</f>
        <v>39.0318597222222</v>
      </c>
      <c r="S88" s="207" t="n">
        <f aca="false">I88-N88</f>
        <v>0.556001834008488</v>
      </c>
      <c r="T88" s="205" t="n">
        <f aca="false">IF(LEFT(B88,1)="1",VLOOKUP(B88,Cigsch,2,FALSE())/1000,VLOOKUP(B88,Cigsch,2,FALSE())/1000*-1)*POLLHOURSFLOWED</f>
        <v>0.626971527777778</v>
      </c>
      <c r="U88" s="206" t="n">
        <f aca="false">S88-T88</f>
        <v>-0.0709696937692902</v>
      </c>
      <c r="V88" s="203" t="n">
        <f aca="false">V87+S88</f>
        <v>159.306275105482</v>
      </c>
      <c r="W88" s="79" t="n">
        <f aca="false">W87+T88</f>
        <v>121.282188194444</v>
      </c>
      <c r="X88" s="208" t="n">
        <f aca="false">S88-Y88</f>
        <v>0.556001834008488</v>
      </c>
      <c r="Y88" s="209" t="n">
        <f aca="false">IF(F88="OBA",I88-J88,0)</f>
        <v>0</v>
      </c>
      <c r="AB88" s="194"/>
      <c r="AC88" s="194"/>
    </row>
    <row r="89" customFormat="false" ht="12.75" hidden="false" customHeight="true" outlineLevel="0" collapsed="false">
      <c r="A89" s="273" t="n">
        <v>809</v>
      </c>
      <c r="B89" s="211" t="n">
        <v>26155</v>
      </c>
      <c r="C89" s="210"/>
      <c r="D89" s="211" t="s">
        <v>202</v>
      </c>
      <c r="E89" s="211" t="s">
        <v>149</v>
      </c>
      <c r="F89" s="212" t="s">
        <v>116</v>
      </c>
      <c r="G89" s="213" t="n">
        <f aca="false">VLOOKUP($B89,BTU,2,FALSE())/1000</f>
        <v>1.025</v>
      </c>
      <c r="H89" s="182" t="str">
        <f aca="false">VLOOKUP($B89,spotdata,3,FALSE())</f>
        <v>UNAV</v>
      </c>
      <c r="I89" s="204" t="n">
        <f aca="false">IF(VLOOKUP($B89,errordata,3,FALSE())="UNAV",J89*POLLHOURSFLOWED,IF(LEFT(B89,1)="1",VLOOKUP($B89,totalvolume,2,FALSE())*G89/1000,VLOOKUP($B89,totalvolume,2,FALSE())*G89/1000*-1))</f>
        <v>-0.0511175660686728</v>
      </c>
      <c r="J89" s="205" t="n">
        <f aca="false">O89+T89</f>
        <v>-0.0576423611111111</v>
      </c>
      <c r="K89" s="206" t="n">
        <f aca="false">I89-J89</f>
        <v>0.00652479504243828</v>
      </c>
      <c r="L89" s="79" t="n">
        <f aca="false">L88+I89</f>
        <v>229.308841017579</v>
      </c>
      <c r="M89" s="200" t="n">
        <f aca="false">M88+J89</f>
        <v>160.256405555556</v>
      </c>
      <c r="N89" s="79" t="n">
        <f aca="false">IF(F89="CIG",O89,IF(F89="OBA",O89,IF(F89="HPL",I89-T89,IF(ISERR((O89/$J89)*$I89),0,IF(F89="TP",(O89/$J89)*$I89)))))</f>
        <v>-0.0576423611111111</v>
      </c>
      <c r="O89" s="205" t="n">
        <f aca="false">IF(LEFT(B89,1)="1",VLOOKUP(B89,Cigsch,3,FALSE())/1000,VLOOKUP(B89,Cigsch,3,FALSE())/1000*-1)*POLLHOURSFLOWED</f>
        <v>-0.0576423611111111</v>
      </c>
      <c r="P89" s="206" t="n">
        <f aca="false">N89-O89</f>
        <v>0</v>
      </c>
      <c r="Q89" s="79" t="n">
        <f aca="false">Q88+N89</f>
        <v>69.9960411170548</v>
      </c>
      <c r="R89" s="201" t="n">
        <f aca="false">R88+O89</f>
        <v>38.9742173611111</v>
      </c>
      <c r="S89" s="207" t="n">
        <f aca="false">I89-N89</f>
        <v>0.00652479504243828</v>
      </c>
      <c r="T89" s="205" t="n">
        <f aca="false">IF(LEFT(B89,1)="1",VLOOKUP(B89,Cigsch,2,FALSE())/1000,VLOOKUP(B89,Cigsch,2,FALSE())/1000*-1)*POLLHOURSFLOWED</f>
        <v>-0</v>
      </c>
      <c r="U89" s="206" t="n">
        <f aca="false">S89-T89</f>
        <v>0.00652479504243828</v>
      </c>
      <c r="V89" s="203" t="n">
        <f aca="false">V88+S89</f>
        <v>159.312799900524</v>
      </c>
      <c r="W89" s="79" t="n">
        <f aca="false">W88+T89</f>
        <v>121.282188194444</v>
      </c>
      <c r="X89" s="208" t="n">
        <f aca="false">S89-Y89</f>
        <v>0.00652479504243828</v>
      </c>
      <c r="Y89" s="209" t="n">
        <f aca="false">IF(F89="OBA",I89-J89,0)</f>
        <v>0</v>
      </c>
      <c r="AB89" s="194"/>
      <c r="AC89" s="194"/>
    </row>
    <row r="90" customFormat="false" ht="12.75" hidden="false" customHeight="false" outlineLevel="0" collapsed="false">
      <c r="A90" s="253" t="n">
        <v>809</v>
      </c>
      <c r="B90" s="276" t="n">
        <v>16151</v>
      </c>
      <c r="C90" s="178" t="n">
        <v>3536</v>
      </c>
      <c r="D90" s="237" t="s">
        <v>203</v>
      </c>
      <c r="E90" s="179" t="s">
        <v>149</v>
      </c>
      <c r="F90" s="180" t="s">
        <v>142</v>
      </c>
      <c r="G90" s="277" t="n">
        <f aca="false">G91</f>
        <v>1.02807178</v>
      </c>
      <c r="H90" s="182" t="str">
        <f aca="false">VLOOKUP($B90,spotdata,3,FALSE())</f>
        <v>    </v>
      </c>
      <c r="I90" s="204" t="n">
        <f aca="false">IF(VLOOKUP($B90,errordata,3,FALSE())="UNAV",J90*POLLHOURSFLOWED,IF(LEFT(B90,1)="1",VLOOKUP($B90,totalvolume,2,FALSE())*G90/1000,VLOOKUP($B90,totalvolume,2,FALSE())*G90/1000*-1))</f>
        <v>97.0270371804087</v>
      </c>
      <c r="J90" s="205" t="n">
        <f aca="false">O90+T90</f>
        <v>100.321652083333</v>
      </c>
      <c r="K90" s="206" t="n">
        <f aca="false">I90-J90</f>
        <v>-3.29461490292458</v>
      </c>
      <c r="L90" s="79" t="n">
        <f aca="false">L89+I90</f>
        <v>326.335878197988</v>
      </c>
      <c r="M90" s="200" t="n">
        <f aca="false">M89+J90</f>
        <v>260.578057638889</v>
      </c>
      <c r="N90" s="79" t="n">
        <f aca="false">IF(F90="CIG",O90,IF(F90="OBA",O90,IF(F90="HPL",I90-T90,IF(ISERR((O90/$J90)*$I90),0,IF(F90="TP",(O90/$J90)*$I90)))))</f>
        <v>100.321652083333</v>
      </c>
      <c r="O90" s="205" t="n">
        <f aca="false">IF(LEFT(B90,1)="1",VLOOKUP(B90,Cigsch,3,FALSE())/1000,VLOOKUP(B90,Cigsch,3,FALSE())/1000*-1)*POLLHOURSFLOWED</f>
        <v>100.321652083333</v>
      </c>
      <c r="P90" s="206" t="n">
        <f aca="false">N90-O90</f>
        <v>0</v>
      </c>
      <c r="Q90" s="79" t="n">
        <f aca="false">Q89+N90</f>
        <v>170.317693200388</v>
      </c>
      <c r="R90" s="201" t="n">
        <f aca="false">R89+O90</f>
        <v>139.295869444444</v>
      </c>
      <c r="S90" s="207" t="n">
        <f aca="false">I90-N90</f>
        <v>-3.29461490292458</v>
      </c>
      <c r="T90" s="205" t="n">
        <f aca="false">IF(LEFT(B90,1)="1",VLOOKUP(B90,Cigsch,2,FALSE())/1000,VLOOKUP(B90,Cigsch,2,FALSE())/1000*-1)*POLLHOURSFLOWED</f>
        <v>0</v>
      </c>
      <c r="U90" s="206" t="n">
        <f aca="false">S90-T90</f>
        <v>-3.29461490292458</v>
      </c>
      <c r="V90" s="203" t="n">
        <f aca="false">V89+S90</f>
        <v>156.0181849976</v>
      </c>
      <c r="W90" s="79" t="n">
        <f aca="false">W89+T90</f>
        <v>121.282188194444</v>
      </c>
      <c r="X90" s="208" t="n">
        <f aca="false">S90-Y90</f>
        <v>0</v>
      </c>
      <c r="Y90" s="209" t="n">
        <f aca="false">IF(F90="OBA",I90-J90,0)</f>
        <v>-3.29461490292458</v>
      </c>
      <c r="Z90" s="235"/>
      <c r="AA90" s="235"/>
      <c r="AB90" s="236"/>
      <c r="AC90" s="236"/>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5"/>
      <c r="BA90" s="235"/>
      <c r="BB90" s="235"/>
      <c r="BC90" s="235"/>
      <c r="BD90" s="235"/>
      <c r="BE90" s="235"/>
      <c r="BF90" s="235"/>
      <c r="BG90" s="235"/>
      <c r="BH90" s="235"/>
      <c r="BI90" s="235"/>
      <c r="BJ90" s="235"/>
      <c r="BK90" s="235"/>
      <c r="BL90" s="235"/>
      <c r="BM90" s="235"/>
      <c r="BN90" s="235"/>
      <c r="BO90" s="235"/>
      <c r="BP90" s="235"/>
      <c r="BQ90" s="235"/>
      <c r="BR90" s="235"/>
      <c r="BS90" s="235"/>
      <c r="BT90" s="235"/>
      <c r="BU90" s="235"/>
      <c r="BV90" s="235"/>
      <c r="BW90" s="235"/>
      <c r="BX90" s="235"/>
      <c r="BY90" s="235"/>
      <c r="BZ90" s="235"/>
      <c r="CA90" s="235"/>
      <c r="CB90" s="235"/>
      <c r="CC90" s="235"/>
      <c r="CD90" s="235"/>
      <c r="CE90" s="235"/>
      <c r="CF90" s="235"/>
      <c r="CG90" s="235"/>
      <c r="CH90" s="235"/>
      <c r="CI90" s="235"/>
      <c r="CJ90" s="235"/>
      <c r="CK90" s="235"/>
      <c r="CL90" s="235"/>
      <c r="CM90" s="235"/>
      <c r="CN90" s="235"/>
      <c r="CO90" s="235"/>
      <c r="CP90" s="235"/>
      <c r="CQ90" s="235"/>
      <c r="CR90" s="235"/>
      <c r="CS90" s="235"/>
      <c r="CT90" s="235"/>
      <c r="CU90" s="235"/>
      <c r="CV90" s="235"/>
      <c r="CW90" s="235"/>
      <c r="CX90" s="235"/>
      <c r="CY90" s="235"/>
      <c r="CZ90" s="235"/>
      <c r="DA90" s="235"/>
      <c r="DB90" s="235"/>
      <c r="DC90" s="235"/>
      <c r="DD90" s="235"/>
      <c r="DE90" s="235"/>
      <c r="DF90" s="235"/>
      <c r="DG90" s="235"/>
      <c r="DH90" s="235"/>
      <c r="DI90" s="235"/>
      <c r="DJ90" s="235"/>
      <c r="DK90" s="235"/>
      <c r="DL90" s="235"/>
      <c r="DM90" s="235"/>
      <c r="DN90" s="235"/>
      <c r="DO90" s="235"/>
      <c r="DP90" s="235"/>
      <c r="DQ90" s="235"/>
      <c r="DR90" s="235"/>
      <c r="DS90" s="235"/>
      <c r="DT90" s="235"/>
      <c r="DU90" s="235"/>
      <c r="DV90" s="235"/>
      <c r="DW90" s="235"/>
      <c r="DX90" s="235"/>
      <c r="DY90" s="235"/>
      <c r="DZ90" s="235"/>
      <c r="EA90" s="235"/>
      <c r="EB90" s="235"/>
      <c r="EC90" s="235"/>
      <c r="ED90" s="235"/>
      <c r="EE90" s="235"/>
      <c r="EF90" s="235"/>
      <c r="EG90" s="235"/>
      <c r="EH90" s="235"/>
      <c r="EI90" s="235"/>
      <c r="EJ90" s="235"/>
      <c r="EK90" s="235"/>
      <c r="EL90" s="235"/>
      <c r="EM90" s="235"/>
      <c r="EN90" s="235"/>
      <c r="EO90" s="235"/>
      <c r="EP90" s="235"/>
      <c r="EQ90" s="235"/>
      <c r="ER90" s="235"/>
      <c r="ES90" s="235"/>
      <c r="ET90" s="235"/>
      <c r="EU90" s="235"/>
      <c r="EV90" s="235"/>
      <c r="EW90" s="235"/>
      <c r="EX90" s="235"/>
      <c r="EY90" s="235"/>
      <c r="EZ90" s="235"/>
      <c r="FA90" s="235"/>
      <c r="FB90" s="235"/>
      <c r="FC90" s="235"/>
      <c r="FD90" s="235"/>
      <c r="FE90" s="235"/>
      <c r="FF90" s="235"/>
      <c r="FG90" s="235"/>
      <c r="FH90" s="235"/>
      <c r="FI90" s="235"/>
      <c r="FJ90" s="235"/>
      <c r="FK90" s="235"/>
      <c r="FL90" s="235"/>
      <c r="FM90" s="235"/>
      <c r="FN90" s="235"/>
      <c r="FO90" s="235"/>
      <c r="FP90" s="235"/>
      <c r="FQ90" s="235"/>
      <c r="FR90" s="235"/>
      <c r="FS90" s="235"/>
      <c r="FT90" s="235"/>
      <c r="FU90" s="235"/>
      <c r="FV90" s="235"/>
      <c r="FW90" s="235"/>
      <c r="FX90" s="235"/>
      <c r="FY90" s="235"/>
      <c r="FZ90" s="235"/>
      <c r="GA90" s="235"/>
      <c r="GB90" s="235"/>
      <c r="GC90" s="235"/>
      <c r="GD90" s="235"/>
      <c r="GE90" s="235"/>
      <c r="GF90" s="235"/>
      <c r="GG90" s="235"/>
      <c r="GH90" s="235"/>
      <c r="GI90" s="235"/>
      <c r="GJ90" s="235"/>
      <c r="GK90" s="235"/>
      <c r="GL90" s="235"/>
      <c r="GM90" s="235"/>
      <c r="GN90" s="235"/>
      <c r="GO90" s="235"/>
      <c r="GP90" s="235"/>
      <c r="GQ90" s="235"/>
      <c r="GR90" s="235"/>
      <c r="GS90" s="235"/>
      <c r="GT90" s="235"/>
      <c r="GU90" s="235"/>
      <c r="GV90" s="235"/>
      <c r="GW90" s="235"/>
      <c r="GX90" s="235"/>
      <c r="GY90" s="235"/>
      <c r="GZ90" s="235"/>
      <c r="HA90" s="235"/>
      <c r="HB90" s="235"/>
      <c r="HC90" s="235"/>
      <c r="HD90" s="235"/>
      <c r="HE90" s="235"/>
      <c r="HF90" s="235"/>
      <c r="HG90" s="235"/>
      <c r="HH90" s="235"/>
      <c r="HI90" s="235"/>
      <c r="HJ90" s="235"/>
      <c r="HK90" s="235"/>
      <c r="HL90" s="235"/>
      <c r="HM90" s="235"/>
      <c r="HN90" s="235"/>
      <c r="HO90" s="235"/>
      <c r="HP90" s="235"/>
      <c r="HQ90" s="235"/>
      <c r="HR90" s="235"/>
      <c r="HS90" s="235"/>
      <c r="HT90" s="235"/>
      <c r="HU90" s="235"/>
      <c r="HV90" s="235"/>
      <c r="HW90" s="235"/>
      <c r="HX90" s="235"/>
      <c r="HY90" s="235"/>
      <c r="HZ90" s="235"/>
      <c r="IA90" s="235"/>
      <c r="IB90" s="235"/>
      <c r="IC90" s="235"/>
      <c r="ID90" s="235"/>
      <c r="IE90" s="235"/>
      <c r="IF90" s="235"/>
      <c r="IG90" s="235"/>
      <c r="IH90" s="235"/>
      <c r="II90" s="235"/>
      <c r="IJ90" s="235"/>
      <c r="IK90" s="235"/>
      <c r="IL90" s="235"/>
      <c r="IM90" s="235"/>
      <c r="IN90" s="235"/>
      <c r="IO90" s="235"/>
      <c r="IP90" s="235"/>
      <c r="IQ90" s="235"/>
      <c r="IR90" s="235"/>
      <c r="IS90" s="235"/>
      <c r="IT90" s="235"/>
      <c r="IU90" s="235"/>
      <c r="IV90" s="235"/>
      <c r="IW90" s="235"/>
    </row>
    <row r="91" customFormat="false" ht="12.75" hidden="false" customHeight="false" outlineLevel="0" collapsed="false">
      <c r="A91" s="253" t="n">
        <v>809</v>
      </c>
      <c r="B91" s="214" t="n">
        <v>16354</v>
      </c>
      <c r="C91" s="178"/>
      <c r="D91" s="237" t="s">
        <v>204</v>
      </c>
      <c r="E91" s="179" t="s">
        <v>116</v>
      </c>
      <c r="F91" s="180" t="s">
        <v>142</v>
      </c>
      <c r="G91" s="181" t="n">
        <f aca="false">VLOOKUP($B91,BTU,2,FALSE())/1000</f>
        <v>1.02807178</v>
      </c>
      <c r="H91" s="182" t="str">
        <f aca="false">VLOOKUP($B91,spotdata,3,FALSE())</f>
        <v>    </v>
      </c>
      <c r="I91" s="204" t="n">
        <f aca="false">IF(VLOOKUP($B91,errordata,3,FALSE())="UNAV",J91*POLLHOURSFLOWED,IF(LEFT(B91,1)="1",VLOOKUP($B91,totalvolume,2,FALSE())*G91/1000,VLOOKUP($B91,totalvolume,2,FALSE())*G91/1000*-1))</f>
        <v>28.5561494391405</v>
      </c>
      <c r="J91" s="205" t="n">
        <f aca="false">O91+T91</f>
        <v>67.4291472222222</v>
      </c>
      <c r="K91" s="206" t="n">
        <f aca="false">I91-J91</f>
        <v>-38.8729977830818</v>
      </c>
      <c r="L91" s="79" t="n">
        <f aca="false">L90+I91</f>
        <v>354.892027637128</v>
      </c>
      <c r="M91" s="200" t="n">
        <f aca="false">M90+J91</f>
        <v>328.007204861111</v>
      </c>
      <c r="N91" s="79" t="n">
        <f aca="false">IF(F91="CIG",O91,IF(F91="OBA",O91,IF(F91="HPL",I91-T91,IF(ISERR((O91/$J91)*$I91),0,IF(F91="TP",(O91/$J91)*$I91)))))</f>
        <v>0</v>
      </c>
      <c r="O91" s="205" t="n">
        <f aca="false">IF(LEFT(B91,1)="1",VLOOKUP(B91,Cigsch,3,FALSE())/1000,VLOOKUP(B91,Cigsch,3,FALSE())/1000*-1)*POLLHOURSFLOWED</f>
        <v>0</v>
      </c>
      <c r="P91" s="206" t="n">
        <f aca="false">N91-O91</f>
        <v>0</v>
      </c>
      <c r="Q91" s="79" t="n">
        <f aca="false">Q90+N91</f>
        <v>170.317693200388</v>
      </c>
      <c r="R91" s="201" t="n">
        <f aca="false">R90+O91</f>
        <v>139.295869444444</v>
      </c>
      <c r="S91" s="207" t="n">
        <f aca="false">I91-N91</f>
        <v>28.5561494391405</v>
      </c>
      <c r="T91" s="205" t="n">
        <f aca="false">IF(LEFT(B91,1)="1",VLOOKUP(B91,Cigsch,2,FALSE())/1000,VLOOKUP(B91,Cigsch,2,FALSE())/1000*-1)*POLLHOURSFLOWED</f>
        <v>67.4291472222222</v>
      </c>
      <c r="U91" s="206" t="n">
        <f aca="false">S91-T91</f>
        <v>-38.8729977830818</v>
      </c>
      <c r="V91" s="203" t="n">
        <f aca="false">V90+S91</f>
        <v>184.57433443674</v>
      </c>
      <c r="W91" s="79" t="n">
        <f aca="false">W90+T91</f>
        <v>188.711335416667</v>
      </c>
      <c r="X91" s="208" t="n">
        <f aca="false">S91-Y91</f>
        <v>67.4291472222222</v>
      </c>
      <c r="Y91" s="209" t="n">
        <f aca="false">IF(F91="OBA",I91-J91,0)</f>
        <v>-38.8729977830818</v>
      </c>
      <c r="AB91" s="194"/>
      <c r="AC91" s="194"/>
    </row>
    <row r="92" customFormat="false" ht="12.75" hidden="false" customHeight="false" outlineLevel="0" collapsed="false">
      <c r="A92" s="253" t="n">
        <v>809</v>
      </c>
      <c r="B92" s="179" t="n">
        <v>26208</v>
      </c>
      <c r="C92" s="178"/>
      <c r="D92" s="179" t="s">
        <v>205</v>
      </c>
      <c r="E92" s="179" t="s">
        <v>116</v>
      </c>
      <c r="F92" s="180" t="s">
        <v>116</v>
      </c>
      <c r="G92" s="181" t="n">
        <f aca="false">VLOOKUP($B92,BTU,2,FALSE())/1000</f>
        <v>1.025</v>
      </c>
      <c r="H92" s="182" t="str">
        <f aca="false">VLOOKUP($B92,spotdata,3,FALSE())</f>
        <v>UNAV</v>
      </c>
      <c r="I92" s="204" t="n">
        <f aca="false">IF(VLOOKUP($B92,errordata,3,FALSE())="UNAV",J92*POLLHOURSFLOWED,IF(LEFT(B92,1)="1",VLOOKUP($B92,totalvolume,2,FALSE())*G92/1000,VLOOKUP($B92,totalvolume,2,FALSE())*G92/1000*-1))</f>
        <v>-0.015728481867284</v>
      </c>
      <c r="J92" s="205" t="n">
        <f aca="false">O92+T92</f>
        <v>-0.0177361111111111</v>
      </c>
      <c r="K92" s="206" t="n">
        <f aca="false">I92-J92</f>
        <v>0.00200762924382716</v>
      </c>
      <c r="L92" s="79" t="n">
        <f aca="false">L91+I92</f>
        <v>354.876299155261</v>
      </c>
      <c r="M92" s="200" t="n">
        <f aca="false">M91+J92</f>
        <v>327.98946875</v>
      </c>
      <c r="N92" s="79" t="n">
        <f aca="false">IF(F92="CIG",O92,IF(F92="OBA",O92,IF(F92="HPL",I92-T92,IF(ISERR((O92/$J92)*$I92),0,IF(F92="TP",(O92/$J92)*$I92)))))</f>
        <v>-0</v>
      </c>
      <c r="O92" s="205" t="n">
        <f aca="false">IF(LEFT(B92,1)="1",VLOOKUP(B92,Cigsch,3,FALSE())/1000,VLOOKUP(B92,Cigsch,3,FALSE())/1000*-1)*POLLHOURSFLOWED</f>
        <v>-0</v>
      </c>
      <c r="P92" s="206" t="n">
        <f aca="false">N92-O92</f>
        <v>0</v>
      </c>
      <c r="Q92" s="79" t="n">
        <f aca="false">Q91+N92</f>
        <v>170.317693200388</v>
      </c>
      <c r="R92" s="201" t="n">
        <f aca="false">R91+O92</f>
        <v>139.295869444444</v>
      </c>
      <c r="S92" s="207" t="n">
        <f aca="false">I92-N92</f>
        <v>-0.015728481867284</v>
      </c>
      <c r="T92" s="205" t="n">
        <f aca="false">IF(LEFT(B92,1)="1",VLOOKUP(B92,Cigsch,2,FALSE())/1000,VLOOKUP(B92,Cigsch,2,FALSE())/1000*-1)*POLLHOURSFLOWED</f>
        <v>-0.0177361111111111</v>
      </c>
      <c r="U92" s="206" t="n">
        <f aca="false">S92-T92</f>
        <v>0.00200762924382716</v>
      </c>
      <c r="V92" s="203" t="n">
        <f aca="false">V91+S92</f>
        <v>184.558605954873</v>
      </c>
      <c r="W92" s="79" t="n">
        <f aca="false">W91+T92</f>
        <v>188.693599305556</v>
      </c>
      <c r="X92" s="208" t="n">
        <f aca="false">S92-Y92</f>
        <v>-0.015728481867284</v>
      </c>
      <c r="Y92" s="209" t="n">
        <f aca="false">IF(F92="OBA",I92-J92,0)</f>
        <v>0</v>
      </c>
      <c r="Z92" s="235"/>
      <c r="AA92" s="235"/>
      <c r="AB92" s="236"/>
      <c r="AC92" s="236"/>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5"/>
      <c r="BA92" s="235"/>
      <c r="BB92" s="235"/>
      <c r="BC92" s="235"/>
      <c r="BD92" s="235"/>
      <c r="BE92" s="235"/>
      <c r="BF92" s="235"/>
      <c r="BG92" s="235"/>
      <c r="BH92" s="235"/>
      <c r="BI92" s="235"/>
      <c r="BJ92" s="235"/>
      <c r="BK92" s="235"/>
      <c r="BL92" s="235"/>
      <c r="BM92" s="235"/>
      <c r="BN92" s="235"/>
      <c r="BO92" s="235"/>
      <c r="BP92" s="235"/>
      <c r="BQ92" s="235"/>
      <c r="BR92" s="235"/>
      <c r="BS92" s="235"/>
      <c r="BT92" s="235"/>
      <c r="BU92" s="235"/>
      <c r="BV92" s="235"/>
      <c r="BW92" s="235"/>
      <c r="BX92" s="235"/>
      <c r="BY92" s="235"/>
      <c r="BZ92" s="235"/>
      <c r="CA92" s="235"/>
      <c r="CB92" s="235"/>
      <c r="CC92" s="235"/>
      <c r="CD92" s="235"/>
      <c r="CE92" s="235"/>
      <c r="CF92" s="235"/>
      <c r="CG92" s="235"/>
      <c r="CH92" s="235"/>
      <c r="CI92" s="235"/>
      <c r="CJ92" s="235"/>
      <c r="CK92" s="235"/>
      <c r="CL92" s="235"/>
      <c r="CM92" s="235"/>
      <c r="CN92" s="235"/>
      <c r="CO92" s="235"/>
      <c r="CP92" s="235"/>
      <c r="CQ92" s="235"/>
      <c r="CR92" s="235"/>
      <c r="CS92" s="235"/>
      <c r="CT92" s="235"/>
      <c r="CU92" s="235"/>
      <c r="CV92" s="235"/>
      <c r="CW92" s="235"/>
      <c r="CX92" s="235"/>
      <c r="CY92" s="235"/>
      <c r="CZ92" s="235"/>
      <c r="DA92" s="235"/>
      <c r="DB92" s="235"/>
      <c r="DC92" s="235"/>
      <c r="DD92" s="235"/>
      <c r="DE92" s="235"/>
      <c r="DF92" s="235"/>
      <c r="DG92" s="235"/>
      <c r="DH92" s="235"/>
      <c r="DI92" s="235"/>
      <c r="DJ92" s="235"/>
      <c r="DK92" s="235"/>
      <c r="DL92" s="235"/>
      <c r="DM92" s="235"/>
      <c r="DN92" s="235"/>
      <c r="DO92" s="235"/>
      <c r="DP92" s="235"/>
      <c r="DQ92" s="235"/>
      <c r="DR92" s="235"/>
      <c r="DS92" s="235"/>
      <c r="DT92" s="235"/>
      <c r="DU92" s="235"/>
      <c r="DV92" s="235"/>
      <c r="DW92" s="235"/>
      <c r="DX92" s="235"/>
      <c r="DY92" s="235"/>
      <c r="DZ92" s="235"/>
      <c r="EA92" s="235"/>
      <c r="EB92" s="235"/>
      <c r="EC92" s="235"/>
      <c r="ED92" s="235"/>
      <c r="EE92" s="235"/>
      <c r="EF92" s="235"/>
      <c r="EG92" s="235"/>
      <c r="EH92" s="235"/>
      <c r="EI92" s="235"/>
      <c r="EJ92" s="235"/>
      <c r="EK92" s="235"/>
      <c r="EL92" s="235"/>
      <c r="EM92" s="235"/>
      <c r="EN92" s="235"/>
      <c r="EO92" s="235"/>
      <c r="EP92" s="235"/>
      <c r="EQ92" s="235"/>
      <c r="ER92" s="235"/>
      <c r="ES92" s="235"/>
      <c r="ET92" s="235"/>
      <c r="EU92" s="235"/>
      <c r="EV92" s="235"/>
      <c r="EW92" s="235"/>
      <c r="EX92" s="235"/>
      <c r="EY92" s="235"/>
      <c r="EZ92" s="235"/>
      <c r="FA92" s="235"/>
      <c r="FB92" s="235"/>
      <c r="FC92" s="235"/>
      <c r="FD92" s="235"/>
      <c r="FE92" s="235"/>
      <c r="FF92" s="235"/>
      <c r="FG92" s="235"/>
      <c r="FH92" s="235"/>
      <c r="FI92" s="235"/>
      <c r="FJ92" s="235"/>
      <c r="FK92" s="235"/>
      <c r="FL92" s="235"/>
      <c r="FM92" s="235"/>
      <c r="FN92" s="235"/>
      <c r="FO92" s="235"/>
      <c r="FP92" s="235"/>
      <c r="FQ92" s="235"/>
      <c r="FR92" s="235"/>
      <c r="FS92" s="235"/>
      <c r="FT92" s="235"/>
      <c r="FU92" s="235"/>
      <c r="FV92" s="235"/>
      <c r="FW92" s="235"/>
      <c r="FX92" s="235"/>
      <c r="FY92" s="235"/>
      <c r="FZ92" s="235"/>
      <c r="GA92" s="235"/>
      <c r="GB92" s="235"/>
      <c r="GC92" s="235"/>
      <c r="GD92" s="235"/>
      <c r="GE92" s="235"/>
      <c r="GF92" s="235"/>
      <c r="GG92" s="235"/>
      <c r="GH92" s="235"/>
      <c r="GI92" s="235"/>
      <c r="GJ92" s="235"/>
      <c r="GK92" s="235"/>
      <c r="GL92" s="235"/>
      <c r="GM92" s="235"/>
      <c r="GN92" s="235"/>
      <c r="GO92" s="235"/>
      <c r="GP92" s="235"/>
      <c r="GQ92" s="235"/>
      <c r="GR92" s="235"/>
      <c r="GS92" s="235"/>
      <c r="GT92" s="235"/>
      <c r="GU92" s="235"/>
      <c r="GV92" s="235"/>
      <c r="GW92" s="235"/>
      <c r="GX92" s="235"/>
      <c r="GY92" s="235"/>
      <c r="GZ92" s="235"/>
      <c r="HA92" s="235"/>
      <c r="HB92" s="235"/>
      <c r="HC92" s="235"/>
      <c r="HD92" s="235"/>
      <c r="HE92" s="235"/>
      <c r="HF92" s="235"/>
      <c r="HG92" s="235"/>
      <c r="HH92" s="235"/>
      <c r="HI92" s="235"/>
      <c r="HJ92" s="235"/>
      <c r="HK92" s="235"/>
      <c r="HL92" s="235"/>
      <c r="HM92" s="235"/>
      <c r="HN92" s="235"/>
      <c r="HO92" s="235"/>
      <c r="HP92" s="235"/>
      <c r="HQ92" s="235"/>
      <c r="HR92" s="235"/>
      <c r="HS92" s="235"/>
      <c r="HT92" s="235"/>
      <c r="HU92" s="235"/>
      <c r="HV92" s="235"/>
      <c r="HW92" s="235"/>
      <c r="HX92" s="235"/>
      <c r="HY92" s="235"/>
      <c r="HZ92" s="235"/>
      <c r="IA92" s="235"/>
      <c r="IB92" s="235"/>
      <c r="IC92" s="235"/>
      <c r="ID92" s="235"/>
      <c r="IE92" s="235"/>
      <c r="IF92" s="235"/>
      <c r="IG92" s="235"/>
      <c r="IH92" s="235"/>
      <c r="II92" s="235"/>
      <c r="IJ92" s="235"/>
      <c r="IK92" s="235"/>
      <c r="IL92" s="235"/>
      <c r="IM92" s="235"/>
      <c r="IN92" s="235"/>
      <c r="IO92" s="235"/>
      <c r="IP92" s="235"/>
      <c r="IQ92" s="235"/>
      <c r="IR92" s="235"/>
      <c r="IS92" s="235"/>
      <c r="IT92" s="235"/>
      <c r="IU92" s="235"/>
      <c r="IV92" s="235"/>
      <c r="IW92" s="235"/>
    </row>
    <row r="93" customFormat="false" ht="12.75" hidden="false" customHeight="false" outlineLevel="0" collapsed="false">
      <c r="A93" s="253" t="n">
        <v>809</v>
      </c>
      <c r="B93" s="179" t="n">
        <v>26049</v>
      </c>
      <c r="C93" s="178" t="n">
        <v>3523</v>
      </c>
      <c r="D93" s="179" t="s">
        <v>206</v>
      </c>
      <c r="E93" s="179" t="s">
        <v>149</v>
      </c>
      <c r="F93" s="180" t="s">
        <v>149</v>
      </c>
      <c r="G93" s="181" t="n">
        <f aca="false">VLOOKUP($B93,BTU,2,FALSE())/1000</f>
        <v>1.025</v>
      </c>
      <c r="H93" s="182" t="str">
        <f aca="false">VLOOKUP($B93,spotdata,3,FALSE())</f>
        <v>    </v>
      </c>
      <c r="I93" s="204" t="n">
        <f aca="false">IF(VLOOKUP($B93,errordata,3,FALSE())="UNAV",J93*POLLHOURSFLOWED,IF(LEFT(B93,1)="1",VLOOKUP($B93,totalvolume,2,FALSE())*G93/1000,VLOOKUP($B93,totalvolume,2,FALSE())*G93/1000*-1))</f>
        <v>-0</v>
      </c>
      <c r="J93" s="205" t="n">
        <f aca="false">O93+T93</f>
        <v>-0</v>
      </c>
      <c r="K93" s="206" t="n">
        <f aca="false">I93-J93</f>
        <v>0</v>
      </c>
      <c r="L93" s="79" t="n">
        <f aca="false">L92+I93</f>
        <v>354.876299155261</v>
      </c>
      <c r="M93" s="200" t="n">
        <f aca="false">M92+J93</f>
        <v>327.98946875</v>
      </c>
      <c r="N93" s="79" t="n">
        <f aca="false">IF(F93="CIG",O93,IF(F93="OBA",O93,IF(F93="HPL",I93-T93,IF(ISERR((O93/$J93)*$I93),0,IF(F93="TP",(O93/$J93)*$I93)))))</f>
        <v>0</v>
      </c>
      <c r="O93" s="205" t="n">
        <f aca="false">IF(LEFT(B93,1)="1",VLOOKUP(B93,Cigsch,3,FALSE())/1000,VLOOKUP(B93,Cigsch,3,FALSE())/1000*-1)*POLLHOURSFLOWED</f>
        <v>-0</v>
      </c>
      <c r="P93" s="206" t="n">
        <f aca="false">N93-O93</f>
        <v>0</v>
      </c>
      <c r="Q93" s="79" t="n">
        <f aca="false">Q92+N93</f>
        <v>170.317693200388</v>
      </c>
      <c r="R93" s="201" t="n">
        <f aca="false">R92+O93</f>
        <v>139.295869444444</v>
      </c>
      <c r="S93" s="207" t="n">
        <f aca="false">I93-N93</f>
        <v>-0</v>
      </c>
      <c r="T93" s="205" t="n">
        <f aca="false">IF(LEFT(B93,1)="1",VLOOKUP(B93,Cigsch,2,FALSE())/1000,VLOOKUP(B93,Cigsch,2,FALSE())/1000*-1)*POLLHOURSFLOWED</f>
        <v>-0</v>
      </c>
      <c r="U93" s="206" t="n">
        <f aca="false">S93-T93</f>
        <v>0</v>
      </c>
      <c r="V93" s="203" t="n">
        <f aca="false">V92+S93</f>
        <v>184.558605954873</v>
      </c>
      <c r="W93" s="79" t="n">
        <f aca="false">W92+T93</f>
        <v>188.693599305556</v>
      </c>
      <c r="X93" s="208" t="n">
        <f aca="false">S93-Y93</f>
        <v>-0</v>
      </c>
      <c r="Y93" s="209" t="n">
        <f aca="false">IF(F93="OBA",I93-J93,0)</f>
        <v>0</v>
      </c>
      <c r="AB93" s="194"/>
      <c r="AC93" s="194"/>
    </row>
    <row r="94" customFormat="false" ht="12.75" hidden="false" customHeight="false" outlineLevel="0" collapsed="false">
      <c r="A94" s="253" t="n">
        <v>809</v>
      </c>
      <c r="B94" s="179" t="n">
        <v>26061</v>
      </c>
      <c r="C94" s="178" t="n">
        <v>1038</v>
      </c>
      <c r="D94" s="179" t="s">
        <v>207</v>
      </c>
      <c r="E94" s="179" t="s">
        <v>149</v>
      </c>
      <c r="F94" s="180" t="s">
        <v>149</v>
      </c>
      <c r="G94" s="181" t="n">
        <f aca="false">VLOOKUP($B94,BTU,2,FALSE())/1000</f>
        <v>1.025</v>
      </c>
      <c r="H94" s="182" t="str">
        <f aca="false">VLOOKUP($B94,spotdata,3,FALSE())</f>
        <v>UNAV</v>
      </c>
      <c r="I94" s="204" t="n">
        <f aca="false">IF(VLOOKUP($B94,errordata,3,FALSE())="UNAV",J94*POLLHOURSFLOWED,IF(LEFT(B94,1)="1",VLOOKUP($B94,totalvolume,2,FALSE())*G94/1000,VLOOKUP($B94,totalvolume,2,FALSE())*G94/1000*-1))</f>
        <v>-0.0377483564814815</v>
      </c>
      <c r="J94" s="205" t="n">
        <f aca="false">O94+T94</f>
        <v>-0.0425666666666667</v>
      </c>
      <c r="K94" s="206" t="n">
        <f aca="false">I94-J94</f>
        <v>0.00481831018518519</v>
      </c>
      <c r="L94" s="79" t="n">
        <f aca="false">L93+I94</f>
        <v>354.838550798779</v>
      </c>
      <c r="M94" s="200" t="n">
        <f aca="false">M93+J94</f>
        <v>327.946902083333</v>
      </c>
      <c r="N94" s="79" t="n">
        <f aca="false">IF(F94="CIG",O94,IF(F94="OBA",O94,IF(F94="HPL",I94-T94,IF(ISERR((O94/$J94)*$I94),0,IF(F94="TP",(O94/$J94)*$I94)))))</f>
        <v>-0.0377483564814815</v>
      </c>
      <c r="O94" s="205" t="n">
        <f aca="false">IF(LEFT(B94,1)="1",VLOOKUP(B94,Cigsch,3,FALSE())/1000,VLOOKUP(B94,Cigsch,3,FALSE())/1000*-1)*POLLHOURSFLOWED</f>
        <v>-0.0425666666666667</v>
      </c>
      <c r="P94" s="206" t="n">
        <f aca="false">N94-O94</f>
        <v>0.00481831018518519</v>
      </c>
      <c r="Q94" s="79" t="n">
        <f aca="false">Q93+N94</f>
        <v>170.279944843907</v>
      </c>
      <c r="R94" s="201" t="n">
        <f aca="false">R93+O94</f>
        <v>139.253302777778</v>
      </c>
      <c r="S94" s="207" t="n">
        <f aca="false">I94-N94</f>
        <v>0</v>
      </c>
      <c r="T94" s="205" t="n">
        <f aca="false">IF(LEFT(B94,1)="1",VLOOKUP(B94,Cigsch,2,FALSE())/1000,VLOOKUP(B94,Cigsch,2,FALSE())/1000*-1)*POLLHOURSFLOWED</f>
        <v>-0</v>
      </c>
      <c r="U94" s="206" t="n">
        <f aca="false">S94-T94</f>
        <v>0</v>
      </c>
      <c r="V94" s="203" t="n">
        <f aca="false">V93+S94</f>
        <v>184.558605954873</v>
      </c>
      <c r="W94" s="79" t="n">
        <f aca="false">W93+T94</f>
        <v>188.693599305556</v>
      </c>
      <c r="X94" s="208" t="n">
        <f aca="false">S94-Y94</f>
        <v>0</v>
      </c>
      <c r="Y94" s="209" t="n">
        <f aca="false">IF(F94="OBA",I94-J94,0)</f>
        <v>0</v>
      </c>
      <c r="AB94" s="194"/>
      <c r="AC94" s="194"/>
    </row>
    <row r="95" customFormat="false" ht="12.75" hidden="false" customHeight="false" outlineLevel="0" collapsed="false">
      <c r="A95" s="253" t="n">
        <v>809</v>
      </c>
      <c r="B95" s="179" t="n">
        <v>26023</v>
      </c>
      <c r="C95" s="178"/>
      <c r="D95" s="179" t="s">
        <v>208</v>
      </c>
      <c r="E95" s="179" t="s">
        <v>116</v>
      </c>
      <c r="F95" s="180" t="s">
        <v>116</v>
      </c>
      <c r="G95" s="181" t="n">
        <f aca="false">VLOOKUP($B95,BTU,2,FALSE())/1000</f>
        <v>1.023</v>
      </c>
      <c r="H95" s="182" t="str">
        <f aca="false">VLOOKUP($B95,spotdata,3,FALSE())</f>
        <v>    </v>
      </c>
      <c r="I95" s="204" t="n">
        <f aca="false">IF(VLOOKUP($B95,errordata,3,FALSE())="UNAV",J95*POLLHOURSFLOWED,IF(LEFT(B95,1)="1",VLOOKUP($B95,totalvolume,2,FALSE())*G95/1000,VLOOKUP($B95,totalvolume,2,FALSE())*G95/1000*-1))</f>
        <v>-7.2003215625</v>
      </c>
      <c r="J95" s="205" t="n">
        <f aca="false">O95+T95</f>
        <v>-8.86805555555556</v>
      </c>
      <c r="K95" s="206" t="n">
        <f aca="false">I95-J95</f>
        <v>1.66773399305556</v>
      </c>
      <c r="L95" s="79" t="n">
        <f aca="false">L94+I95</f>
        <v>347.638229236279</v>
      </c>
      <c r="M95" s="200" t="n">
        <f aca="false">M94+J95</f>
        <v>319.078846527778</v>
      </c>
      <c r="N95" s="79" t="n">
        <f aca="false">IF(F95="CIG",O95,IF(F95="OBA",O95,IF(F95="HPL",I95-T95,IF(ISERR((O95/$J95)*$I95),0,IF(F95="TP",(O95/$J95)*$I95)))))</f>
        <v>-0</v>
      </c>
      <c r="O95" s="205" t="n">
        <f aca="false">IF(LEFT(B95,1)="1",VLOOKUP(B95,Cigsch,3,FALSE())/1000,VLOOKUP(B95,Cigsch,3,FALSE())/1000*-1)*POLLHOURSFLOWED</f>
        <v>-0</v>
      </c>
      <c r="P95" s="206" t="n">
        <f aca="false">N95-O95</f>
        <v>0</v>
      </c>
      <c r="Q95" s="79" t="n">
        <f aca="false">Q94+N95</f>
        <v>170.279944843907</v>
      </c>
      <c r="R95" s="201" t="n">
        <f aca="false">R94+O95</f>
        <v>139.253302777778</v>
      </c>
      <c r="S95" s="207" t="n">
        <f aca="false">I95-N95</f>
        <v>-7.2003215625</v>
      </c>
      <c r="T95" s="205" t="n">
        <f aca="false">IF(LEFT(B95,1)="1",VLOOKUP(B95,Cigsch,2,FALSE())/1000,VLOOKUP(B95,Cigsch,2,FALSE())/1000*-1)*POLLHOURSFLOWED</f>
        <v>-8.86805555555556</v>
      </c>
      <c r="U95" s="206" t="n">
        <f aca="false">S95-T95</f>
        <v>1.66773399305556</v>
      </c>
      <c r="V95" s="203" t="n">
        <f aca="false">V94+S95</f>
        <v>177.358284392373</v>
      </c>
      <c r="W95" s="79" t="n">
        <f aca="false">W94+T95</f>
        <v>179.82554375</v>
      </c>
      <c r="X95" s="208" t="n">
        <f aca="false">S95-Y95</f>
        <v>-7.2003215625</v>
      </c>
      <c r="Y95" s="209" t="n">
        <f aca="false">IF(F95="OBA",I95-J95,0)</f>
        <v>0</v>
      </c>
      <c r="AB95" s="194"/>
      <c r="AC95" s="194"/>
    </row>
    <row r="96" customFormat="false" ht="12.75" hidden="false" customHeight="false" outlineLevel="0" collapsed="false">
      <c r="A96" s="253" t="n">
        <v>809</v>
      </c>
      <c r="B96" s="179" t="n">
        <v>26209</v>
      </c>
      <c r="C96" s="178"/>
      <c r="D96" s="179" t="s">
        <v>209</v>
      </c>
      <c r="E96" s="179" t="s">
        <v>116</v>
      </c>
      <c r="F96" s="180" t="s">
        <v>116</v>
      </c>
      <c r="G96" s="181" t="n">
        <f aca="false">VLOOKUP($B96,BTU,2,FALSE())/1000</f>
        <v>1.037</v>
      </c>
      <c r="H96" s="182" t="str">
        <f aca="false">VLOOKUP($B96,spotdata,3,FALSE())</f>
        <v>UNAV</v>
      </c>
      <c r="I96" s="204" t="n">
        <f aca="false">IF(VLOOKUP($B96,errordata,3,FALSE())="UNAV",J96*POLLHOURSFLOWED,IF(LEFT(B96,1)="1",VLOOKUP($B96,totalvolume,2,FALSE())*G96/1000,VLOOKUP($B96,totalvolume,2,FALSE())*G96/1000*-1))</f>
        <v>-0</v>
      </c>
      <c r="J96" s="205" t="n">
        <f aca="false">O96+T96</f>
        <v>-0</v>
      </c>
      <c r="K96" s="206" t="n">
        <f aca="false">I96-J96</f>
        <v>0</v>
      </c>
      <c r="L96" s="79" t="n">
        <f aca="false">L95+I96</f>
        <v>347.638229236279</v>
      </c>
      <c r="M96" s="200" t="n">
        <f aca="false">M95+J96</f>
        <v>319.078846527778</v>
      </c>
      <c r="N96" s="79" t="n">
        <f aca="false">IF(F96="CIG",O96,IF(F96="OBA",O96,IF(F96="HPL",I96-T96,IF(ISERR((O96/$J96)*$I96),0,IF(F96="TP",(O96/$J96)*$I96)))))</f>
        <v>-0</v>
      </c>
      <c r="O96" s="205" t="n">
        <f aca="false">IF(LEFT(B96,1)="1",VLOOKUP(B96,Cigsch,3,FALSE())/1000,VLOOKUP(B96,Cigsch,3,FALSE())/1000*-1)*POLLHOURSFLOWED</f>
        <v>-0</v>
      </c>
      <c r="P96" s="206" t="n">
        <f aca="false">N96-O96</f>
        <v>0</v>
      </c>
      <c r="Q96" s="79" t="n">
        <f aca="false">Q95+N96</f>
        <v>170.279944843907</v>
      </c>
      <c r="R96" s="201" t="n">
        <f aca="false">R95+O96</f>
        <v>139.253302777778</v>
      </c>
      <c r="S96" s="207" t="n">
        <f aca="false">I96-N96</f>
        <v>0</v>
      </c>
      <c r="T96" s="205" t="n">
        <f aca="false">IF(LEFT(B96,1)="1",VLOOKUP(B96,Cigsch,2,FALSE())/1000,VLOOKUP(B96,Cigsch,2,FALSE())/1000*-1)*POLLHOURSFLOWED</f>
        <v>-0</v>
      </c>
      <c r="U96" s="206" t="n">
        <f aca="false">S96-T96</f>
        <v>0</v>
      </c>
      <c r="V96" s="203" t="n">
        <f aca="false">V95+S96</f>
        <v>177.358284392373</v>
      </c>
      <c r="W96" s="79" t="n">
        <f aca="false">W95+T96</f>
        <v>179.82554375</v>
      </c>
      <c r="X96" s="208" t="n">
        <f aca="false">S96-Y96</f>
        <v>0</v>
      </c>
      <c r="Y96" s="209" t="n">
        <f aca="false">IF(F96="OBA",I96-J96,0)</f>
        <v>0</v>
      </c>
      <c r="AB96" s="194"/>
      <c r="AC96" s="194"/>
    </row>
    <row r="97" customFormat="false" ht="12.75" hidden="false" customHeight="false" outlineLevel="0" collapsed="false">
      <c r="A97" s="273" t="n">
        <v>809</v>
      </c>
      <c r="B97" s="211" t="n">
        <v>16247</v>
      </c>
      <c r="C97" s="210" t="n">
        <v>7061</v>
      </c>
      <c r="D97" s="211" t="s">
        <v>210</v>
      </c>
      <c r="E97" s="211" t="s">
        <v>118</v>
      </c>
      <c r="F97" s="212" t="s">
        <v>142</v>
      </c>
      <c r="G97" s="213" t="n">
        <f aca="false">VLOOKUP($B97,BTU,2,FALSE())/1000</f>
        <v>1.214</v>
      </c>
      <c r="H97" s="182" t="str">
        <f aca="false">VLOOKUP($B97,spotdata,3,FALSE())</f>
        <v>    </v>
      </c>
      <c r="I97" s="204" t="n">
        <f aca="false">IF(VLOOKUP($B97,errordata,3,FALSE())="UNAV",J97*POLLHOURSFLOWED,IF(LEFT(B97,1)="1",VLOOKUP($B97,totalvolume,2,FALSE())*G97/1000,VLOOKUP($B97,totalvolume,2,FALSE())*G97/1000*-1))</f>
        <v>0</v>
      </c>
      <c r="J97" s="205" t="n">
        <f aca="false">O97+T97</f>
        <v>10.7959708333333</v>
      </c>
      <c r="K97" s="206" t="n">
        <f aca="false">I97-J97</f>
        <v>-10.7959708333333</v>
      </c>
      <c r="L97" s="79" t="n">
        <f aca="false">L96+I97</f>
        <v>347.638229236279</v>
      </c>
      <c r="M97" s="200" t="n">
        <f aca="false">M96+J97</f>
        <v>329.874817361111</v>
      </c>
      <c r="N97" s="79" t="n">
        <f aca="false">IF(F97="CIG",O97,IF(F97="OBA",O97,IF(F97="HPL",I97-T97,IF(ISERR((O97/$J97)*$I97),0,IF(F97="TP",(O97/$J97)*$I97)))))</f>
        <v>0</v>
      </c>
      <c r="O97" s="205" t="n">
        <f aca="false">IF(LEFT(B97,1)="1",VLOOKUP(B97,Cigsch,3,FALSE())/1000,VLOOKUP(B97,Cigsch,3,FALSE())/1000*-1)*POLLHOURSFLOWED</f>
        <v>0</v>
      </c>
      <c r="P97" s="206" t="n">
        <f aca="false">N97-O97</f>
        <v>0</v>
      </c>
      <c r="Q97" s="79" t="n">
        <f aca="false">Q96+N97</f>
        <v>170.279944843907</v>
      </c>
      <c r="R97" s="201" t="n">
        <f aca="false">R96+O97</f>
        <v>139.253302777778</v>
      </c>
      <c r="S97" s="207" t="n">
        <f aca="false">I97-N97</f>
        <v>0</v>
      </c>
      <c r="T97" s="205" t="n">
        <f aca="false">IF(LEFT(B97,1)="1",VLOOKUP(B97,Cigsch,2,FALSE())/1000,VLOOKUP(B97,Cigsch,2,FALSE())/1000*-1)*POLLHOURSFLOWED</f>
        <v>10.7959708333333</v>
      </c>
      <c r="U97" s="206" t="n">
        <f aca="false">S97-T97</f>
        <v>-10.7959708333333</v>
      </c>
      <c r="V97" s="203" t="n">
        <f aca="false">V96+S97</f>
        <v>177.358284392373</v>
      </c>
      <c r="W97" s="79" t="n">
        <f aca="false">W96+T97</f>
        <v>190.621514583333</v>
      </c>
      <c r="X97" s="208" t="n">
        <f aca="false">S97-Y97</f>
        <v>10.7959708333333</v>
      </c>
      <c r="Y97" s="209" t="n">
        <f aca="false">IF(F97="OBA",I97-J97,0)</f>
        <v>-10.7959708333333</v>
      </c>
      <c r="Z97" s="235"/>
      <c r="AA97" s="235"/>
      <c r="AB97" s="236"/>
      <c r="AC97" s="236"/>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5"/>
      <c r="BA97" s="235"/>
      <c r="BB97" s="235"/>
      <c r="BC97" s="235"/>
      <c r="BD97" s="235"/>
      <c r="BE97" s="235"/>
      <c r="BF97" s="235"/>
      <c r="BG97" s="235"/>
      <c r="BH97" s="235"/>
      <c r="BI97" s="235"/>
      <c r="BJ97" s="235"/>
      <c r="BK97" s="235"/>
      <c r="BL97" s="235"/>
      <c r="BM97" s="235"/>
      <c r="BN97" s="235"/>
      <c r="BO97" s="235"/>
      <c r="BP97" s="235"/>
      <c r="BQ97" s="235"/>
      <c r="BR97" s="235"/>
      <c r="BS97" s="235"/>
      <c r="BT97" s="235"/>
      <c r="BU97" s="235"/>
      <c r="BV97" s="235"/>
      <c r="BW97" s="235"/>
      <c r="BX97" s="235"/>
      <c r="BY97" s="235"/>
      <c r="BZ97" s="235"/>
      <c r="CA97" s="235"/>
      <c r="CB97" s="235"/>
      <c r="CC97" s="235"/>
      <c r="CD97" s="235"/>
      <c r="CE97" s="235"/>
      <c r="CF97" s="235"/>
      <c r="CG97" s="235"/>
      <c r="CH97" s="235"/>
      <c r="CI97" s="235"/>
      <c r="CJ97" s="235"/>
      <c r="CK97" s="235"/>
      <c r="CL97" s="235"/>
      <c r="CM97" s="235"/>
      <c r="CN97" s="235"/>
      <c r="CO97" s="235"/>
      <c r="CP97" s="235"/>
      <c r="CQ97" s="235"/>
      <c r="CR97" s="235"/>
      <c r="CS97" s="235"/>
      <c r="CT97" s="235"/>
      <c r="CU97" s="235"/>
      <c r="CV97" s="235"/>
      <c r="CW97" s="235"/>
      <c r="CX97" s="235"/>
      <c r="CY97" s="235"/>
      <c r="CZ97" s="235"/>
      <c r="DA97" s="235"/>
      <c r="DB97" s="235"/>
      <c r="DC97" s="235"/>
      <c r="DD97" s="235"/>
      <c r="DE97" s="235"/>
      <c r="DF97" s="235"/>
      <c r="DG97" s="235"/>
      <c r="DH97" s="235"/>
      <c r="DI97" s="235"/>
      <c r="DJ97" s="235"/>
      <c r="DK97" s="235"/>
      <c r="DL97" s="235"/>
      <c r="DM97" s="235"/>
      <c r="DN97" s="235"/>
      <c r="DO97" s="235"/>
      <c r="DP97" s="235"/>
      <c r="DQ97" s="235"/>
      <c r="DR97" s="235"/>
      <c r="DS97" s="235"/>
      <c r="DT97" s="235"/>
      <c r="DU97" s="235"/>
      <c r="DV97" s="235"/>
      <c r="DW97" s="235"/>
      <c r="DX97" s="235"/>
      <c r="DY97" s="235"/>
      <c r="DZ97" s="235"/>
      <c r="EA97" s="235"/>
      <c r="EB97" s="235"/>
      <c r="EC97" s="235"/>
      <c r="ED97" s="235"/>
      <c r="EE97" s="235"/>
      <c r="EF97" s="235"/>
      <c r="EG97" s="235"/>
      <c r="EH97" s="235"/>
      <c r="EI97" s="235"/>
      <c r="EJ97" s="235"/>
      <c r="EK97" s="235"/>
      <c r="EL97" s="235"/>
      <c r="EM97" s="235"/>
      <c r="EN97" s="235"/>
      <c r="EO97" s="235"/>
      <c r="EP97" s="235"/>
      <c r="EQ97" s="235"/>
      <c r="ER97" s="235"/>
      <c r="ES97" s="235"/>
      <c r="ET97" s="235"/>
      <c r="EU97" s="235"/>
      <c r="EV97" s="235"/>
      <c r="EW97" s="235"/>
      <c r="EX97" s="235"/>
      <c r="EY97" s="235"/>
      <c r="EZ97" s="235"/>
      <c r="FA97" s="235"/>
      <c r="FB97" s="235"/>
      <c r="FC97" s="235"/>
      <c r="FD97" s="235"/>
      <c r="FE97" s="235"/>
      <c r="FF97" s="235"/>
      <c r="FG97" s="235"/>
      <c r="FH97" s="235"/>
      <c r="FI97" s="235"/>
      <c r="FJ97" s="235"/>
      <c r="FK97" s="235"/>
      <c r="FL97" s="235"/>
      <c r="FM97" s="235"/>
      <c r="FN97" s="235"/>
      <c r="FO97" s="235"/>
      <c r="FP97" s="235"/>
      <c r="FQ97" s="235"/>
      <c r="FR97" s="235"/>
      <c r="FS97" s="235"/>
      <c r="FT97" s="235"/>
      <c r="FU97" s="235"/>
      <c r="FV97" s="235"/>
      <c r="FW97" s="235"/>
      <c r="FX97" s="235"/>
      <c r="FY97" s="235"/>
      <c r="FZ97" s="235"/>
      <c r="GA97" s="235"/>
      <c r="GB97" s="235"/>
      <c r="GC97" s="235"/>
      <c r="GD97" s="235"/>
      <c r="GE97" s="235"/>
      <c r="GF97" s="235"/>
      <c r="GG97" s="235"/>
      <c r="GH97" s="235"/>
      <c r="GI97" s="235"/>
      <c r="GJ97" s="235"/>
      <c r="GK97" s="235"/>
      <c r="GL97" s="235"/>
      <c r="GM97" s="235"/>
      <c r="GN97" s="235"/>
      <c r="GO97" s="235"/>
      <c r="GP97" s="235"/>
      <c r="GQ97" s="235"/>
      <c r="GR97" s="235"/>
      <c r="GS97" s="235"/>
      <c r="GT97" s="235"/>
      <c r="GU97" s="235"/>
      <c r="GV97" s="235"/>
      <c r="GW97" s="235"/>
      <c r="GX97" s="235"/>
      <c r="GY97" s="235"/>
      <c r="GZ97" s="235"/>
      <c r="HA97" s="235"/>
      <c r="HB97" s="235"/>
      <c r="HC97" s="235"/>
      <c r="HD97" s="235"/>
      <c r="HE97" s="235"/>
      <c r="HF97" s="235"/>
      <c r="HG97" s="235"/>
      <c r="HH97" s="235"/>
      <c r="HI97" s="235"/>
      <c r="HJ97" s="235"/>
      <c r="HK97" s="235"/>
      <c r="HL97" s="235"/>
      <c r="HM97" s="235"/>
      <c r="HN97" s="235"/>
      <c r="HO97" s="235"/>
      <c r="HP97" s="235"/>
      <c r="HQ97" s="235"/>
      <c r="HR97" s="235"/>
      <c r="HS97" s="235"/>
      <c r="HT97" s="235"/>
      <c r="HU97" s="235"/>
      <c r="HV97" s="235"/>
      <c r="HW97" s="235"/>
      <c r="HX97" s="235"/>
      <c r="HY97" s="235"/>
      <c r="HZ97" s="235"/>
      <c r="IA97" s="235"/>
      <c r="IB97" s="235"/>
      <c r="IC97" s="235"/>
      <c r="ID97" s="235"/>
      <c r="IE97" s="235"/>
      <c r="IF97" s="235"/>
      <c r="IG97" s="235"/>
      <c r="IH97" s="235"/>
      <c r="II97" s="235"/>
      <c r="IJ97" s="235"/>
      <c r="IK97" s="235"/>
      <c r="IL97" s="235"/>
      <c r="IM97" s="235"/>
      <c r="IN97" s="235"/>
      <c r="IO97" s="235"/>
      <c r="IP97" s="235"/>
      <c r="IQ97" s="235"/>
      <c r="IR97" s="235"/>
      <c r="IS97" s="235"/>
      <c r="IT97" s="235"/>
      <c r="IU97" s="235"/>
      <c r="IV97" s="235"/>
      <c r="IW97" s="235"/>
    </row>
    <row r="98" customFormat="false" ht="13.5" hidden="false" customHeight="false" outlineLevel="0" collapsed="false">
      <c r="A98" s="274" t="n">
        <v>809</v>
      </c>
      <c r="B98" s="239" t="n">
        <v>26042</v>
      </c>
      <c r="C98" s="238"/>
      <c r="D98" s="239" t="s">
        <v>211</v>
      </c>
      <c r="E98" s="239" t="s">
        <v>116</v>
      </c>
      <c r="F98" s="240" t="s">
        <v>116</v>
      </c>
      <c r="G98" s="241" t="n">
        <f aca="false">VLOOKUP($B98,BTU,2,FALSE())/1000</f>
        <v>1.025</v>
      </c>
      <c r="H98" s="242" t="str">
        <f aca="false">VLOOKUP($B98,spotdata,3,FALSE())</f>
        <v>UNAV</v>
      </c>
      <c r="I98" s="243" t="n">
        <f aca="false">IF(VLOOKUP($B98,errordata,3,FALSE())="UNAV",J98*POLLHOURSFLOWED,IF(LEFT(B98,1)="1",VLOOKUP($B98,totalvolume,2,FALSE())*G98/1000,VLOOKUP($B98,totalvolume,2,FALSE())*G98/1000*-1))</f>
        <v>-0.00786424093364198</v>
      </c>
      <c r="J98" s="244" t="n">
        <f aca="false">O98+T98</f>
        <v>-0.00886805555555556</v>
      </c>
      <c r="K98" s="245" t="n">
        <f aca="false">I98-J98</f>
        <v>0.00100381462191358</v>
      </c>
      <c r="L98" s="246" t="n">
        <f aca="false">L97+I98</f>
        <v>347.630364995346</v>
      </c>
      <c r="M98" s="247" t="n">
        <f aca="false">M97+J98</f>
        <v>329.865949305556</v>
      </c>
      <c r="N98" s="246" t="n">
        <f aca="false">IF(F98="CIG",O98,IF(F98="OBA",O98,IF(F98="HPL",I98-T98,IF(ISERR((O98/$J98)*$I98),0,IF(F98="TP",(O98/$J98)*$I98)))))</f>
        <v>-0</v>
      </c>
      <c r="O98" s="244" t="n">
        <f aca="false">IF(LEFT(B98,1)="1",VLOOKUP(B98,Cigsch,3,FALSE())/1000,VLOOKUP(B98,Cigsch,3,FALSE())/1000*-1)*POLLHOURSFLOWED</f>
        <v>-0</v>
      </c>
      <c r="P98" s="245" t="n">
        <f aca="false">N98-O98</f>
        <v>0</v>
      </c>
      <c r="Q98" s="246" t="n">
        <f aca="false">Q97+N98</f>
        <v>170.279944843907</v>
      </c>
      <c r="R98" s="248" t="n">
        <f aca="false">R97+O98</f>
        <v>139.253302777778</v>
      </c>
      <c r="S98" s="249" t="n">
        <f aca="false">I98-N98</f>
        <v>-0.00786424093364198</v>
      </c>
      <c r="T98" s="244" t="n">
        <f aca="false">IF(LEFT(B98,1)="1",VLOOKUP(B98,Cigsch,2,FALSE())/1000,VLOOKUP(B98,Cigsch,2,FALSE())/1000*-1)*POLLHOURSFLOWED</f>
        <v>-0.00886805555555556</v>
      </c>
      <c r="U98" s="245" t="n">
        <f aca="false">S98-T98</f>
        <v>0.00100381462191358</v>
      </c>
      <c r="V98" s="250" t="n">
        <f aca="false">V97+S98</f>
        <v>177.350420151439</v>
      </c>
      <c r="W98" s="246" t="n">
        <f aca="false">W97+T98</f>
        <v>190.612646527778</v>
      </c>
      <c r="X98" s="251" t="n">
        <f aca="false">S98-Y98</f>
        <v>-0.00786424093364198</v>
      </c>
      <c r="Y98" s="252" t="n">
        <f aca="false">IF(F98="OBA",I98-J98,0)</f>
        <v>0</v>
      </c>
      <c r="AB98" s="194"/>
      <c r="AC98" s="194"/>
    </row>
    <row r="99" customFormat="false" ht="12.75" hidden="false" customHeight="false" outlineLevel="0" collapsed="false">
      <c r="A99" s="273" t="n">
        <v>810</v>
      </c>
      <c r="B99" s="211" t="n">
        <v>26129</v>
      </c>
      <c r="C99" s="210" t="n">
        <v>1432</v>
      </c>
      <c r="D99" s="211" t="s">
        <v>212</v>
      </c>
      <c r="E99" s="211" t="s">
        <v>149</v>
      </c>
      <c r="F99" s="212" t="s">
        <v>149</v>
      </c>
      <c r="G99" s="213" t="n">
        <f aca="false">VLOOKUP($B99,BTU,2,FALSE())/1000</f>
        <v>1.025</v>
      </c>
      <c r="H99" s="182" t="str">
        <f aca="false">VLOOKUP($B99,spotdata,3,FALSE())</f>
        <v>    </v>
      </c>
      <c r="I99" s="204" t="n">
        <f aca="false">IF(VLOOKUP($B99,errordata,3,FALSE())="UNAV",J99*POLLHOURSFLOWED,IF(LEFT(B99,1)="1",VLOOKUP($B99,totalvolume,2,FALSE())*G99/1000,VLOOKUP($B99,totalvolume,2,FALSE())*G99/1000*-1))</f>
        <v>-51.72206457</v>
      </c>
      <c r="J99" s="205" t="n">
        <f aca="false">O99+T99</f>
        <v>-48.5685666666667</v>
      </c>
      <c r="K99" s="206" t="n">
        <f aca="false">I99-J99</f>
        <v>-3.15349790333333</v>
      </c>
      <c r="L99" s="79" t="n">
        <f aca="false">L98+I99</f>
        <v>295.908300425346</v>
      </c>
      <c r="M99" s="200" t="n">
        <f aca="false">M98+J99</f>
        <v>281.297382638889</v>
      </c>
      <c r="N99" s="79" t="n">
        <f aca="false">IF(F99="CIG",O99,IF(F99="OBA",O99,IF(F99="HPL",I99-T99,IF(ISERR((O99/$J99)*$I99),0,IF(F99="TP",(O99/$J99)*$I99)))))</f>
        <v>-3.15349790333333</v>
      </c>
      <c r="O99" s="205" t="n">
        <f aca="false">IF(LEFT(B99,1)="1",VLOOKUP(B99,Cigsch,3,FALSE())/1000,VLOOKUP(B99,Cigsch,3,FALSE())/1000*-1)*POLLHOURSFLOWED</f>
        <v>-0</v>
      </c>
      <c r="P99" s="206" t="n">
        <f aca="false">N99-O99</f>
        <v>-3.15349790333333</v>
      </c>
      <c r="Q99" s="79" t="n">
        <f aca="false">Q98+N99</f>
        <v>167.126446940573</v>
      </c>
      <c r="R99" s="201" t="n">
        <f aca="false">R98+O99</f>
        <v>139.253302777778</v>
      </c>
      <c r="S99" s="207" t="n">
        <f aca="false">I99-N99</f>
        <v>-48.5685666666667</v>
      </c>
      <c r="T99" s="205" t="n">
        <f aca="false">IF(LEFT(B99,1)="1",VLOOKUP(B99,Cigsch,2,FALSE())/1000,VLOOKUP(B99,Cigsch,2,FALSE())/1000*-1)*POLLHOURSFLOWED</f>
        <v>-48.5685666666667</v>
      </c>
      <c r="U99" s="206" t="n">
        <f aca="false">S99-T99</f>
        <v>0</v>
      </c>
      <c r="V99" s="203" t="n">
        <f aca="false">V98+S99</f>
        <v>128.781853484772</v>
      </c>
      <c r="W99" s="79" t="n">
        <f aca="false">W98+T99</f>
        <v>142.044079861111</v>
      </c>
      <c r="X99" s="208" t="n">
        <f aca="false">S99-Y99</f>
        <v>-48.5685666666667</v>
      </c>
      <c r="Y99" s="209" t="n">
        <f aca="false">IF(F99="OBA",I99-J99,0)</f>
        <v>0</v>
      </c>
      <c r="AB99" s="194"/>
      <c r="AC99" s="194"/>
    </row>
    <row r="100" customFormat="false" ht="12.75" hidden="false" customHeight="false" outlineLevel="0" collapsed="false">
      <c r="A100" s="278" t="n">
        <v>810</v>
      </c>
      <c r="B100" s="279" t="n">
        <v>16366</v>
      </c>
      <c r="C100" s="280"/>
      <c r="D100" s="279" t="s">
        <v>213</v>
      </c>
      <c r="E100" s="279" t="s">
        <v>116</v>
      </c>
      <c r="F100" s="281" t="s">
        <v>156</v>
      </c>
      <c r="G100" s="261" t="n">
        <f aca="false">VLOOKUP($B100,BTU,2,FALSE())/1000</f>
        <v>1.03</v>
      </c>
      <c r="H100" s="262" t="str">
        <f aca="false">VLOOKUP($B100,spotdata,3,FALSE())</f>
        <v>    </v>
      </c>
      <c r="I100" s="263" t="n">
        <f aca="false">IF(VLOOKUP($B100,errordata,3,FALSE())="UNAV",J100*POLLHOURSFLOWED,IF(LEFT(B100,1)="1",VLOOKUP($B100,totalvolume,2,FALSE())*G100/1000,VLOOKUP($B100,totalvolume,2,FALSE())*G100/1000*-1))</f>
        <v>1.174775976</v>
      </c>
      <c r="J100" s="264" t="n">
        <f aca="false">O100+T100</f>
        <v>2.21701388888889</v>
      </c>
      <c r="K100" s="282" t="n">
        <f aca="false">I100-J100</f>
        <v>-1.04223791288889</v>
      </c>
      <c r="L100" s="283" t="n">
        <f aca="false">L99+I100</f>
        <v>297.083076401346</v>
      </c>
      <c r="M100" s="284" t="n">
        <f aca="false">M99+J100</f>
        <v>283.514396527778</v>
      </c>
      <c r="N100" s="283" t="n">
        <f aca="false">IF(F100="CIG",O100,IF(F100="OBA",O100,IF(F100="HPL",I100-T100,IF(ISERR((O100/$J100)*$I100),0,IF(F100="TP",(O100/$J100)*$I100)))))</f>
        <v>0</v>
      </c>
      <c r="O100" s="285" t="n">
        <f aca="false">IF(LEFT(B100,1)="1",VLOOKUP(B100,Cigsch,3,FALSE())/1000,VLOOKUP(B100,Cigsch,3,FALSE())/1000*-1)*POLLHOURSFLOWED</f>
        <v>0</v>
      </c>
      <c r="P100" s="282" t="n">
        <f aca="false">N100-O100</f>
        <v>0</v>
      </c>
      <c r="Q100" s="283" t="n">
        <f aca="false">Q99+N100</f>
        <v>167.126446940573</v>
      </c>
      <c r="R100" s="286" t="n">
        <f aca="false">R99+O100</f>
        <v>139.253302777778</v>
      </c>
      <c r="S100" s="287" t="n">
        <f aca="false">I100-N100</f>
        <v>1.174775976</v>
      </c>
      <c r="T100" s="285" t="n">
        <f aca="false">IF(LEFT(B100,1)="1",VLOOKUP(B100,Cigsch,2,FALSE())/1000,VLOOKUP(B100,Cigsch,2,FALSE())/1000*-1)*POLLHOURSFLOWED</f>
        <v>2.21701388888889</v>
      </c>
      <c r="U100" s="282" t="n">
        <f aca="false">S100-T100</f>
        <v>-1.04223791288889</v>
      </c>
      <c r="V100" s="288" t="n">
        <f aca="false">V99+S100</f>
        <v>129.956629460773</v>
      </c>
      <c r="W100" s="283" t="n">
        <f aca="false">W99+T100</f>
        <v>144.26109375</v>
      </c>
      <c r="X100" s="289" t="n">
        <f aca="false">S100-Y100</f>
        <v>1.174775976</v>
      </c>
      <c r="Y100" s="290" t="n">
        <f aca="false">IF(F100="OBA",I100-J100,0)</f>
        <v>0</v>
      </c>
      <c r="AB100" s="194"/>
      <c r="AC100" s="194"/>
    </row>
    <row r="101" customFormat="false" ht="12.75" hidden="false" customHeight="false" outlineLevel="0" collapsed="false">
      <c r="A101" s="253" t="n">
        <v>811</v>
      </c>
      <c r="B101" s="179" t="n">
        <v>26022</v>
      </c>
      <c r="C101" s="178"/>
      <c r="D101" s="179" t="s">
        <v>214</v>
      </c>
      <c r="E101" s="179" t="s">
        <v>149</v>
      </c>
      <c r="F101" s="180" t="s">
        <v>116</v>
      </c>
      <c r="G101" s="181" t="n">
        <f aca="false">VLOOKUP($B101,BTU,2,FALSE())/1000</f>
        <v>1.025</v>
      </c>
      <c r="H101" s="182" t="str">
        <f aca="false">VLOOKUP($B101,spotdata,3,FALSE())</f>
        <v>UNAV</v>
      </c>
      <c r="I101" s="204" t="n">
        <f aca="false">IF(VLOOKUP($B101,errordata,3,FALSE())="UNAV",J101*POLLHOURSFLOWED,IF(LEFT(B101,1)="1",VLOOKUP($B101,totalvolume,2,FALSE())*G101/1000,VLOOKUP($B101,totalvolume,2,FALSE())*G101/1000*-1))</f>
        <v>-0</v>
      </c>
      <c r="J101" s="205" t="n">
        <f aca="false">O101+T101</f>
        <v>-0</v>
      </c>
      <c r="K101" s="206" t="n">
        <f aca="false">I101-J101</f>
        <v>0</v>
      </c>
      <c r="L101" s="79" t="n">
        <f aca="false">L100+I101</f>
        <v>297.083076401346</v>
      </c>
      <c r="M101" s="200" t="n">
        <f aca="false">M100+J101</f>
        <v>283.514396527778</v>
      </c>
      <c r="N101" s="79" t="n">
        <f aca="false">IF(F101="CIG",O101,IF(F101="OBA",O101,IF(F101="HPL",I101-T101,IF(ISERR((O101/$J101)*$I101),0,IF(F101="TP",(O101/$J101)*$I101)))))</f>
        <v>-0</v>
      </c>
      <c r="O101" s="205" t="n">
        <f aca="false">IF(LEFT(B101,1)="1",VLOOKUP(B101,Cigsch,3,FALSE())/1000,VLOOKUP(B101,Cigsch,3,FALSE())/1000*-1)*POLLHOURSFLOWED</f>
        <v>-0</v>
      </c>
      <c r="P101" s="206" t="n">
        <f aca="false">N101-O101</f>
        <v>0</v>
      </c>
      <c r="Q101" s="79" t="n">
        <f aca="false">Q100+N101</f>
        <v>167.126446940573</v>
      </c>
      <c r="R101" s="201" t="n">
        <f aca="false">R100+O101</f>
        <v>139.253302777778</v>
      </c>
      <c r="S101" s="207" t="n">
        <f aca="false">I101-N101</f>
        <v>0</v>
      </c>
      <c r="T101" s="205" t="n">
        <f aca="false">IF(LEFT(B101,1)="1",VLOOKUP(B101,Cigsch,2,FALSE())/1000,VLOOKUP(B101,Cigsch,2,FALSE())/1000*-1)*POLLHOURSFLOWED</f>
        <v>-0</v>
      </c>
      <c r="U101" s="206" t="n">
        <f aca="false">S101-T101</f>
        <v>0</v>
      </c>
      <c r="V101" s="203" t="n">
        <f aca="false">V100+S101</f>
        <v>129.956629460773</v>
      </c>
      <c r="W101" s="79" t="n">
        <f aca="false">W100+T101</f>
        <v>144.26109375</v>
      </c>
      <c r="X101" s="208" t="n">
        <f aca="false">S101-Y101</f>
        <v>0</v>
      </c>
      <c r="Y101" s="209" t="n">
        <f aca="false">IF(F101="OBA",I101-J101,0)</f>
        <v>0</v>
      </c>
      <c r="AB101" s="194"/>
      <c r="AC101" s="194"/>
    </row>
    <row r="102" customFormat="false" ht="12.75" hidden="false" customHeight="true" outlineLevel="0" collapsed="false">
      <c r="A102" s="253" t="n">
        <v>811</v>
      </c>
      <c r="B102" s="179" t="n">
        <v>16087</v>
      </c>
      <c r="C102" s="178"/>
      <c r="D102" s="179" t="s">
        <v>215</v>
      </c>
      <c r="E102" s="179" t="s">
        <v>118</v>
      </c>
      <c r="F102" s="180" t="s">
        <v>116</v>
      </c>
      <c r="G102" s="181" t="n">
        <f aca="false">VLOOKUP($B102,BTU,2,FALSE())/1000</f>
        <v>1.028</v>
      </c>
      <c r="H102" s="182" t="str">
        <f aca="false">VLOOKUP($B102,spotdata,3,FALSE())</f>
        <v>UNAV</v>
      </c>
      <c r="I102" s="204" t="n">
        <f aca="false">IF(VLOOKUP($B102,errordata,3,FALSE())="UNAV",J102*POLLHOURSFLOWED,IF(LEFT(B102,1)="1",VLOOKUP($B102,totalvolume,2,FALSE())*G102/1000,VLOOKUP($B102,totalvolume,2,FALSE())*G102/1000*-1))</f>
        <v>0</v>
      </c>
      <c r="J102" s="205" t="n">
        <f aca="false">O102+T102</f>
        <v>0</v>
      </c>
      <c r="K102" s="206" t="n">
        <f aca="false">I102-J102</f>
        <v>0</v>
      </c>
      <c r="L102" s="79" t="n">
        <f aca="false">L101+I102</f>
        <v>297.083076401346</v>
      </c>
      <c r="M102" s="200" t="n">
        <f aca="false">M101+J102</f>
        <v>283.514396527778</v>
      </c>
      <c r="N102" s="79" t="n">
        <f aca="false">IF(F102="CIG",O102,IF(F102="OBA",O102,IF(F102="HPL",I102-T102,IF(ISERR((O102/$J102)*$I102),0,IF(F102="TP",(O102/$J102)*$I102)))))</f>
        <v>0</v>
      </c>
      <c r="O102" s="205" t="n">
        <f aca="false">IF(LEFT(B102,1)="1",VLOOKUP(B102,Cigsch,3,FALSE())/1000,VLOOKUP(B102,Cigsch,3,FALSE())/1000*-1)*POLLHOURSFLOWED</f>
        <v>0</v>
      </c>
      <c r="P102" s="206" t="n">
        <f aca="false">N102-O102</f>
        <v>0</v>
      </c>
      <c r="Q102" s="79" t="n">
        <f aca="false">Q101+N102</f>
        <v>167.126446940573</v>
      </c>
      <c r="R102" s="201" t="n">
        <f aca="false">R101+O102</f>
        <v>139.253302777778</v>
      </c>
      <c r="S102" s="207" t="n">
        <f aca="false">I102-N102</f>
        <v>0</v>
      </c>
      <c r="T102" s="205" t="n">
        <f aca="false">IF(LEFT(B102,1)="1",VLOOKUP(B102,Cigsch,2,FALSE())/1000,VLOOKUP(B102,Cigsch,2,FALSE())/1000*-1)*POLLHOURSFLOWED</f>
        <v>0</v>
      </c>
      <c r="U102" s="206" t="n">
        <f aca="false">S102-T102</f>
        <v>0</v>
      </c>
      <c r="V102" s="203" t="n">
        <f aca="false">V101+S102</f>
        <v>129.956629460773</v>
      </c>
      <c r="W102" s="79" t="n">
        <f aca="false">W101+T102</f>
        <v>144.26109375</v>
      </c>
      <c r="X102" s="208" t="n">
        <f aca="false">S102-Y102</f>
        <v>0</v>
      </c>
      <c r="Y102" s="209" t="n">
        <f aca="false">IF(F102="OBA",I102-J102,0)</f>
        <v>0</v>
      </c>
      <c r="AB102" s="194"/>
      <c r="AC102" s="194"/>
    </row>
    <row r="103" customFormat="false" ht="12.75" hidden="false" customHeight="true" outlineLevel="0" collapsed="false">
      <c r="A103" s="291" t="n">
        <v>811</v>
      </c>
      <c r="B103" s="214" t="n">
        <v>26008</v>
      </c>
      <c r="C103" s="178"/>
      <c r="D103" s="179" t="s">
        <v>216</v>
      </c>
      <c r="E103" s="179" t="s">
        <v>116</v>
      </c>
      <c r="F103" s="180" t="s">
        <v>116</v>
      </c>
      <c r="G103" s="181" t="n">
        <f aca="false">VLOOKUP($B103,BTU,2,FALSE())/1000</f>
        <v>1.024</v>
      </c>
      <c r="H103" s="182" t="str">
        <f aca="false">VLOOKUP($B103,spotdata,3,FALSE())</f>
        <v>    </v>
      </c>
      <c r="I103" s="204" t="n">
        <f aca="false">IF(VLOOKUP($B103,errordata,3,FALSE())="UNAV",J103*POLLHOURSFLOWED,IF(LEFT(B103,1)="1",VLOOKUP($B103,totalvolume,2,FALSE())*G103/1000,VLOOKUP($B103,totalvolume,2,FALSE())*G103/1000*-1))</f>
        <v>-4.44503499776</v>
      </c>
      <c r="J103" s="205" t="n">
        <f aca="false">O103+T103</f>
        <v>-4.43402777777778</v>
      </c>
      <c r="K103" s="206" t="n">
        <f aca="false">I103-J103</f>
        <v>-0.011007219982222</v>
      </c>
      <c r="L103" s="79" t="n">
        <f aca="false">L102+I103</f>
        <v>292.638041403586</v>
      </c>
      <c r="M103" s="200" t="n">
        <f aca="false">M102+J103</f>
        <v>279.08036875</v>
      </c>
      <c r="N103" s="79" t="n">
        <f aca="false">IF(F103="CIG",O103,IF(F103="OBA",O103,IF(F103="HPL",I103-T103,IF(ISERR((O103/$J103)*$I103),0,IF(F103="TP",(O103/$J103)*$I103)))))</f>
        <v>-0</v>
      </c>
      <c r="O103" s="205" t="n">
        <f aca="false">IF(LEFT(B103,1)="1",VLOOKUP(B103,Cigsch,3,FALSE())/1000,VLOOKUP(B103,Cigsch,3,FALSE())/1000*-1)*POLLHOURSFLOWED</f>
        <v>-0</v>
      </c>
      <c r="P103" s="206" t="n">
        <f aca="false">N103-O103</f>
        <v>0</v>
      </c>
      <c r="Q103" s="79" t="n">
        <f aca="false">Q102+N103</f>
        <v>167.126446940573</v>
      </c>
      <c r="R103" s="201" t="n">
        <f aca="false">R102+O103</f>
        <v>139.253302777778</v>
      </c>
      <c r="S103" s="207" t="n">
        <f aca="false">I103-N103</f>
        <v>-4.44503499776</v>
      </c>
      <c r="T103" s="205" t="n">
        <f aca="false">IF(LEFT(B103,1)="1",VLOOKUP(B103,Cigsch,2,FALSE())/1000,VLOOKUP(B103,Cigsch,2,FALSE())/1000*-1)*POLLHOURSFLOWED</f>
        <v>-4.43402777777778</v>
      </c>
      <c r="U103" s="206" t="n">
        <f aca="false">S103-T103</f>
        <v>-0.011007219982222</v>
      </c>
      <c r="V103" s="203" t="n">
        <f aca="false">V102+S103</f>
        <v>125.511594463012</v>
      </c>
      <c r="W103" s="79" t="n">
        <f aca="false">W102+T103</f>
        <v>139.827065972222</v>
      </c>
      <c r="X103" s="208" t="n">
        <f aca="false">S103-Y103</f>
        <v>-4.44503499776</v>
      </c>
      <c r="Y103" s="209" t="n">
        <f aca="false">IF(F103="OBA",I103-J103,0)</f>
        <v>0</v>
      </c>
      <c r="AB103" s="194"/>
      <c r="AC103" s="194"/>
    </row>
    <row r="104" customFormat="false" ht="12.75" hidden="false" customHeight="false" outlineLevel="0" collapsed="false">
      <c r="A104" s="253" t="n">
        <v>811</v>
      </c>
      <c r="B104" s="179" t="n">
        <v>16321</v>
      </c>
      <c r="C104" s="178" t="n">
        <v>6790</v>
      </c>
      <c r="D104" s="179" t="s">
        <v>217</v>
      </c>
      <c r="E104" s="179" t="s">
        <v>149</v>
      </c>
      <c r="F104" s="180" t="s">
        <v>149</v>
      </c>
      <c r="G104" s="181" t="n">
        <f aca="false">VLOOKUP($B104,BTU,2,FALSE())/1000</f>
        <v>1.025</v>
      </c>
      <c r="H104" s="182" t="str">
        <f aca="false">VLOOKUP($B104,spotdata,3,FALSE())</f>
        <v>UNAV</v>
      </c>
      <c r="I104" s="204" t="n">
        <f aca="false">IF(VLOOKUP($B104,errordata,3,FALSE())="UNAV",J104*POLLHOURSFLOWED,IF(LEFT(B104,1)="1",VLOOKUP($B104,totalvolume,2,FALSE())*G104/1000,VLOOKUP($B104,totalvolume,2,FALSE())*G104/1000*-1))</f>
        <v>0.147847729552469</v>
      </c>
      <c r="J104" s="205" t="n">
        <f aca="false">O104+T104</f>
        <v>0.166719444444444</v>
      </c>
      <c r="K104" s="206" t="n">
        <f aca="false">I104-J104</f>
        <v>-0.0188717148919753</v>
      </c>
      <c r="L104" s="79" t="n">
        <f aca="false">L103+I104</f>
        <v>292.785889133138</v>
      </c>
      <c r="M104" s="200" t="n">
        <f aca="false">M103+J104</f>
        <v>279.247088194445</v>
      </c>
      <c r="N104" s="79" t="n">
        <f aca="false">IF(F104="CIG",O104,IF(F104="OBA",O104,IF(F104="HPL",I104-T104,IF(ISERR((O104/$J104)*$I104),0,IF(F104="TP",(O104/$J104)*$I104)))))</f>
        <v>0.147847729552469</v>
      </c>
      <c r="O104" s="205" t="n">
        <f aca="false">IF(LEFT(B104,1)="1",VLOOKUP(B104,Cigsch,3,FALSE())/1000,VLOOKUP(B104,Cigsch,3,FALSE())/1000*-1)*POLLHOURSFLOWED</f>
        <v>0.166719444444444</v>
      </c>
      <c r="P104" s="206" t="n">
        <f aca="false">N104-O104</f>
        <v>-0.0188717148919753</v>
      </c>
      <c r="Q104" s="79" t="n">
        <f aca="false">Q103+N104</f>
        <v>167.274294670126</v>
      </c>
      <c r="R104" s="201" t="n">
        <f aca="false">R103+O104</f>
        <v>139.420022222222</v>
      </c>
      <c r="S104" s="207" t="n">
        <f aca="false">I104-N104</f>
        <v>0</v>
      </c>
      <c r="T104" s="205" t="n">
        <f aca="false">IF(LEFT(B104,1)="1",VLOOKUP(B104,Cigsch,2,FALSE())/1000,VLOOKUP(B104,Cigsch,2,FALSE())/1000*-1)*POLLHOURSFLOWED</f>
        <v>0</v>
      </c>
      <c r="U104" s="206" t="n">
        <f aca="false">S104-T104</f>
        <v>0</v>
      </c>
      <c r="V104" s="203" t="n">
        <f aca="false">V103+S104</f>
        <v>125.511594463012</v>
      </c>
      <c r="W104" s="79" t="n">
        <f aca="false">W103+T104</f>
        <v>139.827065972222</v>
      </c>
      <c r="X104" s="208" t="n">
        <f aca="false">S104-Y104</f>
        <v>0</v>
      </c>
      <c r="Y104" s="209" t="n">
        <f aca="false">IF(F104="OBA",I104-J104,0)</f>
        <v>0</v>
      </c>
      <c r="AB104" s="194"/>
      <c r="AC104" s="194"/>
    </row>
    <row r="105" customFormat="false" ht="12.75" hidden="false" customHeight="false" outlineLevel="0" collapsed="false">
      <c r="A105" s="253" t="n">
        <v>811</v>
      </c>
      <c r="B105" s="179" t="n">
        <v>16322</v>
      </c>
      <c r="C105" s="178" t="n">
        <v>6759</v>
      </c>
      <c r="D105" s="179" t="s">
        <v>218</v>
      </c>
      <c r="E105" s="179" t="s">
        <v>149</v>
      </c>
      <c r="F105" s="180" t="s">
        <v>149</v>
      </c>
      <c r="G105" s="181" t="n">
        <f aca="false">VLOOKUP($B105,BTU,2,FALSE())/1000</f>
        <v>1.025</v>
      </c>
      <c r="H105" s="182" t="str">
        <f aca="false">VLOOKUP($B105,spotdata,3,FALSE())</f>
        <v>UNAV</v>
      </c>
      <c r="I105" s="204" t="n">
        <f aca="false">IF(VLOOKUP($B105,errordata,3,FALSE())="UNAV",J105*POLLHOURSFLOWED,IF(LEFT(B105,1)="1",VLOOKUP($B105,totalvolume,2,FALSE())*G105/1000,VLOOKUP($B105,totalvolume,2,FALSE())*G105/1000*-1))</f>
        <v>0</v>
      </c>
      <c r="J105" s="205" t="n">
        <f aca="false">O105+T105</f>
        <v>0</v>
      </c>
      <c r="K105" s="206" t="n">
        <f aca="false">I105-J105</f>
        <v>0</v>
      </c>
      <c r="L105" s="79" t="n">
        <f aca="false">L104+I105</f>
        <v>292.785889133138</v>
      </c>
      <c r="M105" s="200" t="n">
        <f aca="false">M104+J105</f>
        <v>279.247088194445</v>
      </c>
      <c r="N105" s="79" t="n">
        <f aca="false">IF(F105="CIG",O105,IF(F105="OBA",O105,IF(F105="HPL",I105-T105,IF(ISERR((O105/$J105)*$I105),0,IF(F105="TP",(O105/$J105)*$I105)))))</f>
        <v>0</v>
      </c>
      <c r="O105" s="205" t="n">
        <f aca="false">IF(LEFT(B105,1)="1",VLOOKUP(B105,Cigsch,3,FALSE())/1000,VLOOKUP(B105,Cigsch,3,FALSE())/1000*-1)*POLLHOURSFLOWED</f>
        <v>0</v>
      </c>
      <c r="P105" s="206" t="n">
        <f aca="false">N105-O105</f>
        <v>0</v>
      </c>
      <c r="Q105" s="79" t="n">
        <f aca="false">Q104+N105</f>
        <v>167.274294670126</v>
      </c>
      <c r="R105" s="201" t="n">
        <f aca="false">R104+O105</f>
        <v>139.420022222222</v>
      </c>
      <c r="S105" s="207" t="n">
        <f aca="false">I105-N105</f>
        <v>0</v>
      </c>
      <c r="T105" s="205" t="n">
        <f aca="false">IF(LEFT(B105,1)="1",VLOOKUP(B105,Cigsch,2,FALSE())/1000,VLOOKUP(B105,Cigsch,2,FALSE())/1000*-1)*POLLHOURSFLOWED</f>
        <v>0</v>
      </c>
      <c r="U105" s="206" t="n">
        <f aca="false">S105-T105</f>
        <v>0</v>
      </c>
      <c r="V105" s="203" t="n">
        <f aca="false">V104+S105</f>
        <v>125.511594463012</v>
      </c>
      <c r="W105" s="79" t="n">
        <f aca="false">W104+T105</f>
        <v>139.827065972222</v>
      </c>
      <c r="X105" s="208" t="n">
        <f aca="false">S105-Y105</f>
        <v>0</v>
      </c>
      <c r="Y105" s="209" t="n">
        <f aca="false">IF(F105="OBA",I105-J105,0)</f>
        <v>0</v>
      </c>
      <c r="AB105" s="194"/>
      <c r="AC105" s="194"/>
    </row>
    <row r="106" customFormat="false" ht="12.75" hidden="false" customHeight="false" outlineLevel="0" collapsed="false">
      <c r="A106" s="253" t="n">
        <v>811</v>
      </c>
      <c r="B106" s="179" t="n">
        <v>26160</v>
      </c>
      <c r="C106" s="178" t="n">
        <v>3555</v>
      </c>
      <c r="D106" s="179" t="s">
        <v>219</v>
      </c>
      <c r="E106" s="179" t="s">
        <v>149</v>
      </c>
      <c r="F106" s="180" t="s">
        <v>149</v>
      </c>
      <c r="G106" s="181" t="n">
        <f aca="false">VLOOKUP($B106,BTU,2,FALSE())/1000</f>
        <v>1.025</v>
      </c>
      <c r="H106" s="182" t="str">
        <f aca="false">VLOOKUP($B106,spotdata,3,FALSE())</f>
        <v>    </v>
      </c>
      <c r="I106" s="204" t="n">
        <f aca="false">IF(VLOOKUP($B106,errordata,3,FALSE())="UNAV",J106*POLLHOURSFLOWED,IF(LEFT(B106,1)="1",VLOOKUP($B106,totalvolume,2,FALSE())*G106/1000,VLOOKUP($B106,totalvolume,2,FALSE())*G106/1000*-1))</f>
        <v>-0.8499285732</v>
      </c>
      <c r="J106" s="205" t="n">
        <f aca="false">O106+T106</f>
        <v>-0.886805555555556</v>
      </c>
      <c r="K106" s="206" t="n">
        <f aca="false">I106-J106</f>
        <v>0.0368769823555556</v>
      </c>
      <c r="L106" s="79" t="n">
        <f aca="false">L105+I106</f>
        <v>291.935960559938</v>
      </c>
      <c r="M106" s="200" t="n">
        <f aca="false">M105+J106</f>
        <v>278.360282638889</v>
      </c>
      <c r="N106" s="79" t="n">
        <f aca="false">IF(F106="CIG",O106,IF(F106="OBA",O106,IF(F106="HPL",I106-T106,IF(ISERR((O106/$J106)*$I106),0,IF(F106="TP",(O106/$J106)*$I106)))))</f>
        <v>-0.8499285732</v>
      </c>
      <c r="O106" s="205" t="n">
        <f aca="false">IF(LEFT(B106,1)="1",VLOOKUP(B106,Cigsch,3,FALSE())/1000,VLOOKUP(B106,Cigsch,3,FALSE())/1000*-1)*POLLHOURSFLOWED</f>
        <v>-0.886805555555556</v>
      </c>
      <c r="P106" s="206" t="n">
        <f aca="false">N106-O106</f>
        <v>0.0368769823555556</v>
      </c>
      <c r="Q106" s="79" t="n">
        <f aca="false">Q105+N106</f>
        <v>166.424366096926</v>
      </c>
      <c r="R106" s="201" t="n">
        <f aca="false">R105+O106</f>
        <v>138.533216666667</v>
      </c>
      <c r="S106" s="207" t="n">
        <f aca="false">I106-N106</f>
        <v>0</v>
      </c>
      <c r="T106" s="205" t="n">
        <f aca="false">IF(LEFT(B106,1)="1",VLOOKUP(B106,Cigsch,2,FALSE())/1000,VLOOKUP(B106,Cigsch,2,FALSE())/1000*-1)*POLLHOURSFLOWED</f>
        <v>-0</v>
      </c>
      <c r="U106" s="206" t="n">
        <f aca="false">S106-T106</f>
        <v>0</v>
      </c>
      <c r="V106" s="203" t="n">
        <f aca="false">V105+S106</f>
        <v>125.511594463012</v>
      </c>
      <c r="W106" s="79" t="n">
        <f aca="false">W105+T106</f>
        <v>139.827065972222</v>
      </c>
      <c r="X106" s="208" t="n">
        <f aca="false">S106-Y106</f>
        <v>0</v>
      </c>
      <c r="Y106" s="209" t="n">
        <f aca="false">IF(F106="OBA",I106-J106,0)</f>
        <v>0</v>
      </c>
      <c r="AB106" s="194"/>
      <c r="AC106" s="194"/>
    </row>
    <row r="107" customFormat="false" ht="12.75" hidden="false" customHeight="false" outlineLevel="0" collapsed="false">
      <c r="A107" s="256" t="n">
        <v>811</v>
      </c>
      <c r="B107" s="257" t="n">
        <v>26011</v>
      </c>
      <c r="C107" s="258"/>
      <c r="D107" s="257" t="s">
        <v>220</v>
      </c>
      <c r="E107" s="257" t="s">
        <v>116</v>
      </c>
      <c r="F107" s="260" t="s">
        <v>116</v>
      </c>
      <c r="G107" s="261" t="n">
        <f aca="false">VLOOKUP($B107,BTU,2,FALSE())/1000</f>
        <v>1.025</v>
      </c>
      <c r="H107" s="262" t="str">
        <f aca="false">VLOOKUP($B107,spotdata,3,FALSE())</f>
        <v>UNAV</v>
      </c>
      <c r="I107" s="263" t="n">
        <f aca="false">IF(VLOOKUP($B107,errordata,3,FALSE())="UNAV",J107*POLLHOURSFLOWED,IF(LEFT(B107,1)="1",VLOOKUP($B107,totalvolume,2,FALSE())*G107/1000,VLOOKUP($B107,totalvolume,2,FALSE())*G107/1000*-1))</f>
        <v>-0.00786424093364198</v>
      </c>
      <c r="J107" s="264" t="n">
        <f aca="false">O107+T107</f>
        <v>-0.00886805555555556</v>
      </c>
      <c r="K107" s="265" t="n">
        <f aca="false">I107-J107</f>
        <v>0.00100381462191358</v>
      </c>
      <c r="L107" s="266" t="n">
        <f aca="false">L106+I107</f>
        <v>291.928096319005</v>
      </c>
      <c r="M107" s="267" t="n">
        <f aca="false">M106+J107</f>
        <v>278.351414583333</v>
      </c>
      <c r="N107" s="266" t="n">
        <f aca="false">IF(F107="CIG",O107,IF(F107="OBA",O107,IF(F107="HPL",I107-T107,IF(ISERR((O107/$J107)*$I107),0,IF(F107="TP",(O107/$J107)*$I107)))))</f>
        <v>-0</v>
      </c>
      <c r="O107" s="264" t="n">
        <f aca="false">IF(LEFT(B107,1)="1",VLOOKUP(B107,Cigsch,3,FALSE())/1000,VLOOKUP(B107,Cigsch,3,FALSE())/1000*-1)*POLLHOURSFLOWED</f>
        <v>-0</v>
      </c>
      <c r="P107" s="265" t="n">
        <f aca="false">N107-O107</f>
        <v>0</v>
      </c>
      <c r="Q107" s="266" t="n">
        <f aca="false">Q106+N107</f>
        <v>166.424366096926</v>
      </c>
      <c r="R107" s="268" t="n">
        <f aca="false">R106+O107</f>
        <v>138.533216666667</v>
      </c>
      <c r="S107" s="269" t="n">
        <f aca="false">I107-N107</f>
        <v>-0.00786424093364198</v>
      </c>
      <c r="T107" s="264" t="n">
        <f aca="false">IF(LEFT(B107,1)="1",VLOOKUP(B107,Cigsch,2,FALSE())/1000,VLOOKUP(B107,Cigsch,2,FALSE())/1000*-1)*POLLHOURSFLOWED</f>
        <v>-0.00886805555555556</v>
      </c>
      <c r="U107" s="265" t="n">
        <f aca="false">S107-T107</f>
        <v>0.00100381462191358</v>
      </c>
      <c r="V107" s="270" t="n">
        <f aca="false">V106+S107</f>
        <v>125.503730222079</v>
      </c>
      <c r="W107" s="266" t="n">
        <f aca="false">W106+T107</f>
        <v>139.818197916667</v>
      </c>
      <c r="X107" s="271" t="n">
        <f aca="false">S107-Y107</f>
        <v>-0.00786424093364198</v>
      </c>
      <c r="Y107" s="272" t="n">
        <f aca="false">IF(F107="OBA",I107-J107,0)</f>
        <v>0</v>
      </c>
      <c r="AB107" s="194"/>
      <c r="AC107" s="194"/>
    </row>
    <row r="108" customFormat="false" ht="12.75" hidden="false" customHeight="false" outlineLevel="0" collapsed="false">
      <c r="A108" s="273" t="n">
        <v>812</v>
      </c>
      <c r="B108" s="211" t="n">
        <v>26034</v>
      </c>
      <c r="C108" s="210"/>
      <c r="D108" s="211" t="s">
        <v>221</v>
      </c>
      <c r="E108" s="211" t="s">
        <v>116</v>
      </c>
      <c r="F108" s="212" t="s">
        <v>116</v>
      </c>
      <c r="G108" s="213" t="n">
        <f aca="false">VLOOKUP($B108,BTU,2,FALSE())/1000</f>
        <v>1.025</v>
      </c>
      <c r="H108" s="182" t="str">
        <f aca="false">VLOOKUP($B108,spotdata,3,FALSE())</f>
        <v>UNAV</v>
      </c>
      <c r="I108" s="204" t="n">
        <f aca="false">IF(VLOOKUP($B108,errordata,3,FALSE())="UNAV",J108*POLLHOURSFLOWED,IF(LEFT(B108,1)="1",VLOOKUP($B108,totalvolume,2,FALSE())*G108/1000,VLOOKUP($B108,totalvolume,2,FALSE())*G108/1000*-1))</f>
        <v>-0.00786424093364198</v>
      </c>
      <c r="J108" s="205" t="n">
        <f aca="false">O108+T108</f>
        <v>-0.00886805555555556</v>
      </c>
      <c r="K108" s="206" t="n">
        <f aca="false">I108-J108</f>
        <v>0.00100381462191358</v>
      </c>
      <c r="L108" s="79" t="n">
        <f aca="false">L107+I108</f>
        <v>291.920232078071</v>
      </c>
      <c r="M108" s="200" t="n">
        <f aca="false">M107+J108</f>
        <v>278.342546527778</v>
      </c>
      <c r="N108" s="79" t="n">
        <f aca="false">IF(F108="CIG",O108,IF(F108="OBA",O108,IF(F108="HPL",I108-T108,IF(ISERR((O108/$J108)*$I108),0,IF(F108="TP",(O108/$J108)*$I108)))))</f>
        <v>-0</v>
      </c>
      <c r="O108" s="205" t="n">
        <f aca="false">IF(LEFT(B108,1)="1",VLOOKUP(B108,Cigsch,3,FALSE())/1000,VLOOKUP(B108,Cigsch,3,FALSE())/1000*-1)*POLLHOURSFLOWED</f>
        <v>-0</v>
      </c>
      <c r="P108" s="206" t="n">
        <f aca="false">N108-O108</f>
        <v>0</v>
      </c>
      <c r="Q108" s="79" t="n">
        <f aca="false">Q107+N108</f>
        <v>166.424366096926</v>
      </c>
      <c r="R108" s="201" t="n">
        <f aca="false">R107+O108</f>
        <v>138.533216666667</v>
      </c>
      <c r="S108" s="207" t="n">
        <f aca="false">I108-N108</f>
        <v>-0.00786424093364198</v>
      </c>
      <c r="T108" s="205" t="n">
        <f aca="false">IF(LEFT(B108,1)="1",VLOOKUP(B108,Cigsch,2,FALSE())/1000,VLOOKUP(B108,Cigsch,2,FALSE())/1000*-1)*POLLHOURSFLOWED</f>
        <v>-0.00886805555555556</v>
      </c>
      <c r="U108" s="206" t="n">
        <f aca="false">S108-T108</f>
        <v>0.00100381462191358</v>
      </c>
      <c r="V108" s="203" t="n">
        <f aca="false">V107+S108</f>
        <v>125.495865981145</v>
      </c>
      <c r="W108" s="79" t="n">
        <f aca="false">W107+T108</f>
        <v>139.809329861111</v>
      </c>
      <c r="X108" s="208" t="n">
        <f aca="false">S108-Y108</f>
        <v>-0.00786424093364198</v>
      </c>
      <c r="Y108" s="209" t="n">
        <f aca="false">IF(F108="OBA",I108-J108,0)</f>
        <v>0</v>
      </c>
      <c r="AB108" s="194"/>
      <c r="AC108" s="194"/>
    </row>
    <row r="109" customFormat="false" ht="12.75" hidden="false" customHeight="false" outlineLevel="0" collapsed="false">
      <c r="A109" s="253" t="n">
        <v>812</v>
      </c>
      <c r="B109" s="179" t="n">
        <v>16282</v>
      </c>
      <c r="C109" s="178"/>
      <c r="D109" s="179" t="s">
        <v>222</v>
      </c>
      <c r="E109" s="179" t="s">
        <v>116</v>
      </c>
      <c r="F109" s="180" t="s">
        <v>116</v>
      </c>
      <c r="G109" s="181" t="n">
        <f aca="false">VLOOKUP($B109,BTU,2,FALSE())/1000</f>
        <v>1.025</v>
      </c>
      <c r="H109" s="182" t="str">
        <f aca="false">VLOOKUP($B109,spotdata,3,FALSE())</f>
        <v>UNAV</v>
      </c>
      <c r="I109" s="204" t="n">
        <f aca="false">IF(VLOOKUP($B109,errordata,3,FALSE())="UNAV",J109*POLLHOURSFLOWED,IF(LEFT(B109,1)="1",VLOOKUP($B109,totalvolume,2,FALSE())*G109/1000,VLOOKUP($B109,totalvolume,2,FALSE())*G109/1000*-1))</f>
        <v>0.786424093364198</v>
      </c>
      <c r="J109" s="205" t="n">
        <f aca="false">O109+T109</f>
        <v>0.886805555555556</v>
      </c>
      <c r="K109" s="206" t="n">
        <f aca="false">I109-J109</f>
        <v>-0.100381462191358</v>
      </c>
      <c r="L109" s="79" t="n">
        <f aca="false">L108+I109</f>
        <v>292.706656171435</v>
      </c>
      <c r="M109" s="200" t="n">
        <f aca="false">M108+J109</f>
        <v>279.229352083333</v>
      </c>
      <c r="N109" s="79" t="n">
        <f aca="false">IF(F109="CIG",O109,IF(F109="OBA",O109,IF(F109="HPL",I109-T109,IF(ISERR((O109/$J109)*$I109),0,IF(F109="TP",(O109/$J109)*$I109)))))</f>
        <v>0</v>
      </c>
      <c r="O109" s="205" t="n">
        <f aca="false">IF(LEFT(B109,1)="1",VLOOKUP(B109,Cigsch,3,FALSE())/1000,VLOOKUP(B109,Cigsch,3,FALSE())/1000*-1)*POLLHOURSFLOWED</f>
        <v>0</v>
      </c>
      <c r="P109" s="206" t="n">
        <f aca="false">N109-O109</f>
        <v>0</v>
      </c>
      <c r="Q109" s="79" t="n">
        <f aca="false">Q108+N109</f>
        <v>166.424366096926</v>
      </c>
      <c r="R109" s="201" t="n">
        <f aca="false">R108+O109</f>
        <v>138.533216666667</v>
      </c>
      <c r="S109" s="207" t="n">
        <f aca="false">I109-N109</f>
        <v>0.786424093364198</v>
      </c>
      <c r="T109" s="205" t="n">
        <f aca="false">IF(LEFT(B109,1)="1",VLOOKUP(B109,Cigsch,2,FALSE())/1000,VLOOKUP(B109,Cigsch,2,FALSE())/1000*-1)*POLLHOURSFLOWED</f>
        <v>0.886805555555556</v>
      </c>
      <c r="U109" s="206" t="n">
        <f aca="false">S109-T109</f>
        <v>-0.100381462191358</v>
      </c>
      <c r="V109" s="203" t="n">
        <f aca="false">V108+S109</f>
        <v>126.282290074509</v>
      </c>
      <c r="W109" s="79" t="n">
        <f aca="false">W108+T109</f>
        <v>140.696135416667</v>
      </c>
      <c r="X109" s="208" t="n">
        <f aca="false">S109-Y109</f>
        <v>0.786424093364198</v>
      </c>
      <c r="Y109" s="209" t="n">
        <f aca="false">IF(F109="OBA",I109-J109,0)</f>
        <v>0</v>
      </c>
      <c r="AB109" s="194"/>
      <c r="AC109" s="194"/>
    </row>
    <row r="110" customFormat="false" ht="12.75" hidden="false" customHeight="false" outlineLevel="0" collapsed="false">
      <c r="A110" s="256" t="n">
        <v>812</v>
      </c>
      <c r="B110" s="257" t="n">
        <v>26076</v>
      </c>
      <c r="C110" s="258"/>
      <c r="D110" s="257" t="s">
        <v>223</v>
      </c>
      <c r="E110" s="257" t="s">
        <v>116</v>
      </c>
      <c r="F110" s="260" t="s">
        <v>149</v>
      </c>
      <c r="G110" s="261" t="n">
        <f aca="false">VLOOKUP($B110,BTU,2,FALSE())/1000</f>
        <v>1.025</v>
      </c>
      <c r="H110" s="262" t="str">
        <f aca="false">VLOOKUP($B110,spotdata,3,FALSE())</f>
        <v>UNAV</v>
      </c>
      <c r="I110" s="263" t="n">
        <f aca="false">IF(VLOOKUP($B110,errordata,3,FALSE())="UNAV",J110*POLLHOURSFLOWED,IF(LEFT(B110,1)="1",VLOOKUP($B110,totalvolume,2,FALSE())*G110/1000,VLOOKUP($B110,totalvolume,2,FALSE())*G110/1000*-1))</f>
        <v>-0</v>
      </c>
      <c r="J110" s="264" t="n">
        <f aca="false">O110+T110</f>
        <v>-0</v>
      </c>
      <c r="K110" s="265" t="n">
        <f aca="false">I110-J110</f>
        <v>0</v>
      </c>
      <c r="L110" s="266" t="n">
        <f aca="false">L109+I110</f>
        <v>292.706656171435</v>
      </c>
      <c r="M110" s="267" t="n">
        <f aca="false">M109+J110</f>
        <v>279.229352083333</v>
      </c>
      <c r="N110" s="266" t="n">
        <f aca="false">IF(F110="CIG",O110,IF(F110="OBA",O110,IF(F110="HPL",I110-T110,IF(ISERR((O110/$J110)*$I110),0,IF(F110="TP",(O110/$J110)*$I110)))))</f>
        <v>0</v>
      </c>
      <c r="O110" s="264" t="n">
        <f aca="false">IF(LEFT(B110,1)="1",VLOOKUP(B110,Cigsch,3,FALSE())/1000,VLOOKUP(B110,Cigsch,3,FALSE())/1000*-1)*POLLHOURSFLOWED</f>
        <v>-0</v>
      </c>
      <c r="P110" s="265" t="n">
        <f aca="false">N110-O110</f>
        <v>0</v>
      </c>
      <c r="Q110" s="266" t="n">
        <f aca="false">Q109+N110</f>
        <v>166.424366096926</v>
      </c>
      <c r="R110" s="268" t="n">
        <f aca="false">R109+O110</f>
        <v>138.533216666667</v>
      </c>
      <c r="S110" s="269" t="n">
        <f aca="false">I110-N110</f>
        <v>-0</v>
      </c>
      <c r="T110" s="264" t="n">
        <f aca="false">IF(LEFT(B110,1)="1",VLOOKUP(B110,Cigsch,2,FALSE())/1000,VLOOKUP(B110,Cigsch,2,FALSE())/1000*-1)*POLLHOURSFLOWED</f>
        <v>-0</v>
      </c>
      <c r="U110" s="265" t="n">
        <f aca="false">S110-T110</f>
        <v>0</v>
      </c>
      <c r="V110" s="270" t="n">
        <f aca="false">V109+S110</f>
        <v>126.282290074509</v>
      </c>
      <c r="W110" s="266" t="n">
        <f aca="false">W109+T110</f>
        <v>140.696135416667</v>
      </c>
      <c r="X110" s="271" t="n">
        <f aca="false">S110-Y110</f>
        <v>-0</v>
      </c>
      <c r="Y110" s="272" t="n">
        <f aca="false">IF(F110="OBA",I110-J110,0)</f>
        <v>0</v>
      </c>
      <c r="AB110" s="194"/>
      <c r="AC110" s="194"/>
    </row>
    <row r="111" customFormat="false" ht="12.75" hidden="false" customHeight="false" outlineLevel="0" collapsed="false">
      <c r="A111" s="273" t="n">
        <v>812.1</v>
      </c>
      <c r="B111" s="211" t="n">
        <v>26007</v>
      </c>
      <c r="C111" s="210"/>
      <c r="D111" s="211" t="s">
        <v>224</v>
      </c>
      <c r="E111" s="211" t="s">
        <v>149</v>
      </c>
      <c r="F111" s="212" t="s">
        <v>149</v>
      </c>
      <c r="G111" s="213" t="n">
        <f aca="false">VLOOKUP($B111,BTU,2,FALSE())/1000</f>
        <v>1.025</v>
      </c>
      <c r="H111" s="182" t="str">
        <f aca="false">VLOOKUP($B111,spotdata,3,FALSE())</f>
        <v>UNAV</v>
      </c>
      <c r="I111" s="204" t="n">
        <f aca="false">IF(VLOOKUP($B111,errordata,3,FALSE())="UNAV",J111*POLLHOURSFLOWED,IF(LEFT(B111,1)="1",VLOOKUP($B111,totalvolume,2,FALSE())*G111/1000,VLOOKUP($B111,totalvolume,2,FALSE())*G111/1000*-1))</f>
        <v>-0.196606023341049</v>
      </c>
      <c r="J111" s="205" t="n">
        <f aca="false">O111+T111</f>
        <v>-0.221701388888889</v>
      </c>
      <c r="K111" s="206" t="n">
        <f aca="false">I111-J111</f>
        <v>0.0250953655478395</v>
      </c>
      <c r="L111" s="79" t="n">
        <f aca="false">L110+I111</f>
        <v>292.510050148094</v>
      </c>
      <c r="M111" s="200" t="n">
        <f aca="false">M110+J111</f>
        <v>279.007650694444</v>
      </c>
      <c r="N111" s="79" t="n">
        <f aca="false">IF(F111="CIG",O111,IF(F111="OBA",O111,IF(F111="HPL",I111-T111,IF(ISERR((O111/$J111)*$I111),0,IF(F111="TP",(O111/$J111)*$I111)))))</f>
        <v>-0.196606023341049</v>
      </c>
      <c r="O111" s="205" t="n">
        <f aca="false">IF(LEFT(B111,1)="1",VLOOKUP(B111,Cigsch,3,FALSE())/1000,VLOOKUP(B111,Cigsch,3,FALSE())/1000*-1)*POLLHOURSFLOWED</f>
        <v>-0.221701388888889</v>
      </c>
      <c r="P111" s="206" t="n">
        <f aca="false">N111-O111</f>
        <v>0.0250953655478395</v>
      </c>
      <c r="Q111" s="79" t="n">
        <f aca="false">Q110+N111</f>
        <v>166.227760073585</v>
      </c>
      <c r="R111" s="201" t="n">
        <f aca="false">R110+O111</f>
        <v>138.311515277778</v>
      </c>
      <c r="S111" s="207" t="n">
        <f aca="false">I111-N111</f>
        <v>0</v>
      </c>
      <c r="T111" s="205" t="n">
        <f aca="false">IF(LEFT(B111,1)="1",VLOOKUP(B111,Cigsch,2,FALSE())/1000,VLOOKUP(B111,Cigsch,2,FALSE())/1000*-1)*POLLHOURSFLOWED</f>
        <v>-0</v>
      </c>
      <c r="U111" s="206" t="n">
        <f aca="false">S111-T111</f>
        <v>0</v>
      </c>
      <c r="V111" s="203" t="n">
        <f aca="false">V110+S111</f>
        <v>126.282290074509</v>
      </c>
      <c r="W111" s="79" t="n">
        <f aca="false">W110+T111</f>
        <v>140.696135416667</v>
      </c>
      <c r="X111" s="208" t="n">
        <f aca="false">S111-Y111</f>
        <v>0</v>
      </c>
      <c r="Y111" s="209" t="n">
        <f aca="false">IF(F111="OBA",I111-J111,0)</f>
        <v>0</v>
      </c>
      <c r="AB111" s="194"/>
      <c r="AC111" s="194"/>
    </row>
    <row r="112" customFormat="false" ht="13.5" hidden="false" customHeight="false" outlineLevel="0" collapsed="false">
      <c r="A112" s="274" t="n">
        <v>812.1</v>
      </c>
      <c r="B112" s="239" t="n">
        <v>26092</v>
      </c>
      <c r="C112" s="238"/>
      <c r="D112" s="239" t="s">
        <v>225</v>
      </c>
      <c r="E112" s="239" t="s">
        <v>149</v>
      </c>
      <c r="F112" s="240" t="s">
        <v>116</v>
      </c>
      <c r="G112" s="241" t="n">
        <f aca="false">VLOOKUP($B112,BTU,2,FALSE())/1000</f>
        <v>1.025</v>
      </c>
      <c r="H112" s="242" t="str">
        <f aca="false">VLOOKUP($B112,spotdata,3,FALSE())</f>
        <v>COMM</v>
      </c>
      <c r="I112" s="243" t="n">
        <f aca="false">IF(VLOOKUP($B112,errordata,3,FALSE())="UNAV",J112*POLLHOURSFLOWED,IF(LEFT(B112,1)="1",VLOOKUP($B112,totalvolume,2,FALSE())*G112/1000,VLOOKUP($B112,totalvolume,2,FALSE())*G112/1000*-1))</f>
        <v>-0</v>
      </c>
      <c r="J112" s="244" t="n">
        <f aca="false">O112+T112</f>
        <v>-0</v>
      </c>
      <c r="K112" s="245" t="n">
        <f aca="false">I112-J112</f>
        <v>0</v>
      </c>
      <c r="L112" s="246" t="n">
        <f aca="false">L111+I112</f>
        <v>292.510050148094</v>
      </c>
      <c r="M112" s="247" t="n">
        <f aca="false">M111+J112</f>
        <v>279.007650694444</v>
      </c>
      <c r="N112" s="246" t="n">
        <f aca="false">IF(F112="CIG",O112,IF(F112="OBA",O112,IF(F112="HPL",I112-T112,IF(ISERR((O112/$J112)*$I112),0,IF(F112="TP",(O112/$J112)*$I112)))))</f>
        <v>-0</v>
      </c>
      <c r="O112" s="244" t="n">
        <f aca="false">IF(LEFT(B112,1)="1",VLOOKUP(B112,Cigsch,3,FALSE())/1000,VLOOKUP(B112,Cigsch,3,FALSE())/1000*-1)*POLLHOURSFLOWED</f>
        <v>-0</v>
      </c>
      <c r="P112" s="245" t="n">
        <f aca="false">N112-O112</f>
        <v>0</v>
      </c>
      <c r="Q112" s="246" t="n">
        <f aca="false">Q111+N112</f>
        <v>166.227760073585</v>
      </c>
      <c r="R112" s="248" t="n">
        <f aca="false">R111+O112</f>
        <v>138.311515277778</v>
      </c>
      <c r="S112" s="249" t="n">
        <f aca="false">I112-N112</f>
        <v>0</v>
      </c>
      <c r="T112" s="244" t="n">
        <f aca="false">IF(LEFT(B112,1)="1",VLOOKUP(B112,Cigsch,2,FALSE())/1000,VLOOKUP(B112,Cigsch,2,FALSE())/1000*-1)*POLLHOURSFLOWED</f>
        <v>-0</v>
      </c>
      <c r="U112" s="245" t="n">
        <f aca="false">S112-T112</f>
        <v>0</v>
      </c>
      <c r="V112" s="250" t="n">
        <f aca="false">V111+S112</f>
        <v>126.282290074509</v>
      </c>
      <c r="W112" s="246" t="n">
        <f aca="false">W111+T112</f>
        <v>140.696135416667</v>
      </c>
      <c r="X112" s="251" t="n">
        <f aca="false">S112-Y112</f>
        <v>0</v>
      </c>
      <c r="Y112" s="252" t="n">
        <f aca="false">IF(F112="OBA",I112-J112,0)</f>
        <v>0</v>
      </c>
      <c r="AB112" s="194"/>
      <c r="AC112" s="194"/>
    </row>
    <row r="113" customFormat="false" ht="12.75" hidden="false" customHeight="false" outlineLevel="0" collapsed="false">
      <c r="A113" s="273" t="n">
        <v>813</v>
      </c>
      <c r="B113" s="211" t="n">
        <v>16273</v>
      </c>
      <c r="C113" s="210" t="n">
        <v>3553</v>
      </c>
      <c r="D113" s="211" t="s">
        <v>226</v>
      </c>
      <c r="E113" s="211" t="s">
        <v>149</v>
      </c>
      <c r="F113" s="212" t="s">
        <v>149</v>
      </c>
      <c r="G113" s="213" t="n">
        <f aca="false">VLOOKUP($B113,BTU,2,FALSE())/1000</f>
        <v>1.025</v>
      </c>
      <c r="H113" s="182" t="str">
        <f aca="false">VLOOKUP($B113,spotdata,3,FALSE())</f>
        <v>    </v>
      </c>
      <c r="I113" s="204" t="n">
        <f aca="false">IF(VLOOKUP($B113,errordata,3,FALSE())="UNAV",J113*POLLHOURSFLOWED,IF(LEFT(B113,1)="1",VLOOKUP($B113,totalvolume,2,FALSE())*G113/1000,VLOOKUP($B113,totalvolume,2,FALSE())*G113/1000*-1))</f>
        <v>0</v>
      </c>
      <c r="J113" s="205" t="n">
        <f aca="false">O113+T113</f>
        <v>0</v>
      </c>
      <c r="K113" s="206" t="n">
        <f aca="false">I113-J113</f>
        <v>0</v>
      </c>
      <c r="L113" s="79" t="n">
        <f aca="false">L112+I113</f>
        <v>292.510050148094</v>
      </c>
      <c r="M113" s="200" t="n">
        <f aca="false">M112+J113</f>
        <v>279.007650694444</v>
      </c>
      <c r="N113" s="79" t="n">
        <f aca="false">IF(F113="CIG",O113,IF(F113="OBA",O113,IF(F113="HPL",I113-T113,IF(ISERR((O113/$J113)*$I113),0,IF(F113="TP",(O113/$J113)*$I113)))))</f>
        <v>0</v>
      </c>
      <c r="O113" s="205" t="n">
        <f aca="false">IF(LEFT(B113,1)="1",VLOOKUP(B113,Cigsch,3,FALSE())/1000,VLOOKUP(B113,Cigsch,3,FALSE())/1000*-1)*POLLHOURSFLOWED</f>
        <v>0</v>
      </c>
      <c r="P113" s="206" t="n">
        <f aca="false">N113-O113</f>
        <v>0</v>
      </c>
      <c r="Q113" s="79" t="n">
        <f aca="false">Q112+N113</f>
        <v>166.227760073585</v>
      </c>
      <c r="R113" s="201" t="n">
        <f aca="false">R112+O113</f>
        <v>138.311515277778</v>
      </c>
      <c r="S113" s="207" t="n">
        <f aca="false">I113-N113</f>
        <v>0</v>
      </c>
      <c r="T113" s="205" t="n">
        <f aca="false">IF(LEFT(B113,1)="1",VLOOKUP(B113,Cigsch,2,FALSE())/1000,VLOOKUP(B113,Cigsch,2,FALSE())/1000*-1)*POLLHOURSFLOWED</f>
        <v>0</v>
      </c>
      <c r="U113" s="206" t="n">
        <f aca="false">S113-T113</f>
        <v>0</v>
      </c>
      <c r="V113" s="203" t="n">
        <f aca="false">V112+S113</f>
        <v>126.282290074509</v>
      </c>
      <c r="W113" s="79" t="n">
        <f aca="false">W112+T113</f>
        <v>140.696135416667</v>
      </c>
      <c r="X113" s="208" t="n">
        <f aca="false">S113-Y113</f>
        <v>0</v>
      </c>
      <c r="Y113" s="209" t="n">
        <f aca="false">IF(F113="OBA",I113-J113,0)</f>
        <v>0</v>
      </c>
      <c r="AB113" s="194"/>
      <c r="AC113" s="194"/>
    </row>
    <row r="114" customFormat="false" ht="12.75" hidden="false" customHeight="false" outlineLevel="0" collapsed="false">
      <c r="A114" s="253" t="n">
        <v>813</v>
      </c>
      <c r="B114" s="179" t="n">
        <v>16088</v>
      </c>
      <c r="C114" s="178"/>
      <c r="D114" s="237" t="s">
        <v>227</v>
      </c>
      <c r="E114" s="179" t="s">
        <v>116</v>
      </c>
      <c r="F114" s="180" t="s">
        <v>156</v>
      </c>
      <c r="G114" s="181" t="n">
        <f aca="false">VLOOKUP($B114,BTU,2,FALSE())/1000</f>
        <v>1.01098407</v>
      </c>
      <c r="H114" s="182" t="str">
        <f aca="false">VLOOKUP($B114,spotdata,3,FALSE())</f>
        <v>    </v>
      </c>
      <c r="I114" s="204" t="n">
        <f aca="false">IF(VLOOKUP($B114,errordata,3,FALSE())="UNAV",J114*POLLHOURSFLOWED,IF(LEFT(B114,1)="1",VLOOKUP($B114,totalvolume,2,FALSE())*G114/1000,VLOOKUP($B114,totalvolume,2,FALSE())*G114/1000*-1))</f>
        <v>46.7026658025054</v>
      </c>
      <c r="J114" s="205" t="n">
        <f aca="false">O114+T114</f>
        <v>31.6101840277778</v>
      </c>
      <c r="K114" s="206" t="n">
        <f aca="false">I114-J114</f>
        <v>15.0924817747276</v>
      </c>
      <c r="L114" s="79" t="n">
        <f aca="false">L113+I114</f>
        <v>339.2127159506</v>
      </c>
      <c r="M114" s="200" t="n">
        <f aca="false">M113+J114</f>
        <v>310.617834722222</v>
      </c>
      <c r="N114" s="79" t="n">
        <f aca="false">IF(F114="CIG",O114,IF(F114="OBA",O114,IF(F114="HPL",I114-T114,IF(ISERR((O114/$J114)*$I114),0,IF(F114="TP",(O114/$J114)*$I114)))))</f>
        <v>0</v>
      </c>
      <c r="O114" s="205" t="n">
        <f aca="false">IF(LEFT(B114,1)="1",VLOOKUP(B114,Cigsch,3,FALSE())/1000,VLOOKUP(B114,Cigsch,3,FALSE())/1000*-1)*POLLHOURSFLOWED</f>
        <v>0</v>
      </c>
      <c r="P114" s="206" t="n">
        <f aca="false">N114-O114</f>
        <v>0</v>
      </c>
      <c r="Q114" s="79" t="n">
        <f aca="false">Q113+N114</f>
        <v>166.227760073585</v>
      </c>
      <c r="R114" s="201" t="n">
        <f aca="false">R113+O114</f>
        <v>138.311515277778</v>
      </c>
      <c r="S114" s="207" t="n">
        <f aca="false">I114-N114</f>
        <v>46.7026658025054</v>
      </c>
      <c r="T114" s="205" t="n">
        <f aca="false">IF(LEFT(B114,1)="1",VLOOKUP(B114,Cigsch,2,FALSE())/1000,VLOOKUP(B114,Cigsch,2,FALSE())/1000*-1)*POLLHOURSFLOWED</f>
        <v>31.6101840277778</v>
      </c>
      <c r="U114" s="206" t="n">
        <f aca="false">S114-T114</f>
        <v>15.0924817747276</v>
      </c>
      <c r="V114" s="203" t="n">
        <f aca="false">V113+S114</f>
        <v>172.984955877015</v>
      </c>
      <c r="W114" s="79" t="n">
        <f aca="false">W113+T114</f>
        <v>172.306319444445</v>
      </c>
      <c r="X114" s="208" t="n">
        <f aca="false">S114-Y114</f>
        <v>46.7026658025054</v>
      </c>
      <c r="Y114" s="209" t="n">
        <f aca="false">IF(F114="OBA",I114-J114,0)</f>
        <v>0</v>
      </c>
      <c r="AB114" s="194"/>
      <c r="AC114" s="194"/>
    </row>
    <row r="115" customFormat="false" ht="12.75" hidden="false" customHeight="false" outlineLevel="0" collapsed="false">
      <c r="A115" s="253" t="n">
        <v>813</v>
      </c>
      <c r="B115" s="179" t="n">
        <v>26077</v>
      </c>
      <c r="C115" s="178"/>
      <c r="D115" s="237" t="s">
        <v>227</v>
      </c>
      <c r="E115" s="179" t="s">
        <v>116</v>
      </c>
      <c r="F115" s="180" t="s">
        <v>156</v>
      </c>
      <c r="G115" s="181" t="n">
        <f aca="false">VLOOKUP($B115,BTU,2,FALSE())/1000</f>
        <v>1.025</v>
      </c>
      <c r="H115" s="182" t="str">
        <f aca="false">VLOOKUP($B115,spotdata,3,FALSE())</f>
        <v>COMM</v>
      </c>
      <c r="I115" s="204" t="n">
        <f aca="false">IF(VLOOKUP($B115,errordata,3,FALSE())="UNAV",J115*POLLHOURSFLOWED,IF(LEFT(B115,1)="1",VLOOKUP($B115,totalvolume,2,FALSE())*G115/1000,VLOOKUP($B115,totalvolume,2,FALSE())*G115/1000*-1))</f>
        <v>-0</v>
      </c>
      <c r="J115" s="205" t="n">
        <f aca="false">O115+T115</f>
        <v>-0</v>
      </c>
      <c r="K115" s="206" t="n">
        <f aca="false">I115-J115</f>
        <v>0</v>
      </c>
      <c r="L115" s="79" t="n">
        <f aca="false">L114+I115</f>
        <v>339.2127159506</v>
      </c>
      <c r="M115" s="200" t="n">
        <f aca="false">M114+J115</f>
        <v>310.617834722222</v>
      </c>
      <c r="N115" s="79" t="n">
        <f aca="false">IF(F115="CIG",O115,IF(F115="OBA",O115,IF(F115="HPL",I115-T115,IF(ISERR((O115/$J115)*$I115),0,IF(F115="TP",(O115/$J115)*$I115)))))</f>
        <v>0</v>
      </c>
      <c r="O115" s="205" t="n">
        <f aca="false">IF(LEFT(B115,1)="1",VLOOKUP(B115,Cigsch,3,FALSE())/1000,VLOOKUP(B115,Cigsch,3,FALSE())/1000*-1)*POLLHOURSFLOWED</f>
        <v>-0</v>
      </c>
      <c r="P115" s="206" t="n">
        <f aca="false">N115-O115</f>
        <v>0</v>
      </c>
      <c r="Q115" s="79" t="n">
        <f aca="false">Q114+N115</f>
        <v>166.227760073585</v>
      </c>
      <c r="R115" s="201" t="n">
        <f aca="false">R114+O115</f>
        <v>138.311515277778</v>
      </c>
      <c r="S115" s="207" t="n">
        <f aca="false">I115-N115</f>
        <v>-0</v>
      </c>
      <c r="T115" s="205" t="n">
        <f aca="false">IF(LEFT(B115,1)="1",VLOOKUP(B115,Cigsch,2,FALSE())/1000,VLOOKUP(B115,Cigsch,2,FALSE())/1000*-1)*POLLHOURSFLOWED</f>
        <v>-0</v>
      </c>
      <c r="U115" s="206" t="n">
        <f aca="false">S115-T115</f>
        <v>0</v>
      </c>
      <c r="V115" s="203" t="n">
        <f aca="false">V114+S115</f>
        <v>172.984955877015</v>
      </c>
      <c r="W115" s="79" t="n">
        <f aca="false">W114+T115</f>
        <v>172.306319444445</v>
      </c>
      <c r="X115" s="208" t="n">
        <f aca="false">S115-Y115</f>
        <v>-0</v>
      </c>
      <c r="Y115" s="209" t="n">
        <f aca="false">IF(F115="OBA",I115-J115,0)</f>
        <v>0</v>
      </c>
      <c r="AB115" s="194"/>
      <c r="AC115" s="194"/>
    </row>
    <row r="116" customFormat="false" ht="12.75" hidden="false" customHeight="false" outlineLevel="0" collapsed="false">
      <c r="A116" s="292" t="n">
        <v>813</v>
      </c>
      <c r="B116" s="293" t="n">
        <v>16154</v>
      </c>
      <c r="C116" s="294"/>
      <c r="D116" s="293" t="s">
        <v>228</v>
      </c>
      <c r="E116" s="293" t="s">
        <v>118</v>
      </c>
      <c r="F116" s="295" t="s">
        <v>156</v>
      </c>
      <c r="G116" s="296" t="n">
        <f aca="false">VLOOKUP($B116,BTU,2,FALSE())/1000</f>
        <v>1.025</v>
      </c>
      <c r="H116" s="297" t="str">
        <f aca="false">VLOOKUP($B116,spotdata,3,FALSE())</f>
        <v>UNAV</v>
      </c>
      <c r="I116" s="298" t="n">
        <f aca="false">IF(VLOOKUP($B116,errordata,3,FALSE())="UNAV",J116*POLLHOURSFLOWED,IF(LEFT(B116,1)="1",VLOOKUP($B116,totalvolume,2,FALSE())*G116/1000,VLOOKUP($B116,totalvolume,2,FALSE())*G116/1000*-1))</f>
        <v>0.0904387707368827</v>
      </c>
      <c r="J116" s="299" t="n">
        <f aca="false">O116+T116</f>
        <v>0.101982638888889</v>
      </c>
      <c r="K116" s="300" t="n">
        <f aca="false">I116-J116</f>
        <v>-0.0115438681520062</v>
      </c>
      <c r="L116" s="301" t="n">
        <f aca="false">L115+I116</f>
        <v>339.303154721336</v>
      </c>
      <c r="M116" s="302" t="n">
        <f aca="false">M115+J116</f>
        <v>310.719817361111</v>
      </c>
      <c r="N116" s="301" t="n">
        <f aca="false">IF(F116="CIG",O116,IF(F116="OBA",O116,IF(F116="HPL",I116-T116,IF(ISERR((O116/$J116)*$I116),0,IF(F116="TP",(O116/$J116)*$I116)))))</f>
        <v>0</v>
      </c>
      <c r="O116" s="299" t="n">
        <f aca="false">IF(LEFT(B116,1)="1",VLOOKUP(B116,Cigsch,3,FALSE())/1000,VLOOKUP(B116,Cigsch,3,FALSE())/1000*-1)*POLLHOURSFLOWED</f>
        <v>0</v>
      </c>
      <c r="P116" s="300" t="n">
        <f aca="false">N116-O116</f>
        <v>0</v>
      </c>
      <c r="Q116" s="301" t="n">
        <f aca="false">Q115+N116</f>
        <v>166.227760073585</v>
      </c>
      <c r="R116" s="303" t="n">
        <f aca="false">R115+O116</f>
        <v>138.311515277778</v>
      </c>
      <c r="S116" s="304" t="n">
        <f aca="false">I116-N116</f>
        <v>0.0904387707368827</v>
      </c>
      <c r="T116" s="299" t="n">
        <f aca="false">IF(LEFT(B116,1)="1",VLOOKUP(B116,Cigsch,2,FALSE())/1000,VLOOKUP(B116,Cigsch,2,FALSE())/1000*-1)*POLLHOURSFLOWED</f>
        <v>0.101982638888889</v>
      </c>
      <c r="U116" s="300" t="n">
        <f aca="false">S116-T116</f>
        <v>-0.0115438681520062</v>
      </c>
      <c r="V116" s="305" t="n">
        <f aca="false">V115+S116</f>
        <v>173.075394647752</v>
      </c>
      <c r="W116" s="301" t="n">
        <f aca="false">W115+T116</f>
        <v>172.408302083333</v>
      </c>
      <c r="X116" s="306" t="n">
        <f aca="false">S116-Y116</f>
        <v>0.0904387707368827</v>
      </c>
      <c r="Y116" s="307" t="n">
        <f aca="false">IF(F116="OBA",I116-J116,0)</f>
        <v>0</v>
      </c>
      <c r="AB116" s="194"/>
      <c r="AC116" s="194"/>
    </row>
    <row r="117" customFormat="false" ht="12.75" hidden="false" customHeight="false" outlineLevel="0" collapsed="false">
      <c r="A117" s="253" t="n">
        <v>813</v>
      </c>
      <c r="B117" s="214" t="n">
        <v>26009</v>
      </c>
      <c r="C117" s="178"/>
      <c r="D117" s="237" t="s">
        <v>229</v>
      </c>
      <c r="E117" s="179" t="s">
        <v>116</v>
      </c>
      <c r="F117" s="180" t="s">
        <v>142</v>
      </c>
      <c r="G117" s="181" t="n">
        <f aca="false">VLOOKUP($B117,BTU,2,FALSE())/1000</f>
        <v>1.023</v>
      </c>
      <c r="H117" s="182" t="str">
        <f aca="false">VLOOKUP($B117,spotdata,3,FALSE())</f>
        <v>    </v>
      </c>
      <c r="I117" s="204" t="n">
        <f aca="false">IF(VLOOKUP($B117,errordata,3,FALSE())="UNAV",J117*POLLHOURSFLOWED,IF(LEFT(B117,1)="1",VLOOKUP($B117,totalvolume,2,FALSE())*G117/1000,VLOOKUP($B117,totalvolume,2,FALSE())*G117/1000*-1))</f>
        <v>-0</v>
      </c>
      <c r="J117" s="205" t="n">
        <f aca="false">O117+T117</f>
        <v>-0</v>
      </c>
      <c r="K117" s="206" t="n">
        <f aca="false">I117-J117</f>
        <v>0</v>
      </c>
      <c r="L117" s="79" t="n">
        <f aca="false">L116+I117</f>
        <v>339.303154721336</v>
      </c>
      <c r="M117" s="200" t="n">
        <f aca="false">M116+J117</f>
        <v>310.719817361111</v>
      </c>
      <c r="N117" s="79" t="n">
        <f aca="false">IF(F117="CIG",O117,IF(F117="OBA",O117,IF(F117="HPL",I117-T117,IF(ISERR((O117/$J117)*$I117),0,IF(F117="TP",(O117/$J117)*$I117)))))</f>
        <v>-0</v>
      </c>
      <c r="O117" s="205" t="n">
        <f aca="false">IF(LEFT(B117,1)="1",VLOOKUP(B117,Cigsch,3,FALSE())/1000,VLOOKUP(B117,Cigsch,3,FALSE())/1000*-1)*POLLHOURSFLOWED</f>
        <v>-0</v>
      </c>
      <c r="P117" s="206" t="n">
        <f aca="false">N117-O117</f>
        <v>0</v>
      </c>
      <c r="Q117" s="79" t="n">
        <f aca="false">Q116+N117</f>
        <v>166.227760073585</v>
      </c>
      <c r="R117" s="201" t="n">
        <f aca="false">R116+O117</f>
        <v>138.311515277778</v>
      </c>
      <c r="S117" s="207" t="n">
        <f aca="false">I117-N117</f>
        <v>0</v>
      </c>
      <c r="T117" s="205" t="n">
        <f aca="false">IF(LEFT(B117,1)="1",VLOOKUP(B117,Cigsch,2,FALSE())/1000,VLOOKUP(B117,Cigsch,2,FALSE())/1000*-1)*POLLHOURSFLOWED</f>
        <v>-0</v>
      </c>
      <c r="U117" s="206" t="n">
        <f aca="false">S117-T117</f>
        <v>0</v>
      </c>
      <c r="V117" s="203" t="n">
        <f aca="false">V116+S117</f>
        <v>173.075394647752</v>
      </c>
      <c r="W117" s="79" t="n">
        <f aca="false">W116+T117</f>
        <v>172.408302083333</v>
      </c>
      <c r="X117" s="208" t="n">
        <f aca="false">S117-Y117</f>
        <v>0</v>
      </c>
      <c r="Y117" s="209" t="n">
        <f aca="false">IF(F117="OBA",I117-J117,0)</f>
        <v>0</v>
      </c>
      <c r="AB117" s="194"/>
      <c r="AC117" s="194"/>
    </row>
    <row r="118" customFormat="false" ht="12.75" hidden="false" customHeight="false" outlineLevel="0" collapsed="false">
      <c r="A118" s="253" t="n">
        <v>813</v>
      </c>
      <c r="B118" s="179" t="n">
        <v>26018</v>
      </c>
      <c r="C118" s="178" t="n">
        <v>3516</v>
      </c>
      <c r="D118" s="179" t="s">
        <v>230</v>
      </c>
      <c r="E118" s="179" t="s">
        <v>149</v>
      </c>
      <c r="F118" s="180" t="s">
        <v>149</v>
      </c>
      <c r="G118" s="181" t="n">
        <f aca="false">VLOOKUP($B118,BTU,2,FALSE())/1000</f>
        <v>1.025</v>
      </c>
      <c r="H118" s="182" t="str">
        <f aca="false">VLOOKUP($B118,spotdata,3,FALSE())</f>
        <v>    </v>
      </c>
      <c r="I118" s="204" t="n">
        <f aca="false">IF(VLOOKUP($B118,errordata,3,FALSE())="UNAV",J118*POLLHOURSFLOWED,IF(LEFT(B118,1)="1",VLOOKUP($B118,totalvolume,2,FALSE())*G118/1000,VLOOKUP($B118,totalvolume,2,FALSE())*G118/1000*-1))</f>
        <v>-0.174019039825</v>
      </c>
      <c r="J118" s="205" t="n">
        <f aca="false">O118+T118</f>
        <v>-0</v>
      </c>
      <c r="K118" s="206" t="n">
        <f aca="false">I118-J118</f>
        <v>-0.174019039825</v>
      </c>
      <c r="L118" s="79" t="n">
        <f aca="false">L117+I118</f>
        <v>339.129135681511</v>
      </c>
      <c r="M118" s="200" t="n">
        <f aca="false">M117+J118</f>
        <v>310.719817361111</v>
      </c>
      <c r="N118" s="79" t="n">
        <f aca="false">IF(F118="CIG",O118,IF(F118="OBA",O118,IF(F118="HPL",I118-T118,IF(ISERR((O118/$J118)*$I118),0,IF(F118="TP",(O118/$J118)*$I118)))))</f>
        <v>-0.174019039825</v>
      </c>
      <c r="O118" s="205" t="n">
        <f aca="false">IF(LEFT(B118,1)="1",VLOOKUP(B118,Cigsch,3,FALSE())/1000,VLOOKUP(B118,Cigsch,3,FALSE())/1000*-1)*POLLHOURSFLOWED</f>
        <v>-0</v>
      </c>
      <c r="P118" s="206" t="n">
        <f aca="false">N118-O118</f>
        <v>-0.174019039825</v>
      </c>
      <c r="Q118" s="79" t="n">
        <f aca="false">Q117+N118</f>
        <v>166.05374103376</v>
      </c>
      <c r="R118" s="201" t="n">
        <f aca="false">R117+O118</f>
        <v>138.311515277778</v>
      </c>
      <c r="S118" s="207" t="n">
        <f aca="false">I118-N118</f>
        <v>0</v>
      </c>
      <c r="T118" s="205" t="n">
        <f aca="false">IF(LEFT(B118,1)="1",VLOOKUP(B118,Cigsch,2,FALSE())/1000,VLOOKUP(B118,Cigsch,2,FALSE())/1000*-1)*POLLHOURSFLOWED</f>
        <v>-0</v>
      </c>
      <c r="U118" s="206" t="n">
        <f aca="false">S118-T118</f>
        <v>0</v>
      </c>
      <c r="V118" s="203" t="n">
        <f aca="false">V117+S118</f>
        <v>173.075394647752</v>
      </c>
      <c r="W118" s="79" t="n">
        <f aca="false">W117+T118</f>
        <v>172.408302083333</v>
      </c>
      <c r="X118" s="208" t="n">
        <f aca="false">S118-Y118</f>
        <v>0</v>
      </c>
      <c r="Y118" s="209" t="n">
        <f aca="false">IF(F118="OBA",I118-J118,0)</f>
        <v>0</v>
      </c>
      <c r="Z118" s="235"/>
      <c r="AA118" s="235"/>
      <c r="AB118" s="236"/>
      <c r="AC118" s="236"/>
      <c r="AD118" s="235"/>
      <c r="AE118" s="235"/>
      <c r="AF118" s="235"/>
      <c r="AG118" s="235"/>
      <c r="AH118" s="235"/>
      <c r="AI118" s="235"/>
      <c r="AJ118" s="235"/>
      <c r="AK118" s="235"/>
      <c r="AL118" s="235"/>
      <c r="AM118" s="235"/>
      <c r="AN118" s="235"/>
      <c r="AO118" s="235"/>
      <c r="AP118" s="235"/>
      <c r="AQ118" s="235"/>
      <c r="AR118" s="235"/>
      <c r="AS118" s="235"/>
      <c r="AT118" s="235"/>
      <c r="AU118" s="235"/>
      <c r="AV118" s="235"/>
      <c r="AW118" s="235"/>
      <c r="AX118" s="235"/>
      <c r="AY118" s="235"/>
      <c r="AZ118" s="235"/>
      <c r="BA118" s="235"/>
      <c r="BB118" s="235"/>
      <c r="BC118" s="235"/>
      <c r="BD118" s="235"/>
      <c r="BE118" s="235"/>
      <c r="BF118" s="235"/>
      <c r="BG118" s="235"/>
      <c r="BH118" s="235"/>
      <c r="BI118" s="235"/>
      <c r="BJ118" s="235"/>
      <c r="BK118" s="235"/>
      <c r="BL118" s="235"/>
      <c r="BM118" s="235"/>
      <c r="BN118" s="235"/>
      <c r="BO118" s="235"/>
      <c r="BP118" s="235"/>
      <c r="BQ118" s="235"/>
      <c r="BR118" s="235"/>
      <c r="BS118" s="235"/>
      <c r="BT118" s="235"/>
      <c r="BU118" s="235"/>
      <c r="BV118" s="235"/>
      <c r="BW118" s="235"/>
      <c r="BX118" s="235"/>
      <c r="BY118" s="235"/>
      <c r="BZ118" s="235"/>
      <c r="CA118" s="235"/>
      <c r="CB118" s="235"/>
      <c r="CC118" s="235"/>
      <c r="CD118" s="235"/>
      <c r="CE118" s="235"/>
      <c r="CF118" s="235"/>
      <c r="CG118" s="235"/>
      <c r="CH118" s="235"/>
      <c r="CI118" s="235"/>
      <c r="CJ118" s="235"/>
      <c r="CK118" s="235"/>
      <c r="CL118" s="235"/>
      <c r="CM118" s="235"/>
      <c r="CN118" s="235"/>
      <c r="CO118" s="235"/>
      <c r="CP118" s="235"/>
      <c r="CQ118" s="235"/>
      <c r="CR118" s="235"/>
      <c r="CS118" s="235"/>
      <c r="CT118" s="235"/>
      <c r="CU118" s="235"/>
      <c r="CV118" s="235"/>
      <c r="CW118" s="235"/>
      <c r="CX118" s="235"/>
      <c r="CY118" s="235"/>
      <c r="CZ118" s="235"/>
      <c r="DA118" s="235"/>
      <c r="DB118" s="235"/>
      <c r="DC118" s="235"/>
      <c r="DD118" s="235"/>
      <c r="DE118" s="235"/>
      <c r="DF118" s="235"/>
      <c r="DG118" s="235"/>
      <c r="DH118" s="235"/>
      <c r="DI118" s="235"/>
      <c r="DJ118" s="235"/>
      <c r="DK118" s="235"/>
      <c r="DL118" s="235"/>
      <c r="DM118" s="235"/>
      <c r="DN118" s="235"/>
      <c r="DO118" s="235"/>
      <c r="DP118" s="235"/>
      <c r="DQ118" s="235"/>
      <c r="DR118" s="235"/>
      <c r="DS118" s="235"/>
      <c r="DT118" s="235"/>
      <c r="DU118" s="235"/>
      <c r="DV118" s="235"/>
      <c r="DW118" s="235"/>
      <c r="DX118" s="235"/>
      <c r="DY118" s="235"/>
      <c r="DZ118" s="235"/>
      <c r="EA118" s="235"/>
      <c r="EB118" s="235"/>
      <c r="EC118" s="235"/>
      <c r="ED118" s="235"/>
      <c r="EE118" s="235"/>
      <c r="EF118" s="235"/>
      <c r="EG118" s="235"/>
      <c r="EH118" s="235"/>
      <c r="EI118" s="235"/>
      <c r="EJ118" s="235"/>
      <c r="EK118" s="235"/>
      <c r="EL118" s="235"/>
      <c r="EM118" s="235"/>
      <c r="EN118" s="235"/>
      <c r="EO118" s="235"/>
      <c r="EP118" s="235"/>
      <c r="EQ118" s="235"/>
      <c r="ER118" s="235"/>
      <c r="ES118" s="235"/>
      <c r="ET118" s="235"/>
      <c r="EU118" s="235"/>
      <c r="EV118" s="235"/>
      <c r="EW118" s="235"/>
      <c r="EX118" s="235"/>
      <c r="EY118" s="235"/>
      <c r="EZ118" s="235"/>
      <c r="FA118" s="235"/>
      <c r="FB118" s="235"/>
      <c r="FC118" s="235"/>
      <c r="FD118" s="235"/>
      <c r="FE118" s="235"/>
      <c r="FF118" s="235"/>
      <c r="FG118" s="235"/>
      <c r="FH118" s="235"/>
      <c r="FI118" s="235"/>
      <c r="FJ118" s="235"/>
      <c r="FK118" s="235"/>
      <c r="FL118" s="235"/>
      <c r="FM118" s="235"/>
      <c r="FN118" s="235"/>
      <c r="FO118" s="235"/>
      <c r="FP118" s="235"/>
      <c r="FQ118" s="235"/>
      <c r="FR118" s="235"/>
      <c r="FS118" s="235"/>
      <c r="FT118" s="235"/>
      <c r="FU118" s="235"/>
      <c r="FV118" s="235"/>
      <c r="FW118" s="235"/>
      <c r="FX118" s="235"/>
      <c r="FY118" s="235"/>
      <c r="FZ118" s="235"/>
      <c r="GA118" s="235"/>
      <c r="GB118" s="235"/>
      <c r="GC118" s="235"/>
      <c r="GD118" s="235"/>
      <c r="GE118" s="235"/>
      <c r="GF118" s="235"/>
      <c r="GG118" s="235"/>
      <c r="GH118" s="235"/>
      <c r="GI118" s="235"/>
      <c r="GJ118" s="235"/>
      <c r="GK118" s="235"/>
      <c r="GL118" s="235"/>
      <c r="GM118" s="235"/>
      <c r="GN118" s="235"/>
      <c r="GO118" s="235"/>
      <c r="GP118" s="235"/>
      <c r="GQ118" s="235"/>
      <c r="GR118" s="235"/>
      <c r="GS118" s="235"/>
      <c r="GT118" s="235"/>
      <c r="GU118" s="235"/>
      <c r="GV118" s="235"/>
      <c r="GW118" s="235"/>
      <c r="GX118" s="235"/>
      <c r="GY118" s="235"/>
      <c r="GZ118" s="235"/>
      <c r="HA118" s="235"/>
      <c r="HB118" s="235"/>
      <c r="HC118" s="235"/>
      <c r="HD118" s="235"/>
      <c r="HE118" s="235"/>
      <c r="HF118" s="235"/>
      <c r="HG118" s="235"/>
      <c r="HH118" s="235"/>
      <c r="HI118" s="235"/>
      <c r="HJ118" s="235"/>
      <c r="HK118" s="235"/>
      <c r="HL118" s="235"/>
      <c r="HM118" s="235"/>
      <c r="HN118" s="235"/>
      <c r="HO118" s="235"/>
      <c r="HP118" s="235"/>
      <c r="HQ118" s="235"/>
      <c r="HR118" s="235"/>
      <c r="HS118" s="235"/>
      <c r="HT118" s="235"/>
      <c r="HU118" s="235"/>
      <c r="HV118" s="235"/>
      <c r="HW118" s="235"/>
      <c r="HX118" s="235"/>
      <c r="HY118" s="235"/>
      <c r="HZ118" s="235"/>
      <c r="IA118" s="235"/>
      <c r="IB118" s="235"/>
      <c r="IC118" s="235"/>
      <c r="ID118" s="235"/>
      <c r="IE118" s="235"/>
      <c r="IF118" s="235"/>
      <c r="IG118" s="235"/>
      <c r="IH118" s="235"/>
      <c r="II118" s="235"/>
      <c r="IJ118" s="235"/>
      <c r="IK118" s="235"/>
      <c r="IL118" s="235"/>
      <c r="IM118" s="235"/>
      <c r="IN118" s="235"/>
      <c r="IO118" s="235"/>
      <c r="IP118" s="235"/>
      <c r="IQ118" s="235"/>
      <c r="IR118" s="235"/>
      <c r="IS118" s="235"/>
      <c r="IT118" s="235"/>
      <c r="IU118" s="235"/>
      <c r="IV118" s="235"/>
      <c r="IW118" s="235"/>
    </row>
    <row r="119" customFormat="false" ht="12.75" hidden="false" customHeight="false" outlineLevel="0" collapsed="false">
      <c r="A119" s="253" t="n">
        <v>813</v>
      </c>
      <c r="B119" s="179" t="n">
        <v>16296</v>
      </c>
      <c r="C119" s="178" t="n">
        <v>3556</v>
      </c>
      <c r="D119" s="179" t="s">
        <v>231</v>
      </c>
      <c r="E119" s="179" t="s">
        <v>149</v>
      </c>
      <c r="F119" s="180" t="s">
        <v>149</v>
      </c>
      <c r="G119" s="181" t="n">
        <f aca="false">VLOOKUP($B119,BTU,2,FALSE())/1000</f>
        <v>1.025</v>
      </c>
      <c r="H119" s="182" t="str">
        <f aca="false">VLOOKUP($B119,spotdata,3,FALSE())</f>
        <v>    </v>
      </c>
      <c r="I119" s="204" t="n">
        <f aca="false">IF(VLOOKUP($B119,errordata,3,FALSE())="UNAV",J119*POLLHOURSFLOWED,IF(LEFT(B119,1)="1",VLOOKUP($B119,totalvolume,2,FALSE())*G119/1000,VLOOKUP($B119,totalvolume,2,FALSE())*G119/1000*-1))</f>
        <v>0</v>
      </c>
      <c r="J119" s="205" t="n">
        <f aca="false">O119+T119</f>
        <v>0</v>
      </c>
      <c r="K119" s="206" t="n">
        <f aca="false">I119-J119</f>
        <v>0</v>
      </c>
      <c r="L119" s="79" t="n">
        <f aca="false">L118+I119</f>
        <v>339.129135681511</v>
      </c>
      <c r="M119" s="200" t="n">
        <f aca="false">M118+J119</f>
        <v>310.719817361111</v>
      </c>
      <c r="N119" s="79" t="n">
        <f aca="false">IF(F119="CIG",O119,IF(F119="OBA",O119,IF(F119="HPL",I119-T119,IF(ISERR((O119/$J119)*$I119),0,IF(F119="TP",(O119/$J119)*$I119)))))</f>
        <v>0</v>
      </c>
      <c r="O119" s="205" t="n">
        <f aca="false">IF(LEFT(B119,1)="1",VLOOKUP(B119,Cigsch,3,FALSE())/1000,VLOOKUP(B119,Cigsch,3,FALSE())/1000*-1)*POLLHOURSFLOWED</f>
        <v>0</v>
      </c>
      <c r="P119" s="206" t="n">
        <f aca="false">N119-O119</f>
        <v>0</v>
      </c>
      <c r="Q119" s="79" t="n">
        <f aca="false">Q118+N119</f>
        <v>166.05374103376</v>
      </c>
      <c r="R119" s="201" t="n">
        <f aca="false">R118+O119</f>
        <v>138.311515277778</v>
      </c>
      <c r="S119" s="207" t="n">
        <f aca="false">I119-N119</f>
        <v>0</v>
      </c>
      <c r="T119" s="205" t="n">
        <f aca="false">IF(LEFT(B119,1)="1",VLOOKUP(B119,Cigsch,2,FALSE())/1000,VLOOKUP(B119,Cigsch,2,FALSE())/1000*-1)*POLLHOURSFLOWED</f>
        <v>0</v>
      </c>
      <c r="U119" s="206" t="n">
        <f aca="false">S119-T119</f>
        <v>0</v>
      </c>
      <c r="V119" s="203" t="n">
        <f aca="false">V118+S119</f>
        <v>173.075394647752</v>
      </c>
      <c r="W119" s="79" t="n">
        <f aca="false">W118+T119</f>
        <v>172.408302083333</v>
      </c>
      <c r="X119" s="208" t="n">
        <f aca="false">S119-Y119</f>
        <v>0</v>
      </c>
      <c r="Y119" s="209" t="n">
        <f aca="false">IF(F119="OBA",I119-J119,0)</f>
        <v>0</v>
      </c>
      <c r="AB119" s="194"/>
      <c r="AC119" s="194"/>
    </row>
    <row r="120" customFormat="false" ht="12.75" hidden="false" customHeight="false" outlineLevel="0" collapsed="false">
      <c r="A120" s="253" t="n">
        <v>813</v>
      </c>
      <c r="B120" s="179" t="n">
        <v>26130</v>
      </c>
      <c r="C120" s="178"/>
      <c r="D120" s="179" t="s">
        <v>232</v>
      </c>
      <c r="E120" s="179" t="s">
        <v>149</v>
      </c>
      <c r="F120" s="180" t="s">
        <v>149</v>
      </c>
      <c r="G120" s="181" t="n">
        <f aca="false">VLOOKUP($B120,BTU,2,FALSE())/1000</f>
        <v>1.025</v>
      </c>
      <c r="H120" s="182" t="str">
        <f aca="false">VLOOKUP($B120,spotdata,3,FALSE())</f>
        <v>    </v>
      </c>
      <c r="I120" s="204" t="n">
        <f aca="false">IF(VLOOKUP($B120,errordata,3,FALSE())="UNAV",J120*POLLHOURSFLOWED,IF(LEFT(B120,1)="1",VLOOKUP($B120,totalvolume,2,FALSE())*G120/1000,VLOOKUP($B120,totalvolume,2,FALSE())*G120/1000*-1))</f>
        <v>-0</v>
      </c>
      <c r="J120" s="205" t="n">
        <f aca="false">O120+T120</f>
        <v>-0</v>
      </c>
      <c r="K120" s="206" t="n">
        <f aca="false">I120-J120</f>
        <v>0</v>
      </c>
      <c r="L120" s="79" t="n">
        <f aca="false">L119+I120</f>
        <v>339.129135681511</v>
      </c>
      <c r="M120" s="200" t="n">
        <f aca="false">M119+J120</f>
        <v>310.719817361111</v>
      </c>
      <c r="N120" s="79" t="n">
        <f aca="false">IF(F120="CIG",O120,IF(F120="OBA",O120,IF(F120="HPL",I120-T120,IF(ISERR((O120/$J120)*$I120),0,IF(F120="TP",(O120/$J120)*$I120)))))</f>
        <v>0</v>
      </c>
      <c r="O120" s="205" t="n">
        <f aca="false">IF(LEFT(B120,1)="1",VLOOKUP(B120,Cigsch,3,FALSE())/1000,VLOOKUP(B120,Cigsch,3,FALSE())/1000*-1)*POLLHOURSFLOWED</f>
        <v>-0</v>
      </c>
      <c r="P120" s="206" t="n">
        <f aca="false">N120-O120</f>
        <v>0</v>
      </c>
      <c r="Q120" s="79" t="n">
        <f aca="false">Q119+N120</f>
        <v>166.05374103376</v>
      </c>
      <c r="R120" s="201" t="n">
        <f aca="false">R119+O120</f>
        <v>138.311515277778</v>
      </c>
      <c r="S120" s="207" t="n">
        <f aca="false">I120-N120</f>
        <v>-0</v>
      </c>
      <c r="T120" s="205" t="n">
        <f aca="false">IF(LEFT(B120,1)="1",VLOOKUP(B120,Cigsch,2,FALSE())/1000,VLOOKUP(B120,Cigsch,2,FALSE())/1000*-1)*POLLHOURSFLOWED</f>
        <v>-0</v>
      </c>
      <c r="U120" s="206" t="n">
        <f aca="false">S120-T120</f>
        <v>0</v>
      </c>
      <c r="V120" s="203" t="n">
        <f aca="false">V119+S120</f>
        <v>173.075394647752</v>
      </c>
      <c r="W120" s="79" t="n">
        <f aca="false">W119+T120</f>
        <v>172.408302083333</v>
      </c>
      <c r="X120" s="208" t="n">
        <f aca="false">S120-Y120</f>
        <v>-0</v>
      </c>
      <c r="Y120" s="209" t="n">
        <f aca="false">IF(F120="OBA",I120-J120,0)</f>
        <v>0</v>
      </c>
      <c r="AB120" s="194"/>
      <c r="AC120" s="194"/>
    </row>
    <row r="121" customFormat="false" ht="13.5" hidden="false" customHeight="false" outlineLevel="0" collapsed="false">
      <c r="A121" s="274" t="n">
        <v>813</v>
      </c>
      <c r="B121" s="239" t="n">
        <v>26131</v>
      </c>
      <c r="C121" s="238"/>
      <c r="D121" s="239" t="s">
        <v>232</v>
      </c>
      <c r="E121" s="239" t="s">
        <v>149</v>
      </c>
      <c r="F121" s="240" t="s">
        <v>116</v>
      </c>
      <c r="G121" s="241" t="n">
        <f aca="false">VLOOKUP($B121,BTU,2,FALSE())/1000</f>
        <v>1.025</v>
      </c>
      <c r="H121" s="242" t="str">
        <f aca="false">VLOOKUP($B121,spotdata,3,FALSE())</f>
        <v>UNAV</v>
      </c>
      <c r="I121" s="243" t="n">
        <f aca="false">IF(VLOOKUP($B121,errordata,3,FALSE())="UNAV",J121*POLLHOURSFLOWED,IF(LEFT(B121,1)="1",VLOOKUP($B121,totalvolume,2,FALSE())*G121/1000,VLOOKUP($B121,totalvolume,2,FALSE())*G121/1000*-1))</f>
        <v>-0</v>
      </c>
      <c r="J121" s="244" t="n">
        <f aca="false">O121+T121</f>
        <v>-0</v>
      </c>
      <c r="K121" s="245" t="n">
        <f aca="false">I121-J121</f>
        <v>0</v>
      </c>
      <c r="L121" s="246" t="n">
        <f aca="false">L120+I121</f>
        <v>339.129135681511</v>
      </c>
      <c r="M121" s="247" t="n">
        <f aca="false">M120+J121</f>
        <v>310.719817361111</v>
      </c>
      <c r="N121" s="246" t="n">
        <f aca="false">IF(F121="CIG",O121,IF(F121="OBA",O121,IF(F121="HPL",I121-T121,IF(ISERR((O121/$J121)*$I121),0,IF(F121="TP",(O121/$J121)*$I121)))))</f>
        <v>-0</v>
      </c>
      <c r="O121" s="244" t="n">
        <f aca="false">IF(LEFT(B121,1)="1",VLOOKUP(B121,Cigsch,3,FALSE())/1000,VLOOKUP(B121,Cigsch,3,FALSE())/1000*-1)*POLLHOURSFLOWED</f>
        <v>-0</v>
      </c>
      <c r="P121" s="245" t="n">
        <f aca="false">N121-O121</f>
        <v>0</v>
      </c>
      <c r="Q121" s="246" t="n">
        <f aca="false">Q120+N121</f>
        <v>166.05374103376</v>
      </c>
      <c r="R121" s="248" t="n">
        <f aca="false">R120+O121</f>
        <v>138.311515277778</v>
      </c>
      <c r="S121" s="249" t="n">
        <f aca="false">I121-N121</f>
        <v>0</v>
      </c>
      <c r="T121" s="244" t="n">
        <f aca="false">IF(LEFT(B121,1)="1",VLOOKUP(B121,Cigsch,2,FALSE())/1000,VLOOKUP(B121,Cigsch,2,FALSE())/1000*-1)*POLLHOURSFLOWED</f>
        <v>-0</v>
      </c>
      <c r="U121" s="245" t="n">
        <f aca="false">S121-T121</f>
        <v>0</v>
      </c>
      <c r="V121" s="250" t="n">
        <f aca="false">V120+S121</f>
        <v>173.075394647752</v>
      </c>
      <c r="W121" s="246" t="n">
        <f aca="false">W120+T121</f>
        <v>172.408302083333</v>
      </c>
      <c r="X121" s="251" t="n">
        <f aca="false">S121-Y121</f>
        <v>0</v>
      </c>
      <c r="Y121" s="252" t="n">
        <f aca="false">IF(F121="OBA",I121-J121,0)</f>
        <v>0</v>
      </c>
      <c r="AB121" s="194"/>
      <c r="AC121" s="194"/>
    </row>
    <row r="122" customFormat="false" ht="12.75" hidden="false" customHeight="false" outlineLevel="0" collapsed="false">
      <c r="A122" s="253" t="n">
        <v>814</v>
      </c>
      <c r="B122" s="179" t="n">
        <v>26070</v>
      </c>
      <c r="C122" s="178"/>
      <c r="D122" s="179" t="s">
        <v>233</v>
      </c>
      <c r="E122" s="179" t="s">
        <v>149</v>
      </c>
      <c r="F122" s="180" t="s">
        <v>149</v>
      </c>
      <c r="G122" s="181" t="n">
        <f aca="false">VLOOKUP($B122,BTU,2,FALSE())/1000</f>
        <v>1.025</v>
      </c>
      <c r="H122" s="182" t="str">
        <f aca="false">VLOOKUP($B122,spotdata,3,FALSE())</f>
        <v>UNAV</v>
      </c>
      <c r="I122" s="204" t="n">
        <f aca="false">IF(VLOOKUP($B122,errordata,3,FALSE())="UNAV",J122*POLLHOURSFLOWED,IF(LEFT(B122,1)="1",VLOOKUP($B122,totalvolume,2,FALSE())*G122/1000,VLOOKUP($B122,totalvolume,2,FALSE())*G122/1000*-1))</f>
        <v>-0.796647606577932</v>
      </c>
      <c r="J122" s="205" t="n">
        <f aca="false">O122+T122</f>
        <v>-0.898334027777778</v>
      </c>
      <c r="K122" s="206" t="n">
        <f aca="false">I122-J122</f>
        <v>0.101686421199846</v>
      </c>
      <c r="L122" s="79" t="n">
        <f aca="false">L121+I122</f>
        <v>338.332488074933</v>
      </c>
      <c r="M122" s="200" t="n">
        <f aca="false">M121+J122</f>
        <v>309.821483333333</v>
      </c>
      <c r="N122" s="79" t="n">
        <f aca="false">IF(F122="CIG",O122,IF(F122="OBA",O122,IF(F122="HPL",I122-T122,IF(ISERR((O122/$J122)*$I122),0,IF(F122="TP",(O122/$J122)*$I122)))))</f>
        <v>-0.796647606577932</v>
      </c>
      <c r="O122" s="205" t="n">
        <f aca="false">IF(LEFT(B122,1)="1",VLOOKUP(B122,Cigsch,3,FALSE())/1000,VLOOKUP(B122,Cigsch,3,FALSE())/1000*-1)*POLLHOURSFLOWED</f>
        <v>-0.898334027777778</v>
      </c>
      <c r="P122" s="206" t="n">
        <f aca="false">N122-O122</f>
        <v>0.101686421199846</v>
      </c>
      <c r="Q122" s="79" t="n">
        <f aca="false">Q121+N122</f>
        <v>165.257093427182</v>
      </c>
      <c r="R122" s="201" t="n">
        <f aca="false">R121+O122</f>
        <v>137.41318125</v>
      </c>
      <c r="S122" s="207" t="n">
        <f aca="false">I122-N122</f>
        <v>0</v>
      </c>
      <c r="T122" s="205" t="n">
        <f aca="false">IF(LEFT(B122,1)="1",VLOOKUP(B122,Cigsch,2,FALSE())/1000,VLOOKUP(B122,Cigsch,2,FALSE())/1000*-1)*POLLHOURSFLOWED</f>
        <v>-0</v>
      </c>
      <c r="U122" s="206" t="n">
        <f aca="false">S122-T122</f>
        <v>0</v>
      </c>
      <c r="V122" s="203" t="n">
        <f aca="false">V121+S122</f>
        <v>173.075394647752</v>
      </c>
      <c r="W122" s="79" t="n">
        <f aca="false">W121+T122</f>
        <v>172.408302083333</v>
      </c>
      <c r="X122" s="208" t="n">
        <f aca="false">S122-Y122</f>
        <v>0</v>
      </c>
      <c r="Y122" s="209" t="n">
        <f aca="false">IF(F122="OBA",I122-J122,0)</f>
        <v>0</v>
      </c>
      <c r="AB122" s="194"/>
      <c r="AC122" s="194"/>
    </row>
    <row r="123" customFormat="false" ht="12.75" hidden="false" customHeight="false" outlineLevel="0" collapsed="false">
      <c r="A123" s="253" t="n">
        <v>814</v>
      </c>
      <c r="B123" s="179" t="n">
        <v>16367</v>
      </c>
      <c r="C123" s="178"/>
      <c r="D123" s="179" t="s">
        <v>234</v>
      </c>
      <c r="E123" s="179" t="s">
        <v>116</v>
      </c>
      <c r="F123" s="180" t="s">
        <v>116</v>
      </c>
      <c r="G123" s="181" t="n">
        <f aca="false">VLOOKUP($B123,BTU,2,FALSE())/1000</f>
        <v>1.04</v>
      </c>
      <c r="H123" s="182" t="str">
        <f aca="false">VLOOKUP($B123,spotdata,3,FALSE())</f>
        <v>    </v>
      </c>
      <c r="I123" s="204" t="n">
        <f aca="false">IF(VLOOKUP($B123,errordata,3,FALSE())="UNAV",J123*POLLHOURSFLOWED,IF(LEFT(B123,1)="1",VLOOKUP($B123,totalvolume,2,FALSE())*G123/1000,VLOOKUP($B123,totalvolume,2,FALSE())*G123/1000*-1))</f>
        <v>36.086513112</v>
      </c>
      <c r="J123" s="205" t="n">
        <f aca="false">O123+T123</f>
        <v>39.90625</v>
      </c>
      <c r="K123" s="206" t="n">
        <f aca="false">I123-J123</f>
        <v>-3.819736888</v>
      </c>
      <c r="L123" s="79" t="n">
        <f aca="false">L122+I123</f>
        <v>374.419001186933</v>
      </c>
      <c r="M123" s="200" t="n">
        <f aca="false">M122+J123</f>
        <v>349.727733333333</v>
      </c>
      <c r="N123" s="79" t="n">
        <f aca="false">IF(F123="CIG",O123,IF(F123="OBA",O123,IF(F123="HPL",I123-T123,IF(ISERR((O123/$J123)*$I123),0,IF(F123="TP",(O123/$J123)*$I123)))))</f>
        <v>0</v>
      </c>
      <c r="O123" s="205" t="n">
        <f aca="false">IF(LEFT(B123,1)="1",VLOOKUP(B123,Cigsch,3,FALSE())/1000,VLOOKUP(B123,Cigsch,3,FALSE())/1000*-1)*POLLHOURSFLOWED</f>
        <v>0</v>
      </c>
      <c r="P123" s="206" t="n">
        <f aca="false">N123-O123</f>
        <v>0</v>
      </c>
      <c r="Q123" s="79" t="n">
        <f aca="false">Q122+N123</f>
        <v>165.257093427182</v>
      </c>
      <c r="R123" s="201" t="n">
        <f aca="false">R122+O123</f>
        <v>137.41318125</v>
      </c>
      <c r="S123" s="207" t="n">
        <f aca="false">I123-N123</f>
        <v>36.086513112</v>
      </c>
      <c r="T123" s="205" t="n">
        <f aca="false">IF(LEFT(B123,1)="1",VLOOKUP(B123,Cigsch,2,FALSE())/1000,VLOOKUP(B123,Cigsch,2,FALSE())/1000*-1)*POLLHOURSFLOWED</f>
        <v>39.90625</v>
      </c>
      <c r="U123" s="206" t="n">
        <f aca="false">S123-T123</f>
        <v>-3.819736888</v>
      </c>
      <c r="V123" s="203" t="n">
        <f aca="false">V122+S123</f>
        <v>209.161907759752</v>
      </c>
      <c r="W123" s="79" t="n">
        <f aca="false">W122+T123</f>
        <v>212.314552083333</v>
      </c>
      <c r="X123" s="208" t="n">
        <f aca="false">S123-Y123</f>
        <v>36.086513112</v>
      </c>
      <c r="Y123" s="209" t="n">
        <f aca="false">IF(F123="OBA",I123-J123,0)</f>
        <v>0</v>
      </c>
      <c r="AB123" s="194"/>
      <c r="AC123" s="194"/>
    </row>
    <row r="124" customFormat="false" ht="12.75" hidden="false" customHeight="false" outlineLevel="0" collapsed="false">
      <c r="A124" s="253" t="n">
        <v>814</v>
      </c>
      <c r="B124" s="214" t="n">
        <v>26005</v>
      </c>
      <c r="C124" s="178"/>
      <c r="D124" s="179" t="s">
        <v>235</v>
      </c>
      <c r="E124" s="179" t="s">
        <v>116</v>
      </c>
      <c r="F124" s="180" t="s">
        <v>116</v>
      </c>
      <c r="G124" s="181" t="n">
        <f aca="false">VLOOKUP($B124,BTU,2,FALSE())/1000</f>
        <v>1.023</v>
      </c>
      <c r="H124" s="182" t="str">
        <f aca="false">VLOOKUP($B124,spotdata,3,FALSE())</f>
        <v>    </v>
      </c>
      <c r="I124" s="204" t="n">
        <f aca="false">IF(VLOOKUP($B124,errordata,3,FALSE())="UNAV",J124*POLLHOURSFLOWED,IF(LEFT(B124,1)="1",VLOOKUP($B124,totalvolume,2,FALSE())*G124/1000,VLOOKUP($B124,totalvolume,2,FALSE())*G124/1000*-1))</f>
        <v>-0</v>
      </c>
      <c r="J124" s="205" t="n">
        <f aca="false">O124+T124</f>
        <v>-0</v>
      </c>
      <c r="K124" s="206" t="n">
        <f aca="false">I124-J124</f>
        <v>0</v>
      </c>
      <c r="L124" s="79" t="n">
        <f aca="false">L123+I124</f>
        <v>374.419001186933</v>
      </c>
      <c r="M124" s="200" t="n">
        <f aca="false">M123+J124</f>
        <v>349.727733333333</v>
      </c>
      <c r="N124" s="79" t="n">
        <f aca="false">IF(F124="CIG",O124,IF(F124="OBA",O124,IF(F124="HPL",I124-T124,IF(ISERR((O124/$J124)*$I124),0,IF(F124="TP",(O124/$J124)*$I124)))))</f>
        <v>-0</v>
      </c>
      <c r="O124" s="205" t="n">
        <f aca="false">IF(LEFT(B124,1)="1",VLOOKUP(B124,Cigsch,3,FALSE())/1000,VLOOKUP(B124,Cigsch,3,FALSE())/1000*-1)*POLLHOURSFLOWED</f>
        <v>-0</v>
      </c>
      <c r="P124" s="206" t="n">
        <f aca="false">N124-O124</f>
        <v>0</v>
      </c>
      <c r="Q124" s="79" t="n">
        <f aca="false">Q123+N124</f>
        <v>165.257093427182</v>
      </c>
      <c r="R124" s="201" t="n">
        <f aca="false">R123+O124</f>
        <v>137.41318125</v>
      </c>
      <c r="S124" s="207" t="n">
        <f aca="false">I124-N124</f>
        <v>0</v>
      </c>
      <c r="T124" s="205" t="n">
        <f aca="false">IF(LEFT(B124,1)="1",VLOOKUP(B124,Cigsch,2,FALSE())/1000,VLOOKUP(B124,Cigsch,2,FALSE())/1000*-1)*POLLHOURSFLOWED</f>
        <v>-0</v>
      </c>
      <c r="U124" s="206" t="n">
        <f aca="false">S124-T124</f>
        <v>0</v>
      </c>
      <c r="V124" s="203" t="n">
        <f aca="false">V123+S124</f>
        <v>209.161907759752</v>
      </c>
      <c r="W124" s="79" t="n">
        <f aca="false">W123+T124</f>
        <v>212.314552083333</v>
      </c>
      <c r="X124" s="208" t="n">
        <f aca="false">S124-Y124</f>
        <v>0</v>
      </c>
      <c r="Y124" s="209" t="n">
        <f aca="false">IF(F124="OBA",I124-J124,0)</f>
        <v>0</v>
      </c>
      <c r="AB124" s="194"/>
      <c r="AC124" s="194"/>
    </row>
    <row r="125" customFormat="false" ht="12.75" hidden="false" customHeight="false" outlineLevel="0" collapsed="false">
      <c r="A125" s="253" t="n">
        <v>814</v>
      </c>
      <c r="B125" s="179" t="n">
        <v>26144</v>
      </c>
      <c r="C125" s="178"/>
      <c r="D125" s="179" t="s">
        <v>236</v>
      </c>
      <c r="E125" s="179" t="s">
        <v>149</v>
      </c>
      <c r="F125" s="180" t="s">
        <v>149</v>
      </c>
      <c r="G125" s="181" t="n">
        <f aca="false">VLOOKUP($B125,BTU,2,FALSE())/1000</f>
        <v>1.025</v>
      </c>
      <c r="H125" s="182" t="str">
        <f aca="false">VLOOKUP($B125,spotdata,3,FALSE())</f>
        <v>UNAV</v>
      </c>
      <c r="I125" s="204" t="n">
        <f aca="false">IF(VLOOKUP($B125,errordata,3,FALSE())="UNAV",J125*POLLHOURSFLOWED,IF(LEFT(B125,1)="1",VLOOKUP($B125,totalvolume,2,FALSE())*G125/1000,VLOOKUP($B125,totalvolume,2,FALSE())*G125/1000*-1))</f>
        <v>-0.000786424093364197</v>
      </c>
      <c r="J125" s="205" t="n">
        <f aca="false">O125+T125</f>
        <v>-0.000886805555555556</v>
      </c>
      <c r="K125" s="206" t="n">
        <f aca="false">I125-J125</f>
        <v>0.000100381462191358</v>
      </c>
      <c r="L125" s="79" t="n">
        <f aca="false">L124+I125</f>
        <v>374.41821476284</v>
      </c>
      <c r="M125" s="200" t="n">
        <f aca="false">M124+J125</f>
        <v>349.726846527778</v>
      </c>
      <c r="N125" s="79" t="n">
        <f aca="false">IF(F125="CIG",O125,IF(F125="OBA",O125,IF(F125="HPL",I125-T125,IF(ISERR((O125/$J125)*$I125),0,IF(F125="TP",(O125/$J125)*$I125)))))</f>
        <v>-0.000786424093364197</v>
      </c>
      <c r="O125" s="205" t="n">
        <f aca="false">IF(LEFT(B125,1)="1",VLOOKUP(B125,Cigsch,3,FALSE())/1000,VLOOKUP(B125,Cigsch,3,FALSE())/1000*-1)*POLLHOURSFLOWED</f>
        <v>-0.000886805555555556</v>
      </c>
      <c r="P125" s="206" t="n">
        <f aca="false">N125-O125</f>
        <v>0.000100381462191358</v>
      </c>
      <c r="Q125" s="79" t="n">
        <f aca="false">Q124+N125</f>
        <v>165.256307003088</v>
      </c>
      <c r="R125" s="201" t="n">
        <f aca="false">R124+O125</f>
        <v>137.412294444444</v>
      </c>
      <c r="S125" s="207" t="n">
        <f aca="false">I125-N125</f>
        <v>0</v>
      </c>
      <c r="T125" s="205" t="n">
        <f aca="false">IF(LEFT(B125,1)="1",VLOOKUP(B125,Cigsch,2,FALSE())/1000,VLOOKUP(B125,Cigsch,2,FALSE())/1000*-1)*POLLHOURSFLOWED</f>
        <v>-0</v>
      </c>
      <c r="U125" s="206" t="n">
        <f aca="false">S125-T125</f>
        <v>0</v>
      </c>
      <c r="V125" s="203" t="n">
        <f aca="false">V124+S125</f>
        <v>209.161907759752</v>
      </c>
      <c r="W125" s="79" t="n">
        <f aca="false">W124+T125</f>
        <v>212.314552083333</v>
      </c>
      <c r="X125" s="208" t="n">
        <f aca="false">S125-Y125</f>
        <v>0</v>
      </c>
      <c r="Y125" s="209" t="n">
        <f aca="false">IF(F125="OBA",I125-J125,0)</f>
        <v>0</v>
      </c>
      <c r="AB125" s="194"/>
      <c r="AC125" s="194"/>
    </row>
    <row r="126" customFormat="false" ht="13.5" hidden="false" customHeight="false" outlineLevel="0" collapsed="false">
      <c r="A126" s="274" t="n">
        <v>814</v>
      </c>
      <c r="B126" s="239" t="n">
        <v>16058</v>
      </c>
      <c r="C126" s="238" t="n">
        <v>4045</v>
      </c>
      <c r="D126" s="239" t="s">
        <v>237</v>
      </c>
      <c r="E126" s="239" t="s">
        <v>149</v>
      </c>
      <c r="F126" s="240" t="s">
        <v>156</v>
      </c>
      <c r="G126" s="241" t="n">
        <f aca="false">VLOOKUP($B126,BTU,2,FALSE())/1000</f>
        <v>1.025</v>
      </c>
      <c r="H126" s="242" t="str">
        <f aca="false">VLOOKUP($B126,spotdata,3,FALSE())</f>
        <v>    </v>
      </c>
      <c r="I126" s="243" t="n">
        <f aca="false">IF(VLOOKUP($B126,errordata,3,FALSE())="UNAV",J126*POLLHOURSFLOWED,IF(LEFT(B126,1)="1",VLOOKUP($B126,totalvolume,2,FALSE())*G126/1000,VLOOKUP($B126,totalvolume,2,FALSE())*G126/1000*-1))</f>
        <v>37.7678227075</v>
      </c>
      <c r="J126" s="244" t="n">
        <f aca="false">O126+T126</f>
        <v>37.6573111111111</v>
      </c>
      <c r="K126" s="245" t="n">
        <f aca="false">I126-J126</f>
        <v>0.110511596388882</v>
      </c>
      <c r="L126" s="246" t="n">
        <f aca="false">L125+I126</f>
        <v>412.18603747034</v>
      </c>
      <c r="M126" s="247" t="n">
        <f aca="false">M125+J126</f>
        <v>387.384157638889</v>
      </c>
      <c r="N126" s="246" t="n">
        <f aca="false">IF(F126="CIG",O126,IF(F126="OBA",O126,IF(F126="HPL",I126-T126,IF(ISERR((O126/$J126)*$I126),0,IF(F126="TP",(O126/$J126)*$I126)))))</f>
        <v>14.1353618662937</v>
      </c>
      <c r="O126" s="244" t="n">
        <f aca="false">IF(LEFT(B126,1)="1",VLOOKUP(B126,Cigsch,3,FALSE())/1000,VLOOKUP(B126,Cigsch,3,FALSE())/1000*-1)*POLLHOURSFLOWED</f>
        <v>14.0940006944444</v>
      </c>
      <c r="P126" s="245" t="n">
        <f aca="false">N126-O126</f>
        <v>0.0413611718492959</v>
      </c>
      <c r="Q126" s="246" t="n">
        <f aca="false">Q125+N126</f>
        <v>179.391668869382</v>
      </c>
      <c r="R126" s="248" t="n">
        <f aca="false">R125+O126</f>
        <v>151.506295138889</v>
      </c>
      <c r="S126" s="249" t="n">
        <f aca="false">I126-N126</f>
        <v>23.6324608412063</v>
      </c>
      <c r="T126" s="244" t="n">
        <f aca="false">IF(LEFT(B126,1)="1",VLOOKUP(B126,Cigsch,2,FALSE())/1000,VLOOKUP(B126,Cigsch,2,FALSE())/1000*-1)*POLLHOURSFLOWED</f>
        <v>23.5633104166667</v>
      </c>
      <c r="U126" s="245" t="n">
        <f aca="false">S126-T126</f>
        <v>0.0691504245395862</v>
      </c>
      <c r="V126" s="250" t="n">
        <f aca="false">V125+S126</f>
        <v>232.794368600958</v>
      </c>
      <c r="W126" s="246" t="n">
        <f aca="false">W125+T126</f>
        <v>235.8778625</v>
      </c>
      <c r="X126" s="251" t="n">
        <f aca="false">S126-Y126</f>
        <v>23.6324608412063</v>
      </c>
      <c r="Y126" s="252" t="n">
        <f aca="false">IF(F126="OBA",I126-J126,0)</f>
        <v>0</v>
      </c>
      <c r="Z126" s="235"/>
      <c r="AA126" s="235"/>
      <c r="AB126" s="236"/>
      <c r="AC126" s="236"/>
      <c r="AD126" s="235"/>
      <c r="AE126" s="235"/>
      <c r="AF126" s="235"/>
      <c r="AG126" s="235"/>
      <c r="AH126" s="235"/>
      <c r="AI126" s="235"/>
      <c r="AJ126" s="235"/>
      <c r="AK126" s="235"/>
      <c r="AL126" s="235"/>
      <c r="AM126" s="235"/>
      <c r="AN126" s="235"/>
      <c r="AO126" s="235"/>
      <c r="AP126" s="235"/>
      <c r="AQ126" s="235"/>
      <c r="AR126" s="235"/>
      <c r="AS126" s="235"/>
      <c r="AT126" s="235"/>
      <c r="AU126" s="235"/>
      <c r="AV126" s="235"/>
      <c r="AW126" s="235"/>
      <c r="AX126" s="235"/>
      <c r="AY126" s="235"/>
      <c r="AZ126" s="235"/>
      <c r="BA126" s="235"/>
      <c r="BB126" s="235"/>
      <c r="BC126" s="235"/>
      <c r="BD126" s="235"/>
      <c r="BE126" s="235"/>
      <c r="BF126" s="235"/>
      <c r="BG126" s="235"/>
      <c r="BH126" s="235"/>
      <c r="BI126" s="235"/>
      <c r="BJ126" s="235"/>
      <c r="BK126" s="235"/>
      <c r="BL126" s="235"/>
      <c r="BM126" s="235"/>
      <c r="BN126" s="235"/>
      <c r="BO126" s="235"/>
      <c r="BP126" s="235"/>
      <c r="BQ126" s="235"/>
      <c r="BR126" s="235"/>
      <c r="BS126" s="235"/>
      <c r="BT126" s="235"/>
      <c r="BU126" s="235"/>
      <c r="BV126" s="235"/>
      <c r="BW126" s="235"/>
      <c r="BX126" s="235"/>
      <c r="BY126" s="235"/>
      <c r="BZ126" s="235"/>
      <c r="CA126" s="235"/>
      <c r="CB126" s="235"/>
      <c r="CC126" s="235"/>
      <c r="CD126" s="235"/>
      <c r="CE126" s="235"/>
      <c r="CF126" s="235"/>
      <c r="CG126" s="235"/>
      <c r="CH126" s="235"/>
      <c r="CI126" s="235"/>
      <c r="CJ126" s="235"/>
      <c r="CK126" s="235"/>
      <c r="CL126" s="235"/>
      <c r="CM126" s="235"/>
      <c r="CN126" s="235"/>
      <c r="CO126" s="235"/>
      <c r="CP126" s="235"/>
      <c r="CQ126" s="235"/>
      <c r="CR126" s="235"/>
      <c r="CS126" s="235"/>
      <c r="CT126" s="235"/>
      <c r="CU126" s="235"/>
      <c r="CV126" s="235"/>
      <c r="CW126" s="235"/>
      <c r="CX126" s="235"/>
      <c r="CY126" s="235"/>
      <c r="CZ126" s="235"/>
      <c r="DA126" s="235"/>
      <c r="DB126" s="235"/>
      <c r="DC126" s="235"/>
      <c r="DD126" s="235"/>
      <c r="DE126" s="235"/>
      <c r="DF126" s="235"/>
      <c r="DG126" s="235"/>
      <c r="DH126" s="235"/>
      <c r="DI126" s="235"/>
      <c r="DJ126" s="235"/>
      <c r="DK126" s="235"/>
      <c r="DL126" s="235"/>
      <c r="DM126" s="235"/>
      <c r="DN126" s="235"/>
      <c r="DO126" s="235"/>
      <c r="DP126" s="235"/>
      <c r="DQ126" s="235"/>
      <c r="DR126" s="235"/>
      <c r="DS126" s="235"/>
      <c r="DT126" s="235"/>
      <c r="DU126" s="235"/>
      <c r="DV126" s="235"/>
      <c r="DW126" s="235"/>
      <c r="DX126" s="235"/>
      <c r="DY126" s="235"/>
      <c r="DZ126" s="235"/>
      <c r="EA126" s="235"/>
      <c r="EB126" s="235"/>
      <c r="EC126" s="235"/>
      <c r="ED126" s="235"/>
      <c r="EE126" s="235"/>
      <c r="EF126" s="235"/>
      <c r="EG126" s="235"/>
      <c r="EH126" s="235"/>
      <c r="EI126" s="235"/>
      <c r="EJ126" s="235"/>
      <c r="EK126" s="235"/>
      <c r="EL126" s="235"/>
      <c r="EM126" s="235"/>
      <c r="EN126" s="235"/>
      <c r="EO126" s="235"/>
      <c r="EP126" s="235"/>
      <c r="EQ126" s="235"/>
      <c r="ER126" s="235"/>
      <c r="ES126" s="235"/>
      <c r="ET126" s="235"/>
      <c r="EU126" s="235"/>
      <c r="EV126" s="235"/>
      <c r="EW126" s="235"/>
      <c r="EX126" s="235"/>
      <c r="EY126" s="235"/>
      <c r="EZ126" s="235"/>
      <c r="FA126" s="235"/>
      <c r="FB126" s="235"/>
      <c r="FC126" s="235"/>
      <c r="FD126" s="235"/>
      <c r="FE126" s="235"/>
      <c r="FF126" s="235"/>
      <c r="FG126" s="235"/>
      <c r="FH126" s="235"/>
      <c r="FI126" s="235"/>
      <c r="FJ126" s="235"/>
      <c r="FK126" s="235"/>
      <c r="FL126" s="235"/>
      <c r="FM126" s="235"/>
      <c r="FN126" s="235"/>
      <c r="FO126" s="235"/>
      <c r="FP126" s="235"/>
      <c r="FQ126" s="235"/>
      <c r="FR126" s="235"/>
      <c r="FS126" s="235"/>
      <c r="FT126" s="235"/>
      <c r="FU126" s="235"/>
      <c r="FV126" s="235"/>
      <c r="FW126" s="235"/>
      <c r="FX126" s="235"/>
      <c r="FY126" s="235"/>
      <c r="FZ126" s="235"/>
      <c r="GA126" s="235"/>
      <c r="GB126" s="235"/>
      <c r="GC126" s="235"/>
      <c r="GD126" s="235"/>
      <c r="GE126" s="235"/>
      <c r="GF126" s="235"/>
      <c r="GG126" s="235"/>
      <c r="GH126" s="235"/>
      <c r="GI126" s="235"/>
      <c r="GJ126" s="235"/>
      <c r="GK126" s="235"/>
      <c r="GL126" s="235"/>
      <c r="GM126" s="235"/>
      <c r="GN126" s="235"/>
      <c r="GO126" s="235"/>
      <c r="GP126" s="235"/>
      <c r="GQ126" s="235"/>
      <c r="GR126" s="235"/>
      <c r="GS126" s="235"/>
      <c r="GT126" s="235"/>
      <c r="GU126" s="235"/>
      <c r="GV126" s="235"/>
      <c r="GW126" s="235"/>
      <c r="GX126" s="235"/>
      <c r="GY126" s="235"/>
      <c r="GZ126" s="235"/>
      <c r="HA126" s="235"/>
      <c r="HB126" s="235"/>
      <c r="HC126" s="235"/>
      <c r="HD126" s="235"/>
      <c r="HE126" s="235"/>
      <c r="HF126" s="235"/>
      <c r="HG126" s="235"/>
      <c r="HH126" s="235"/>
      <c r="HI126" s="235"/>
      <c r="HJ126" s="235"/>
      <c r="HK126" s="235"/>
      <c r="HL126" s="235"/>
      <c r="HM126" s="235"/>
      <c r="HN126" s="235"/>
      <c r="HO126" s="235"/>
      <c r="HP126" s="235"/>
      <c r="HQ126" s="235"/>
      <c r="HR126" s="235"/>
      <c r="HS126" s="235"/>
      <c r="HT126" s="235"/>
      <c r="HU126" s="235"/>
      <c r="HV126" s="235"/>
      <c r="HW126" s="235"/>
      <c r="HX126" s="235"/>
      <c r="HY126" s="235"/>
      <c r="HZ126" s="235"/>
      <c r="IA126" s="235"/>
      <c r="IB126" s="235"/>
      <c r="IC126" s="235"/>
      <c r="ID126" s="235"/>
      <c r="IE126" s="235"/>
      <c r="IF126" s="235"/>
      <c r="IG126" s="235"/>
      <c r="IH126" s="235"/>
      <c r="II126" s="235"/>
      <c r="IJ126" s="235"/>
      <c r="IK126" s="235"/>
      <c r="IL126" s="235"/>
      <c r="IM126" s="235"/>
      <c r="IN126" s="235"/>
      <c r="IO126" s="235"/>
      <c r="IP126" s="235"/>
      <c r="IQ126" s="235"/>
      <c r="IR126" s="235"/>
      <c r="IS126" s="235"/>
      <c r="IT126" s="235"/>
      <c r="IU126" s="235"/>
      <c r="IV126" s="235"/>
      <c r="IW126" s="235"/>
    </row>
    <row r="127" customFormat="false" ht="12.75" hidden="false" customHeight="false" outlineLevel="0" collapsed="false">
      <c r="A127" s="253" t="n">
        <v>814.1</v>
      </c>
      <c r="B127" s="179" t="n">
        <v>26088</v>
      </c>
      <c r="C127" s="178" t="n">
        <v>3541</v>
      </c>
      <c r="D127" s="179" t="s">
        <v>40</v>
      </c>
      <c r="E127" s="179" t="s">
        <v>149</v>
      </c>
      <c r="F127" s="180" t="s">
        <v>149</v>
      </c>
      <c r="G127" s="181" t="n">
        <f aca="false">VLOOKUP($B127,BTU,2,FALSE())/1000</f>
        <v>1.025</v>
      </c>
      <c r="H127" s="182" t="str">
        <f aca="false">VLOOKUP($B127,spotdata,3,FALSE())</f>
        <v>    </v>
      </c>
      <c r="I127" s="204" t="n">
        <f aca="false">IF(VLOOKUP($B127,errordata,3,FALSE())="UNAV",J127*POLLHOURSFLOWED,IF(LEFT(B127,1)="1",VLOOKUP($B127,totalvolume,2,FALSE())*G127/1000,VLOOKUP($B127,totalvolume,2,FALSE())*G127/1000*-1))</f>
        <v>-26.13011877</v>
      </c>
      <c r="J127" s="205" t="n">
        <f aca="false">O127+T127</f>
        <v>-25.7173611111111</v>
      </c>
      <c r="K127" s="206" t="n">
        <f aca="false">I127-J127</f>
        <v>-0.412757658888886</v>
      </c>
      <c r="L127" s="79" t="n">
        <f aca="false">L126+I127</f>
        <v>386.05591870034</v>
      </c>
      <c r="M127" s="200" t="n">
        <f aca="false">M126+J127</f>
        <v>361.666796527778</v>
      </c>
      <c r="N127" s="79" t="n">
        <f aca="false">IF(F127="CIG",O127,IF(F127="OBA",O127,IF(F127="HPL",I127-T127,IF(ISERR((O127/$J127)*$I127),0,IF(F127="TP",(O127/$J127)*$I127)))))</f>
        <v>-26.13011877</v>
      </c>
      <c r="O127" s="205" t="n">
        <f aca="false">IF(LEFT(B127,1)="1",VLOOKUP(B127,Cigsch,3,FALSE())/1000,VLOOKUP(B127,Cigsch,3,FALSE())/1000*-1)*POLLHOURSFLOWED</f>
        <v>-25.7173611111111</v>
      </c>
      <c r="P127" s="206" t="n">
        <f aca="false">N127-O127</f>
        <v>-0.412757658888886</v>
      </c>
      <c r="Q127" s="79" t="n">
        <f aca="false">Q126+N127</f>
        <v>153.261550099382</v>
      </c>
      <c r="R127" s="201" t="n">
        <f aca="false">R126+O127</f>
        <v>125.788934027778</v>
      </c>
      <c r="S127" s="207" t="n">
        <f aca="false">I127-N127</f>
        <v>0</v>
      </c>
      <c r="T127" s="205" t="n">
        <f aca="false">IF(LEFT(B127,1)="1",VLOOKUP(B127,Cigsch,2,FALSE())/1000,VLOOKUP(B127,Cigsch,2,FALSE())/1000*-1)*POLLHOURSFLOWED</f>
        <v>-0</v>
      </c>
      <c r="U127" s="206" t="n">
        <f aca="false">S127-T127</f>
        <v>0</v>
      </c>
      <c r="V127" s="203" t="n">
        <f aca="false">V126+S127</f>
        <v>232.794368600958</v>
      </c>
      <c r="W127" s="79" t="n">
        <f aca="false">W126+T127</f>
        <v>235.8778625</v>
      </c>
      <c r="X127" s="208" t="n">
        <f aca="false">S127-Y127</f>
        <v>0</v>
      </c>
      <c r="Y127" s="209" t="n">
        <f aca="false">IF(F127="OBA",I127-J127,0)</f>
        <v>0</v>
      </c>
      <c r="AB127" s="194"/>
      <c r="AC127" s="194"/>
    </row>
    <row r="128" customFormat="false" ht="12.75" hidden="false" customHeight="false" outlineLevel="0" collapsed="false">
      <c r="A128" s="253" t="n">
        <v>814.1</v>
      </c>
      <c r="B128" s="179" t="n">
        <v>26135</v>
      </c>
      <c r="C128" s="178"/>
      <c r="D128" s="179" t="s">
        <v>238</v>
      </c>
      <c r="E128" s="179" t="s">
        <v>149</v>
      </c>
      <c r="F128" s="180" t="s">
        <v>149</v>
      </c>
      <c r="G128" s="181" t="n">
        <f aca="false">VLOOKUP($B128,BTU,2,FALSE())/1000</f>
        <v>1.025</v>
      </c>
      <c r="H128" s="182" t="str">
        <f aca="false">VLOOKUP($B128,spotdata,3,FALSE())</f>
        <v>    </v>
      </c>
      <c r="I128" s="204" t="n">
        <f aca="false">IF(VLOOKUP($B128,errordata,3,FALSE())="UNAV",J128*POLLHOURSFLOWED,IF(LEFT(B128,1)="1",VLOOKUP($B128,totalvolume,2,FALSE())*G128/1000,VLOOKUP($B128,totalvolume,2,FALSE())*G128/1000*-1))</f>
        <v>-0.2521739768</v>
      </c>
      <c r="J128" s="205" t="n">
        <f aca="false">O128+T128</f>
        <v>-0</v>
      </c>
      <c r="K128" s="206" t="n">
        <f aca="false">I128-J128</f>
        <v>-0.2521739768</v>
      </c>
      <c r="L128" s="79" t="n">
        <f aca="false">L127+I128</f>
        <v>385.80374472354</v>
      </c>
      <c r="M128" s="200" t="n">
        <f aca="false">M127+J128</f>
        <v>361.666796527778</v>
      </c>
      <c r="N128" s="79" t="n">
        <f aca="false">IF(F128="CIG",O128,IF(F128="OBA",O128,IF(F128="HPL",I128-T128,IF(ISERR((O128/$J128)*$I128),0,IF(F128="TP",(O128/$J128)*$I128)))))</f>
        <v>-0.2521739768</v>
      </c>
      <c r="O128" s="205" t="n">
        <f aca="false">IF(LEFT(B128,1)="1",VLOOKUP(B128,Cigsch,3,FALSE())/1000,VLOOKUP(B128,Cigsch,3,FALSE())/1000*-1)*POLLHOURSFLOWED</f>
        <v>-0</v>
      </c>
      <c r="P128" s="206" t="n">
        <f aca="false">N128-O128</f>
        <v>-0.2521739768</v>
      </c>
      <c r="Q128" s="79" t="n">
        <f aca="false">Q127+N128</f>
        <v>153.009376122582</v>
      </c>
      <c r="R128" s="201" t="n">
        <f aca="false">R127+O128</f>
        <v>125.788934027778</v>
      </c>
      <c r="S128" s="207" t="n">
        <f aca="false">I128-N128</f>
        <v>0</v>
      </c>
      <c r="T128" s="205" t="n">
        <f aca="false">IF(LEFT(B128,1)="1",VLOOKUP(B128,Cigsch,2,FALSE())/1000,VLOOKUP(B128,Cigsch,2,FALSE())/1000*-1)*POLLHOURSFLOWED</f>
        <v>-0</v>
      </c>
      <c r="U128" s="206" t="n">
        <f aca="false">S128-T128</f>
        <v>0</v>
      </c>
      <c r="V128" s="203" t="n">
        <f aca="false">V127+S128</f>
        <v>232.794368600958</v>
      </c>
      <c r="W128" s="79" t="n">
        <f aca="false">W127+T128</f>
        <v>235.8778625</v>
      </c>
      <c r="X128" s="208" t="n">
        <f aca="false">S128-Y128</f>
        <v>0</v>
      </c>
      <c r="Y128" s="209" t="n">
        <f aca="false">IF(F128="OBA",I128-J128,0)</f>
        <v>0</v>
      </c>
      <c r="AB128" s="194"/>
      <c r="AC128" s="194"/>
    </row>
    <row r="129" customFormat="false" ht="12.75" hidden="false" customHeight="false" outlineLevel="0" collapsed="false">
      <c r="A129" s="253" t="n">
        <v>814.1</v>
      </c>
      <c r="B129" s="179" t="n">
        <v>26150</v>
      </c>
      <c r="C129" s="178"/>
      <c r="D129" s="179" t="s">
        <v>239</v>
      </c>
      <c r="E129" s="179" t="s">
        <v>116</v>
      </c>
      <c r="F129" s="180" t="s">
        <v>116</v>
      </c>
      <c r="G129" s="181" t="n">
        <f aca="false">VLOOKUP($B129,BTU,2,FALSE())/1000</f>
        <v>1.024</v>
      </c>
      <c r="H129" s="182" t="str">
        <f aca="false">VLOOKUP($B129,spotdata,3,FALSE())</f>
        <v>    </v>
      </c>
      <c r="I129" s="204" t="n">
        <f aca="false">IF(VLOOKUP($B129,errordata,3,FALSE())="UNAV",J129*POLLHOURSFLOWED,IF(LEFT(B129,1)="1",VLOOKUP($B129,totalvolume,2,FALSE())*G129/1000,VLOOKUP($B129,totalvolume,2,FALSE())*G129/1000*-1))</f>
        <v>-0</v>
      </c>
      <c r="J129" s="205" t="n">
        <f aca="false">O129+T129</f>
        <v>-0</v>
      </c>
      <c r="K129" s="206" t="n">
        <f aca="false">I129-J129</f>
        <v>0</v>
      </c>
      <c r="L129" s="79" t="n">
        <f aca="false">L128+I129</f>
        <v>385.80374472354</v>
      </c>
      <c r="M129" s="200" t="n">
        <f aca="false">M128+J129</f>
        <v>361.666796527778</v>
      </c>
      <c r="N129" s="79" t="n">
        <f aca="false">IF(F129="CIG",O129,IF(F129="OBA",O129,IF(F129="HPL",I129-T129,IF(ISERR((O129/$J129)*$I129),0,IF(F129="TP",(O129/$J129)*$I129)))))</f>
        <v>-0</v>
      </c>
      <c r="O129" s="205" t="n">
        <f aca="false">IF(LEFT(B129,1)="1",VLOOKUP(B129,Cigsch,3,FALSE())/1000,VLOOKUP(B129,Cigsch,3,FALSE())/1000*-1)*POLLHOURSFLOWED</f>
        <v>-0</v>
      </c>
      <c r="P129" s="206" t="n">
        <f aca="false">N129-O129</f>
        <v>0</v>
      </c>
      <c r="Q129" s="79" t="n">
        <f aca="false">Q128+N129</f>
        <v>153.009376122582</v>
      </c>
      <c r="R129" s="201" t="n">
        <f aca="false">R128+O129</f>
        <v>125.788934027778</v>
      </c>
      <c r="S129" s="207" t="n">
        <f aca="false">I129-N129</f>
        <v>0</v>
      </c>
      <c r="T129" s="205" t="n">
        <f aca="false">IF(LEFT(B129,1)="1",VLOOKUP(B129,Cigsch,2,FALSE())/1000,VLOOKUP(B129,Cigsch,2,FALSE())/1000*-1)*POLLHOURSFLOWED</f>
        <v>-0</v>
      </c>
      <c r="U129" s="206" t="n">
        <f aca="false">S129-T129</f>
        <v>0</v>
      </c>
      <c r="V129" s="203" t="n">
        <f aca="false">V128+S129</f>
        <v>232.794368600958</v>
      </c>
      <c r="W129" s="79" t="n">
        <f aca="false">W128+T129</f>
        <v>235.8778625</v>
      </c>
      <c r="X129" s="208" t="n">
        <f aca="false">S129-Y129</f>
        <v>0</v>
      </c>
      <c r="Y129" s="209" t="n">
        <f aca="false">IF(F129="OBA",I129-J129,0)</f>
        <v>0</v>
      </c>
      <c r="AB129" s="194"/>
      <c r="AC129" s="194"/>
    </row>
    <row r="130" customFormat="false" ht="12.75" hidden="false" customHeight="false" outlineLevel="0" collapsed="false">
      <c r="A130" s="253" t="n">
        <v>814.1</v>
      </c>
      <c r="B130" s="179" t="n">
        <v>26143</v>
      </c>
      <c r="C130" s="178"/>
      <c r="D130" s="179" t="s">
        <v>240</v>
      </c>
      <c r="E130" s="179" t="s">
        <v>116</v>
      </c>
      <c r="F130" s="180" t="s">
        <v>116</v>
      </c>
      <c r="G130" s="181" t="n">
        <f aca="false">VLOOKUP($B130,BTU,2,FALSE())/1000</f>
        <v>1.025</v>
      </c>
      <c r="H130" s="182" t="str">
        <f aca="false">VLOOKUP($B130,spotdata,3,FALSE())</f>
        <v>UNAV</v>
      </c>
      <c r="I130" s="204" t="n">
        <f aca="false">IF(VLOOKUP($B130,errordata,3,FALSE())="UNAV",J130*POLLHOURSFLOWED,IF(LEFT(B130,1)="1",VLOOKUP($B130,totalvolume,2,FALSE())*G130/1000,VLOOKUP($B130,totalvolume,2,FALSE())*G130/1000*-1))</f>
        <v>-0.786424093364198</v>
      </c>
      <c r="J130" s="205" t="n">
        <f aca="false">O130+T130</f>
        <v>-0.886805555555556</v>
      </c>
      <c r="K130" s="206" t="n">
        <f aca="false">I130-J130</f>
        <v>0.100381462191358</v>
      </c>
      <c r="L130" s="79" t="n">
        <f aca="false">L129+I130</f>
        <v>385.017320630176</v>
      </c>
      <c r="M130" s="200" t="n">
        <f aca="false">M129+J130</f>
        <v>360.779990972222</v>
      </c>
      <c r="N130" s="79" t="n">
        <f aca="false">IF(F130="CIG",O130,IF(F130="OBA",O130,IF(F130="HPL",I130-T130,IF(ISERR((O130/$J130)*$I130),0,IF(F130="TP",(O130/$J130)*$I130)))))</f>
        <v>-0</v>
      </c>
      <c r="O130" s="205" t="n">
        <f aca="false">IF(LEFT(B130,1)="1",VLOOKUP(B130,Cigsch,3,FALSE())/1000,VLOOKUP(B130,Cigsch,3,FALSE())/1000*-1)*POLLHOURSFLOWED</f>
        <v>-0</v>
      </c>
      <c r="P130" s="206" t="n">
        <f aca="false">N130-O130</f>
        <v>0</v>
      </c>
      <c r="Q130" s="79" t="n">
        <f aca="false">Q129+N130</f>
        <v>153.009376122582</v>
      </c>
      <c r="R130" s="201" t="n">
        <f aca="false">R129+O130</f>
        <v>125.788934027778</v>
      </c>
      <c r="S130" s="207" t="n">
        <f aca="false">I130-N130</f>
        <v>-0.786424093364198</v>
      </c>
      <c r="T130" s="205" t="n">
        <f aca="false">IF(LEFT(B130,1)="1",VLOOKUP(B130,Cigsch,2,FALSE())/1000,VLOOKUP(B130,Cigsch,2,FALSE())/1000*-1)*POLLHOURSFLOWED</f>
        <v>-0.886805555555556</v>
      </c>
      <c r="U130" s="206" t="n">
        <f aca="false">S130-T130</f>
        <v>0.100381462191358</v>
      </c>
      <c r="V130" s="203" t="n">
        <f aca="false">V129+S130</f>
        <v>232.007944507594</v>
      </c>
      <c r="W130" s="79" t="n">
        <f aca="false">W129+T130</f>
        <v>234.991056944445</v>
      </c>
      <c r="X130" s="208" t="n">
        <f aca="false">S130-Y130</f>
        <v>-0.786424093364198</v>
      </c>
      <c r="Y130" s="209" t="n">
        <f aca="false">IF(F130="OBA",I130-J130,0)</f>
        <v>0</v>
      </c>
      <c r="AB130" s="194"/>
      <c r="AC130" s="194"/>
    </row>
    <row r="131" customFormat="false" ht="12.75" hidden="false" customHeight="false" outlineLevel="0" collapsed="false">
      <c r="A131" s="253" t="n">
        <v>814.1</v>
      </c>
      <c r="B131" s="179" t="n">
        <v>26206</v>
      </c>
      <c r="C131" s="178" t="n">
        <v>1575</v>
      </c>
      <c r="D131" s="179" t="s">
        <v>241</v>
      </c>
      <c r="E131" s="179" t="s">
        <v>149</v>
      </c>
      <c r="F131" s="212" t="s">
        <v>149</v>
      </c>
      <c r="G131" s="213" t="n">
        <f aca="false">VLOOKUP($B131,BTU,2,FALSE())/1000</f>
        <v>1.025</v>
      </c>
      <c r="H131" s="182" t="str">
        <f aca="false">VLOOKUP($B131,spotdata,3,FALSE())</f>
        <v>UNAV</v>
      </c>
      <c r="I131" s="204" t="n">
        <f aca="false">IF(VLOOKUP($B131,errordata,3,FALSE())="UNAV",J131*POLLHOURSFLOWED,IF(LEFT(B131,1)="1",VLOOKUP($B131,totalvolume,2,FALSE())*G131/1000,VLOOKUP($B131,totalvolume,2,FALSE())*G131/1000*-1))</f>
        <v>-0.0298841155478395</v>
      </c>
      <c r="J131" s="205" t="n">
        <f aca="false">O131+T131</f>
        <v>-0.0336986111111111</v>
      </c>
      <c r="K131" s="206" t="n">
        <f aca="false">I131-J131</f>
        <v>0.00381449556327161</v>
      </c>
      <c r="L131" s="79" t="n">
        <f aca="false">L130+I131</f>
        <v>384.987436514628</v>
      </c>
      <c r="M131" s="200" t="n">
        <f aca="false">M130+J131</f>
        <v>360.746292361111</v>
      </c>
      <c r="N131" s="79" t="n">
        <f aca="false">IF(F131="CIG",O131,IF(F131="OBA",O131,IF(F131="HPL",I131-T131,IF(ISERR((O131/$J131)*$I131),0,IF(F131="TP",(O131/$J131)*$I131)))))</f>
        <v>-0.0298841155478395</v>
      </c>
      <c r="O131" s="205" t="n">
        <f aca="false">IF(LEFT(B131,1)="1",VLOOKUP(B131,Cigsch,3,FALSE())/1000,VLOOKUP(B131,Cigsch,3,FALSE())/1000*-1)*POLLHOURSFLOWED</f>
        <v>-0.0336986111111111</v>
      </c>
      <c r="P131" s="206" t="n">
        <f aca="false">N131-O131</f>
        <v>0.00381449556327161</v>
      </c>
      <c r="Q131" s="79" t="n">
        <f aca="false">Q130+N131</f>
        <v>152.979492007034</v>
      </c>
      <c r="R131" s="201" t="n">
        <f aca="false">R130+O131</f>
        <v>125.755235416667</v>
      </c>
      <c r="S131" s="207" t="n">
        <f aca="false">I131-N131</f>
        <v>0</v>
      </c>
      <c r="T131" s="205" t="n">
        <f aca="false">IF(LEFT(B131,1)="1",VLOOKUP(B131,Cigsch,2,FALSE())/1000,VLOOKUP(B131,Cigsch,2,FALSE())/1000*-1)*POLLHOURSFLOWED</f>
        <v>-0</v>
      </c>
      <c r="U131" s="206" t="n">
        <f aca="false">S131-T131</f>
        <v>0</v>
      </c>
      <c r="V131" s="203" t="n">
        <f aca="false">V130+S131</f>
        <v>232.007944507594</v>
      </c>
      <c r="W131" s="79" t="n">
        <f aca="false">W130+T131</f>
        <v>234.991056944445</v>
      </c>
      <c r="X131" s="208" t="n">
        <f aca="false">S131-Y131</f>
        <v>0</v>
      </c>
      <c r="Y131" s="209" t="n">
        <f aca="false">IF(F131="OBA",I131-J131,0)</f>
        <v>0</v>
      </c>
      <c r="AB131" s="194"/>
      <c r="AC131" s="194"/>
    </row>
    <row r="132" customFormat="false" ht="12.75" hidden="false" customHeight="false" outlineLevel="0" collapsed="false">
      <c r="A132" s="253" t="n">
        <v>814.1</v>
      </c>
      <c r="B132" s="179" t="n">
        <v>26109</v>
      </c>
      <c r="C132" s="178"/>
      <c r="D132" s="179" t="s">
        <v>242</v>
      </c>
      <c r="E132" s="179" t="s">
        <v>116</v>
      </c>
      <c r="F132" s="180" t="s">
        <v>116</v>
      </c>
      <c r="G132" s="181" t="n">
        <f aca="false">VLOOKUP($B132,BTU,2,FALSE())/1000</f>
        <v>1.025</v>
      </c>
      <c r="H132" s="182" t="str">
        <f aca="false">VLOOKUP($B132,spotdata,3,FALSE())</f>
        <v>UNAV</v>
      </c>
      <c r="I132" s="204" t="n">
        <f aca="false">IF(VLOOKUP($B132,errordata,3,FALSE())="UNAV",J132*POLLHOURSFLOWED,IF(LEFT(B132,1)="1",VLOOKUP($B132,totalvolume,2,FALSE())*G132/1000,VLOOKUP($B132,totalvolume,2,FALSE())*G132/1000*-1))</f>
        <v>-0.0196606023341049</v>
      </c>
      <c r="J132" s="205" t="n">
        <f aca="false">O132+T132</f>
        <v>-0.0221701388888889</v>
      </c>
      <c r="K132" s="206" t="n">
        <f aca="false">I132-J132</f>
        <v>0.00250953655478395</v>
      </c>
      <c r="L132" s="79" t="n">
        <f aca="false">L131+I132</f>
        <v>384.967775912294</v>
      </c>
      <c r="M132" s="200" t="n">
        <f aca="false">M131+J132</f>
        <v>360.724122222222</v>
      </c>
      <c r="N132" s="79" t="n">
        <f aca="false">IF(F132="CIG",O132,IF(F132="OBA",O132,IF(F132="HPL",I132-T132,IF(ISERR((O132/$J132)*$I132),0,IF(F132="TP",(O132/$J132)*$I132)))))</f>
        <v>-0</v>
      </c>
      <c r="O132" s="205" t="n">
        <f aca="false">IF(LEFT(B132,1)="1",VLOOKUP(B132,Cigsch,3,FALSE())/1000,VLOOKUP(B132,Cigsch,3,FALSE())/1000*-1)*POLLHOURSFLOWED</f>
        <v>-0</v>
      </c>
      <c r="P132" s="206" t="n">
        <f aca="false">N132-O132</f>
        <v>0</v>
      </c>
      <c r="Q132" s="79" t="n">
        <f aca="false">Q131+N132</f>
        <v>152.979492007034</v>
      </c>
      <c r="R132" s="201" t="n">
        <f aca="false">R131+O132</f>
        <v>125.755235416667</v>
      </c>
      <c r="S132" s="207" t="n">
        <f aca="false">I132-N132</f>
        <v>-0.0196606023341049</v>
      </c>
      <c r="T132" s="205" t="n">
        <f aca="false">IF(LEFT(B132,1)="1",VLOOKUP(B132,Cigsch,2,FALSE())/1000,VLOOKUP(B132,Cigsch,2,FALSE())/1000*-1)*POLLHOURSFLOWED</f>
        <v>-0.0221701388888889</v>
      </c>
      <c r="U132" s="206" t="n">
        <f aca="false">S132-T132</f>
        <v>0.00250953655478395</v>
      </c>
      <c r="V132" s="203" t="n">
        <f aca="false">V131+S132</f>
        <v>231.98828390526</v>
      </c>
      <c r="W132" s="79" t="n">
        <f aca="false">W131+T132</f>
        <v>234.968886805556</v>
      </c>
      <c r="X132" s="208" t="n">
        <f aca="false">S132-Y132</f>
        <v>-0.0196606023341049</v>
      </c>
      <c r="Y132" s="209" t="n">
        <f aca="false">IF(F132="OBA",I132-J132,0)</f>
        <v>0</v>
      </c>
      <c r="AB132" s="194"/>
      <c r="AC132" s="194"/>
    </row>
    <row r="133" customFormat="false" ht="12.75" hidden="false" customHeight="false" outlineLevel="0" collapsed="false">
      <c r="A133" s="253" t="n">
        <v>814.1</v>
      </c>
      <c r="B133" s="179" t="n">
        <v>26127</v>
      </c>
      <c r="C133" s="178" t="n">
        <v>1424</v>
      </c>
      <c r="D133" s="179" t="s">
        <v>41</v>
      </c>
      <c r="E133" s="179" t="s">
        <v>149</v>
      </c>
      <c r="F133" s="180" t="s">
        <v>149</v>
      </c>
      <c r="G133" s="181" t="n">
        <f aca="false">VLOOKUP($B133,BTU,2,FALSE())/1000</f>
        <v>1.025</v>
      </c>
      <c r="H133" s="182" t="str">
        <f aca="false">VLOOKUP($B133,spotdata,3,FALSE())</f>
        <v>    </v>
      </c>
      <c r="I133" s="204" t="n">
        <f aca="false">IF(VLOOKUP($B133,errordata,3,FALSE())="UNAV",J133*POLLHOURSFLOWED,IF(LEFT(B133,1)="1",VLOOKUP($B133,totalvolume,2,FALSE())*G133/1000,VLOOKUP($B133,totalvolume,2,FALSE())*G133/1000*-1))</f>
        <v>-69.4641779425</v>
      </c>
      <c r="J133" s="205" t="n">
        <f aca="false">O133+T133</f>
        <v>-64.7368055555556</v>
      </c>
      <c r="K133" s="206" t="n">
        <f aca="false">I133-J133</f>
        <v>-4.72737238694444</v>
      </c>
      <c r="L133" s="79" t="n">
        <f aca="false">L132+I133</f>
        <v>315.503597969794</v>
      </c>
      <c r="M133" s="200" t="n">
        <f aca="false">M132+J133</f>
        <v>295.987316666667</v>
      </c>
      <c r="N133" s="79" t="n">
        <f aca="false">IF(F133="CIG",O133,IF(F133="OBA",O133,IF(F133="HPL",I133-T133,IF(ISERR((O133/$J133)*$I133),0,IF(F133="TP",(O133/$J133)*$I133)))))</f>
        <v>-69.4641779425</v>
      </c>
      <c r="O133" s="205" t="n">
        <f aca="false">IF(LEFT(B133,1)="1",VLOOKUP(B133,Cigsch,3,FALSE())/1000,VLOOKUP(B133,Cigsch,3,FALSE())/1000*-1)*POLLHOURSFLOWED</f>
        <v>-64.7368055555556</v>
      </c>
      <c r="P133" s="206" t="n">
        <f aca="false">N133-O133</f>
        <v>-4.72737238694444</v>
      </c>
      <c r="Q133" s="79" t="n">
        <f aca="false">Q132+N133</f>
        <v>83.5153140645343</v>
      </c>
      <c r="R133" s="201" t="n">
        <f aca="false">R132+O133</f>
        <v>61.0184298611111</v>
      </c>
      <c r="S133" s="207" t="n">
        <f aca="false">I133-N133</f>
        <v>0</v>
      </c>
      <c r="T133" s="205" t="n">
        <f aca="false">IF(LEFT(B133,1)="1",VLOOKUP(B133,Cigsch,2,FALSE())/1000,VLOOKUP(B133,Cigsch,2,FALSE())/1000*-1)*POLLHOURSFLOWED</f>
        <v>-0</v>
      </c>
      <c r="U133" s="206" t="n">
        <f aca="false">S133-T133</f>
        <v>0</v>
      </c>
      <c r="V133" s="203" t="n">
        <f aca="false">V132+S133</f>
        <v>231.98828390526</v>
      </c>
      <c r="W133" s="79" t="n">
        <f aca="false">W132+T133</f>
        <v>234.968886805556</v>
      </c>
      <c r="X133" s="208" t="n">
        <f aca="false">S133-Y133</f>
        <v>0</v>
      </c>
      <c r="Y133" s="209" t="n">
        <f aca="false">IF(F133="OBA",I133-J133,0)</f>
        <v>0</v>
      </c>
      <c r="Z133" s="235"/>
      <c r="AA133" s="235"/>
      <c r="AB133" s="236"/>
      <c r="AC133" s="236"/>
      <c r="AD133" s="235"/>
      <c r="AE133" s="235"/>
      <c r="AF133" s="235"/>
      <c r="AG133" s="235"/>
      <c r="AH133" s="235"/>
      <c r="AI133" s="235"/>
      <c r="AJ133" s="235"/>
      <c r="AK133" s="235"/>
      <c r="AL133" s="235"/>
      <c r="AM133" s="235"/>
      <c r="AN133" s="235"/>
      <c r="AO133" s="235"/>
      <c r="AP133" s="235"/>
      <c r="AQ133" s="235"/>
      <c r="AR133" s="235"/>
      <c r="AS133" s="235"/>
      <c r="AT133" s="235"/>
      <c r="AU133" s="235"/>
      <c r="AV133" s="235"/>
      <c r="AW133" s="235"/>
      <c r="AX133" s="235"/>
      <c r="AY133" s="235"/>
      <c r="AZ133" s="235"/>
      <c r="BA133" s="235"/>
      <c r="BB133" s="235"/>
      <c r="BC133" s="235"/>
      <c r="BD133" s="235"/>
      <c r="BE133" s="235"/>
      <c r="BF133" s="235"/>
      <c r="BG133" s="235"/>
      <c r="BH133" s="235"/>
      <c r="BI133" s="235"/>
      <c r="BJ133" s="235"/>
      <c r="BK133" s="235"/>
      <c r="BL133" s="235"/>
      <c r="BM133" s="235"/>
      <c r="BN133" s="235"/>
      <c r="BO133" s="235"/>
      <c r="BP133" s="235"/>
      <c r="BQ133" s="235"/>
      <c r="BR133" s="235"/>
      <c r="BS133" s="235"/>
      <c r="BT133" s="235"/>
      <c r="BU133" s="235"/>
      <c r="BV133" s="235"/>
      <c r="BW133" s="235"/>
      <c r="BX133" s="235"/>
      <c r="BY133" s="235"/>
      <c r="BZ133" s="235"/>
      <c r="CA133" s="235"/>
      <c r="CB133" s="235"/>
      <c r="CC133" s="235"/>
      <c r="CD133" s="235"/>
      <c r="CE133" s="235"/>
      <c r="CF133" s="235"/>
      <c r="CG133" s="235"/>
      <c r="CH133" s="235"/>
      <c r="CI133" s="235"/>
      <c r="CJ133" s="235"/>
      <c r="CK133" s="235"/>
      <c r="CL133" s="235"/>
      <c r="CM133" s="235"/>
      <c r="CN133" s="235"/>
      <c r="CO133" s="235"/>
      <c r="CP133" s="235"/>
      <c r="CQ133" s="235"/>
      <c r="CR133" s="235"/>
      <c r="CS133" s="235"/>
      <c r="CT133" s="235"/>
      <c r="CU133" s="235"/>
      <c r="CV133" s="235"/>
      <c r="CW133" s="235"/>
      <c r="CX133" s="235"/>
      <c r="CY133" s="235"/>
      <c r="CZ133" s="235"/>
      <c r="DA133" s="235"/>
      <c r="DB133" s="235"/>
      <c r="DC133" s="235"/>
      <c r="DD133" s="235"/>
      <c r="DE133" s="235"/>
      <c r="DF133" s="235"/>
      <c r="DG133" s="235"/>
      <c r="DH133" s="235"/>
      <c r="DI133" s="235"/>
      <c r="DJ133" s="235"/>
      <c r="DK133" s="235"/>
      <c r="DL133" s="235"/>
      <c r="DM133" s="235"/>
      <c r="DN133" s="235"/>
      <c r="DO133" s="235"/>
      <c r="DP133" s="235"/>
      <c r="DQ133" s="235"/>
      <c r="DR133" s="235"/>
      <c r="DS133" s="235"/>
      <c r="DT133" s="235"/>
      <c r="DU133" s="235"/>
      <c r="DV133" s="235"/>
      <c r="DW133" s="235"/>
      <c r="DX133" s="235"/>
      <c r="DY133" s="235"/>
      <c r="DZ133" s="235"/>
      <c r="EA133" s="235"/>
      <c r="EB133" s="235"/>
      <c r="EC133" s="235"/>
      <c r="ED133" s="235"/>
      <c r="EE133" s="235"/>
      <c r="EF133" s="235"/>
      <c r="EG133" s="235"/>
      <c r="EH133" s="235"/>
      <c r="EI133" s="235"/>
      <c r="EJ133" s="235"/>
      <c r="EK133" s="235"/>
      <c r="EL133" s="235"/>
      <c r="EM133" s="235"/>
      <c r="EN133" s="235"/>
      <c r="EO133" s="235"/>
      <c r="EP133" s="235"/>
      <c r="EQ133" s="235"/>
      <c r="ER133" s="235"/>
      <c r="ES133" s="235"/>
      <c r="ET133" s="235"/>
      <c r="EU133" s="235"/>
      <c r="EV133" s="235"/>
      <c r="EW133" s="235"/>
      <c r="EX133" s="235"/>
      <c r="EY133" s="235"/>
      <c r="EZ133" s="235"/>
      <c r="FA133" s="235"/>
      <c r="FB133" s="235"/>
      <c r="FC133" s="235"/>
      <c r="FD133" s="235"/>
      <c r="FE133" s="235"/>
      <c r="FF133" s="235"/>
      <c r="FG133" s="235"/>
      <c r="FH133" s="235"/>
      <c r="FI133" s="235"/>
      <c r="FJ133" s="235"/>
      <c r="FK133" s="235"/>
      <c r="FL133" s="235"/>
      <c r="FM133" s="235"/>
      <c r="FN133" s="235"/>
      <c r="FO133" s="235"/>
      <c r="FP133" s="235"/>
      <c r="FQ133" s="235"/>
      <c r="FR133" s="235"/>
      <c r="FS133" s="235"/>
      <c r="FT133" s="235"/>
      <c r="FU133" s="235"/>
      <c r="FV133" s="235"/>
      <c r="FW133" s="235"/>
      <c r="FX133" s="235"/>
      <c r="FY133" s="235"/>
      <c r="FZ133" s="235"/>
      <c r="GA133" s="235"/>
      <c r="GB133" s="235"/>
      <c r="GC133" s="235"/>
      <c r="GD133" s="235"/>
      <c r="GE133" s="235"/>
      <c r="GF133" s="235"/>
      <c r="GG133" s="235"/>
      <c r="GH133" s="235"/>
      <c r="GI133" s="235"/>
      <c r="GJ133" s="235"/>
      <c r="GK133" s="235"/>
      <c r="GL133" s="235"/>
      <c r="GM133" s="235"/>
      <c r="GN133" s="235"/>
      <c r="GO133" s="235"/>
      <c r="GP133" s="235"/>
      <c r="GQ133" s="235"/>
      <c r="GR133" s="235"/>
      <c r="GS133" s="235"/>
      <c r="GT133" s="235"/>
      <c r="GU133" s="235"/>
      <c r="GV133" s="235"/>
      <c r="GW133" s="235"/>
      <c r="GX133" s="235"/>
      <c r="GY133" s="235"/>
      <c r="GZ133" s="235"/>
      <c r="HA133" s="235"/>
      <c r="HB133" s="235"/>
      <c r="HC133" s="235"/>
      <c r="HD133" s="235"/>
      <c r="HE133" s="235"/>
      <c r="HF133" s="235"/>
      <c r="HG133" s="235"/>
      <c r="HH133" s="235"/>
      <c r="HI133" s="235"/>
      <c r="HJ133" s="235"/>
      <c r="HK133" s="235"/>
      <c r="HL133" s="235"/>
      <c r="HM133" s="235"/>
      <c r="HN133" s="235"/>
      <c r="HO133" s="235"/>
      <c r="HP133" s="235"/>
      <c r="HQ133" s="235"/>
      <c r="HR133" s="235"/>
      <c r="HS133" s="235"/>
      <c r="HT133" s="235"/>
      <c r="HU133" s="235"/>
      <c r="HV133" s="235"/>
      <c r="HW133" s="235"/>
      <c r="HX133" s="235"/>
      <c r="HY133" s="235"/>
      <c r="HZ133" s="235"/>
      <c r="IA133" s="235"/>
      <c r="IB133" s="235"/>
      <c r="IC133" s="235"/>
      <c r="ID133" s="235"/>
      <c r="IE133" s="235"/>
      <c r="IF133" s="235"/>
      <c r="IG133" s="235"/>
      <c r="IH133" s="235"/>
      <c r="II133" s="235"/>
      <c r="IJ133" s="235"/>
      <c r="IK133" s="235"/>
      <c r="IL133" s="235"/>
      <c r="IM133" s="235"/>
      <c r="IN133" s="235"/>
      <c r="IO133" s="235"/>
      <c r="IP133" s="235"/>
      <c r="IQ133" s="235"/>
      <c r="IR133" s="235"/>
      <c r="IS133" s="235"/>
      <c r="IT133" s="235"/>
      <c r="IU133" s="235"/>
      <c r="IV133" s="235"/>
      <c r="IW133" s="235"/>
    </row>
    <row r="134" customFormat="false" ht="12.75" hidden="false" customHeight="false" outlineLevel="0" collapsed="false">
      <c r="A134" s="253" t="n">
        <v>814.1</v>
      </c>
      <c r="B134" s="179" t="n">
        <v>26215</v>
      </c>
      <c r="C134" s="178"/>
      <c r="D134" s="179" t="s">
        <v>42</v>
      </c>
      <c r="E134" s="179" t="s">
        <v>149</v>
      </c>
      <c r="F134" s="180" t="s">
        <v>149</v>
      </c>
      <c r="G134" s="181" t="n">
        <f aca="false">VLOOKUP($B134,BTU,2,FALSE())/1000</f>
        <v>1.025</v>
      </c>
      <c r="H134" s="182" t="str">
        <f aca="false">VLOOKUP($B134,spotdata,3,FALSE())</f>
        <v>    </v>
      </c>
      <c r="I134" s="204" t="n">
        <f aca="false">IF(VLOOKUP($B134,errordata,3,FALSE())="UNAV",J134*POLLHOURSFLOWED,IF(LEFT(B134,1)="1",VLOOKUP($B134,totalvolume,2,FALSE())*G134/1000,VLOOKUP($B134,totalvolume,2,FALSE())*G134/1000*-1))</f>
        <v>-32.376272585</v>
      </c>
      <c r="J134" s="205" t="n">
        <f aca="false">O134+T134</f>
        <v>-31.0381944444444</v>
      </c>
      <c r="K134" s="206" t="n">
        <f aca="false">I134-J134</f>
        <v>-1.33807814055555</v>
      </c>
      <c r="L134" s="79" t="n">
        <f aca="false">L133+I134</f>
        <v>283.127325384794</v>
      </c>
      <c r="M134" s="200" t="n">
        <f aca="false">M133+J134</f>
        <v>264.949122222222</v>
      </c>
      <c r="N134" s="79" t="n">
        <f aca="false">IF(F134="CIG",O134,IF(F134="OBA",O134,IF(F134="HPL",I134-T134,IF(ISERR((O134/$J134)*$I134),0,IF(F134="TP",(O134/$J134)*$I134)))))</f>
        <v>-32.376272585</v>
      </c>
      <c r="O134" s="205" t="n">
        <f aca="false">IF(LEFT(B134,1)="1",VLOOKUP(B134,Cigsch,3,FALSE())/1000,VLOOKUP(B134,Cigsch,3,FALSE())/1000*-1)*POLLHOURSFLOWED</f>
        <v>-31.0381944444444</v>
      </c>
      <c r="P134" s="206" t="n">
        <f aca="false">N134-O134</f>
        <v>-1.33807814055555</v>
      </c>
      <c r="Q134" s="79" t="n">
        <f aca="false">Q133+N134</f>
        <v>51.1390414795343</v>
      </c>
      <c r="R134" s="201" t="n">
        <f aca="false">R133+O134</f>
        <v>29.9802354166667</v>
      </c>
      <c r="S134" s="207" t="n">
        <f aca="false">I134-N134</f>
        <v>0</v>
      </c>
      <c r="T134" s="205" t="n">
        <f aca="false">IF(LEFT(B134,1)="1",VLOOKUP(B134,Cigsch,2,FALSE())/1000,VLOOKUP(B134,Cigsch,2,FALSE())/1000*-1)*POLLHOURSFLOWED</f>
        <v>-0</v>
      </c>
      <c r="U134" s="206" t="n">
        <f aca="false">S134-T134</f>
        <v>0</v>
      </c>
      <c r="V134" s="203" t="n">
        <f aca="false">V133+S134</f>
        <v>231.98828390526</v>
      </c>
      <c r="W134" s="79" t="n">
        <f aca="false">W133+T134</f>
        <v>234.968886805556</v>
      </c>
      <c r="X134" s="208" t="n">
        <f aca="false">S134-Y134</f>
        <v>0</v>
      </c>
      <c r="Y134" s="209" t="n">
        <f aca="false">IF(F134="OBA",I134-J134,0)</f>
        <v>0</v>
      </c>
      <c r="AB134" s="194"/>
      <c r="AC134" s="194"/>
    </row>
    <row r="135" customFormat="false" ht="12.75" hidden="false" customHeight="false" outlineLevel="0" collapsed="false">
      <c r="A135" s="253" t="n">
        <v>814.1</v>
      </c>
      <c r="B135" s="179" t="n">
        <v>26035</v>
      </c>
      <c r="C135" s="178"/>
      <c r="D135" s="179" t="s">
        <v>243</v>
      </c>
      <c r="E135" s="179" t="s">
        <v>116</v>
      </c>
      <c r="F135" s="180" t="s">
        <v>116</v>
      </c>
      <c r="G135" s="181" t="n">
        <f aca="false">VLOOKUP($B135,BTU,2,FALSE())/1000</f>
        <v>1.02666272</v>
      </c>
      <c r="H135" s="182" t="str">
        <f aca="false">VLOOKUP($B135,spotdata,3,FALSE())</f>
        <v>    </v>
      </c>
      <c r="I135" s="204" t="n">
        <f aca="false">IF(VLOOKUP($B135,errordata,3,FALSE())="UNAV",J135*POLLHOURSFLOWED,IF(LEFT(B135,1)="1",VLOOKUP($B135,totalvolume,2,FALSE())*G135/1000,VLOOKUP($B135,totalvolume,2,FALSE())*G135/1000*-1))</f>
        <v>-37.0409722828492</v>
      </c>
      <c r="J135" s="205" t="n">
        <f aca="false">O135+T135</f>
        <v>-34.8514583333333</v>
      </c>
      <c r="K135" s="206" t="n">
        <f aca="false">I135-J135</f>
        <v>-2.18951394951589</v>
      </c>
      <c r="L135" s="79" t="n">
        <f aca="false">L134+I135</f>
        <v>246.086353101945</v>
      </c>
      <c r="M135" s="200" t="n">
        <f aca="false">M134+J135</f>
        <v>230.097663888889</v>
      </c>
      <c r="N135" s="79" t="n">
        <f aca="false">IF(F135="CIG",O135,IF(F135="OBA",O135,IF(F135="HPL",I135-T135,IF(ISERR((O135/$J135)*$I135),0,IF(F135="TP",(O135/$J135)*$I135)))))</f>
        <v>-0</v>
      </c>
      <c r="O135" s="205" t="n">
        <f aca="false">IF(LEFT(B135,1)="1",VLOOKUP(B135,Cigsch,3,FALSE())/1000,VLOOKUP(B135,Cigsch,3,FALSE())/1000*-1)*POLLHOURSFLOWED</f>
        <v>-0</v>
      </c>
      <c r="P135" s="206" t="n">
        <f aca="false">N135-O135</f>
        <v>0</v>
      </c>
      <c r="Q135" s="79" t="n">
        <f aca="false">Q134+N135</f>
        <v>51.1390414795343</v>
      </c>
      <c r="R135" s="201" t="n">
        <f aca="false">R134+O135</f>
        <v>29.9802354166667</v>
      </c>
      <c r="S135" s="207" t="n">
        <f aca="false">I135-N135</f>
        <v>-37.0409722828492</v>
      </c>
      <c r="T135" s="205" t="n">
        <f aca="false">IF(LEFT(B135,1)="1",VLOOKUP(B135,Cigsch,2,FALSE())/1000,VLOOKUP(B135,Cigsch,2,FALSE())/1000*-1)*POLLHOURSFLOWED</f>
        <v>-34.8514583333333</v>
      </c>
      <c r="U135" s="206" t="n">
        <f aca="false">S135-T135</f>
        <v>-2.18951394951589</v>
      </c>
      <c r="V135" s="203" t="n">
        <f aca="false">V134+S135</f>
        <v>194.94731162241</v>
      </c>
      <c r="W135" s="79" t="n">
        <f aca="false">W134+T135</f>
        <v>200.117428472222</v>
      </c>
      <c r="X135" s="208" t="n">
        <f aca="false">S135-Y135</f>
        <v>-37.0409722828492</v>
      </c>
      <c r="Y135" s="209" t="n">
        <f aca="false">IF(F135="OBA",I135-J135,0)</f>
        <v>0</v>
      </c>
      <c r="AB135" s="194"/>
      <c r="AC135" s="194"/>
    </row>
    <row r="136" customFormat="false" ht="12.75" hidden="false" customHeight="false" outlineLevel="0" collapsed="false">
      <c r="A136" s="253" t="n">
        <v>814.1</v>
      </c>
      <c r="B136" s="179" t="n">
        <v>26059</v>
      </c>
      <c r="C136" s="178" t="n">
        <v>3528</v>
      </c>
      <c r="D136" s="179" t="s">
        <v>43</v>
      </c>
      <c r="E136" s="179" t="s">
        <v>149</v>
      </c>
      <c r="F136" s="180" t="s">
        <v>149</v>
      </c>
      <c r="G136" s="181" t="n">
        <f aca="false">VLOOKUP($B136,BTU,2,FALSE())/1000</f>
        <v>1.025</v>
      </c>
      <c r="H136" s="182" t="str">
        <f aca="false">VLOOKUP($B136,spotdata,3,FALSE())</f>
        <v>    </v>
      </c>
      <c r="I136" s="204" t="n">
        <f aca="false">IF(VLOOKUP($B136,errordata,3,FALSE())="UNAV",J136*POLLHOURSFLOWED,IF(LEFT(B136,1)="1",VLOOKUP($B136,totalvolume,2,FALSE())*G136/1000,VLOOKUP($B136,totalvolume,2,FALSE())*G136/1000*-1))</f>
        <v>-15.754273985</v>
      </c>
      <c r="J136" s="205" t="n">
        <f aca="false">O136+T136</f>
        <v>-15.0756944444444</v>
      </c>
      <c r="K136" s="206" t="n">
        <f aca="false">I136-J136</f>
        <v>-0.678579540555553</v>
      </c>
      <c r="L136" s="79" t="n">
        <f aca="false">L135+I136</f>
        <v>230.332079116945</v>
      </c>
      <c r="M136" s="200" t="n">
        <f aca="false">M135+J136</f>
        <v>215.021969444445</v>
      </c>
      <c r="N136" s="79" t="n">
        <f aca="false">IF(F136="CIG",O136,IF(F136="OBA",O136,IF(F136="HPL",I136-T136,IF(ISERR((O136/$J136)*$I136),0,IF(F136="TP",(O136/$J136)*$I136)))))</f>
        <v>-15.754273985</v>
      </c>
      <c r="O136" s="205" t="n">
        <f aca="false">IF(LEFT(B136,1)="1",VLOOKUP(B136,Cigsch,3,FALSE())/1000,VLOOKUP(B136,Cigsch,3,FALSE())/1000*-1)*POLLHOURSFLOWED</f>
        <v>-15.0756944444444</v>
      </c>
      <c r="P136" s="206" t="n">
        <f aca="false">N136-O136</f>
        <v>-0.678579540555553</v>
      </c>
      <c r="Q136" s="79" t="n">
        <f aca="false">Q135+N136</f>
        <v>35.3847674945343</v>
      </c>
      <c r="R136" s="201" t="n">
        <f aca="false">R135+O136</f>
        <v>14.9045409722223</v>
      </c>
      <c r="S136" s="207" t="n">
        <f aca="false">I136-N136</f>
        <v>0</v>
      </c>
      <c r="T136" s="205" t="n">
        <f aca="false">IF(LEFT(B136,1)="1",VLOOKUP(B136,Cigsch,2,FALSE())/1000,VLOOKUP(B136,Cigsch,2,FALSE())/1000*-1)*POLLHOURSFLOWED</f>
        <v>-0</v>
      </c>
      <c r="U136" s="206" t="n">
        <f aca="false">S136-T136</f>
        <v>0</v>
      </c>
      <c r="V136" s="203" t="n">
        <f aca="false">V135+S136</f>
        <v>194.94731162241</v>
      </c>
      <c r="W136" s="79" t="n">
        <f aca="false">W135+T136</f>
        <v>200.117428472222</v>
      </c>
      <c r="X136" s="208" t="n">
        <f aca="false">S136-Y136</f>
        <v>0</v>
      </c>
      <c r="Y136" s="209" t="n">
        <f aca="false">IF(F136="OBA",I136-J136,0)</f>
        <v>0</v>
      </c>
      <c r="AB136" s="194"/>
      <c r="AC136" s="194"/>
    </row>
    <row r="137" customFormat="false" ht="12.75" hidden="false" customHeight="false" outlineLevel="0" collapsed="false">
      <c r="A137" s="253" t="n">
        <v>814.1</v>
      </c>
      <c r="B137" s="179" t="n">
        <v>26056</v>
      </c>
      <c r="C137" s="178" t="n">
        <v>8085</v>
      </c>
      <c r="D137" s="179" t="s">
        <v>244</v>
      </c>
      <c r="E137" s="179" t="s">
        <v>149</v>
      </c>
      <c r="F137" s="180" t="s">
        <v>149</v>
      </c>
      <c r="G137" s="181" t="n">
        <f aca="false">VLOOKUP($B137,BTU,2,FALSE())/1000</f>
        <v>1.025</v>
      </c>
      <c r="H137" s="182" t="str">
        <f aca="false">VLOOKUP($B137,spotdata,3,FALSE())</f>
        <v>UNAV</v>
      </c>
      <c r="I137" s="204" t="n">
        <f aca="false">IF(VLOOKUP($B137,errordata,3,FALSE())="UNAV",J137*POLLHOURSFLOWED,IF(LEFT(B137,1)="1",VLOOKUP($B137,totalvolume,2,FALSE())*G137/1000,VLOOKUP($B137,totalvolume,2,FALSE())*G137/1000*-1))</f>
        <v>-0</v>
      </c>
      <c r="J137" s="205" t="n">
        <f aca="false">O137+T137</f>
        <v>-0</v>
      </c>
      <c r="K137" s="206" t="n">
        <f aca="false">I137-J137</f>
        <v>0</v>
      </c>
      <c r="L137" s="79" t="n">
        <f aca="false">L136+I137</f>
        <v>230.332079116945</v>
      </c>
      <c r="M137" s="200" t="n">
        <f aca="false">M136+J137</f>
        <v>215.021969444445</v>
      </c>
      <c r="N137" s="79" t="n">
        <f aca="false">IF(F137="CIG",O137,IF(F137="OBA",O137,IF(F137="HPL",I137-T137,IF(ISERR((O137/$J137)*$I137),0,IF(F137="TP",(O137/$J137)*$I137)))))</f>
        <v>0</v>
      </c>
      <c r="O137" s="205" t="n">
        <f aca="false">IF(LEFT(B137,1)="1",VLOOKUP(B137,Cigsch,3,FALSE())/1000,VLOOKUP(B137,Cigsch,3,FALSE())/1000*-1)*POLLHOURSFLOWED</f>
        <v>-0</v>
      </c>
      <c r="P137" s="206" t="n">
        <f aca="false">N137-O137</f>
        <v>0</v>
      </c>
      <c r="Q137" s="79" t="n">
        <f aca="false">Q136+N137</f>
        <v>35.3847674945343</v>
      </c>
      <c r="R137" s="201" t="n">
        <f aca="false">R136+O137</f>
        <v>14.9045409722223</v>
      </c>
      <c r="S137" s="207" t="n">
        <f aca="false">I137-N137</f>
        <v>-0</v>
      </c>
      <c r="T137" s="205" t="n">
        <f aca="false">IF(LEFT(B137,1)="1",VLOOKUP(B137,Cigsch,2,FALSE())/1000,VLOOKUP(B137,Cigsch,2,FALSE())/1000*-1)*POLLHOURSFLOWED</f>
        <v>-0</v>
      </c>
      <c r="U137" s="206" t="n">
        <f aca="false">S137-T137</f>
        <v>0</v>
      </c>
      <c r="V137" s="203" t="n">
        <f aca="false">V136+S137</f>
        <v>194.94731162241</v>
      </c>
      <c r="W137" s="79" t="n">
        <f aca="false">W136+T137</f>
        <v>200.117428472222</v>
      </c>
      <c r="X137" s="208" t="n">
        <f aca="false">S137-Y137</f>
        <v>-0</v>
      </c>
      <c r="Y137" s="209" t="n">
        <f aca="false">IF(F137="OBA",I137-J137,0)</f>
        <v>0</v>
      </c>
      <c r="AB137" s="194"/>
      <c r="AC137" s="194"/>
    </row>
    <row r="138" customFormat="false" ht="12.75" hidden="false" customHeight="false" outlineLevel="0" collapsed="false">
      <c r="A138" s="253" t="n">
        <v>814.1</v>
      </c>
      <c r="B138" s="179" t="n">
        <v>26099</v>
      </c>
      <c r="C138" s="178"/>
      <c r="D138" s="179" t="s">
        <v>245</v>
      </c>
      <c r="E138" s="179" t="s">
        <v>149</v>
      </c>
      <c r="F138" s="180" t="s">
        <v>116</v>
      </c>
      <c r="G138" s="181" t="n">
        <f aca="false">VLOOKUP($B138,BTU,2,FALSE())/1000</f>
        <v>1.025</v>
      </c>
      <c r="H138" s="182" t="str">
        <f aca="false">VLOOKUP($B138,spotdata,3,FALSE())</f>
        <v>UNAV</v>
      </c>
      <c r="I138" s="204" t="n">
        <f aca="false">IF(VLOOKUP($B138,errordata,3,FALSE())="UNAV",J138*POLLHOURSFLOWED,IF(LEFT(B138,1)="1",VLOOKUP($B138,totalvolume,2,FALSE())*G138/1000,VLOOKUP($B138,totalvolume,2,FALSE())*G138/1000*-1))</f>
        <v>-0</v>
      </c>
      <c r="J138" s="205" t="n">
        <f aca="false">O138+T138</f>
        <v>-0</v>
      </c>
      <c r="K138" s="206" t="n">
        <f aca="false">I138-J138</f>
        <v>0</v>
      </c>
      <c r="L138" s="79" t="n">
        <f aca="false">L137+I138</f>
        <v>230.332079116945</v>
      </c>
      <c r="M138" s="200" t="n">
        <f aca="false">M137+J138</f>
        <v>215.021969444445</v>
      </c>
      <c r="N138" s="79" t="n">
        <f aca="false">IF(F138="CIG",O138,IF(F138="OBA",O138,IF(F138="HPL",I138-T138,IF(ISERR((O138/$J138)*$I138),0,IF(F138="TP",(O138/$J138)*$I138)))))</f>
        <v>-0</v>
      </c>
      <c r="O138" s="205" t="n">
        <f aca="false">IF(LEFT(B138,1)="1",VLOOKUP(B138,Cigsch,3,FALSE())/1000,VLOOKUP(B138,Cigsch,3,FALSE())/1000*-1)*POLLHOURSFLOWED</f>
        <v>-0</v>
      </c>
      <c r="P138" s="206" t="n">
        <f aca="false">N138-O138</f>
        <v>0</v>
      </c>
      <c r="Q138" s="79" t="n">
        <f aca="false">Q137+N138</f>
        <v>35.3847674945343</v>
      </c>
      <c r="R138" s="201" t="n">
        <f aca="false">R137+O138</f>
        <v>14.9045409722223</v>
      </c>
      <c r="S138" s="207" t="n">
        <f aca="false">I138-N138</f>
        <v>0</v>
      </c>
      <c r="T138" s="205" t="n">
        <f aca="false">IF(LEFT(B138,1)="1",VLOOKUP(B138,Cigsch,2,FALSE())/1000,VLOOKUP(B138,Cigsch,2,FALSE())/1000*-1)*POLLHOURSFLOWED</f>
        <v>-0</v>
      </c>
      <c r="U138" s="206" t="n">
        <f aca="false">S138-T138</f>
        <v>0</v>
      </c>
      <c r="V138" s="203" t="n">
        <f aca="false">V137+S138</f>
        <v>194.94731162241</v>
      </c>
      <c r="W138" s="79" t="n">
        <f aca="false">W137+T138</f>
        <v>200.117428472222</v>
      </c>
      <c r="X138" s="208" t="n">
        <f aca="false">S138-Y138</f>
        <v>0</v>
      </c>
      <c r="Y138" s="209" t="n">
        <f aca="false">IF(F138="OBA",I138-J138,0)</f>
        <v>0</v>
      </c>
      <c r="AB138" s="194"/>
      <c r="AC138" s="194"/>
    </row>
    <row r="139" customFormat="false" ht="12.75" hidden="false" customHeight="false" outlineLevel="0" collapsed="false">
      <c r="A139" s="253" t="n">
        <v>814.1</v>
      </c>
      <c r="B139" s="179" t="n">
        <v>26186</v>
      </c>
      <c r="C139" s="178"/>
      <c r="D139" s="179" t="s">
        <v>246</v>
      </c>
      <c r="E139" s="179" t="s">
        <v>116</v>
      </c>
      <c r="F139" s="180" t="s">
        <v>116</v>
      </c>
      <c r="G139" s="181" t="n">
        <f aca="false">VLOOKUP($B139,BTU,2,FALSE())/1000</f>
        <v>1.02378699</v>
      </c>
      <c r="H139" s="182" t="str">
        <f aca="false">VLOOKUP($B139,spotdata,3,FALSE())</f>
        <v>    </v>
      </c>
      <c r="I139" s="204" t="n">
        <f aca="false">IF(VLOOKUP($B139,errordata,3,FALSE())="UNAV",J139*POLLHOURSFLOWED,IF(LEFT(B139,1)="1",VLOOKUP($B139,totalvolume,2,FALSE())*G139/1000,VLOOKUP($B139,totalvolume,2,FALSE())*G139/1000*-1))</f>
        <v>-1.66658687538404</v>
      </c>
      <c r="J139" s="205" t="n">
        <f aca="false">O139+T139</f>
        <v>-0.886805555555556</v>
      </c>
      <c r="K139" s="206" t="n">
        <f aca="false">I139-J139</f>
        <v>-0.779781319828486</v>
      </c>
      <c r="L139" s="79" t="n">
        <f aca="false">L138+I139</f>
        <v>228.665492241561</v>
      </c>
      <c r="M139" s="200" t="n">
        <f aca="false">M138+J139</f>
        <v>214.135163888889</v>
      </c>
      <c r="N139" s="79" t="n">
        <f aca="false">IF(F139="CIG",O139,IF(F139="OBA",O139,IF(F139="HPL",I139-T139,IF(ISERR((O139/$J139)*$I139),0,IF(F139="TP",(O139/$J139)*$I139)))))</f>
        <v>-0</v>
      </c>
      <c r="O139" s="205" t="n">
        <f aca="false">IF(LEFT(B139,1)="1",VLOOKUP(B139,Cigsch,3,FALSE())/1000,VLOOKUP(B139,Cigsch,3,FALSE())/1000*-1)*POLLHOURSFLOWED</f>
        <v>-0</v>
      </c>
      <c r="P139" s="206" t="n">
        <f aca="false">N139-O139</f>
        <v>0</v>
      </c>
      <c r="Q139" s="79" t="n">
        <f aca="false">Q138+N139</f>
        <v>35.3847674945343</v>
      </c>
      <c r="R139" s="201" t="n">
        <f aca="false">R138+O139</f>
        <v>14.9045409722223</v>
      </c>
      <c r="S139" s="207" t="n">
        <f aca="false">I139-N139</f>
        <v>-1.66658687538404</v>
      </c>
      <c r="T139" s="205" t="n">
        <f aca="false">IF(LEFT(B139,1)="1",VLOOKUP(B139,Cigsch,2,FALSE())/1000,VLOOKUP(B139,Cigsch,2,FALSE())/1000*-1)*POLLHOURSFLOWED</f>
        <v>-0.886805555555556</v>
      </c>
      <c r="U139" s="206" t="n">
        <f aca="false">S139-T139</f>
        <v>-0.779781319828486</v>
      </c>
      <c r="V139" s="203" t="n">
        <f aca="false">V138+S139</f>
        <v>193.280724747026</v>
      </c>
      <c r="W139" s="79" t="n">
        <f aca="false">W138+T139</f>
        <v>199.230622916667</v>
      </c>
      <c r="X139" s="208" t="n">
        <f aca="false">S139-Y139</f>
        <v>-1.66658687538404</v>
      </c>
      <c r="Y139" s="209" t="n">
        <f aca="false">IF(F139="OBA",I139-J139,0)</f>
        <v>0</v>
      </c>
      <c r="AB139" s="194"/>
      <c r="AC139" s="194"/>
    </row>
    <row r="140" customFormat="false" ht="12.75" hidden="false" customHeight="false" outlineLevel="0" collapsed="false">
      <c r="A140" s="253" t="n">
        <v>814.1</v>
      </c>
      <c r="B140" s="179" t="n">
        <v>26030</v>
      </c>
      <c r="C140" s="178"/>
      <c r="D140" s="179" t="s">
        <v>247</v>
      </c>
      <c r="E140" s="179" t="s">
        <v>149</v>
      </c>
      <c r="F140" s="180" t="s">
        <v>149</v>
      </c>
      <c r="G140" s="181" t="n">
        <f aca="false">VLOOKUP($B140,BTU,2,FALSE())/1000</f>
        <v>1.025</v>
      </c>
      <c r="H140" s="182" t="str">
        <f aca="false">VLOOKUP($B140,spotdata,3,FALSE())</f>
        <v>UNAV</v>
      </c>
      <c r="I140" s="204" t="n">
        <f aca="false">IF(VLOOKUP($B140,errordata,3,FALSE())="UNAV",J140*POLLHOURSFLOWED,IF(LEFT(B140,1)="1",VLOOKUP($B140,totalvolume,2,FALSE())*G140/1000,VLOOKUP($B140,totalvolume,2,FALSE())*G140/1000*-1))</f>
        <v>-0.0644867756558642</v>
      </c>
      <c r="J140" s="205" t="n">
        <f aca="false">O140+T140</f>
        <v>-0.0727180555555556</v>
      </c>
      <c r="K140" s="206" t="n">
        <f aca="false">I140-J140</f>
        <v>0.00823127989969136</v>
      </c>
      <c r="L140" s="79" t="n">
        <f aca="false">L139+I140</f>
        <v>228.601005465905</v>
      </c>
      <c r="M140" s="200" t="n">
        <f aca="false">M139+J140</f>
        <v>214.062445833333</v>
      </c>
      <c r="N140" s="79" t="n">
        <f aca="false">IF(F140="CIG",O140,IF(F140="OBA",O140,IF(F140="HPL",I140-T140,IF(ISERR((O140/$J140)*$I140),0,IF(F140="TP",(O140/$J140)*$I140)))))</f>
        <v>-0.0644867756558642</v>
      </c>
      <c r="O140" s="205" t="n">
        <f aca="false">IF(LEFT(B140,1)="1",VLOOKUP(B140,Cigsch,3,FALSE())/1000,VLOOKUP(B140,Cigsch,3,FALSE())/1000*-1)*POLLHOURSFLOWED</f>
        <v>-0.0727180555555556</v>
      </c>
      <c r="P140" s="206" t="n">
        <f aca="false">N140-O140</f>
        <v>0.00823127989969136</v>
      </c>
      <c r="Q140" s="79" t="n">
        <f aca="false">Q139+N140</f>
        <v>35.3202807188784</v>
      </c>
      <c r="R140" s="201" t="n">
        <f aca="false">R139+O140</f>
        <v>14.8318229166667</v>
      </c>
      <c r="S140" s="207" t="n">
        <f aca="false">I140-N140</f>
        <v>0</v>
      </c>
      <c r="T140" s="205" t="n">
        <f aca="false">IF(LEFT(B140,1)="1",VLOOKUP(B140,Cigsch,2,FALSE())/1000,VLOOKUP(B140,Cigsch,2,FALSE())/1000*-1)*POLLHOURSFLOWED</f>
        <v>-0</v>
      </c>
      <c r="U140" s="206" t="n">
        <f aca="false">S140-T140</f>
        <v>0</v>
      </c>
      <c r="V140" s="203" t="n">
        <f aca="false">V139+S140</f>
        <v>193.280724747026</v>
      </c>
      <c r="W140" s="79" t="n">
        <f aca="false">W139+T140</f>
        <v>199.230622916667</v>
      </c>
      <c r="X140" s="208" t="n">
        <f aca="false">S140-Y140</f>
        <v>0</v>
      </c>
      <c r="Y140" s="209" t="n">
        <f aca="false">IF(F140="OBA",I140-J140,0)</f>
        <v>0</v>
      </c>
      <c r="AB140" s="194"/>
      <c r="AC140" s="194"/>
    </row>
    <row r="141" customFormat="false" ht="12.75" hidden="false" customHeight="false" outlineLevel="0" collapsed="false">
      <c r="A141" s="253" t="n">
        <v>814.1</v>
      </c>
      <c r="B141" s="179" t="n">
        <v>26149</v>
      </c>
      <c r="C141" s="178"/>
      <c r="D141" s="179" t="s">
        <v>248</v>
      </c>
      <c r="E141" s="179" t="s">
        <v>116</v>
      </c>
      <c r="F141" s="180" t="s">
        <v>116</v>
      </c>
      <c r="G141" s="181" t="n">
        <f aca="false">VLOOKUP($B141,BTU,2,FALSE())/1000</f>
        <v>1.025</v>
      </c>
      <c r="H141" s="182" t="str">
        <f aca="false">VLOOKUP($B141,spotdata,3,FALSE())</f>
        <v>UNAV</v>
      </c>
      <c r="I141" s="204" t="n">
        <f aca="false">IF(VLOOKUP($B141,errordata,3,FALSE())="UNAV",J141*POLLHOURSFLOWED,IF(LEFT(B141,1)="1",VLOOKUP($B141,totalvolume,2,FALSE())*G141/1000,VLOOKUP($B141,totalvolume,2,FALSE())*G141/1000*-1))</f>
        <v>-0.314569637345679</v>
      </c>
      <c r="J141" s="205" t="n">
        <f aca="false">O141+T141</f>
        <v>-0.354722222222222</v>
      </c>
      <c r="K141" s="206" t="n">
        <f aca="false">I141-J141</f>
        <v>0.0401525848765432</v>
      </c>
      <c r="L141" s="79" t="n">
        <f aca="false">L140+I141</f>
        <v>228.286435828559</v>
      </c>
      <c r="M141" s="200" t="n">
        <f aca="false">M140+J141</f>
        <v>213.707723611111</v>
      </c>
      <c r="N141" s="79" t="n">
        <f aca="false">IF(F141="CIG",O141,IF(F141="OBA",O141,IF(F141="HPL",I141-T141,IF(ISERR((O141/$J141)*$I141),0,IF(F141="TP",(O141/$J141)*$I141)))))</f>
        <v>-0</v>
      </c>
      <c r="O141" s="205" t="n">
        <f aca="false">IF(LEFT(B141,1)="1",VLOOKUP(B141,Cigsch,3,FALSE())/1000,VLOOKUP(B141,Cigsch,3,FALSE())/1000*-1)*POLLHOURSFLOWED</f>
        <v>-0</v>
      </c>
      <c r="P141" s="206" t="n">
        <f aca="false">N141-O141</f>
        <v>0</v>
      </c>
      <c r="Q141" s="79" t="n">
        <f aca="false">Q140+N141</f>
        <v>35.3202807188784</v>
      </c>
      <c r="R141" s="201" t="n">
        <f aca="false">R140+O141</f>
        <v>14.8318229166667</v>
      </c>
      <c r="S141" s="207" t="n">
        <f aca="false">I141-N141</f>
        <v>-0.314569637345679</v>
      </c>
      <c r="T141" s="205" t="n">
        <f aca="false">IF(LEFT(B141,1)="1",VLOOKUP(B141,Cigsch,2,FALSE())/1000,VLOOKUP(B141,Cigsch,2,FALSE())/1000*-1)*POLLHOURSFLOWED</f>
        <v>-0.354722222222222</v>
      </c>
      <c r="U141" s="206" t="n">
        <f aca="false">S141-T141</f>
        <v>0.0401525848765432</v>
      </c>
      <c r="V141" s="203" t="n">
        <f aca="false">V140+S141</f>
        <v>192.966155109681</v>
      </c>
      <c r="W141" s="79" t="n">
        <f aca="false">W140+T141</f>
        <v>198.875900694445</v>
      </c>
      <c r="X141" s="208" t="n">
        <f aca="false">S141-Y141</f>
        <v>-0.314569637345679</v>
      </c>
      <c r="Y141" s="209" t="n">
        <f aca="false">IF(F141="OBA",I141-J141,0)</f>
        <v>0</v>
      </c>
      <c r="AB141" s="194"/>
      <c r="AC141" s="194"/>
    </row>
    <row r="142" customFormat="false" ht="12.75" hidden="false" customHeight="false" outlineLevel="0" collapsed="false">
      <c r="A142" s="253" t="n">
        <v>814.1</v>
      </c>
      <c r="B142" s="179" t="n">
        <v>26198</v>
      </c>
      <c r="C142" s="178"/>
      <c r="D142" s="179" t="s">
        <v>249</v>
      </c>
      <c r="E142" s="179" t="s">
        <v>116</v>
      </c>
      <c r="F142" s="180" t="s">
        <v>116</v>
      </c>
      <c r="G142" s="181" t="n">
        <f aca="false">VLOOKUP($B142,BTU,2,FALSE())/1000</f>
        <v>1.02378699</v>
      </c>
      <c r="H142" s="182" t="str">
        <f aca="false">VLOOKUP($B142,spotdata,3,FALSE())</f>
        <v>    </v>
      </c>
      <c r="I142" s="204" t="n">
        <f aca="false">IF(VLOOKUP($B142,errordata,3,FALSE())="UNAV",J142*POLLHOURSFLOWED,IF(LEFT(B142,1)="1",VLOOKUP($B142,totalvolume,2,FALSE())*G142/1000,VLOOKUP($B142,totalvolume,2,FALSE())*G142/1000*-1))</f>
        <v>-8.22375495784386</v>
      </c>
      <c r="J142" s="205" t="n">
        <f aca="false">O142+T142</f>
        <v>-8.08411944444444</v>
      </c>
      <c r="K142" s="206" t="n">
        <f aca="false">I142-J142</f>
        <v>-0.139635513399419</v>
      </c>
      <c r="L142" s="79" t="n">
        <f aca="false">L141+I142</f>
        <v>220.062680870715</v>
      </c>
      <c r="M142" s="200" t="n">
        <f aca="false">M141+J142</f>
        <v>205.623604166667</v>
      </c>
      <c r="N142" s="79" t="n">
        <f aca="false">IF(F142="CIG",O142,IF(F142="OBA",O142,IF(F142="HPL",I142-T142,IF(ISERR((O142/$J142)*$I142),0,IF(F142="TP",(O142/$J142)*$I142)))))</f>
        <v>-0</v>
      </c>
      <c r="O142" s="205" t="n">
        <f aca="false">IF(LEFT(B142,1)="1",VLOOKUP(B142,Cigsch,3,FALSE())/1000,VLOOKUP(B142,Cigsch,3,FALSE())/1000*-1)*POLLHOURSFLOWED</f>
        <v>-0</v>
      </c>
      <c r="P142" s="206" t="n">
        <f aca="false">N142-O142</f>
        <v>0</v>
      </c>
      <c r="Q142" s="79" t="n">
        <f aca="false">Q141+N142</f>
        <v>35.3202807188784</v>
      </c>
      <c r="R142" s="201" t="n">
        <f aca="false">R141+O142</f>
        <v>14.8318229166667</v>
      </c>
      <c r="S142" s="207" t="n">
        <f aca="false">I142-N142</f>
        <v>-8.22375495784386</v>
      </c>
      <c r="T142" s="205" t="n">
        <f aca="false">IF(LEFT(B142,1)="1",VLOOKUP(B142,Cigsch,2,FALSE())/1000,VLOOKUP(B142,Cigsch,2,FALSE())/1000*-1)*POLLHOURSFLOWED</f>
        <v>-8.08411944444444</v>
      </c>
      <c r="U142" s="206" t="n">
        <f aca="false">S142-T142</f>
        <v>-0.139635513399419</v>
      </c>
      <c r="V142" s="203" t="n">
        <f aca="false">V141+S142</f>
        <v>184.742400151837</v>
      </c>
      <c r="W142" s="79" t="n">
        <f aca="false">W141+T142</f>
        <v>190.79178125</v>
      </c>
      <c r="X142" s="208" t="n">
        <f aca="false">S142-Y142</f>
        <v>-8.22375495784386</v>
      </c>
      <c r="Y142" s="209" t="n">
        <f aca="false">IF(F142="OBA",I142-J142,0)</f>
        <v>0</v>
      </c>
      <c r="AB142" s="194"/>
      <c r="AC142" s="194"/>
    </row>
    <row r="143" customFormat="false" ht="12.75" hidden="false" customHeight="false" outlineLevel="0" collapsed="false">
      <c r="A143" s="253" t="n">
        <v>814.1</v>
      </c>
      <c r="B143" s="214" t="n">
        <v>26203</v>
      </c>
      <c r="C143" s="178"/>
      <c r="D143" s="179" t="s">
        <v>250</v>
      </c>
      <c r="E143" s="179" t="s">
        <v>116</v>
      </c>
      <c r="F143" s="180" t="s">
        <v>116</v>
      </c>
      <c r="G143" s="181" t="n">
        <f aca="false">VLOOKUP($B143,BTU,2,FALSE())/1000</f>
        <v>1.02378699</v>
      </c>
      <c r="H143" s="182" t="str">
        <f aca="false">VLOOKUP($B143,spotdata,3,FALSE())</f>
        <v>    </v>
      </c>
      <c r="I143" s="204" t="n">
        <f aca="false">IF(VLOOKUP($B143,errordata,3,FALSE())="UNAV",J143*POLLHOURSFLOWED,IF(LEFT(B143,1)="1",VLOOKUP($B143,totalvolume,2,FALSE())*G143/1000,VLOOKUP($B143,totalvolume,2,FALSE())*G143/1000*-1))</f>
        <v>-30.9956730488575</v>
      </c>
      <c r="J143" s="205" t="n">
        <f aca="false">O143+T143</f>
        <v>-31.0381944444444</v>
      </c>
      <c r="K143" s="206" t="n">
        <f aca="false">I143-J143</f>
        <v>0.0425213955869452</v>
      </c>
      <c r="L143" s="79" t="n">
        <f aca="false">L142+I143</f>
        <v>189.067007821858</v>
      </c>
      <c r="M143" s="200" t="n">
        <f aca="false">M142+J143</f>
        <v>174.585409722222</v>
      </c>
      <c r="N143" s="79" t="n">
        <f aca="false">IF(F143="CIG",O143,IF(F143="OBA",O143,IF(F143="HPL",I143-T143,IF(ISERR((O143/$J143)*$I143),0,IF(F143="TP",(O143/$J143)*$I143)))))</f>
        <v>-0</v>
      </c>
      <c r="O143" s="205" t="n">
        <f aca="false">IF(LEFT(B143,1)="1",VLOOKUP(B143,Cigsch,3,FALSE())/1000,VLOOKUP(B143,Cigsch,3,FALSE())/1000*-1)*POLLHOURSFLOWED</f>
        <v>-0</v>
      </c>
      <c r="P143" s="206" t="n">
        <f aca="false">N143-O143</f>
        <v>0</v>
      </c>
      <c r="Q143" s="79" t="n">
        <f aca="false">Q142+N143</f>
        <v>35.3202807188784</v>
      </c>
      <c r="R143" s="201" t="n">
        <f aca="false">R142+O143</f>
        <v>14.8318229166667</v>
      </c>
      <c r="S143" s="207" t="n">
        <f aca="false">I143-N143</f>
        <v>-30.9956730488575</v>
      </c>
      <c r="T143" s="205" t="n">
        <f aca="false">IF(LEFT(B143,1)="1",VLOOKUP(B143,Cigsch,2,FALSE())/1000,VLOOKUP(B143,Cigsch,2,FALSE())/1000*-1)*POLLHOURSFLOWED</f>
        <v>-31.0381944444444</v>
      </c>
      <c r="U143" s="206" t="n">
        <f aca="false">S143-T143</f>
        <v>0.0425213955869452</v>
      </c>
      <c r="V143" s="203" t="n">
        <f aca="false">V142+S143</f>
        <v>153.746727102979</v>
      </c>
      <c r="W143" s="79" t="n">
        <f aca="false">W142+T143</f>
        <v>159.753586805556</v>
      </c>
      <c r="X143" s="208" t="n">
        <f aca="false">S143-Y143</f>
        <v>-30.9956730488575</v>
      </c>
      <c r="Y143" s="209" t="n">
        <f aca="false">IF(F143="OBA",I143-J143,0)</f>
        <v>0</v>
      </c>
      <c r="AB143" s="194"/>
      <c r="AC143" s="194"/>
    </row>
    <row r="144" customFormat="false" ht="12.75" hidden="false" customHeight="false" outlineLevel="0" collapsed="false">
      <c r="A144" s="253" t="n">
        <v>814.1</v>
      </c>
      <c r="B144" s="214" t="n">
        <v>26190</v>
      </c>
      <c r="C144" s="178"/>
      <c r="D144" s="179" t="s">
        <v>251</v>
      </c>
      <c r="E144" s="179" t="s">
        <v>116</v>
      </c>
      <c r="F144" s="180" t="s">
        <v>116</v>
      </c>
      <c r="G144" s="181" t="n">
        <f aca="false">VLOOKUP($B144,BTU,2,FALSE())/1000</f>
        <v>1.02378699</v>
      </c>
      <c r="H144" s="182" t="str">
        <f aca="false">VLOOKUP($B144,spotdata,3,FALSE())</f>
        <v>    </v>
      </c>
      <c r="I144" s="204" t="n">
        <f aca="false">IF(VLOOKUP($B144,errordata,3,FALSE())="UNAV",J144*POLLHOURSFLOWED,IF(LEFT(B144,1)="1",VLOOKUP($B144,totalvolume,2,FALSE())*G144/1000,VLOOKUP($B144,totalvolume,2,FALSE())*G144/1000*-1))</f>
        <v>-8.86121032705253</v>
      </c>
      <c r="J144" s="205" t="n">
        <f aca="false">O144+T144</f>
        <v>-8.86805555555556</v>
      </c>
      <c r="K144" s="206" t="n">
        <f aca="false">I144-J144</f>
        <v>0.00684522850302827</v>
      </c>
      <c r="L144" s="79" t="n">
        <f aca="false">L143+I144</f>
        <v>180.205797494805</v>
      </c>
      <c r="M144" s="200" t="n">
        <f aca="false">M143+J144</f>
        <v>165.717354166667</v>
      </c>
      <c r="N144" s="79" t="n">
        <f aca="false">IF(F144="CIG",O144,IF(F144="OBA",O144,IF(F144="HPL",I144-T144,IF(ISERR((O144/$J144)*$I144),0,IF(F144="TP",(O144/$J144)*$I144)))))</f>
        <v>-0</v>
      </c>
      <c r="O144" s="205" t="n">
        <f aca="false">IF(LEFT(B144,1)="1",VLOOKUP(B144,Cigsch,3,FALSE())/1000,VLOOKUP(B144,Cigsch,3,FALSE())/1000*-1)*POLLHOURSFLOWED</f>
        <v>-0</v>
      </c>
      <c r="P144" s="206" t="n">
        <f aca="false">N144-O144</f>
        <v>0</v>
      </c>
      <c r="Q144" s="79" t="n">
        <f aca="false">Q143+N144</f>
        <v>35.3202807188784</v>
      </c>
      <c r="R144" s="201" t="n">
        <f aca="false">R143+O144</f>
        <v>14.8318229166667</v>
      </c>
      <c r="S144" s="207" t="n">
        <f aca="false">I144-N144</f>
        <v>-8.86121032705253</v>
      </c>
      <c r="T144" s="205" t="n">
        <f aca="false">IF(LEFT(B144,1)="1",VLOOKUP(B144,Cigsch,2,FALSE())/1000,VLOOKUP(B144,Cigsch,2,FALSE())/1000*-1)*POLLHOURSFLOWED</f>
        <v>-8.86805555555556</v>
      </c>
      <c r="U144" s="206" t="n">
        <f aca="false">S144-T144</f>
        <v>0.00684522850302827</v>
      </c>
      <c r="V144" s="203" t="n">
        <f aca="false">V143+S144</f>
        <v>144.885516775927</v>
      </c>
      <c r="W144" s="79" t="n">
        <f aca="false">W143+T144</f>
        <v>150.88553125</v>
      </c>
      <c r="X144" s="208" t="n">
        <f aca="false">S144-Y144</f>
        <v>-8.86121032705253</v>
      </c>
      <c r="Y144" s="209" t="n">
        <f aca="false">IF(F144="OBA",I144-J144,0)</f>
        <v>0</v>
      </c>
      <c r="AB144" s="194"/>
      <c r="AC144" s="194"/>
    </row>
    <row r="145" customFormat="false" ht="12.75" hidden="false" customHeight="false" outlineLevel="0" collapsed="false">
      <c r="A145" s="273" t="n">
        <v>814.1</v>
      </c>
      <c r="B145" s="211" t="n">
        <v>16068</v>
      </c>
      <c r="C145" s="210"/>
      <c r="D145" s="211" t="s">
        <v>252</v>
      </c>
      <c r="E145" s="211" t="s">
        <v>118</v>
      </c>
      <c r="F145" s="212" t="s">
        <v>116</v>
      </c>
      <c r="G145" s="213" t="n">
        <f aca="false">VLOOKUP($B145,BTU,2,FALSE())/1000</f>
        <v>1.026</v>
      </c>
      <c r="H145" s="182" t="str">
        <f aca="false">VLOOKUP($B145,spotdata,3,FALSE())</f>
        <v>    </v>
      </c>
      <c r="I145" s="204" t="n">
        <f aca="false">IF(VLOOKUP($B145,errordata,3,FALSE())="UNAV",J145*POLLHOURSFLOWED,IF(LEFT(B145,1)="1",VLOOKUP($B145,totalvolume,2,FALSE())*G145/1000,VLOOKUP($B145,totalvolume,2,FALSE())*G145/1000*-1))</f>
        <v>0</v>
      </c>
      <c r="J145" s="205" t="n">
        <f aca="false">O145+T145</f>
        <v>0</v>
      </c>
      <c r="K145" s="206" t="n">
        <f aca="false">I145-J145</f>
        <v>0</v>
      </c>
      <c r="L145" s="79" t="n">
        <f aca="false">L144+I145</f>
        <v>180.205797494805</v>
      </c>
      <c r="M145" s="200" t="n">
        <f aca="false">M144+J145</f>
        <v>165.717354166667</v>
      </c>
      <c r="N145" s="79" t="n">
        <f aca="false">IF(F145="CIG",O145,IF(F145="OBA",O145,IF(F145="HPL",I145-T145,IF(ISERR((O145/$J145)*$I145),0,IF(F145="TP",(O145/$J145)*$I145)))))</f>
        <v>0</v>
      </c>
      <c r="O145" s="205" t="n">
        <f aca="false">IF(LEFT(B145,1)="1",VLOOKUP(B145,Cigsch,3,FALSE())/1000,VLOOKUP(B145,Cigsch,3,FALSE())/1000*-1)*POLLHOURSFLOWED</f>
        <v>0</v>
      </c>
      <c r="P145" s="206" t="n">
        <f aca="false">N145-O145</f>
        <v>0</v>
      </c>
      <c r="Q145" s="79" t="n">
        <f aca="false">Q144+N145</f>
        <v>35.3202807188784</v>
      </c>
      <c r="R145" s="201" t="n">
        <f aca="false">R144+O145</f>
        <v>14.8318229166667</v>
      </c>
      <c r="S145" s="207" t="n">
        <f aca="false">I145-N145</f>
        <v>0</v>
      </c>
      <c r="T145" s="205" t="n">
        <f aca="false">IF(LEFT(B145,1)="1",VLOOKUP(B145,Cigsch,2,FALSE())/1000,VLOOKUP(B145,Cigsch,2,FALSE())/1000*-1)*POLLHOURSFLOWED</f>
        <v>0</v>
      </c>
      <c r="U145" s="206" t="n">
        <f aca="false">S145-T145</f>
        <v>0</v>
      </c>
      <c r="V145" s="203" t="n">
        <f aca="false">V144+S145</f>
        <v>144.885516775927</v>
      </c>
      <c r="W145" s="79" t="n">
        <f aca="false">W144+T145</f>
        <v>150.88553125</v>
      </c>
      <c r="X145" s="208" t="n">
        <f aca="false">S145-Y145</f>
        <v>0</v>
      </c>
      <c r="Y145" s="209" t="n">
        <f aca="false">IF(F145="OBA",I145-J145,0)</f>
        <v>0</v>
      </c>
      <c r="AB145" s="194"/>
      <c r="AC145" s="194"/>
    </row>
    <row r="146" customFormat="false" ht="12.75" hidden="false" customHeight="false" outlineLevel="0" collapsed="false">
      <c r="A146" s="253" t="n">
        <v>814.1</v>
      </c>
      <c r="B146" s="214" t="n">
        <v>26165</v>
      </c>
      <c r="C146" s="178"/>
      <c r="D146" s="179" t="s">
        <v>253</v>
      </c>
      <c r="E146" s="179" t="s">
        <v>116</v>
      </c>
      <c r="F146" s="180" t="s">
        <v>116</v>
      </c>
      <c r="G146" s="181" t="n">
        <f aca="false">VLOOKUP($B146,BTU,2,FALSE())/1000</f>
        <v>1.02378699</v>
      </c>
      <c r="H146" s="182" t="str">
        <f aca="false">VLOOKUP($B146,spotdata,3,FALSE())</f>
        <v>    </v>
      </c>
      <c r="I146" s="204" t="n">
        <f aca="false">IF(VLOOKUP($B146,errordata,3,FALSE())="UNAV",J146*POLLHOURSFLOWED,IF(LEFT(B146,1)="1",VLOOKUP($B146,totalvolume,2,FALSE())*G146/1000,VLOOKUP($B146,totalvolume,2,FALSE())*G146/1000*-1))</f>
        <v>-23.0259992324332</v>
      </c>
      <c r="J146" s="205" t="n">
        <f aca="false">O146+T146</f>
        <v>-23.0569444444444</v>
      </c>
      <c r="K146" s="206" t="n">
        <f aca="false">I146-J146</f>
        <v>0.0309452120112042</v>
      </c>
      <c r="L146" s="79" t="n">
        <f aca="false">L145+I146</f>
        <v>157.179798262372</v>
      </c>
      <c r="M146" s="200" t="n">
        <f aca="false">M145+J146</f>
        <v>142.660409722222</v>
      </c>
      <c r="N146" s="79" t="n">
        <f aca="false">IF(F146="CIG",O146,IF(F146="OBA",O146,IF(F146="HPL",I146-T146,IF(ISERR((O146/$J146)*$I146),0,IF(F146="TP",(O146/$J146)*$I146)))))</f>
        <v>-0</v>
      </c>
      <c r="O146" s="205" t="n">
        <f aca="false">IF(LEFT(B146,1)="1",VLOOKUP(B146,Cigsch,3,FALSE())/1000,VLOOKUP(B146,Cigsch,3,FALSE())/1000*-1)*POLLHOURSFLOWED</f>
        <v>-0</v>
      </c>
      <c r="P146" s="206" t="n">
        <f aca="false">N146-O146</f>
        <v>0</v>
      </c>
      <c r="Q146" s="79" t="n">
        <f aca="false">Q145+N146</f>
        <v>35.3202807188784</v>
      </c>
      <c r="R146" s="201" t="n">
        <f aca="false">R145+O146</f>
        <v>14.8318229166667</v>
      </c>
      <c r="S146" s="207" t="n">
        <f aca="false">I146-N146</f>
        <v>-23.0259992324332</v>
      </c>
      <c r="T146" s="205" t="n">
        <f aca="false">IF(LEFT(B146,1)="1",VLOOKUP(B146,Cigsch,2,FALSE())/1000,VLOOKUP(B146,Cigsch,2,FALSE())/1000*-1)*POLLHOURSFLOWED</f>
        <v>-23.0569444444444</v>
      </c>
      <c r="U146" s="206" t="n">
        <f aca="false">S146-T146</f>
        <v>0.0309452120112042</v>
      </c>
      <c r="V146" s="203" t="n">
        <f aca="false">V145+S146</f>
        <v>121.859517543494</v>
      </c>
      <c r="W146" s="79" t="n">
        <f aca="false">W145+T146</f>
        <v>127.828586805556</v>
      </c>
      <c r="X146" s="208" t="n">
        <f aca="false">S146-Y146</f>
        <v>-23.0259992324332</v>
      </c>
      <c r="Y146" s="209" t="n">
        <f aca="false">IF(F146="OBA",I146-J146,0)</f>
        <v>0</v>
      </c>
      <c r="AB146" s="194"/>
      <c r="AC146" s="194"/>
    </row>
    <row r="147" customFormat="false" ht="12.75" hidden="false" customHeight="false" outlineLevel="0" collapsed="false">
      <c r="A147" s="253" t="n">
        <v>814.1</v>
      </c>
      <c r="B147" s="308" t="n">
        <v>26166</v>
      </c>
      <c r="C147" s="178"/>
      <c r="D147" s="179" t="s">
        <v>254</v>
      </c>
      <c r="E147" s="179" t="s">
        <v>116</v>
      </c>
      <c r="F147" s="180" t="s">
        <v>116</v>
      </c>
      <c r="G147" s="181" t="n">
        <f aca="false">VLOOKUP($B147,BTU,2,FALSE())/1000</f>
        <v>1.02378699</v>
      </c>
      <c r="H147" s="182" t="str">
        <f aca="false">VLOOKUP($B147,spotdata,3,FALSE())</f>
        <v>    </v>
      </c>
      <c r="I147" s="204" t="n">
        <f aca="false">IF(VLOOKUP($B147,errordata,3,FALSE())="UNAV",J147*POLLHOURSFLOWED,IF(LEFT(B147,1)="1",VLOOKUP($B147,totalvolume,2,FALSE())*G147/1000,VLOOKUP($B147,totalvolume,2,FALSE())*G147/1000*-1))</f>
        <v>-4.41990789480918</v>
      </c>
      <c r="J147" s="205" t="n">
        <f aca="false">O147+T147</f>
        <v>-4.43402777777778</v>
      </c>
      <c r="K147" s="206" t="n">
        <f aca="false">I147-J147</f>
        <v>0.0141198829686022</v>
      </c>
      <c r="L147" s="79" t="n">
        <f aca="false">L146+I147</f>
        <v>152.759890367563</v>
      </c>
      <c r="M147" s="200" t="n">
        <f aca="false">M146+J147</f>
        <v>138.226381944445</v>
      </c>
      <c r="N147" s="79" t="n">
        <f aca="false">IF(F147="CIG",O147,IF(F147="OBA",O147,IF(F147="HPL",I147-T147,IF(ISERR((O147/$J147)*$I147),0,IF(F147="TP",(O147/$J147)*$I147)))))</f>
        <v>-0</v>
      </c>
      <c r="O147" s="205" t="n">
        <f aca="false">IF(LEFT(B147,1)="1",VLOOKUP(B147,Cigsch,3,FALSE())/1000,VLOOKUP(B147,Cigsch,3,FALSE())/1000*-1)*POLLHOURSFLOWED</f>
        <v>-0</v>
      </c>
      <c r="P147" s="206" t="n">
        <f aca="false">N147-O147</f>
        <v>0</v>
      </c>
      <c r="Q147" s="79" t="n">
        <f aca="false">Q146+N147</f>
        <v>35.3202807188784</v>
      </c>
      <c r="R147" s="201" t="n">
        <f aca="false">R146+O147</f>
        <v>14.8318229166667</v>
      </c>
      <c r="S147" s="207" t="n">
        <f aca="false">I147-N147</f>
        <v>-4.41990789480918</v>
      </c>
      <c r="T147" s="205" t="n">
        <f aca="false">IF(LEFT(B147,1)="1",VLOOKUP(B147,Cigsch,2,FALSE())/1000,VLOOKUP(B147,Cigsch,2,FALSE())/1000*-1)*POLLHOURSFLOWED</f>
        <v>-4.43402777777778</v>
      </c>
      <c r="U147" s="206" t="n">
        <f aca="false">S147-T147</f>
        <v>0.0141198829686022</v>
      </c>
      <c r="V147" s="203" t="n">
        <f aca="false">V146+S147</f>
        <v>117.439609648684</v>
      </c>
      <c r="W147" s="79" t="n">
        <f aca="false">W146+T147</f>
        <v>123.394559027778</v>
      </c>
      <c r="X147" s="208" t="n">
        <f aca="false">S147-Y147</f>
        <v>-4.41990789480918</v>
      </c>
      <c r="Y147" s="209" t="n">
        <f aca="false">IF(F147="OBA",I147-J147,0)</f>
        <v>0</v>
      </c>
      <c r="AB147" s="194"/>
      <c r="AC147" s="194"/>
    </row>
    <row r="148" customFormat="false" ht="12.75" hidden="false" customHeight="false" outlineLevel="0" collapsed="false">
      <c r="A148" s="253" t="n">
        <v>814.1</v>
      </c>
      <c r="B148" s="179" t="n">
        <v>26025</v>
      </c>
      <c r="C148" s="178"/>
      <c r="D148" s="179" t="s">
        <v>255</v>
      </c>
      <c r="E148" s="179" t="s">
        <v>116</v>
      </c>
      <c r="F148" s="180" t="s">
        <v>116</v>
      </c>
      <c r="G148" s="181" t="n">
        <f aca="false">VLOOKUP($B148,BTU,2,FALSE())/1000</f>
        <v>1.02378699</v>
      </c>
      <c r="H148" s="182" t="str">
        <f aca="false">VLOOKUP($B148,spotdata,3,FALSE())</f>
        <v>    </v>
      </c>
      <c r="I148" s="204" t="n">
        <f aca="false">IF(VLOOKUP($B148,errordata,3,FALSE())="UNAV",J148*POLLHOURSFLOWED,IF(LEFT(B148,1)="1",VLOOKUP($B148,totalvolume,2,FALSE())*G148/1000,VLOOKUP($B148,totalvolume,2,FALSE())*G148/1000*-1))</f>
        <v>-0</v>
      </c>
      <c r="J148" s="205" t="n">
        <f aca="false">O148+T148</f>
        <v>-0</v>
      </c>
      <c r="K148" s="206" t="n">
        <f aca="false">I148-J148</f>
        <v>0</v>
      </c>
      <c r="L148" s="79" t="n">
        <f aca="false">L147+I148</f>
        <v>152.759890367563</v>
      </c>
      <c r="M148" s="200" t="n">
        <f aca="false">M147+J148</f>
        <v>138.226381944445</v>
      </c>
      <c r="N148" s="79" t="n">
        <f aca="false">IF(F148="CIG",O148,IF(F148="OBA",O148,IF(F148="HPL",I148-T148,IF(ISERR((O148/$J148)*$I148),0,IF(F148="TP",(O148/$J148)*$I148)))))</f>
        <v>-0</v>
      </c>
      <c r="O148" s="205" t="n">
        <f aca="false">IF(LEFT(B148,1)="1",VLOOKUP(B148,Cigsch,3,FALSE())/1000,VLOOKUP(B148,Cigsch,3,FALSE())/1000*-1)*POLLHOURSFLOWED</f>
        <v>-0</v>
      </c>
      <c r="P148" s="206" t="n">
        <f aca="false">N148-O148</f>
        <v>0</v>
      </c>
      <c r="Q148" s="79" t="n">
        <f aca="false">Q147+N148</f>
        <v>35.3202807188784</v>
      </c>
      <c r="R148" s="201" t="n">
        <f aca="false">R147+O148</f>
        <v>14.8318229166667</v>
      </c>
      <c r="S148" s="207" t="n">
        <f aca="false">I148-N148</f>
        <v>0</v>
      </c>
      <c r="T148" s="205" t="n">
        <f aca="false">IF(LEFT(B148,1)="1",VLOOKUP(B148,Cigsch,2,FALSE())/1000,VLOOKUP(B148,Cigsch,2,FALSE())/1000*-1)*POLLHOURSFLOWED</f>
        <v>-0</v>
      </c>
      <c r="U148" s="206" t="n">
        <f aca="false">S148-T148</f>
        <v>0</v>
      </c>
      <c r="V148" s="203" t="n">
        <f aca="false">V147+S148</f>
        <v>117.439609648684</v>
      </c>
      <c r="W148" s="79" t="n">
        <f aca="false">W147+T148</f>
        <v>123.394559027778</v>
      </c>
      <c r="X148" s="208" t="n">
        <f aca="false">S148-Y148</f>
        <v>0</v>
      </c>
      <c r="Y148" s="209" t="n">
        <f aca="false">IF(F148="OBA",I148-J148,0)</f>
        <v>0</v>
      </c>
      <c r="AB148" s="194"/>
      <c r="AC148" s="194"/>
    </row>
    <row r="149" customFormat="false" ht="12.75" hidden="false" customHeight="false" outlineLevel="0" collapsed="false">
      <c r="A149" s="253" t="n">
        <v>814.1</v>
      </c>
      <c r="B149" s="214" t="n">
        <v>26147</v>
      </c>
      <c r="C149" s="178"/>
      <c r="D149" s="179" t="s">
        <v>256</v>
      </c>
      <c r="E149" s="179" t="s">
        <v>116</v>
      </c>
      <c r="F149" s="180" t="s">
        <v>116</v>
      </c>
      <c r="G149" s="181" t="n">
        <f aca="false">VLOOKUP($B149,BTU,2,FALSE())/1000</f>
        <v>1.02378699</v>
      </c>
      <c r="H149" s="182" t="str">
        <f aca="false">VLOOKUP($B149,spotdata,3,FALSE())</f>
        <v>    </v>
      </c>
      <c r="I149" s="204" t="n">
        <f aca="false">IF(VLOOKUP($B149,errordata,3,FALSE())="UNAV",J149*POLLHOURSFLOWED,IF(LEFT(B149,1)="1",VLOOKUP($B149,totalvolume,2,FALSE())*G149/1000,VLOOKUP($B149,totalvolume,2,FALSE())*G149/1000*-1))</f>
        <v>-0</v>
      </c>
      <c r="J149" s="205" t="n">
        <f aca="false">O149+T149</f>
        <v>-0</v>
      </c>
      <c r="K149" s="206" t="n">
        <f aca="false">I149-J149</f>
        <v>0</v>
      </c>
      <c r="L149" s="79" t="n">
        <f aca="false">L148+I149</f>
        <v>152.759890367563</v>
      </c>
      <c r="M149" s="200" t="n">
        <f aca="false">M148+J149</f>
        <v>138.226381944445</v>
      </c>
      <c r="N149" s="79" t="n">
        <f aca="false">IF(F149="CIG",O149,IF(F149="OBA",O149,IF(F149="HPL",I149-T149,IF(ISERR((O149/$J149)*$I149),0,IF(F149="TP",(O149/$J149)*$I149)))))</f>
        <v>-0</v>
      </c>
      <c r="O149" s="205" t="n">
        <f aca="false">IF(LEFT(B149,1)="1",VLOOKUP(B149,Cigsch,3,FALSE())/1000,VLOOKUP(B149,Cigsch,3,FALSE())/1000*-1)*POLLHOURSFLOWED</f>
        <v>-0</v>
      </c>
      <c r="P149" s="206" t="n">
        <f aca="false">N149-O149</f>
        <v>0</v>
      </c>
      <c r="Q149" s="79" t="n">
        <f aca="false">Q148+N149</f>
        <v>35.3202807188784</v>
      </c>
      <c r="R149" s="201" t="n">
        <f aca="false">R148+O149</f>
        <v>14.8318229166667</v>
      </c>
      <c r="S149" s="207" t="n">
        <f aca="false">I149-N149</f>
        <v>0</v>
      </c>
      <c r="T149" s="205" t="n">
        <f aca="false">IF(LEFT(B149,1)="1",VLOOKUP(B149,Cigsch,2,FALSE())/1000,VLOOKUP(B149,Cigsch,2,FALSE())/1000*-1)*POLLHOURSFLOWED</f>
        <v>-0</v>
      </c>
      <c r="U149" s="206" t="n">
        <f aca="false">S149-T149</f>
        <v>0</v>
      </c>
      <c r="V149" s="203" t="n">
        <f aca="false">V148+S149</f>
        <v>117.439609648684</v>
      </c>
      <c r="W149" s="79" t="n">
        <f aca="false">W148+T149</f>
        <v>123.394559027778</v>
      </c>
      <c r="X149" s="208" t="n">
        <f aca="false">S149-Y149</f>
        <v>0</v>
      </c>
      <c r="Y149" s="209" t="n">
        <f aca="false">IF(F149="OBA",I149-J149,0)</f>
        <v>0</v>
      </c>
      <c r="AB149" s="194"/>
      <c r="AC149" s="194"/>
    </row>
    <row r="150" customFormat="false" ht="12.75" hidden="false" customHeight="false" outlineLevel="0" collapsed="false">
      <c r="A150" s="253" t="n">
        <v>814.1</v>
      </c>
      <c r="B150" s="214" t="n">
        <v>26212</v>
      </c>
      <c r="C150" s="178"/>
      <c r="D150" s="179" t="s">
        <v>257</v>
      </c>
      <c r="E150" s="179" t="s">
        <v>116</v>
      </c>
      <c r="F150" s="180" t="s">
        <v>116</v>
      </c>
      <c r="G150" s="181" t="n">
        <f aca="false">VLOOKUP($B150,BTU,2,FALSE())/1000</f>
        <v>1.02378699</v>
      </c>
      <c r="H150" s="182" t="str">
        <f aca="false">VLOOKUP($B150,spotdata,3,FALSE())</f>
        <v>    </v>
      </c>
      <c r="I150" s="204" t="n">
        <f aca="false">IF(VLOOKUP($B150,errordata,3,FALSE())="UNAV",J150*POLLHOURSFLOWED,IF(LEFT(B150,1)="1",VLOOKUP($B150,totalvolume,2,FALSE())*G150/1000,VLOOKUP($B150,totalvolume,2,FALSE())*G150/1000*-1))</f>
        <v>-0</v>
      </c>
      <c r="J150" s="205" t="n">
        <f aca="false">O150+T150</f>
        <v>-0</v>
      </c>
      <c r="K150" s="206" t="n">
        <f aca="false">I150-J150</f>
        <v>0</v>
      </c>
      <c r="L150" s="79" t="n">
        <f aca="false">L149+I150</f>
        <v>152.759890367563</v>
      </c>
      <c r="M150" s="200" t="n">
        <f aca="false">M149+J150</f>
        <v>138.226381944445</v>
      </c>
      <c r="N150" s="79" t="n">
        <f aca="false">IF(F150="CIG",O150,IF(F150="OBA",O150,IF(F150="HPL",I150-T150,IF(ISERR((O150/$J150)*$I150),0,IF(F150="TP",(O150/$J150)*$I150)))))</f>
        <v>-0</v>
      </c>
      <c r="O150" s="205" t="n">
        <f aca="false">IF(LEFT(B150,1)="1",VLOOKUP(B150,Cigsch,3,FALSE())/1000,VLOOKUP(B150,Cigsch,3,FALSE())/1000*-1)*POLLHOURSFLOWED</f>
        <v>-0</v>
      </c>
      <c r="P150" s="206" t="n">
        <f aca="false">N150-O150</f>
        <v>0</v>
      </c>
      <c r="Q150" s="79" t="n">
        <f aca="false">Q149+N150</f>
        <v>35.3202807188784</v>
      </c>
      <c r="R150" s="201" t="n">
        <f aca="false">R149+O150</f>
        <v>14.8318229166667</v>
      </c>
      <c r="S150" s="207" t="n">
        <f aca="false">I150-N150</f>
        <v>0</v>
      </c>
      <c r="T150" s="205" t="n">
        <f aca="false">IF(LEFT(B150,1)="1",VLOOKUP(B150,Cigsch,2,FALSE())/1000,VLOOKUP(B150,Cigsch,2,FALSE())/1000*-1)*POLLHOURSFLOWED</f>
        <v>-0</v>
      </c>
      <c r="U150" s="206" t="n">
        <f aca="false">S150-T150</f>
        <v>0</v>
      </c>
      <c r="V150" s="203" t="n">
        <f aca="false">V149+S150</f>
        <v>117.439609648684</v>
      </c>
      <c r="W150" s="79" t="n">
        <f aca="false">W149+T150</f>
        <v>123.394559027778</v>
      </c>
      <c r="X150" s="208" t="n">
        <f aca="false">S150-Y150</f>
        <v>0</v>
      </c>
      <c r="Y150" s="209" t="n">
        <f aca="false">IF(F150="OBA",I150-J150,0)</f>
        <v>0</v>
      </c>
      <c r="AB150" s="194"/>
      <c r="AC150" s="194"/>
    </row>
    <row r="151" customFormat="false" ht="12.75" hidden="false" customHeight="false" outlineLevel="0" collapsed="false">
      <c r="A151" s="253" t="n">
        <v>814.1</v>
      </c>
      <c r="B151" s="214" t="n">
        <v>26216</v>
      </c>
      <c r="C151" s="178"/>
      <c r="D151" s="179" t="s">
        <v>258</v>
      </c>
      <c r="E151" s="179" t="s">
        <v>116</v>
      </c>
      <c r="F151" s="180" t="s">
        <v>116</v>
      </c>
      <c r="G151" s="181" t="n">
        <f aca="false">VLOOKUP($B151,BTU,2,FALSE())/1000</f>
        <v>1.02378699</v>
      </c>
      <c r="H151" s="182" t="str">
        <f aca="false">VLOOKUP($B151,spotdata,3,FALSE())</f>
        <v>    </v>
      </c>
      <c r="I151" s="204" t="n">
        <f aca="false">IF(VLOOKUP($B151,errordata,3,FALSE())="UNAV",J151*POLLHOURSFLOWED,IF(LEFT(B151,1)="1",VLOOKUP($B151,totalvolume,2,FALSE())*G151/1000,VLOOKUP($B151,totalvolume,2,FALSE())*G151/1000*-1))</f>
        <v>-13.2107323236921</v>
      </c>
      <c r="J151" s="205" t="n">
        <f aca="false">O151+T151</f>
        <v>-13.3020833333333</v>
      </c>
      <c r="K151" s="206" t="n">
        <f aca="false">I151-J151</f>
        <v>0.0913510096412331</v>
      </c>
      <c r="L151" s="79" t="n">
        <f aca="false">L150+I151</f>
        <v>139.549158043871</v>
      </c>
      <c r="M151" s="200" t="n">
        <f aca="false">M150+J151</f>
        <v>124.924298611111</v>
      </c>
      <c r="N151" s="79" t="n">
        <f aca="false">IF(F151="CIG",O151,IF(F151="OBA",O151,IF(F151="HPL",I151-T151,IF(ISERR((O151/$J151)*$I151),0,IF(F151="TP",(O151/$J151)*$I151)))))</f>
        <v>-0</v>
      </c>
      <c r="O151" s="205" t="n">
        <f aca="false">IF(LEFT(B151,1)="1",VLOOKUP(B151,Cigsch,3,FALSE())/1000,VLOOKUP(B151,Cigsch,3,FALSE())/1000*-1)*POLLHOURSFLOWED</f>
        <v>-0</v>
      </c>
      <c r="P151" s="206" t="n">
        <f aca="false">N151-O151</f>
        <v>0</v>
      </c>
      <c r="Q151" s="79" t="n">
        <f aca="false">Q150+N151</f>
        <v>35.3202807188784</v>
      </c>
      <c r="R151" s="201" t="n">
        <f aca="false">R150+O151</f>
        <v>14.8318229166667</v>
      </c>
      <c r="S151" s="207" t="n">
        <f aca="false">I151-N151</f>
        <v>-13.2107323236921</v>
      </c>
      <c r="T151" s="205" t="n">
        <f aca="false">IF(LEFT(B151,1)="1",VLOOKUP(B151,Cigsch,2,FALSE())/1000,VLOOKUP(B151,Cigsch,2,FALSE())/1000*-1)*POLLHOURSFLOWED</f>
        <v>-13.3020833333333</v>
      </c>
      <c r="U151" s="206" t="n">
        <f aca="false">S151-T151</f>
        <v>0.0913510096412331</v>
      </c>
      <c r="V151" s="203" t="n">
        <f aca="false">V150+S151</f>
        <v>104.228877324992</v>
      </c>
      <c r="W151" s="79" t="n">
        <f aca="false">W150+T151</f>
        <v>110.092475694445</v>
      </c>
      <c r="X151" s="208" t="n">
        <f aca="false">S151-Y151</f>
        <v>-13.2107323236921</v>
      </c>
      <c r="Y151" s="209" t="n">
        <f aca="false">IF(F151="OBA",I151-J151,0)</f>
        <v>0</v>
      </c>
      <c r="AB151" s="194"/>
      <c r="AC151" s="194"/>
    </row>
    <row r="152" customFormat="false" ht="12.75" hidden="false" customHeight="false" outlineLevel="0" collapsed="false">
      <c r="A152" s="253" t="n">
        <v>814.1</v>
      </c>
      <c r="B152" s="179" t="n">
        <v>26158</v>
      </c>
      <c r="C152" s="178"/>
      <c r="D152" s="179" t="s">
        <v>259</v>
      </c>
      <c r="E152" s="179" t="s">
        <v>116</v>
      </c>
      <c r="F152" s="180" t="s">
        <v>116</v>
      </c>
      <c r="G152" s="181" t="n">
        <f aca="false">VLOOKUP($B152,BTU,2,FALSE())/1000</f>
        <v>1.02378699</v>
      </c>
      <c r="H152" s="182" t="str">
        <f aca="false">VLOOKUP($B152,spotdata,3,FALSE())</f>
        <v>    </v>
      </c>
      <c r="I152" s="204" t="n">
        <f aca="false">IF(VLOOKUP($B152,errordata,3,FALSE())="UNAV",J152*POLLHOURSFLOWED,IF(LEFT(B152,1)="1",VLOOKUP($B152,totalvolume,2,FALSE())*G152/1000,VLOOKUP($B152,totalvolume,2,FALSE())*G152/1000*-1))</f>
        <v>-10.1980621849874</v>
      </c>
      <c r="J152" s="205" t="n">
        <f aca="false">O152+T152</f>
        <v>-8.86805555555556</v>
      </c>
      <c r="K152" s="206" t="n">
        <f aca="false">I152-J152</f>
        <v>-1.3300066294318</v>
      </c>
      <c r="L152" s="79" t="n">
        <f aca="false">L151+I152</f>
        <v>129.351095858883</v>
      </c>
      <c r="M152" s="200" t="n">
        <f aca="false">M151+J152</f>
        <v>116.056243055556</v>
      </c>
      <c r="N152" s="79" t="n">
        <f aca="false">IF(F152="CIG",O152,IF(F152="OBA",O152,IF(F152="HPL",I152-T152,IF(ISERR((O152/$J152)*$I152),0,IF(F152="TP",(O152/$J152)*$I152)))))</f>
        <v>-0</v>
      </c>
      <c r="O152" s="205" t="n">
        <f aca="false">IF(LEFT(B152,1)="1",VLOOKUP(B152,Cigsch,3,FALSE())/1000,VLOOKUP(B152,Cigsch,3,FALSE())/1000*-1)*POLLHOURSFLOWED</f>
        <v>-0</v>
      </c>
      <c r="P152" s="206" t="n">
        <f aca="false">N152-O152</f>
        <v>0</v>
      </c>
      <c r="Q152" s="79" t="n">
        <f aca="false">Q151+N152</f>
        <v>35.3202807188784</v>
      </c>
      <c r="R152" s="201" t="n">
        <f aca="false">R151+O152</f>
        <v>14.8318229166667</v>
      </c>
      <c r="S152" s="207" t="n">
        <f aca="false">I152-N152</f>
        <v>-10.1980621849874</v>
      </c>
      <c r="T152" s="205" t="n">
        <f aca="false">IF(LEFT(B152,1)="1",VLOOKUP(B152,Cigsch,2,FALSE())/1000,VLOOKUP(B152,Cigsch,2,FALSE())/1000*-1)*POLLHOURSFLOWED</f>
        <v>-8.86805555555556</v>
      </c>
      <c r="U152" s="206" t="n">
        <f aca="false">S152-T152</f>
        <v>-1.3300066294318</v>
      </c>
      <c r="V152" s="203" t="n">
        <f aca="false">V151+S152</f>
        <v>94.0308151400049</v>
      </c>
      <c r="W152" s="79" t="n">
        <f aca="false">W151+T152</f>
        <v>101.224420138889</v>
      </c>
      <c r="X152" s="208" t="n">
        <f aca="false">S152-Y152</f>
        <v>-10.1980621849874</v>
      </c>
      <c r="Y152" s="209" t="n">
        <f aca="false">IF(F152="OBA",I152-J152,0)</f>
        <v>0</v>
      </c>
      <c r="AB152" s="194"/>
      <c r="AC152" s="194"/>
    </row>
    <row r="153" customFormat="false" ht="12.75" hidden="false" customHeight="false" outlineLevel="0" collapsed="false">
      <c r="A153" s="273" t="n">
        <v>814.1</v>
      </c>
      <c r="B153" s="211" t="n">
        <v>26189</v>
      </c>
      <c r="C153" s="210"/>
      <c r="D153" s="211" t="s">
        <v>260</v>
      </c>
      <c r="E153" s="211" t="s">
        <v>118</v>
      </c>
      <c r="F153" s="212" t="s">
        <v>116</v>
      </c>
      <c r="G153" s="213" t="n">
        <f aca="false">VLOOKUP($B153,BTU,2,FALSE())/1000</f>
        <v>1.02378699</v>
      </c>
      <c r="H153" s="182" t="str">
        <f aca="false">VLOOKUP($B153,spotdata,3,FALSE())</f>
        <v>COMM</v>
      </c>
      <c r="I153" s="204" t="n">
        <f aca="false">IF(VLOOKUP($B153,errordata,3,FALSE())="UNAV",J153*POLLHOURSFLOWED,IF(LEFT(B153,1)="1",VLOOKUP($B153,totalvolume,2,FALSE())*G153/1000,VLOOKUP($B153,totalvolume,2,FALSE())*G153/1000*-1))</f>
        <v>-0</v>
      </c>
      <c r="J153" s="205" t="n">
        <f aca="false">O153+T153</f>
        <v>-0</v>
      </c>
      <c r="K153" s="206" t="n">
        <f aca="false">I153-J153</f>
        <v>0</v>
      </c>
      <c r="L153" s="79" t="n">
        <f aca="false">L152+I153</f>
        <v>129.351095858883</v>
      </c>
      <c r="M153" s="200" t="n">
        <f aca="false">M152+J153</f>
        <v>116.056243055556</v>
      </c>
      <c r="N153" s="79" t="n">
        <f aca="false">IF(F153="CIG",O153,IF(F153="OBA",O153,IF(F153="HPL",I153-T153,IF(ISERR((O153/$J153)*$I153),0,IF(F153="TP",(O153/$J153)*$I153)))))</f>
        <v>-0</v>
      </c>
      <c r="O153" s="205" t="n">
        <f aca="false">IF(LEFT(B153,1)="1",VLOOKUP(B153,Cigsch,3,FALSE())/1000,VLOOKUP(B153,Cigsch,3,FALSE())/1000*-1)*POLLHOURSFLOWED</f>
        <v>-0</v>
      </c>
      <c r="P153" s="206" t="n">
        <f aca="false">N153-O153</f>
        <v>0</v>
      </c>
      <c r="Q153" s="79" t="n">
        <f aca="false">Q152+N153</f>
        <v>35.3202807188784</v>
      </c>
      <c r="R153" s="201" t="n">
        <f aca="false">R152+O153</f>
        <v>14.8318229166667</v>
      </c>
      <c r="S153" s="207" t="n">
        <f aca="false">I153-N153</f>
        <v>0</v>
      </c>
      <c r="T153" s="205" t="n">
        <f aca="false">IF(LEFT(B153,1)="1",VLOOKUP(B153,Cigsch,2,FALSE())/1000,VLOOKUP(B153,Cigsch,2,FALSE())/1000*-1)*POLLHOURSFLOWED</f>
        <v>-0</v>
      </c>
      <c r="U153" s="206" t="n">
        <f aca="false">S153-T153</f>
        <v>0</v>
      </c>
      <c r="V153" s="203" t="n">
        <f aca="false">V152+S153</f>
        <v>94.0308151400049</v>
      </c>
      <c r="W153" s="79" t="n">
        <f aca="false">W152+T153</f>
        <v>101.224420138889</v>
      </c>
      <c r="X153" s="208" t="n">
        <f aca="false">S153-Y153</f>
        <v>0</v>
      </c>
      <c r="Y153" s="209" t="n">
        <f aca="false">IF(F153="OBA",I153-J153,0)</f>
        <v>0</v>
      </c>
      <c r="AB153" s="194"/>
      <c r="AC153" s="194"/>
    </row>
    <row r="154" customFormat="false" ht="12.75" hidden="false" customHeight="false" outlineLevel="0" collapsed="false">
      <c r="A154" s="253" t="n">
        <v>814.1</v>
      </c>
      <c r="B154" s="179" t="n">
        <v>26188</v>
      </c>
      <c r="C154" s="178"/>
      <c r="D154" s="179" t="s">
        <v>261</v>
      </c>
      <c r="E154" s="179" t="s">
        <v>116</v>
      </c>
      <c r="F154" s="180" t="s">
        <v>116</v>
      </c>
      <c r="G154" s="181" t="n">
        <f aca="false">VLOOKUP($B154,BTU,2,FALSE())/1000</f>
        <v>1.02378699</v>
      </c>
      <c r="H154" s="182" t="str">
        <f aca="false">VLOOKUP($B154,spotdata,3,FALSE())</f>
        <v>    </v>
      </c>
      <c r="I154" s="204" t="n">
        <f aca="false">IF(VLOOKUP($B154,errordata,3,FALSE())="UNAV",J154*POLLHOURSFLOWED,IF(LEFT(B154,1)="1",VLOOKUP($B154,totalvolume,2,FALSE())*G154/1000,VLOOKUP($B154,totalvolume,2,FALSE())*G154/1000*-1))</f>
        <v>-6.92974818616361</v>
      </c>
      <c r="J154" s="205" t="n">
        <f aca="false">O154+T154</f>
        <v>-4.43402777777778</v>
      </c>
      <c r="K154" s="206" t="n">
        <f aca="false">I154-J154</f>
        <v>-2.49572040838583</v>
      </c>
      <c r="L154" s="79" t="n">
        <f aca="false">L153+I154</f>
        <v>122.42134767272</v>
      </c>
      <c r="M154" s="200" t="n">
        <f aca="false">M153+J154</f>
        <v>111.622215277778</v>
      </c>
      <c r="N154" s="79" t="n">
        <f aca="false">IF(F154="CIG",O154,IF(F154="OBA",O154,IF(F154="HPL",I154-T154,IF(ISERR((O154/$J154)*$I154),0,IF(F154="TP",(O154/$J154)*$I154)))))</f>
        <v>-0</v>
      </c>
      <c r="O154" s="205" t="n">
        <f aca="false">IF(LEFT(B154,1)="1",VLOOKUP(B154,Cigsch,3,FALSE())/1000,VLOOKUP(B154,Cigsch,3,FALSE())/1000*-1)*POLLHOURSFLOWED</f>
        <v>-0</v>
      </c>
      <c r="P154" s="206" t="n">
        <f aca="false">N154-O154</f>
        <v>0</v>
      </c>
      <c r="Q154" s="79" t="n">
        <f aca="false">Q153+N154</f>
        <v>35.3202807188784</v>
      </c>
      <c r="R154" s="201" t="n">
        <f aca="false">R153+O154</f>
        <v>14.8318229166667</v>
      </c>
      <c r="S154" s="207" t="n">
        <f aca="false">I154-N154</f>
        <v>-6.92974818616361</v>
      </c>
      <c r="T154" s="205" t="n">
        <f aca="false">IF(LEFT(B154,1)="1",VLOOKUP(B154,Cigsch,2,FALSE())/1000,VLOOKUP(B154,Cigsch,2,FALSE())/1000*-1)*POLLHOURSFLOWED</f>
        <v>-4.43402777777778</v>
      </c>
      <c r="U154" s="206" t="n">
        <f aca="false">S154-T154</f>
        <v>-2.49572040838583</v>
      </c>
      <c r="V154" s="203" t="n">
        <f aca="false">V153+S154</f>
        <v>87.1010669538413</v>
      </c>
      <c r="W154" s="79" t="n">
        <f aca="false">W153+T154</f>
        <v>96.7903923611112</v>
      </c>
      <c r="X154" s="208" t="n">
        <f aca="false">S154-Y154</f>
        <v>-6.92974818616361</v>
      </c>
      <c r="Y154" s="209" t="n">
        <f aca="false">IF(F154="OBA",I154-J154,0)</f>
        <v>0</v>
      </c>
      <c r="AB154" s="194"/>
      <c r="AC154" s="194"/>
    </row>
    <row r="155" customFormat="false" ht="12.75" hidden="false" customHeight="false" outlineLevel="0" collapsed="false">
      <c r="A155" s="253" t="n">
        <v>814.1</v>
      </c>
      <c r="B155" s="214" t="n">
        <v>26187</v>
      </c>
      <c r="C155" s="178"/>
      <c r="D155" s="179" t="s">
        <v>262</v>
      </c>
      <c r="E155" s="179" t="s">
        <v>116</v>
      </c>
      <c r="F155" s="180" t="s">
        <v>116</v>
      </c>
      <c r="G155" s="181" t="n">
        <f aca="false">VLOOKUP($B155,BTU,2,FALSE())/1000</f>
        <v>1.02378699</v>
      </c>
      <c r="H155" s="182" t="str">
        <f aca="false">VLOOKUP($B155,spotdata,3,FALSE())</f>
        <v>    </v>
      </c>
      <c r="I155" s="204" t="n">
        <f aca="false">IF(VLOOKUP($B155,errordata,3,FALSE())="UNAV",J155*POLLHOURSFLOWED,IF(LEFT(B155,1)="1",VLOOKUP($B155,totalvolume,2,FALSE())*G155/1000,VLOOKUP($B155,totalvolume,2,FALSE())*G155/1000*-1))</f>
        <v>-0</v>
      </c>
      <c r="J155" s="205" t="n">
        <f aca="false">O155+T155</f>
        <v>-0</v>
      </c>
      <c r="K155" s="206" t="n">
        <f aca="false">I155-J155</f>
        <v>0</v>
      </c>
      <c r="L155" s="79" t="n">
        <f aca="false">L154+I155</f>
        <v>122.42134767272</v>
      </c>
      <c r="M155" s="200" t="n">
        <f aca="false">M154+J155</f>
        <v>111.622215277778</v>
      </c>
      <c r="N155" s="79" t="n">
        <f aca="false">IF(F155="CIG",O155,IF(F155="OBA",O155,IF(F155="HPL",I155-T155,IF(ISERR((O155/$J155)*$I155),0,IF(F155="TP",(O155/$J155)*$I155)))))</f>
        <v>-0</v>
      </c>
      <c r="O155" s="205" t="n">
        <f aca="false">IF(LEFT(B155,1)="1",VLOOKUP(B155,Cigsch,3,FALSE())/1000,VLOOKUP(B155,Cigsch,3,FALSE())/1000*-1)*POLLHOURSFLOWED</f>
        <v>-0</v>
      </c>
      <c r="P155" s="206" t="n">
        <f aca="false">N155-O155</f>
        <v>0</v>
      </c>
      <c r="Q155" s="79" t="n">
        <f aca="false">Q154+N155</f>
        <v>35.3202807188784</v>
      </c>
      <c r="R155" s="201" t="n">
        <f aca="false">R154+O155</f>
        <v>14.8318229166667</v>
      </c>
      <c r="S155" s="207" t="n">
        <f aca="false">I155-N155</f>
        <v>0</v>
      </c>
      <c r="T155" s="205" t="n">
        <f aca="false">IF(LEFT(B155,1)="1",VLOOKUP(B155,Cigsch,2,FALSE())/1000,VLOOKUP(B155,Cigsch,2,FALSE())/1000*-1)*POLLHOURSFLOWED</f>
        <v>-0</v>
      </c>
      <c r="U155" s="206" t="n">
        <f aca="false">S155-T155</f>
        <v>0</v>
      </c>
      <c r="V155" s="203" t="n">
        <f aca="false">V154+S155</f>
        <v>87.1010669538413</v>
      </c>
      <c r="W155" s="79" t="n">
        <f aca="false">W154+T155</f>
        <v>96.7903923611112</v>
      </c>
      <c r="X155" s="208" t="n">
        <f aca="false">S155-Y155</f>
        <v>0</v>
      </c>
      <c r="Y155" s="209" t="n">
        <f aca="false">IF(F155="OBA",I155-J155,0)</f>
        <v>0</v>
      </c>
      <c r="AB155" s="194"/>
      <c r="AC155" s="194"/>
    </row>
    <row r="156" customFormat="false" ht="12.75" hidden="false" customHeight="false" outlineLevel="0" collapsed="false">
      <c r="A156" s="253" t="n">
        <v>814.1</v>
      </c>
      <c r="B156" s="214" t="n">
        <v>26202</v>
      </c>
      <c r="C156" s="178"/>
      <c r="D156" s="179" t="s">
        <v>263</v>
      </c>
      <c r="E156" s="179" t="s">
        <v>116</v>
      </c>
      <c r="F156" s="180" t="s">
        <v>116</v>
      </c>
      <c r="G156" s="181" t="n">
        <f aca="false">VLOOKUP($B156,BTU,2,FALSE())/1000</f>
        <v>1.02378699</v>
      </c>
      <c r="H156" s="182" t="str">
        <f aca="false">VLOOKUP($B156,spotdata,3,FALSE())</f>
        <v>    </v>
      </c>
      <c r="I156" s="204" t="n">
        <f aca="false">IF(VLOOKUP($B156,errordata,3,FALSE())="UNAV",J156*POLLHOURSFLOWED,IF(LEFT(B156,1)="1",VLOOKUP($B156,totalvolume,2,FALSE())*G156/1000,VLOOKUP($B156,totalvolume,2,FALSE())*G156/1000*-1))</f>
        <v>-0</v>
      </c>
      <c r="J156" s="205" t="n">
        <f aca="false">O156+T156</f>
        <v>-0</v>
      </c>
      <c r="K156" s="206" t="n">
        <f aca="false">I156-J156</f>
        <v>0</v>
      </c>
      <c r="L156" s="79" t="n">
        <f aca="false">L155+I156</f>
        <v>122.42134767272</v>
      </c>
      <c r="M156" s="200" t="n">
        <f aca="false">M155+J156</f>
        <v>111.622215277778</v>
      </c>
      <c r="N156" s="79" t="n">
        <f aca="false">IF(F156="CIG",O156,IF(F156="OBA",O156,IF(F156="HPL",I156-T156,IF(ISERR((O156/$J156)*$I156),0,IF(F156="TP",(O156/$J156)*$I156)))))</f>
        <v>-0</v>
      </c>
      <c r="O156" s="205" t="n">
        <f aca="false">IF(LEFT(B156,1)="1",VLOOKUP(B156,Cigsch,3,FALSE())/1000,VLOOKUP(B156,Cigsch,3,FALSE())/1000*-1)*POLLHOURSFLOWED</f>
        <v>-0</v>
      </c>
      <c r="P156" s="206" t="n">
        <f aca="false">N156-O156</f>
        <v>0</v>
      </c>
      <c r="Q156" s="79" t="n">
        <f aca="false">Q155+N156</f>
        <v>35.3202807188784</v>
      </c>
      <c r="R156" s="201" t="n">
        <f aca="false">R155+O156</f>
        <v>14.8318229166667</v>
      </c>
      <c r="S156" s="207" t="n">
        <f aca="false">I156-N156</f>
        <v>0</v>
      </c>
      <c r="T156" s="205" t="n">
        <f aca="false">IF(LEFT(B156,1)="1",VLOOKUP(B156,Cigsch,2,FALSE())/1000,VLOOKUP(B156,Cigsch,2,FALSE())/1000*-1)*POLLHOURSFLOWED</f>
        <v>-0</v>
      </c>
      <c r="U156" s="206" t="n">
        <f aca="false">S156-T156</f>
        <v>0</v>
      </c>
      <c r="V156" s="203" t="n">
        <f aca="false">V155+S156</f>
        <v>87.1010669538413</v>
      </c>
      <c r="W156" s="79" t="n">
        <f aca="false">W155+T156</f>
        <v>96.7903923611112</v>
      </c>
      <c r="X156" s="208" t="n">
        <f aca="false">S156-Y156</f>
        <v>0</v>
      </c>
      <c r="Y156" s="209" t="n">
        <f aca="false">IF(F156="OBA",I156-J156,0)</f>
        <v>0</v>
      </c>
      <c r="AB156" s="194"/>
      <c r="AC156" s="194"/>
    </row>
    <row r="157" customFormat="false" ht="12.75" hidden="false" customHeight="false" outlineLevel="0" collapsed="false">
      <c r="A157" s="253" t="n">
        <v>814.1</v>
      </c>
      <c r="B157" s="214" t="n">
        <v>26204</v>
      </c>
      <c r="C157" s="178"/>
      <c r="D157" s="179" t="s">
        <v>264</v>
      </c>
      <c r="E157" s="179" t="s">
        <v>116</v>
      </c>
      <c r="F157" s="180" t="s">
        <v>116</v>
      </c>
      <c r="G157" s="181" t="n">
        <f aca="false">VLOOKUP($B157,BTU,2,FALSE())/1000</f>
        <v>1.02378699</v>
      </c>
      <c r="H157" s="182" t="str">
        <f aca="false">VLOOKUP($B157,spotdata,3,FALSE())</f>
        <v>    </v>
      </c>
      <c r="I157" s="204" t="n">
        <f aca="false">IF(VLOOKUP($B157,errordata,3,FALSE())="UNAV",J157*POLLHOURSFLOWED,IF(LEFT(B157,1)="1",VLOOKUP($B157,totalvolume,2,FALSE())*G157/1000,VLOOKUP($B157,totalvolume,2,FALSE())*G157/1000*-1))</f>
        <v>-8.81712849587616</v>
      </c>
      <c r="J157" s="205" t="n">
        <f aca="false">O157+T157</f>
        <v>-8.86805555555556</v>
      </c>
      <c r="K157" s="206" t="n">
        <f aca="false">I157-J157</f>
        <v>0.0509270596793918</v>
      </c>
      <c r="L157" s="79" t="n">
        <f aca="false">L156+I157</f>
        <v>113.604219176844</v>
      </c>
      <c r="M157" s="200" t="n">
        <f aca="false">M156+J157</f>
        <v>102.754159722222</v>
      </c>
      <c r="N157" s="79" t="n">
        <f aca="false">IF(F157="CIG",O157,IF(F157="OBA",O157,IF(F157="HPL",I157-T157,IF(ISERR((O157/$J157)*$I157),0,IF(F157="TP",(O157/$J157)*$I157)))))</f>
        <v>-0</v>
      </c>
      <c r="O157" s="205" t="n">
        <f aca="false">IF(LEFT(B157,1)="1",VLOOKUP(B157,Cigsch,3,FALSE())/1000,VLOOKUP(B157,Cigsch,3,FALSE())/1000*-1)*POLLHOURSFLOWED</f>
        <v>-0</v>
      </c>
      <c r="P157" s="206" t="n">
        <f aca="false">N157-O157</f>
        <v>0</v>
      </c>
      <c r="Q157" s="79" t="n">
        <f aca="false">Q156+N157</f>
        <v>35.3202807188784</v>
      </c>
      <c r="R157" s="201" t="n">
        <f aca="false">R156+O157</f>
        <v>14.8318229166667</v>
      </c>
      <c r="S157" s="207" t="n">
        <f aca="false">I157-N157</f>
        <v>-8.81712849587616</v>
      </c>
      <c r="T157" s="205" t="n">
        <f aca="false">IF(LEFT(B157,1)="1",VLOOKUP(B157,Cigsch,2,FALSE())/1000,VLOOKUP(B157,Cigsch,2,FALSE())/1000*-1)*POLLHOURSFLOWED</f>
        <v>-8.86805555555556</v>
      </c>
      <c r="U157" s="206" t="n">
        <f aca="false">S157-T157</f>
        <v>0.0509270596793918</v>
      </c>
      <c r="V157" s="203" t="n">
        <f aca="false">V156+S157</f>
        <v>78.2839384579652</v>
      </c>
      <c r="W157" s="79" t="n">
        <f aca="false">W156+T157</f>
        <v>87.9223368055557</v>
      </c>
      <c r="X157" s="208" t="n">
        <f aca="false">S157-Y157</f>
        <v>-8.81712849587616</v>
      </c>
      <c r="Y157" s="209" t="n">
        <f aca="false">IF(F157="OBA",I157-J157,0)</f>
        <v>0</v>
      </c>
      <c r="AB157" s="194"/>
      <c r="AC157" s="194"/>
    </row>
    <row r="158" customFormat="false" ht="12.75" hidden="false" customHeight="false" outlineLevel="0" collapsed="false">
      <c r="A158" s="253" t="n">
        <v>814.1</v>
      </c>
      <c r="B158" s="179" t="n">
        <v>26153</v>
      </c>
      <c r="C158" s="178" t="n">
        <v>8291</v>
      </c>
      <c r="D158" s="179" t="s">
        <v>44</v>
      </c>
      <c r="E158" s="179" t="s">
        <v>116</v>
      </c>
      <c r="F158" s="180" t="s">
        <v>149</v>
      </c>
      <c r="G158" s="181" t="n">
        <f aca="false">VLOOKUP($B158,BTU,2,FALSE())/1000</f>
        <v>1.02378699</v>
      </c>
      <c r="H158" s="182" t="str">
        <f aca="false">VLOOKUP($B158,spotdata,3,FALSE())</f>
        <v>    </v>
      </c>
      <c r="I158" s="204" t="n">
        <f aca="false">IF(VLOOKUP($B158,errordata,3,FALSE())="UNAV",J158*POLLHOURSFLOWED,IF(LEFT(B158,1)="1",VLOOKUP($B158,totalvolume,2,FALSE())*G158/1000,VLOOKUP($B158,totalvolume,2,FALSE())*G158/1000*-1))</f>
        <v>-37.1361653855507</v>
      </c>
      <c r="J158" s="205" t="n">
        <f aca="false">O158+T158</f>
        <v>-30.1513888888889</v>
      </c>
      <c r="K158" s="206" t="n">
        <f aca="false">I158-J158</f>
        <v>-6.98477649666179</v>
      </c>
      <c r="L158" s="79" t="n">
        <f aca="false">L157+I158</f>
        <v>76.468053791293</v>
      </c>
      <c r="M158" s="200" t="n">
        <f aca="false">M157+J158</f>
        <v>72.6027708333335</v>
      </c>
      <c r="N158" s="79" t="n">
        <f aca="false">IF(F158="CIG",O158,IF(F158="OBA",O158,IF(F158="HPL",I158-T158,IF(ISERR((O158/$J158)*$I158),0,IF(F158="TP",(O158/$J158)*$I158)))))</f>
        <v>-37.1361653855507</v>
      </c>
      <c r="O158" s="205" t="n">
        <f aca="false">IF(LEFT(B158,1)="1",VLOOKUP(B158,Cigsch,3,FALSE())/1000,VLOOKUP(B158,Cigsch,3,FALSE())/1000*-1)*POLLHOURSFLOWED</f>
        <v>-30.1513888888889</v>
      </c>
      <c r="P158" s="206" t="n">
        <f aca="false">N158-O158</f>
        <v>-6.98477649666179</v>
      </c>
      <c r="Q158" s="79" t="n">
        <f aca="false">Q157+N158</f>
        <v>-1.81588466667224</v>
      </c>
      <c r="R158" s="201" t="n">
        <f aca="false">R157+O158</f>
        <v>-15.3195659722222</v>
      </c>
      <c r="S158" s="207" t="n">
        <f aca="false">I158-N158</f>
        <v>0</v>
      </c>
      <c r="T158" s="205" t="n">
        <f aca="false">IF(LEFT(B158,1)="1",VLOOKUP(B158,Cigsch,2,FALSE())/1000,VLOOKUP(B158,Cigsch,2,FALSE())/1000*-1)*POLLHOURSFLOWED</f>
        <v>-0</v>
      </c>
      <c r="U158" s="206" t="n">
        <f aca="false">S158-T158</f>
        <v>0</v>
      </c>
      <c r="V158" s="203" t="n">
        <f aca="false">V157+S158</f>
        <v>78.2839384579652</v>
      </c>
      <c r="W158" s="79" t="n">
        <f aca="false">W157+T158</f>
        <v>87.9223368055557</v>
      </c>
      <c r="X158" s="208" t="n">
        <f aca="false">S158-Y158</f>
        <v>0</v>
      </c>
      <c r="Y158" s="209" t="n">
        <f aca="false">IF(F158="OBA",I158-J158,0)</f>
        <v>0</v>
      </c>
      <c r="AB158" s="194"/>
      <c r="AC158" s="194"/>
    </row>
    <row r="159" customFormat="false" ht="12.75" hidden="false" customHeight="false" outlineLevel="0" collapsed="false">
      <c r="A159" s="253" t="n">
        <v>814.1</v>
      </c>
      <c r="B159" s="179" t="n">
        <v>26001</v>
      </c>
      <c r="C159" s="178"/>
      <c r="D159" s="179" t="s">
        <v>265</v>
      </c>
      <c r="E159" s="179" t="s">
        <v>116</v>
      </c>
      <c r="F159" s="180" t="s">
        <v>116</v>
      </c>
      <c r="G159" s="181" t="n">
        <f aca="false">VLOOKUP($B159,BTU,2,FALSE())/1000</f>
        <v>1.02378699</v>
      </c>
      <c r="H159" s="182" t="str">
        <f aca="false">VLOOKUP($B159,spotdata,3,FALSE())</f>
        <v>    </v>
      </c>
      <c r="I159" s="204" t="n">
        <f aca="false">IF(VLOOKUP($B159,errordata,3,FALSE())="UNAV",J159*POLLHOURSFLOWED,IF(LEFT(B159,1)="1",VLOOKUP($B159,totalvolume,2,FALSE())*G159/1000,VLOOKUP($B159,totalvolume,2,FALSE())*G159/1000*-1))</f>
        <v>-3.1826590650628</v>
      </c>
      <c r="J159" s="205" t="n">
        <f aca="false">O159+T159</f>
        <v>-1.77361111111111</v>
      </c>
      <c r="K159" s="206" t="n">
        <f aca="false">I159-J159</f>
        <v>-1.40904795395169</v>
      </c>
      <c r="L159" s="79" t="n">
        <f aca="false">L158+I159</f>
        <v>73.2853947262302</v>
      </c>
      <c r="M159" s="200" t="n">
        <f aca="false">M158+J159</f>
        <v>70.8291597222224</v>
      </c>
      <c r="N159" s="79" t="n">
        <f aca="false">IF(F159="CIG",O159,IF(F159="OBA",O159,IF(F159="HPL",I159-T159,IF(ISERR((O159/$J159)*$I159),0,IF(F159="TP",(O159/$J159)*$I159)))))</f>
        <v>-0</v>
      </c>
      <c r="O159" s="205" t="n">
        <f aca="false">IF(LEFT(B159,1)="1",VLOOKUP(B159,Cigsch,3,FALSE())/1000,VLOOKUP(B159,Cigsch,3,FALSE())/1000*-1)*POLLHOURSFLOWED</f>
        <v>-0</v>
      </c>
      <c r="P159" s="206" t="n">
        <f aca="false">N159-O159</f>
        <v>0</v>
      </c>
      <c r="Q159" s="79" t="n">
        <f aca="false">Q158+N159</f>
        <v>-1.81588466667224</v>
      </c>
      <c r="R159" s="201" t="n">
        <f aca="false">R158+O159</f>
        <v>-15.3195659722222</v>
      </c>
      <c r="S159" s="207" t="n">
        <f aca="false">I159-N159</f>
        <v>-3.1826590650628</v>
      </c>
      <c r="T159" s="205" t="n">
        <f aca="false">IF(LEFT(B159,1)="1",VLOOKUP(B159,Cigsch,2,FALSE())/1000,VLOOKUP(B159,Cigsch,2,FALSE())/1000*-1)*POLLHOURSFLOWED</f>
        <v>-1.77361111111111</v>
      </c>
      <c r="U159" s="206" t="n">
        <f aca="false">S159-T159</f>
        <v>-1.40904795395169</v>
      </c>
      <c r="V159" s="203" t="n">
        <f aca="false">V158+S159</f>
        <v>75.1012793929024</v>
      </c>
      <c r="W159" s="79" t="n">
        <f aca="false">W158+T159</f>
        <v>86.1487256944446</v>
      </c>
      <c r="X159" s="208" t="n">
        <f aca="false">S159-Y159</f>
        <v>-3.1826590650628</v>
      </c>
      <c r="Y159" s="209" t="n">
        <f aca="false">IF(F159="OBA",I159-J159,0)</f>
        <v>0</v>
      </c>
      <c r="AB159" s="194"/>
      <c r="AC159" s="194"/>
    </row>
    <row r="160" customFormat="false" ht="12.75" hidden="false" customHeight="false" outlineLevel="0" collapsed="false">
      <c r="A160" s="273" t="n">
        <v>814.1</v>
      </c>
      <c r="B160" s="211" t="n">
        <v>26114</v>
      </c>
      <c r="C160" s="210"/>
      <c r="D160" s="211" t="s">
        <v>266</v>
      </c>
      <c r="E160" s="211" t="s">
        <v>116</v>
      </c>
      <c r="F160" s="212" t="s">
        <v>116</v>
      </c>
      <c r="G160" s="213" t="n">
        <f aca="false">VLOOKUP($B160,BTU,2,FALSE())/1000</f>
        <v>1.02378699</v>
      </c>
      <c r="H160" s="182" t="str">
        <f aca="false">VLOOKUP($B160,spotdata,3,FALSE())</f>
        <v>    </v>
      </c>
      <c r="I160" s="204" t="n">
        <f aca="false">IF(VLOOKUP($B160,errordata,3,FALSE())="UNAV",J160*POLLHOURSFLOWED,IF(LEFT(B160,1)="1",VLOOKUP($B160,totalvolume,2,FALSE())*G160/1000,VLOOKUP($B160,totalvolume,2,FALSE())*G160/1000*-1))</f>
        <v>-6.93704467508986</v>
      </c>
      <c r="J160" s="205" t="n">
        <f aca="false">O160+T160</f>
        <v>-6.65104166666667</v>
      </c>
      <c r="K160" s="206" t="n">
        <f aca="false">I160-J160</f>
        <v>-0.286003008423191</v>
      </c>
      <c r="L160" s="79" t="n">
        <f aca="false">L159+I160</f>
        <v>66.3483500511403</v>
      </c>
      <c r="M160" s="200" t="n">
        <f aca="false">M159+J160</f>
        <v>64.1781180555557</v>
      </c>
      <c r="N160" s="79" t="n">
        <f aca="false">IF(F160="CIG",O160,IF(F160="OBA",O160,IF(F160="HPL",I160-T160,IF(ISERR((O160/$J160)*$I160),0,IF(F160="TP",(O160/$J160)*$I160)))))</f>
        <v>-0</v>
      </c>
      <c r="O160" s="205" t="n">
        <f aca="false">IF(LEFT(B160,1)="1",VLOOKUP(B160,Cigsch,3,FALSE())/1000,VLOOKUP(B160,Cigsch,3,FALSE())/1000*-1)*POLLHOURSFLOWED</f>
        <v>-0</v>
      </c>
      <c r="P160" s="206" t="n">
        <f aca="false">N160-O160</f>
        <v>0</v>
      </c>
      <c r="Q160" s="79" t="n">
        <f aca="false">Q159+N160</f>
        <v>-1.81588466667224</v>
      </c>
      <c r="R160" s="201" t="n">
        <f aca="false">R159+O160</f>
        <v>-15.3195659722222</v>
      </c>
      <c r="S160" s="207" t="n">
        <f aca="false">I160-N160</f>
        <v>-6.93704467508986</v>
      </c>
      <c r="T160" s="205" t="n">
        <f aca="false">IF(LEFT(B160,1)="1",VLOOKUP(B160,Cigsch,2,FALSE())/1000,VLOOKUP(B160,Cigsch,2,FALSE())/1000*-1)*POLLHOURSFLOWED</f>
        <v>-6.65104166666667</v>
      </c>
      <c r="U160" s="206" t="n">
        <f aca="false">S160-T160</f>
        <v>-0.286003008423191</v>
      </c>
      <c r="V160" s="203" t="n">
        <f aca="false">V159+S160</f>
        <v>68.1642347178125</v>
      </c>
      <c r="W160" s="79" t="n">
        <f aca="false">W159+T160</f>
        <v>79.4976840277779</v>
      </c>
      <c r="X160" s="208" t="n">
        <f aca="false">S160-Y160</f>
        <v>-6.93704467508986</v>
      </c>
      <c r="Y160" s="209" t="n">
        <f aca="false">IF(F160="OBA",I160-J160,0)</f>
        <v>0</v>
      </c>
      <c r="AB160" s="194"/>
      <c r="AC160" s="194"/>
    </row>
    <row r="161" customFormat="false" ht="12.75" hidden="false" customHeight="false" outlineLevel="0" collapsed="false">
      <c r="A161" s="253" t="n">
        <v>814.1</v>
      </c>
      <c r="B161" s="179" t="n">
        <v>26082</v>
      </c>
      <c r="C161" s="178" t="n">
        <v>3538</v>
      </c>
      <c r="D161" s="179" t="s">
        <v>267</v>
      </c>
      <c r="E161" s="179" t="s">
        <v>149</v>
      </c>
      <c r="F161" s="180" t="s">
        <v>149</v>
      </c>
      <c r="G161" s="181" t="n">
        <f aca="false">VLOOKUP($B161,BTU,2,FALSE())/1000</f>
        <v>1.025</v>
      </c>
      <c r="H161" s="182" t="str">
        <f aca="false">VLOOKUP($B161,spotdata,3,FALSE())</f>
        <v>    </v>
      </c>
      <c r="I161" s="204" t="n">
        <f aca="false">IF(VLOOKUP($B161,errordata,3,FALSE())="UNAV",J161*POLLHOURSFLOWED,IF(LEFT(B161,1)="1",VLOOKUP($B161,totalvolume,2,FALSE())*G161/1000,VLOOKUP($B161,totalvolume,2,FALSE())*G161/1000*-1))</f>
        <v>-0</v>
      </c>
      <c r="J161" s="205" t="n">
        <f aca="false">O161+T161</f>
        <v>-0</v>
      </c>
      <c r="K161" s="206" t="n">
        <f aca="false">I161-J161</f>
        <v>0</v>
      </c>
      <c r="L161" s="79" t="n">
        <f aca="false">L160+I161</f>
        <v>66.3483500511403</v>
      </c>
      <c r="M161" s="200" t="n">
        <f aca="false">M160+J161</f>
        <v>64.1781180555557</v>
      </c>
      <c r="N161" s="79" t="n">
        <f aca="false">IF(F161="CIG",O161,IF(F161="OBA",O161,IF(F161="HPL",I161-T161,IF(ISERR((O161/$J161)*$I161),0,IF(F161="TP",(O161/$J161)*$I161)))))</f>
        <v>0</v>
      </c>
      <c r="O161" s="205" t="n">
        <f aca="false">IF(LEFT(B161,1)="1",VLOOKUP(B161,Cigsch,3,FALSE())/1000,VLOOKUP(B161,Cigsch,3,FALSE())/1000*-1)*POLLHOURSFLOWED</f>
        <v>-0</v>
      </c>
      <c r="P161" s="206" t="n">
        <f aca="false">N161-O161</f>
        <v>0</v>
      </c>
      <c r="Q161" s="79" t="n">
        <f aca="false">Q160+N161</f>
        <v>-1.81588466667224</v>
      </c>
      <c r="R161" s="201" t="n">
        <f aca="false">R160+O161</f>
        <v>-15.3195659722222</v>
      </c>
      <c r="S161" s="207" t="n">
        <f aca="false">I161-N161</f>
        <v>-0</v>
      </c>
      <c r="T161" s="205" t="n">
        <f aca="false">IF(LEFT(B161,1)="1",VLOOKUP(B161,Cigsch,2,FALSE())/1000,VLOOKUP(B161,Cigsch,2,FALSE())/1000*-1)*POLLHOURSFLOWED</f>
        <v>-0</v>
      </c>
      <c r="U161" s="206" t="n">
        <f aca="false">S161-T161</f>
        <v>0</v>
      </c>
      <c r="V161" s="203" t="n">
        <f aca="false">V160+S161</f>
        <v>68.1642347178125</v>
      </c>
      <c r="W161" s="79" t="n">
        <f aca="false">W160+T161</f>
        <v>79.4976840277779</v>
      </c>
      <c r="X161" s="208" t="n">
        <f aca="false">S161-Y161</f>
        <v>-0</v>
      </c>
      <c r="Y161" s="209" t="n">
        <f aca="false">IF(F161="OBA",I161-J161,0)</f>
        <v>0</v>
      </c>
      <c r="AB161" s="194"/>
      <c r="AC161" s="194"/>
    </row>
    <row r="162" customFormat="false" ht="12.75" hidden="false" customHeight="false" outlineLevel="0" collapsed="false">
      <c r="A162" s="253" t="n">
        <v>814.1</v>
      </c>
      <c r="B162" s="179" t="n">
        <v>26044</v>
      </c>
      <c r="C162" s="178" t="n">
        <v>3510</v>
      </c>
      <c r="D162" s="179" t="s">
        <v>45</v>
      </c>
      <c r="E162" s="179" t="s">
        <v>149</v>
      </c>
      <c r="F162" s="180" t="s">
        <v>149</v>
      </c>
      <c r="G162" s="181" t="n">
        <f aca="false">VLOOKUP($B162,BTU,2,FALSE())/1000</f>
        <v>1.025</v>
      </c>
      <c r="H162" s="182" t="str">
        <f aca="false">VLOOKUP($B162,spotdata,3,FALSE())</f>
        <v>    </v>
      </c>
      <c r="I162" s="204" t="n">
        <f aca="false">IF(VLOOKUP($B162,errordata,3,FALSE())="UNAV",J162*POLLHOURSFLOWED,IF(LEFT(B162,1)="1",VLOOKUP($B162,totalvolume,2,FALSE())*G162/1000,VLOOKUP($B162,totalvolume,2,FALSE())*G162/1000*-1))</f>
        <v>-0</v>
      </c>
      <c r="J162" s="205" t="n">
        <f aca="false">O162+T162</f>
        <v>-0</v>
      </c>
      <c r="K162" s="206" t="n">
        <f aca="false">I162-J162</f>
        <v>0</v>
      </c>
      <c r="L162" s="79" t="n">
        <f aca="false">L161+I162</f>
        <v>66.3483500511403</v>
      </c>
      <c r="M162" s="200" t="n">
        <f aca="false">M161+J162</f>
        <v>64.1781180555557</v>
      </c>
      <c r="N162" s="79" t="n">
        <f aca="false">IF(F162="CIG",O162,IF(F162="OBA",O162,IF(F162="HPL",I162-T162,IF(ISERR((O162/$J162)*$I162),0,IF(F162="TP",(O162/$J162)*$I162)))))</f>
        <v>0</v>
      </c>
      <c r="O162" s="205" t="n">
        <f aca="false">IF(LEFT(B162,1)="1",VLOOKUP(B162,Cigsch,3,FALSE())/1000,VLOOKUP(B162,Cigsch,3,FALSE())/1000*-1)*POLLHOURSFLOWED</f>
        <v>-0</v>
      </c>
      <c r="P162" s="206" t="n">
        <f aca="false">N162-O162</f>
        <v>0</v>
      </c>
      <c r="Q162" s="79" t="n">
        <f aca="false">Q161+N162</f>
        <v>-1.81588466667224</v>
      </c>
      <c r="R162" s="201" t="n">
        <f aca="false">R161+O162</f>
        <v>-15.3195659722222</v>
      </c>
      <c r="S162" s="207" t="n">
        <f aca="false">I162-N162</f>
        <v>-0</v>
      </c>
      <c r="T162" s="205" t="n">
        <f aca="false">IF(LEFT(B162,1)="1",VLOOKUP(B162,Cigsch,2,FALSE())/1000,VLOOKUP(B162,Cigsch,2,FALSE())/1000*-1)*POLLHOURSFLOWED</f>
        <v>-0</v>
      </c>
      <c r="U162" s="206" t="n">
        <f aca="false">S162-T162</f>
        <v>0</v>
      </c>
      <c r="V162" s="203" t="n">
        <f aca="false">V161+S162</f>
        <v>68.1642347178125</v>
      </c>
      <c r="W162" s="79" t="n">
        <f aca="false">W161+T162</f>
        <v>79.4976840277779</v>
      </c>
      <c r="X162" s="208" t="n">
        <f aca="false">S162-Y162</f>
        <v>-0</v>
      </c>
      <c r="Y162" s="209" t="n">
        <f aca="false">IF(F162="OBA",I162-J162,0)</f>
        <v>0</v>
      </c>
    </row>
    <row r="163" customFormat="false" ht="12.75" hidden="false" customHeight="false" outlineLevel="0" collapsed="false">
      <c r="A163" s="253" t="n">
        <v>814.1</v>
      </c>
      <c r="B163" s="179" t="n">
        <v>16226</v>
      </c>
      <c r="C163" s="178"/>
      <c r="D163" s="179" t="s">
        <v>46</v>
      </c>
      <c r="E163" s="179" t="s">
        <v>149</v>
      </c>
      <c r="F163" s="180" t="s">
        <v>149</v>
      </c>
      <c r="G163" s="181" t="n">
        <f aca="false">VLOOKUP($B163,BTU,2,FALSE())/1000</f>
        <v>1.025</v>
      </c>
      <c r="H163" s="182" t="str">
        <f aca="false">VLOOKUP($B163,spotdata,3,FALSE())</f>
        <v>    </v>
      </c>
      <c r="I163" s="204" t="n">
        <f aca="false">IF(VLOOKUP($B163,errordata,3,FALSE())="UNAV",J163*POLLHOURSFLOWED,IF(LEFT(B163,1)="1",VLOOKUP($B163,totalvolume,2,FALSE())*G163/1000,VLOOKUP($B163,totalvolume,2,FALSE())*G163/1000*-1))</f>
        <v>0</v>
      </c>
      <c r="J163" s="205" t="n">
        <f aca="false">O163+T163</f>
        <v>0</v>
      </c>
      <c r="K163" s="206" t="n">
        <f aca="false">I163-J163</f>
        <v>0</v>
      </c>
      <c r="L163" s="79" t="n">
        <f aca="false">L162+I163</f>
        <v>66.3483500511403</v>
      </c>
      <c r="M163" s="200" t="n">
        <f aca="false">M162+J163</f>
        <v>64.1781180555557</v>
      </c>
      <c r="N163" s="79" t="n">
        <f aca="false">IF(F163="CIG",O163,IF(F163="OBA",O163,IF(F163="HPL",I163-T163,IF(ISERR((O163/$J163)*$I163),0,IF(F163="TP",(O163/$J163)*$I163)))))</f>
        <v>0</v>
      </c>
      <c r="O163" s="205" t="n">
        <f aca="false">IF(LEFT(B163,1)="1",VLOOKUP(B163,Cigsch,3,FALSE())/1000,VLOOKUP(B163,Cigsch,3,FALSE())/1000*-1)*POLLHOURSFLOWED</f>
        <v>0</v>
      </c>
      <c r="P163" s="206" t="n">
        <f aca="false">N163-O163</f>
        <v>0</v>
      </c>
      <c r="Q163" s="79" t="n">
        <f aca="false">Q162+N163</f>
        <v>-1.81588466667224</v>
      </c>
      <c r="R163" s="201" t="n">
        <f aca="false">R162+O163</f>
        <v>-15.3195659722222</v>
      </c>
      <c r="S163" s="207" t="n">
        <f aca="false">I163-N163</f>
        <v>0</v>
      </c>
      <c r="T163" s="205" t="n">
        <f aca="false">IF(LEFT(B163,1)="1",VLOOKUP(B163,Cigsch,2,FALSE())/1000,VLOOKUP(B163,Cigsch,2,FALSE())/1000*-1)*POLLHOURSFLOWED</f>
        <v>0</v>
      </c>
      <c r="U163" s="206" t="n">
        <f aca="false">S163-T163</f>
        <v>0</v>
      </c>
      <c r="V163" s="203" t="n">
        <f aca="false">V162+S163</f>
        <v>68.1642347178125</v>
      </c>
      <c r="W163" s="79" t="n">
        <f aca="false">W162+T163</f>
        <v>79.4976840277779</v>
      </c>
      <c r="X163" s="208" t="n">
        <f aca="false">S163-Y163</f>
        <v>0</v>
      </c>
      <c r="Y163" s="209" t="n">
        <f aca="false">IF(F163="OBA",I163-J163,0)</f>
        <v>0</v>
      </c>
      <c r="AB163" s="194"/>
      <c r="AC163" s="194"/>
    </row>
    <row r="164" customFormat="false" ht="13.5" hidden="false" customHeight="false" outlineLevel="0" collapsed="false">
      <c r="A164" s="274" t="n">
        <v>814.1</v>
      </c>
      <c r="B164" s="239" t="n">
        <v>26006</v>
      </c>
      <c r="C164" s="238" t="n">
        <v>8216</v>
      </c>
      <c r="D164" s="239" t="s">
        <v>47</v>
      </c>
      <c r="E164" s="239" t="s">
        <v>116</v>
      </c>
      <c r="F164" s="240" t="s">
        <v>149</v>
      </c>
      <c r="G164" s="241" t="n">
        <f aca="false">VLOOKUP($B164,BTU,2,FALSE())/1000</f>
        <v>1.025</v>
      </c>
      <c r="H164" s="242" t="str">
        <f aca="false">VLOOKUP($B164,spotdata,3,FALSE())</f>
        <v>    </v>
      </c>
      <c r="I164" s="243" t="n">
        <f aca="false">IF(VLOOKUP($B164,errordata,3,FALSE())="UNAV",J164*POLLHOURSFLOWED,IF(LEFT(B164,1)="1",VLOOKUP($B164,totalvolume,2,FALSE())*G164/1000,VLOOKUP($B164,totalvolume,2,FALSE())*G164/1000*-1))</f>
        <v>-8.9584719765</v>
      </c>
      <c r="J164" s="244" t="n">
        <f aca="false">O164+T164</f>
        <v>-7.98125</v>
      </c>
      <c r="K164" s="245" t="n">
        <f aca="false">I164-J164</f>
        <v>-0.977221976499999</v>
      </c>
      <c r="L164" s="246" t="n">
        <f aca="false">L163+I164</f>
        <v>57.3898780746403</v>
      </c>
      <c r="M164" s="247" t="n">
        <f aca="false">M163+J164</f>
        <v>56.1968680555557</v>
      </c>
      <c r="N164" s="246" t="n">
        <f aca="false">IF(F164="CIG",O164,IF(F164="OBA",O164,IF(F164="HPL",I164-T164,IF(ISERR((O164/$J164)*$I164),0,IF(F164="TP",(O164/$J164)*$I164)))))</f>
        <v>-8.9584719765</v>
      </c>
      <c r="O164" s="244" t="n">
        <f aca="false">IF(LEFT(B164,1)="1",VLOOKUP(B164,Cigsch,3,FALSE())/1000,VLOOKUP(B164,Cigsch,3,FALSE())/1000*-1)*POLLHOURSFLOWED</f>
        <v>-7.98125</v>
      </c>
      <c r="P164" s="245" t="n">
        <f aca="false">N164-O164</f>
        <v>-0.977221976499999</v>
      </c>
      <c r="Q164" s="246" t="n">
        <f aca="false">Q163+N164</f>
        <v>-10.7743566431722</v>
      </c>
      <c r="R164" s="248" t="n">
        <f aca="false">R163+O164</f>
        <v>-23.3008159722222</v>
      </c>
      <c r="S164" s="249" t="n">
        <f aca="false">I164-N164</f>
        <v>0</v>
      </c>
      <c r="T164" s="244" t="n">
        <f aca="false">IF(LEFT(B164,1)="1",VLOOKUP(B164,Cigsch,2,FALSE())/1000,VLOOKUP(B164,Cigsch,2,FALSE())/1000*-1)*POLLHOURSFLOWED</f>
        <v>-0</v>
      </c>
      <c r="U164" s="245" t="n">
        <f aca="false">S164-T164</f>
        <v>0</v>
      </c>
      <c r="V164" s="250" t="n">
        <f aca="false">V163+S164</f>
        <v>68.1642347178125</v>
      </c>
      <c r="W164" s="246" t="n">
        <f aca="false">W163+T164</f>
        <v>79.4976840277779</v>
      </c>
      <c r="X164" s="251" t="n">
        <f aca="false">S164-Y164</f>
        <v>0</v>
      </c>
      <c r="Y164" s="252" t="n">
        <f aca="false">IF(F164="OBA",I164-J164,0)</f>
        <v>0</v>
      </c>
      <c r="AB164" s="194"/>
      <c r="AC164" s="194"/>
    </row>
    <row r="165" customFormat="false" ht="12.75" hidden="false" customHeight="false" outlineLevel="0" collapsed="false">
      <c r="A165" s="253" t="n">
        <v>815</v>
      </c>
      <c r="B165" s="179" t="n">
        <v>26037</v>
      </c>
      <c r="C165" s="178"/>
      <c r="D165" s="179" t="s">
        <v>268</v>
      </c>
      <c r="E165" s="179" t="s">
        <v>149</v>
      </c>
      <c r="F165" s="180" t="s">
        <v>149</v>
      </c>
      <c r="G165" s="181" t="n">
        <f aca="false">VLOOKUP($B165,BTU,2,FALSE())/1000</f>
        <v>1.025</v>
      </c>
      <c r="H165" s="182" t="str">
        <f aca="false">VLOOKUP($B165,spotdata,3,FALSE())</f>
        <v>UNAV</v>
      </c>
      <c r="I165" s="204" t="n">
        <f aca="false">IF(VLOOKUP($B165,errordata,3,FALSE())="UNAV",J165*POLLHOURSFLOWED,IF(LEFT(B165,1)="1",VLOOKUP($B165,totalvolume,2,FALSE())*G165/1000,VLOOKUP($B165,totalvolume,2,FALSE())*G165/1000*-1))</f>
        <v>-0.000786424093364197</v>
      </c>
      <c r="J165" s="205" t="n">
        <f aca="false">O165+T165</f>
        <v>-0.000886805555555556</v>
      </c>
      <c r="K165" s="206" t="n">
        <f aca="false">I165-J165</f>
        <v>0.000100381462191358</v>
      </c>
      <c r="L165" s="79" t="n">
        <f aca="false">L164+I165</f>
        <v>57.389091650547</v>
      </c>
      <c r="M165" s="200" t="n">
        <f aca="false">M164+J165</f>
        <v>56.1959812500001</v>
      </c>
      <c r="N165" s="79" t="n">
        <f aca="false">IF(F165="CIG",O165,IF(F165="OBA",O165,IF(F165="HPL",I165-T165,IF(ISERR((O165/$J165)*$I165),0,IF(F165="TP",(O165/$J165)*$I165)))))</f>
        <v>-0.000786424093364197</v>
      </c>
      <c r="O165" s="205" t="n">
        <f aca="false">IF(LEFT(B165,1)="1",VLOOKUP(B165,Cigsch,3,FALSE())/1000,VLOOKUP(B165,Cigsch,3,FALSE())/1000*-1)*POLLHOURSFLOWED</f>
        <v>-0.000886805555555556</v>
      </c>
      <c r="P165" s="206" t="n">
        <f aca="false">N165-O165</f>
        <v>0.000100381462191358</v>
      </c>
      <c r="Q165" s="79" t="n">
        <f aca="false">Q164+N165</f>
        <v>-10.7751430672656</v>
      </c>
      <c r="R165" s="201" t="n">
        <f aca="false">R164+O165</f>
        <v>-23.3017027777777</v>
      </c>
      <c r="S165" s="207" t="n">
        <f aca="false">I165-N165</f>
        <v>0</v>
      </c>
      <c r="T165" s="205" t="n">
        <f aca="false">IF(LEFT(B165,1)="1",VLOOKUP(B165,Cigsch,2,FALSE())/1000,VLOOKUP(B165,Cigsch,2,FALSE())/1000*-1)*POLLHOURSFLOWED</f>
        <v>-0</v>
      </c>
      <c r="U165" s="206" t="n">
        <f aca="false">S165-T165</f>
        <v>0</v>
      </c>
      <c r="V165" s="203" t="n">
        <f aca="false">V164+S165</f>
        <v>68.1642347178125</v>
      </c>
      <c r="W165" s="79" t="n">
        <f aca="false">W164+T165</f>
        <v>79.4976840277779</v>
      </c>
      <c r="X165" s="208" t="n">
        <f aca="false">S165-Y165</f>
        <v>0</v>
      </c>
      <c r="Y165" s="209" t="n">
        <f aca="false">IF(F165="OBA",I165-J165,0)</f>
        <v>0</v>
      </c>
      <c r="AB165" s="194"/>
      <c r="AC165" s="194"/>
    </row>
    <row r="166" customFormat="false" ht="12.75" hidden="false" customHeight="false" outlineLevel="0" collapsed="false">
      <c r="A166" s="273" t="n">
        <v>815</v>
      </c>
      <c r="B166" s="211" t="n">
        <v>26045</v>
      </c>
      <c r="C166" s="210"/>
      <c r="D166" s="211" t="s">
        <v>269</v>
      </c>
      <c r="E166" s="211" t="s">
        <v>116</v>
      </c>
      <c r="F166" s="212" t="s">
        <v>116</v>
      </c>
      <c r="G166" s="213" t="n">
        <f aca="false">VLOOKUP($B166,BTU,2,FALSE())/1000</f>
        <v>1.063</v>
      </c>
      <c r="H166" s="182" t="str">
        <f aca="false">VLOOKUP($B166,spotdata,3,FALSE())</f>
        <v>    </v>
      </c>
      <c r="I166" s="204" t="n">
        <f aca="false">IF(VLOOKUP($B166,errordata,3,FALSE())="UNAV",J166*POLLHOURSFLOWED,IF(LEFT(B166,1)="1",VLOOKUP($B166,totalvolume,2,FALSE())*G166/1000,VLOOKUP($B166,totalvolume,2,FALSE())*G166/1000*-1))</f>
        <v>-4.21032863542</v>
      </c>
      <c r="J166" s="205" t="n">
        <f aca="false">O166+T166</f>
        <v>-5.32083333333333</v>
      </c>
      <c r="K166" s="206" t="n">
        <f aca="false">I166-J166</f>
        <v>1.11050469791333</v>
      </c>
      <c r="L166" s="79" t="n">
        <f aca="false">L165+I166</f>
        <v>53.178763015127</v>
      </c>
      <c r="M166" s="200" t="n">
        <f aca="false">M165+J166</f>
        <v>50.8751479166668</v>
      </c>
      <c r="N166" s="79" t="n">
        <f aca="false">IF(F166="CIG",O166,IF(F166="OBA",O166,IF(F166="HPL",I166-T166,IF(ISERR((O166/$J166)*$I166),0,IF(F166="TP",(O166/$J166)*$I166)))))</f>
        <v>-0</v>
      </c>
      <c r="O166" s="205" t="n">
        <f aca="false">IF(LEFT(B166,1)="1",VLOOKUP(B166,Cigsch,3,FALSE())/1000,VLOOKUP(B166,Cigsch,3,FALSE())/1000*-1)*POLLHOURSFLOWED</f>
        <v>-0</v>
      </c>
      <c r="P166" s="206" t="n">
        <f aca="false">N166-O166</f>
        <v>0</v>
      </c>
      <c r="Q166" s="79" t="n">
        <f aca="false">Q165+N166</f>
        <v>-10.7751430672656</v>
      </c>
      <c r="R166" s="201" t="n">
        <f aca="false">R165+O166</f>
        <v>-23.3017027777777</v>
      </c>
      <c r="S166" s="207" t="n">
        <f aca="false">I166-N166</f>
        <v>-4.21032863542</v>
      </c>
      <c r="T166" s="205" t="n">
        <f aca="false">IF(LEFT(B166,1)="1",VLOOKUP(B166,Cigsch,2,FALSE())/1000,VLOOKUP(B166,Cigsch,2,FALSE())/1000*-1)*POLLHOURSFLOWED</f>
        <v>-5.32083333333333</v>
      </c>
      <c r="U166" s="206" t="n">
        <f aca="false">S166-T166</f>
        <v>1.11050469791333</v>
      </c>
      <c r="V166" s="203" t="n">
        <f aca="false">V165+S166</f>
        <v>63.9539060823925</v>
      </c>
      <c r="W166" s="79" t="n">
        <f aca="false">W165+T166</f>
        <v>74.1768506944446</v>
      </c>
      <c r="X166" s="208" t="n">
        <f aca="false">S166-Y166</f>
        <v>-4.21032863542</v>
      </c>
      <c r="Y166" s="209" t="n">
        <f aca="false">IF(F166="OBA",I166-J166,0)</f>
        <v>0</v>
      </c>
      <c r="AB166" s="194"/>
      <c r="AC166" s="194"/>
    </row>
    <row r="167" customFormat="false" ht="12.75" hidden="false" customHeight="false" outlineLevel="0" collapsed="false">
      <c r="A167" s="256" t="n">
        <v>815</v>
      </c>
      <c r="B167" s="257" t="n">
        <v>16355</v>
      </c>
      <c r="C167" s="258"/>
      <c r="D167" s="257" t="s">
        <v>270</v>
      </c>
      <c r="E167" s="257" t="s">
        <v>116</v>
      </c>
      <c r="F167" s="260" t="s">
        <v>116</v>
      </c>
      <c r="G167" s="261" t="n">
        <f aca="false">VLOOKUP($B167,BTU,2,FALSE())/1000</f>
        <v>1.045</v>
      </c>
      <c r="H167" s="262" t="str">
        <f aca="false">VLOOKUP($B167,spotdata,3,FALSE())</f>
        <v>    </v>
      </c>
      <c r="I167" s="263" t="n">
        <f aca="false">IF(VLOOKUP($B167,errordata,3,FALSE())="UNAV",J167*POLLHOURSFLOWED,IF(LEFT(B167,1)="1",VLOOKUP($B167,totalvolume,2,FALSE())*G167/1000,VLOOKUP($B167,totalvolume,2,FALSE())*G167/1000*-1))</f>
        <v>7.8597812601</v>
      </c>
      <c r="J167" s="264" t="n">
        <f aca="false">O167+T167</f>
        <v>9.75574791666667</v>
      </c>
      <c r="K167" s="265" t="n">
        <f aca="false">I167-J167</f>
        <v>-1.89596665656667</v>
      </c>
      <c r="L167" s="266" t="n">
        <f aca="false">L166+I167</f>
        <v>61.038544275227</v>
      </c>
      <c r="M167" s="267" t="n">
        <f aca="false">M166+J167</f>
        <v>60.6308958333335</v>
      </c>
      <c r="N167" s="266" t="n">
        <f aca="false">IF(F167="CIG",O167,IF(F167="OBA",O167,IF(F167="HPL",I167-T167,IF(ISERR((O167/$J167)*$I167),0,IF(F167="TP",(O167/$J167)*$I167)))))</f>
        <v>0</v>
      </c>
      <c r="O167" s="264" t="n">
        <f aca="false">IF(LEFT(B167,1)="1",VLOOKUP(B167,Cigsch,3,FALSE())/1000,VLOOKUP(B167,Cigsch,3,FALSE())/1000*-1)*POLLHOURSFLOWED</f>
        <v>0</v>
      </c>
      <c r="P167" s="265" t="n">
        <f aca="false">N167-O167</f>
        <v>0</v>
      </c>
      <c r="Q167" s="266" t="n">
        <f aca="false">Q166+N167</f>
        <v>-10.7751430672656</v>
      </c>
      <c r="R167" s="268" t="n">
        <f aca="false">R166+O167</f>
        <v>-23.3017027777777</v>
      </c>
      <c r="S167" s="269" t="n">
        <f aca="false">I167-N167</f>
        <v>7.8597812601</v>
      </c>
      <c r="T167" s="264" t="n">
        <f aca="false">IF(LEFT(B167,1)="1",VLOOKUP(B167,Cigsch,2,FALSE())/1000,VLOOKUP(B167,Cigsch,2,FALSE())/1000*-1)*POLLHOURSFLOWED</f>
        <v>9.75574791666667</v>
      </c>
      <c r="U167" s="265" t="n">
        <f aca="false">S167-T167</f>
        <v>-1.89596665656667</v>
      </c>
      <c r="V167" s="270" t="n">
        <f aca="false">V166+S167</f>
        <v>71.8136873424925</v>
      </c>
      <c r="W167" s="266" t="n">
        <f aca="false">W166+T167</f>
        <v>83.9325986111112</v>
      </c>
      <c r="X167" s="271" t="n">
        <f aca="false">S167-Y167</f>
        <v>7.8597812601</v>
      </c>
      <c r="Y167" s="272" t="n">
        <f aca="false">IF(F167="OBA",I167-J167,0)</f>
        <v>0</v>
      </c>
      <c r="AB167" s="194"/>
      <c r="AC167" s="194"/>
    </row>
    <row r="168" customFormat="false" ht="12.75" hidden="false" customHeight="false" outlineLevel="0" collapsed="false">
      <c r="A168" s="253" t="n">
        <v>816</v>
      </c>
      <c r="B168" s="179" t="n">
        <v>26084</v>
      </c>
      <c r="C168" s="178" t="n">
        <v>1401</v>
      </c>
      <c r="D168" s="179" t="s">
        <v>271</v>
      </c>
      <c r="E168" s="179" t="s">
        <v>149</v>
      </c>
      <c r="F168" s="180" t="s">
        <v>149</v>
      </c>
      <c r="G168" s="181" t="n">
        <f aca="false">VLOOKUP($B168,BTU,2,FALSE())/1000</f>
        <v>1.025</v>
      </c>
      <c r="H168" s="182" t="str">
        <f aca="false">VLOOKUP($B168,spotdata,3,FALSE())</f>
        <v>    </v>
      </c>
      <c r="I168" s="204" t="n">
        <f aca="false">IF(VLOOKUP($B168,errordata,3,FALSE())="UNAV",J168*POLLHOURSFLOWED,IF(LEFT(B168,1)="1",VLOOKUP($B168,totalvolume,2,FALSE())*G168/1000,VLOOKUP($B168,totalvolume,2,FALSE())*G168/1000*-1))</f>
        <v>-10.1487942675</v>
      </c>
      <c r="J168" s="205" t="n">
        <f aca="false">O168+T168</f>
        <v>-0</v>
      </c>
      <c r="K168" s="206" t="n">
        <f aca="false">I168-J168</f>
        <v>-10.1487942675</v>
      </c>
      <c r="L168" s="79" t="n">
        <f aca="false">L167+I168</f>
        <v>50.889750007727</v>
      </c>
      <c r="M168" s="200" t="n">
        <f aca="false">M167+J168</f>
        <v>60.6308958333335</v>
      </c>
      <c r="N168" s="79" t="n">
        <f aca="false">IF(F168="CIG",O168,IF(F168="OBA",O168,IF(F168="HPL",I168-T168,IF(ISERR((O168/$J168)*$I168),0,IF(F168="TP",(O168/$J168)*$I168)))))</f>
        <v>-10.1487942675</v>
      </c>
      <c r="O168" s="205" t="n">
        <f aca="false">IF(LEFT(B168,1)="1",VLOOKUP(B168,Cigsch,3,FALSE())/1000,VLOOKUP(B168,Cigsch,3,FALSE())/1000*-1)*POLLHOURSFLOWED</f>
        <v>-0</v>
      </c>
      <c r="P168" s="206" t="n">
        <f aca="false">N168-O168</f>
        <v>-10.1487942675</v>
      </c>
      <c r="Q168" s="79" t="n">
        <f aca="false">Q167+N168</f>
        <v>-20.9239373347656</v>
      </c>
      <c r="R168" s="201" t="n">
        <f aca="false">R167+O168</f>
        <v>-23.3017027777777</v>
      </c>
      <c r="S168" s="207" t="n">
        <f aca="false">I168-N168</f>
        <v>0</v>
      </c>
      <c r="T168" s="205" t="n">
        <f aca="false">IF(LEFT(B168,1)="1",VLOOKUP(B168,Cigsch,2,FALSE())/1000,VLOOKUP(B168,Cigsch,2,FALSE())/1000*-1)*POLLHOURSFLOWED</f>
        <v>-0</v>
      </c>
      <c r="U168" s="206" t="n">
        <f aca="false">S168-T168</f>
        <v>0</v>
      </c>
      <c r="V168" s="203" t="n">
        <f aca="false">V167+S168</f>
        <v>71.8136873424925</v>
      </c>
      <c r="W168" s="79" t="n">
        <f aca="false">W167+T168</f>
        <v>83.9325986111112</v>
      </c>
      <c r="X168" s="208" t="n">
        <f aca="false">S168-Y168</f>
        <v>0</v>
      </c>
      <c r="Y168" s="209" t="n">
        <f aca="false">IF(F168="OBA",I168-J168,0)</f>
        <v>0</v>
      </c>
      <c r="AB168" s="194"/>
      <c r="AC168" s="194"/>
    </row>
    <row r="169" customFormat="false" ht="12.75" hidden="false" customHeight="false" outlineLevel="0" collapsed="false">
      <c r="A169" s="253" t="n">
        <v>816</v>
      </c>
      <c r="B169" s="214" t="n">
        <v>26106</v>
      </c>
      <c r="C169" s="178"/>
      <c r="D169" s="179" t="s">
        <v>271</v>
      </c>
      <c r="E169" s="179" t="s">
        <v>116</v>
      </c>
      <c r="F169" s="180" t="s">
        <v>116</v>
      </c>
      <c r="G169" s="181" t="n">
        <f aca="false">VLOOKUP($B169,BTU,2,FALSE())/1000</f>
        <v>1.02650183</v>
      </c>
      <c r="H169" s="182" t="str">
        <f aca="false">VLOOKUP($B169,spotdata,3,FALSE())</f>
        <v>    </v>
      </c>
      <c r="I169" s="204" t="n">
        <f aca="false">IF(VLOOKUP($B169,errordata,3,FALSE())="UNAV",J169*POLLHOURSFLOWED,IF(LEFT(B169,1)="1",VLOOKUP($B169,totalvolume,2,FALSE())*G169/1000,VLOOKUP($B169,totalvolume,2,FALSE())*G169/1000*-1))</f>
        <v>-49.9522294755251</v>
      </c>
      <c r="J169" s="205" t="n">
        <f aca="false">O169+T169</f>
        <v>-62.0763888888889</v>
      </c>
      <c r="K169" s="206" t="n">
        <f aca="false">I169-J169</f>
        <v>12.1241594133638</v>
      </c>
      <c r="L169" s="79" t="n">
        <f aca="false">L168+I169</f>
        <v>0.937520532201894</v>
      </c>
      <c r="M169" s="200" t="n">
        <f aca="false">M168+J169</f>
        <v>-1.44549305555542</v>
      </c>
      <c r="N169" s="79" t="n">
        <f aca="false">IF(F169="CIG",O169,IF(F169="OBA",O169,IF(F169="HPL",I169-T169,IF(ISERR((O169/$J169)*$I169),0,IF(F169="TP",(O169/$J169)*$I169)))))</f>
        <v>-0</v>
      </c>
      <c r="O169" s="205" t="n">
        <f aca="false">IF(LEFT(B169,1)="1",VLOOKUP(B169,Cigsch,3,FALSE())/1000,VLOOKUP(B169,Cigsch,3,FALSE())/1000*-1)*POLLHOURSFLOWED</f>
        <v>-0</v>
      </c>
      <c r="P169" s="206" t="n">
        <f aca="false">N169-O169</f>
        <v>0</v>
      </c>
      <c r="Q169" s="79" t="n">
        <f aca="false">Q168+N169</f>
        <v>-20.9239373347656</v>
      </c>
      <c r="R169" s="201" t="n">
        <f aca="false">R168+O169</f>
        <v>-23.3017027777777</v>
      </c>
      <c r="S169" s="207" t="n">
        <f aca="false">I169-N169</f>
        <v>-49.9522294755251</v>
      </c>
      <c r="T169" s="205" t="n">
        <f aca="false">IF(LEFT(B169,1)="1",VLOOKUP(B169,Cigsch,2,FALSE())/1000,VLOOKUP(B169,Cigsch,2,FALSE())/1000*-1)*POLLHOURSFLOWED</f>
        <v>-62.0763888888889</v>
      </c>
      <c r="U169" s="206" t="n">
        <f aca="false">S169-T169</f>
        <v>12.1241594133638</v>
      </c>
      <c r="V169" s="203" t="n">
        <f aca="false">V168+S169</f>
        <v>21.8614578669675</v>
      </c>
      <c r="W169" s="79" t="n">
        <f aca="false">W168+T169</f>
        <v>21.8562097222223</v>
      </c>
      <c r="X169" s="208" t="n">
        <f aca="false">S169-Y169</f>
        <v>-49.9522294755251</v>
      </c>
      <c r="Y169" s="209" t="n">
        <f aca="false">IF(F169="OBA",I169-J169,0)</f>
        <v>0</v>
      </c>
      <c r="AB169" s="194"/>
      <c r="AC169" s="194"/>
    </row>
    <row r="170" customFormat="false" ht="12.75" hidden="false" customHeight="false" outlineLevel="0" collapsed="false">
      <c r="A170" s="253" t="n">
        <v>816</v>
      </c>
      <c r="B170" s="179" t="n">
        <v>26058</v>
      </c>
      <c r="C170" s="178" t="n">
        <v>8056</v>
      </c>
      <c r="D170" s="179" t="s">
        <v>272</v>
      </c>
      <c r="E170" s="179" t="s">
        <v>149</v>
      </c>
      <c r="F170" s="180" t="s">
        <v>149</v>
      </c>
      <c r="G170" s="181" t="n">
        <f aca="false">VLOOKUP($B170,BTU,2,FALSE())/1000</f>
        <v>1.025</v>
      </c>
      <c r="H170" s="182" t="str">
        <f aca="false">VLOOKUP($B170,spotdata,3,FALSE())</f>
        <v>    </v>
      </c>
      <c r="I170" s="204" t="n">
        <f aca="false">IF(VLOOKUP($B170,errordata,3,FALSE())="UNAV",J170*POLLHOURSFLOWED,IF(LEFT(B170,1)="1",VLOOKUP($B170,totalvolume,2,FALSE())*G170/1000,VLOOKUP($B170,totalvolume,2,FALSE())*G170/1000*-1))</f>
        <v>-6.5458902395</v>
      </c>
      <c r="J170" s="205" t="n">
        <f aca="false">O170+T170</f>
        <v>-8.86805555555556</v>
      </c>
      <c r="K170" s="206" t="n">
        <f aca="false">I170-J170</f>
        <v>2.32216531605556</v>
      </c>
      <c r="L170" s="79" t="n">
        <f aca="false">L169+I170</f>
        <v>-5.60836970729811</v>
      </c>
      <c r="M170" s="200" t="n">
        <f aca="false">M169+J170</f>
        <v>-10.313548611111</v>
      </c>
      <c r="N170" s="79" t="n">
        <f aca="false">IF(F170="CIG",O170,IF(F170="OBA",O170,IF(F170="HPL",I170-T170,IF(ISERR((O170/$J170)*$I170),0,IF(F170="TP",(O170/$J170)*$I170)))))</f>
        <v>-6.5458902395</v>
      </c>
      <c r="O170" s="205" t="n">
        <f aca="false">IF(LEFT(B170,1)="1",VLOOKUP(B170,Cigsch,3,FALSE())/1000,VLOOKUP(B170,Cigsch,3,FALSE())/1000*-1)*POLLHOURSFLOWED</f>
        <v>-8.86805555555556</v>
      </c>
      <c r="P170" s="206" t="n">
        <f aca="false">N170-O170</f>
        <v>2.32216531605556</v>
      </c>
      <c r="Q170" s="79" t="n">
        <f aca="false">Q169+N170</f>
        <v>-27.4698275742656</v>
      </c>
      <c r="R170" s="201" t="n">
        <f aca="false">R169+O170</f>
        <v>-32.1697583333333</v>
      </c>
      <c r="S170" s="207" t="n">
        <f aca="false">I170-N170</f>
        <v>0</v>
      </c>
      <c r="T170" s="205" t="n">
        <f aca="false">IF(LEFT(B170,1)="1",VLOOKUP(B170,Cigsch,2,FALSE())/1000,VLOOKUP(B170,Cigsch,2,FALSE())/1000*-1)*POLLHOURSFLOWED</f>
        <v>-0</v>
      </c>
      <c r="U170" s="206" t="n">
        <f aca="false">S170-T170</f>
        <v>0</v>
      </c>
      <c r="V170" s="203" t="n">
        <f aca="false">V169+S170</f>
        <v>21.8614578669675</v>
      </c>
      <c r="W170" s="79" t="n">
        <f aca="false">W169+T170</f>
        <v>21.8562097222223</v>
      </c>
      <c r="X170" s="208" t="n">
        <f aca="false">S170-Y170</f>
        <v>0</v>
      </c>
      <c r="Y170" s="209" t="n">
        <f aca="false">IF(F170="OBA",I170-J170,0)</f>
        <v>0</v>
      </c>
      <c r="AB170" s="194"/>
      <c r="AC170" s="194"/>
    </row>
    <row r="171" customFormat="false" ht="12.75" hidden="false" customHeight="false" outlineLevel="0" collapsed="false">
      <c r="A171" s="253" t="n">
        <v>816</v>
      </c>
      <c r="B171" s="179" t="n">
        <v>26138</v>
      </c>
      <c r="C171" s="178"/>
      <c r="D171" s="179" t="s">
        <v>272</v>
      </c>
      <c r="E171" s="179" t="s">
        <v>116</v>
      </c>
      <c r="F171" s="180" t="s">
        <v>116</v>
      </c>
      <c r="G171" s="181" t="n">
        <f aca="false">VLOOKUP($B171,BTU,2,FALSE())/1000</f>
        <v>1.037</v>
      </c>
      <c r="H171" s="182" t="str">
        <f aca="false">VLOOKUP($B171,spotdata,3,FALSE())</f>
        <v>UNAV</v>
      </c>
      <c r="I171" s="204" t="n">
        <f aca="false">IF(VLOOKUP($B171,errordata,3,FALSE())="UNAV",J171*POLLHOURSFLOWED,IF(LEFT(B171,1)="1",VLOOKUP($B171,totalvolume,2,FALSE())*G171/1000,VLOOKUP($B171,totalvolume,2,FALSE())*G171/1000*-1))</f>
        <v>-0</v>
      </c>
      <c r="J171" s="205" t="n">
        <f aca="false">O171+T171</f>
        <v>-0</v>
      </c>
      <c r="K171" s="206" t="n">
        <f aca="false">I171-J171</f>
        <v>0</v>
      </c>
      <c r="L171" s="79" t="n">
        <f aca="false">L170+I171</f>
        <v>-5.60836970729811</v>
      </c>
      <c r="M171" s="200" t="n">
        <f aca="false">M170+J171</f>
        <v>-10.313548611111</v>
      </c>
      <c r="N171" s="79" t="n">
        <f aca="false">IF(F171="CIG",O171,IF(F171="OBA",O171,IF(F171="HPL",I171-T171,IF(ISERR((O171/$J171)*$I171),0,IF(F171="TP",(O171/$J171)*$I171)))))</f>
        <v>-0</v>
      </c>
      <c r="O171" s="205" t="n">
        <f aca="false">IF(LEFT(B171,1)="1",VLOOKUP(B171,Cigsch,3,FALSE())/1000,VLOOKUP(B171,Cigsch,3,FALSE())/1000*-1)*POLLHOURSFLOWED</f>
        <v>-0</v>
      </c>
      <c r="P171" s="206" t="n">
        <f aca="false">N171-O171</f>
        <v>0</v>
      </c>
      <c r="Q171" s="79" t="n">
        <f aca="false">Q170+N171</f>
        <v>-27.4698275742656</v>
      </c>
      <c r="R171" s="201" t="n">
        <f aca="false">R170+O171</f>
        <v>-32.1697583333333</v>
      </c>
      <c r="S171" s="207" t="n">
        <f aca="false">I171-N171</f>
        <v>0</v>
      </c>
      <c r="T171" s="205" t="n">
        <f aca="false">IF(LEFT(B171,1)="1",VLOOKUP(B171,Cigsch,2,FALSE())/1000,VLOOKUP(B171,Cigsch,2,FALSE())/1000*-1)*POLLHOURSFLOWED</f>
        <v>-0</v>
      </c>
      <c r="U171" s="206" t="n">
        <f aca="false">S171-T171</f>
        <v>0</v>
      </c>
      <c r="V171" s="203" t="n">
        <f aca="false">V170+S171</f>
        <v>21.8614578669675</v>
      </c>
      <c r="W171" s="79" t="n">
        <f aca="false">W170+T171</f>
        <v>21.8562097222223</v>
      </c>
      <c r="X171" s="208" t="n">
        <f aca="false">S171-Y171</f>
        <v>0</v>
      </c>
      <c r="Y171" s="209" t="n">
        <f aca="false">IF(F171="OBA",I171-J171,0)</f>
        <v>0</v>
      </c>
      <c r="AB171" s="194"/>
      <c r="AC171" s="194"/>
    </row>
    <row r="172" customFormat="false" ht="12.75" hidden="false" customHeight="false" outlineLevel="0" collapsed="false">
      <c r="A172" s="253" t="n">
        <v>816</v>
      </c>
      <c r="B172" s="179" t="n">
        <v>26185</v>
      </c>
      <c r="C172" s="178" t="n">
        <v>1550</v>
      </c>
      <c r="D172" s="179" t="s">
        <v>272</v>
      </c>
      <c r="E172" s="179" t="s">
        <v>149</v>
      </c>
      <c r="F172" s="212" t="s">
        <v>149</v>
      </c>
      <c r="G172" s="213" t="n">
        <f aca="false">VLOOKUP($B172,BTU,2,FALSE())/1000</f>
        <v>1.025</v>
      </c>
      <c r="H172" s="182" t="str">
        <f aca="false">VLOOKUP($B172,spotdata,3,FALSE())</f>
        <v>    </v>
      </c>
      <c r="I172" s="204" t="n">
        <f aca="false">IF(VLOOKUP($B172,errordata,3,FALSE())="UNAV",J172*POLLHOURSFLOWED,IF(LEFT(B172,1)="1",VLOOKUP($B172,totalvolume,2,FALSE())*G172/1000,VLOOKUP($B172,totalvolume,2,FALSE())*G172/1000*-1))</f>
        <v>-3.8210223265</v>
      </c>
      <c r="J172" s="205" t="n">
        <f aca="false">O172+T172</f>
        <v>-3.54722222222222</v>
      </c>
      <c r="K172" s="206" t="n">
        <f aca="false">I172-J172</f>
        <v>-0.273800104277778</v>
      </c>
      <c r="L172" s="79" t="n">
        <f aca="false">L171+I172</f>
        <v>-9.42939203379811</v>
      </c>
      <c r="M172" s="200" t="n">
        <f aca="false">M171+J172</f>
        <v>-13.8607708333332</v>
      </c>
      <c r="N172" s="79" t="n">
        <f aca="false">IF(F172="CIG",O172,IF(F172="OBA",O172,IF(F172="HPL",I172-T172,IF(ISERR((O172/$J172)*$I172),0,IF(F172="TP",(O172/$J172)*$I172)))))</f>
        <v>-3.8210223265</v>
      </c>
      <c r="O172" s="205" t="n">
        <f aca="false">IF(LEFT(B172,1)="1",VLOOKUP(B172,Cigsch,3,FALSE())/1000,VLOOKUP(B172,Cigsch,3,FALSE())/1000*-1)*POLLHOURSFLOWED</f>
        <v>-3.54722222222222</v>
      </c>
      <c r="P172" s="206" t="n">
        <f aca="false">N172-O172</f>
        <v>-0.273800104277778</v>
      </c>
      <c r="Q172" s="79" t="n">
        <f aca="false">Q171+N172</f>
        <v>-31.2908499007656</v>
      </c>
      <c r="R172" s="201" t="n">
        <f aca="false">R171+O172</f>
        <v>-35.7169805555555</v>
      </c>
      <c r="S172" s="207" t="n">
        <f aca="false">I172-N172</f>
        <v>0</v>
      </c>
      <c r="T172" s="205" t="n">
        <f aca="false">IF(LEFT(B172,1)="1",VLOOKUP(B172,Cigsch,2,FALSE())/1000,VLOOKUP(B172,Cigsch,2,FALSE())/1000*-1)*POLLHOURSFLOWED</f>
        <v>-0</v>
      </c>
      <c r="U172" s="206" t="n">
        <f aca="false">S172-T172</f>
        <v>0</v>
      </c>
      <c r="V172" s="203" t="n">
        <f aca="false">V171+S172</f>
        <v>21.8614578669675</v>
      </c>
      <c r="W172" s="79" t="n">
        <f aca="false">W171+T172</f>
        <v>21.8562097222223</v>
      </c>
      <c r="X172" s="208" t="n">
        <f aca="false">S172-Y172</f>
        <v>0</v>
      </c>
      <c r="Y172" s="209" t="n">
        <f aca="false">IF(F172="OBA",I172-J172,0)</f>
        <v>0</v>
      </c>
      <c r="AB172" s="194"/>
      <c r="AC172" s="194"/>
    </row>
    <row r="173" customFormat="false" ht="12.75" hidden="false" customHeight="false" outlineLevel="0" collapsed="false">
      <c r="A173" s="253" t="n">
        <v>816</v>
      </c>
      <c r="B173" s="179" t="n">
        <v>26026</v>
      </c>
      <c r="C173" s="178" t="n">
        <v>3522</v>
      </c>
      <c r="D173" s="179" t="s">
        <v>273</v>
      </c>
      <c r="E173" s="179" t="s">
        <v>149</v>
      </c>
      <c r="F173" s="180" t="s">
        <v>149</v>
      </c>
      <c r="G173" s="181" t="n">
        <f aca="false">VLOOKUP($B173,BTU,2,FALSE())/1000</f>
        <v>1.025</v>
      </c>
      <c r="H173" s="182" t="str">
        <f aca="false">VLOOKUP($B173,spotdata,3,FALSE())</f>
        <v>    </v>
      </c>
      <c r="I173" s="204" t="n">
        <f aca="false">IF(VLOOKUP($B173,errordata,3,FALSE())="UNAV",J173*POLLHOURSFLOWED,IF(LEFT(B173,1)="1",VLOOKUP($B173,totalvolume,2,FALSE())*G173/1000,VLOOKUP($B173,totalvolume,2,FALSE())*G173/1000*-1))</f>
        <v>-18.16274375</v>
      </c>
      <c r="J173" s="205" t="n">
        <f aca="false">O173+T173</f>
        <v>-20.3965277777778</v>
      </c>
      <c r="K173" s="206" t="n">
        <f aca="false">I173-J173</f>
        <v>2.23378402777778</v>
      </c>
      <c r="L173" s="79" t="n">
        <f aca="false">L172+I173</f>
        <v>-27.5921357837981</v>
      </c>
      <c r="M173" s="200" t="n">
        <f aca="false">M172+J173</f>
        <v>-34.257298611111</v>
      </c>
      <c r="N173" s="79" t="n">
        <f aca="false">IF(F173="CIG",O173,IF(F173="OBA",O173,IF(F173="HPL",I173-T173,IF(ISERR((O173/$J173)*$I173),0,IF(F173="TP",(O173/$J173)*$I173)))))</f>
        <v>-18.16274375</v>
      </c>
      <c r="O173" s="205" t="n">
        <f aca="false">IF(LEFT(B173,1)="1",VLOOKUP(B173,Cigsch,3,FALSE())/1000,VLOOKUP(B173,Cigsch,3,FALSE())/1000*-1)*POLLHOURSFLOWED</f>
        <v>-20.3965277777778</v>
      </c>
      <c r="P173" s="206" t="n">
        <f aca="false">N173-O173</f>
        <v>2.23378402777778</v>
      </c>
      <c r="Q173" s="79" t="n">
        <f aca="false">Q172+N173</f>
        <v>-49.4535936507656</v>
      </c>
      <c r="R173" s="201" t="n">
        <f aca="false">R172+O173</f>
        <v>-56.1135083333333</v>
      </c>
      <c r="S173" s="207" t="n">
        <f aca="false">I173-N173</f>
        <v>0</v>
      </c>
      <c r="T173" s="205" t="n">
        <f aca="false">IF(LEFT(B173,1)="1",VLOOKUP(B173,Cigsch,2,FALSE())/1000,VLOOKUP(B173,Cigsch,2,FALSE())/1000*-1)*POLLHOURSFLOWED</f>
        <v>-0</v>
      </c>
      <c r="U173" s="206" t="n">
        <f aca="false">S173-T173</f>
        <v>0</v>
      </c>
      <c r="V173" s="203" t="n">
        <f aca="false">V172+S173</f>
        <v>21.8614578669675</v>
      </c>
      <c r="W173" s="79" t="n">
        <f aca="false">W172+T173</f>
        <v>21.8562097222223</v>
      </c>
      <c r="X173" s="208" t="n">
        <f aca="false">S173-Y173</f>
        <v>0</v>
      </c>
      <c r="Y173" s="209" t="n">
        <f aca="false">IF(F173="OBA",I173-J173,0)</f>
        <v>0</v>
      </c>
      <c r="AB173" s="194"/>
      <c r="AC173" s="194"/>
    </row>
    <row r="174" customFormat="false" ht="12.75" hidden="false" customHeight="false" outlineLevel="0" collapsed="false">
      <c r="A174" s="253" t="n">
        <v>816</v>
      </c>
      <c r="B174" s="179" t="n">
        <v>16345</v>
      </c>
      <c r="C174" s="178"/>
      <c r="D174" s="179" t="s">
        <v>274</v>
      </c>
      <c r="E174" s="179" t="s">
        <v>116</v>
      </c>
      <c r="F174" s="180" t="s">
        <v>116</v>
      </c>
      <c r="G174" s="181" t="n">
        <f aca="false">VLOOKUP($B174,BTU,2,FALSE())/1000</f>
        <v>1.025</v>
      </c>
      <c r="H174" s="182" t="str">
        <f aca="false">VLOOKUP($B174,spotdata,3,FALSE())</f>
        <v>UNAV</v>
      </c>
      <c r="I174" s="204" t="n">
        <f aca="false">IF(VLOOKUP($B174,errordata,3,FALSE())="UNAV",J174*POLLHOURSFLOWED,IF(LEFT(B174,1)="1",VLOOKUP($B174,totalvolume,2,FALSE())*G174/1000,VLOOKUP($B174,totalvolume,2,FALSE())*G174/1000*-1))</f>
        <v>0.0314569637345679</v>
      </c>
      <c r="J174" s="205" t="n">
        <f aca="false">O174+T174</f>
        <v>0.0354722222222222</v>
      </c>
      <c r="K174" s="206" t="n">
        <f aca="false">I174-J174</f>
        <v>-0.00401525848765432</v>
      </c>
      <c r="L174" s="79" t="n">
        <f aca="false">L173+I174</f>
        <v>-27.5606788200635</v>
      </c>
      <c r="M174" s="200" t="n">
        <f aca="false">M173+J174</f>
        <v>-34.2218263888888</v>
      </c>
      <c r="N174" s="79" t="n">
        <f aca="false">IF(F174="CIG",O174,IF(F174="OBA",O174,IF(F174="HPL",I174-T174,IF(ISERR((O174/$J174)*$I174),0,IF(F174="TP",(O174/$J174)*$I174)))))</f>
        <v>0</v>
      </c>
      <c r="O174" s="205" t="n">
        <f aca="false">IF(LEFT(B174,1)="1",VLOOKUP(B174,Cigsch,3,FALSE())/1000,VLOOKUP(B174,Cigsch,3,FALSE())/1000*-1)*POLLHOURSFLOWED</f>
        <v>0</v>
      </c>
      <c r="P174" s="206" t="n">
        <f aca="false">N174-O174</f>
        <v>0</v>
      </c>
      <c r="Q174" s="79" t="n">
        <f aca="false">Q173+N174</f>
        <v>-49.4535936507656</v>
      </c>
      <c r="R174" s="201" t="n">
        <f aca="false">R173+O174</f>
        <v>-56.1135083333333</v>
      </c>
      <c r="S174" s="207" t="n">
        <f aca="false">I174-N174</f>
        <v>0.0314569637345679</v>
      </c>
      <c r="T174" s="205" t="n">
        <f aca="false">IF(LEFT(B174,1)="1",VLOOKUP(B174,Cigsch,2,FALSE())/1000,VLOOKUP(B174,Cigsch,2,FALSE())/1000*-1)*POLLHOURSFLOWED</f>
        <v>0.0354722222222222</v>
      </c>
      <c r="U174" s="206" t="n">
        <f aca="false">S174-T174</f>
        <v>-0.00401525848765432</v>
      </c>
      <c r="V174" s="203" t="n">
        <f aca="false">V173+S174</f>
        <v>21.892914830702</v>
      </c>
      <c r="W174" s="79" t="n">
        <f aca="false">W173+T174</f>
        <v>21.8916819444446</v>
      </c>
      <c r="X174" s="208" t="n">
        <f aca="false">S174-Y174</f>
        <v>0.0314569637345679</v>
      </c>
      <c r="Y174" s="209" t="n">
        <f aca="false">IF(F174="OBA",I174-J174,0)</f>
        <v>0</v>
      </c>
      <c r="AB174" s="194"/>
      <c r="AC174" s="194"/>
    </row>
    <row r="175" customFormat="false" ht="12.75" hidden="false" customHeight="false" outlineLevel="0" collapsed="false">
      <c r="A175" s="253" t="n">
        <v>816</v>
      </c>
      <c r="B175" s="179" t="n">
        <v>16365</v>
      </c>
      <c r="C175" s="178" t="n">
        <v>777</v>
      </c>
      <c r="D175" s="308" t="s">
        <v>275</v>
      </c>
      <c r="E175" s="179" t="s">
        <v>149</v>
      </c>
      <c r="F175" s="180" t="s">
        <v>149</v>
      </c>
      <c r="G175" s="181" t="n">
        <v>1.025</v>
      </c>
      <c r="H175" s="182" t="str">
        <f aca="false">VLOOKUP($B175,spotdata,3,FALSE())</f>
        <v>UNAV</v>
      </c>
      <c r="I175" s="204" t="n">
        <f aca="false">IF(VLOOKUP($B175,errordata,3,FALSE())="UNAV",J175*POLLHOURSFLOWED,IF(LEFT(B175,1)="1",VLOOKUP($B175,totalvolume,2,FALSE())*G175/1000,VLOOKUP($B175,totalvolume,2,FALSE())*G175/1000*-1))</f>
        <v>5.70707964554398</v>
      </c>
      <c r="J175" s="205" t="n">
        <f aca="false">O175+T175</f>
        <v>6.43554791666667</v>
      </c>
      <c r="K175" s="206" t="n">
        <f aca="false">I175-J175</f>
        <v>-0.728468271122686</v>
      </c>
      <c r="L175" s="79" t="n">
        <f aca="false">L174+I175</f>
        <v>-21.8535991745196</v>
      </c>
      <c r="M175" s="200" t="n">
        <f aca="false">M174+J175</f>
        <v>-27.7862784722221</v>
      </c>
      <c r="N175" s="79" t="n">
        <f aca="false">IF(F175="CIG",O175,IF(F175="OBA",O175,IF(F175="HPL",I175-T175,IF(ISERR((O175/$J175)*$I175),0,IF(F175="TP",(O175/$J175)*$I175)))))</f>
        <v>5.70707964554398</v>
      </c>
      <c r="O175" s="205" t="n">
        <f aca="false">IF(LEFT(B175,1)="1",VLOOKUP(B175,Cigsch,3,FALSE())/1000,VLOOKUP(B175,Cigsch,3,FALSE())/1000*-1)*POLLHOURSFLOWED</f>
        <v>6.43554791666667</v>
      </c>
      <c r="P175" s="206" t="n">
        <f aca="false">N175-O175</f>
        <v>-0.728468271122686</v>
      </c>
      <c r="Q175" s="79" t="n">
        <f aca="false">Q174+N175</f>
        <v>-43.7465140052216</v>
      </c>
      <c r="R175" s="201" t="n">
        <f aca="false">R174+O175</f>
        <v>-49.6779604166666</v>
      </c>
      <c r="S175" s="207" t="n">
        <f aca="false">I175-N175</f>
        <v>0</v>
      </c>
      <c r="T175" s="205" t="n">
        <f aca="false">IF(LEFT(B175,1)="1",VLOOKUP(B175,Cigsch,2,FALSE())/1000,VLOOKUP(B175,Cigsch,2,FALSE())/1000*-1)*POLLHOURSFLOWED</f>
        <v>0</v>
      </c>
      <c r="U175" s="206" t="n">
        <f aca="false">S175-T175</f>
        <v>0</v>
      </c>
      <c r="V175" s="203" t="n">
        <f aca="false">V174+S175</f>
        <v>21.892914830702</v>
      </c>
      <c r="W175" s="79" t="n">
        <f aca="false">W174+T175</f>
        <v>21.8916819444446</v>
      </c>
      <c r="X175" s="208" t="n">
        <f aca="false">S175-Y175</f>
        <v>0</v>
      </c>
      <c r="Y175" s="209" t="n">
        <f aca="false">IF(F175="OBA",I175-J175,0)</f>
        <v>0</v>
      </c>
      <c r="AB175" s="194"/>
      <c r="AC175" s="194"/>
    </row>
    <row r="176" customFormat="false" ht="12.75" hidden="false" customHeight="false" outlineLevel="0" collapsed="false">
      <c r="A176" s="253" t="n">
        <v>816</v>
      </c>
      <c r="B176" s="179" t="n">
        <v>16357</v>
      </c>
      <c r="C176" s="178" t="n">
        <v>9659</v>
      </c>
      <c r="D176" s="179" t="s">
        <v>276</v>
      </c>
      <c r="E176" s="179" t="s">
        <v>149</v>
      </c>
      <c r="F176" s="180" t="s">
        <v>149</v>
      </c>
      <c r="G176" s="181" t="n">
        <f aca="false">VLOOKUP($B176,BTU,2,FALSE())/1000</f>
        <v>1.025</v>
      </c>
      <c r="H176" s="182" t="str">
        <f aca="false">VLOOKUP($B176,spotdata,3,FALSE())</f>
        <v>UNAV</v>
      </c>
      <c r="I176" s="204" t="n">
        <f aca="false">IF(VLOOKUP($B176,errordata,3,FALSE())="UNAV",J176*POLLHOURSFLOWED,IF(LEFT(B176,1)="1",VLOOKUP($B176,totalvolume,2,FALSE())*G176/1000,VLOOKUP($B176,totalvolume,2,FALSE())*G176/1000*-1))</f>
        <v>1.07425531153549</v>
      </c>
      <c r="J176" s="205" t="n">
        <f aca="false">O176+T176</f>
        <v>1.21137638888889</v>
      </c>
      <c r="K176" s="206" t="n">
        <f aca="false">I176-J176</f>
        <v>-0.137121077353395</v>
      </c>
      <c r="L176" s="79" t="n">
        <f aca="false">L175+I176</f>
        <v>-20.7793438629841</v>
      </c>
      <c r="M176" s="200" t="n">
        <f aca="false">M175+J176</f>
        <v>-26.5749020833332</v>
      </c>
      <c r="N176" s="79" t="n">
        <f aca="false">IF(F176="CIG",O176,IF(F176="OBA",O176,IF(F176="HPL",I176-T176,IF(ISERR((O176/$J176)*$I176),0,IF(F176="TP",(O176/$J176)*$I176)))))</f>
        <v>1.07425531153549</v>
      </c>
      <c r="O176" s="205" t="n">
        <f aca="false">IF(LEFT(B176,1)="1",VLOOKUP(B176,Cigsch,3,FALSE())/1000,VLOOKUP(B176,Cigsch,3,FALSE())/1000*-1)*POLLHOURSFLOWED</f>
        <v>1.21137638888889</v>
      </c>
      <c r="P176" s="206" t="n">
        <f aca="false">N176-O176</f>
        <v>-0.137121077353395</v>
      </c>
      <c r="Q176" s="79" t="n">
        <f aca="false">Q175+N176</f>
        <v>-42.6722586936861</v>
      </c>
      <c r="R176" s="201" t="n">
        <f aca="false">R175+O176</f>
        <v>-48.4665840277778</v>
      </c>
      <c r="S176" s="207" t="n">
        <f aca="false">I176-N176</f>
        <v>0</v>
      </c>
      <c r="T176" s="205" t="n">
        <f aca="false">IF(LEFT(B176,1)="1",VLOOKUP(B176,Cigsch,2,FALSE())/1000,VLOOKUP(B176,Cigsch,2,FALSE())/1000*-1)*POLLHOURSFLOWED</f>
        <v>0</v>
      </c>
      <c r="U176" s="206" t="n">
        <f aca="false">S176-T176</f>
        <v>0</v>
      </c>
      <c r="V176" s="203" t="n">
        <f aca="false">V175+S176</f>
        <v>21.892914830702</v>
      </c>
      <c r="W176" s="79" t="n">
        <f aca="false">W175+T176</f>
        <v>21.8916819444446</v>
      </c>
      <c r="X176" s="208" t="n">
        <f aca="false">S176-Y176</f>
        <v>0</v>
      </c>
      <c r="Y176" s="209" t="n">
        <f aca="false">IF(F176="OBA",I176-J176,0)</f>
        <v>0</v>
      </c>
      <c r="AB176" s="194"/>
      <c r="AC176" s="194"/>
    </row>
    <row r="177" customFormat="false" ht="12.75" hidden="false" customHeight="false" outlineLevel="0" collapsed="false">
      <c r="A177" s="253" t="n">
        <v>816</v>
      </c>
      <c r="B177" s="179" t="n">
        <v>16369</v>
      </c>
      <c r="C177" s="178" t="n">
        <v>9842</v>
      </c>
      <c r="D177" s="179" t="s">
        <v>277</v>
      </c>
      <c r="E177" s="179" t="s">
        <v>149</v>
      </c>
      <c r="F177" s="180" t="s">
        <v>149</v>
      </c>
      <c r="G177" s="181" t="n">
        <f aca="false">VLOOKUP($B177,BTU,2,FALSE())/1000</f>
        <v>1.025</v>
      </c>
      <c r="H177" s="182" t="str">
        <f aca="false">VLOOKUP($B177,spotdata,3,FALSE())</f>
        <v>UNAV</v>
      </c>
      <c r="I177" s="204" t="n">
        <f aca="false">IF(VLOOKUP($B177,errordata,3,FALSE())="UNAV",J177*POLLHOURSFLOWED,IF(LEFT(B177,1)="1",VLOOKUP($B177,totalvolume,2,FALSE())*G177/1000,VLOOKUP($B177,totalvolume,2,FALSE())*G177/1000*-1))</f>
        <v>6.69640115499614</v>
      </c>
      <c r="J177" s="205" t="n">
        <f aca="false">O177+T177</f>
        <v>7.55114930555556</v>
      </c>
      <c r="K177" s="206" t="n">
        <f aca="false">I177-J177</f>
        <v>-0.854748150559414</v>
      </c>
      <c r="L177" s="79" t="n">
        <f aca="false">L176+I177</f>
        <v>-14.0829427079879</v>
      </c>
      <c r="M177" s="200" t="n">
        <f aca="false">M176+J177</f>
        <v>-19.0237527777777</v>
      </c>
      <c r="N177" s="79" t="n">
        <f aca="false">IF(F177="CIG",O177,IF(F177="OBA",O177,IF(F177="HPL",I177-T177,IF(ISERR((O177/$J177)*$I177),0,IF(F177="TP",(O177/$J177)*$I177)))))</f>
        <v>6.69640115499614</v>
      </c>
      <c r="O177" s="205" t="n">
        <f aca="false">IF(LEFT(B177,1)="1",VLOOKUP(B177,Cigsch,3,FALSE())/1000,VLOOKUP(B177,Cigsch,3,FALSE())/1000*-1)*POLLHOURSFLOWED</f>
        <v>7.55114930555556</v>
      </c>
      <c r="P177" s="206" t="n">
        <f aca="false">N177-O177</f>
        <v>-0.854748150559414</v>
      </c>
      <c r="Q177" s="79" t="n">
        <f aca="false">Q176+N177</f>
        <v>-35.97585753869</v>
      </c>
      <c r="R177" s="201" t="n">
        <f aca="false">R176+O177</f>
        <v>-40.9154347222222</v>
      </c>
      <c r="S177" s="207" t="n">
        <f aca="false">I177-N177</f>
        <v>0</v>
      </c>
      <c r="T177" s="205" t="n">
        <f aca="false">IF(LEFT(B177,1)="1",VLOOKUP(B177,Cigsch,2,FALSE())/1000,VLOOKUP(B177,Cigsch,2,FALSE())/1000*-1)*POLLHOURSFLOWED</f>
        <v>0</v>
      </c>
      <c r="U177" s="206" t="n">
        <f aca="false">S177-T177</f>
        <v>0</v>
      </c>
      <c r="V177" s="203" t="n">
        <f aca="false">V176+S177</f>
        <v>21.892914830702</v>
      </c>
      <c r="W177" s="79" t="n">
        <f aca="false">W176+T177</f>
        <v>21.8916819444446</v>
      </c>
      <c r="X177" s="208" t="n">
        <f aca="false">S177-Y177</f>
        <v>0</v>
      </c>
      <c r="Y177" s="209" t="n">
        <f aca="false">IF(F177="OBA",I177-J177,0)</f>
        <v>0</v>
      </c>
      <c r="AB177" s="194"/>
      <c r="AC177" s="194"/>
    </row>
    <row r="178" customFormat="false" ht="13.5" hidden="false" customHeight="false" outlineLevel="0" collapsed="false">
      <c r="A178" s="256" t="n">
        <v>816</v>
      </c>
      <c r="B178" s="257" t="n">
        <v>16001</v>
      </c>
      <c r="C178" s="258"/>
      <c r="D178" s="257" t="s">
        <v>278</v>
      </c>
      <c r="E178" s="257" t="s">
        <v>118</v>
      </c>
      <c r="F178" s="260" t="s">
        <v>116</v>
      </c>
      <c r="G178" s="261" t="n">
        <f aca="false">VLOOKUP($B178,BTU,2,FALSE())/1000</f>
        <v>1.025</v>
      </c>
      <c r="H178" s="262" t="str">
        <f aca="false">VLOOKUP($B178,spotdata,3,FALSE())</f>
        <v>UNAV</v>
      </c>
      <c r="I178" s="263" t="n">
        <f aca="false">IF(VLOOKUP($B178,errordata,3,FALSE())="UNAV",J178*POLLHOURSFLOWED,IF(LEFT(B178,1)="1",VLOOKUP($B178,totalvolume,2,FALSE())*G178/1000,VLOOKUP($B178,totalvolume,2,FALSE())*G178/1000*-1))</f>
        <v>0.132905671778549</v>
      </c>
      <c r="J178" s="264" t="n">
        <f aca="false">O178+T178</f>
        <v>0.149870138888889</v>
      </c>
      <c r="K178" s="265" t="n">
        <f aca="false">I178-J178</f>
        <v>-0.0169644671103395</v>
      </c>
      <c r="L178" s="266" t="n">
        <f aca="false">L177+I178</f>
        <v>-13.9500370362094</v>
      </c>
      <c r="M178" s="267" t="n">
        <f aca="false">M177+J178</f>
        <v>-18.8738826388888</v>
      </c>
      <c r="N178" s="266" t="n">
        <f aca="false">IF(F178="CIG",O178,IF(F178="OBA",O178,IF(F178="HPL",I178-T178,IF(ISERR((O178/$J178)*$I178),0,IF(F178="TP",(O178/$J178)*$I178)))))</f>
        <v>0</v>
      </c>
      <c r="O178" s="264" t="n">
        <f aca="false">IF(LEFT(B178,1)="1",VLOOKUP(B178,Cigsch,3,FALSE())/1000,VLOOKUP(B178,Cigsch,3,FALSE())/1000*-1)*POLLHOURSFLOWED</f>
        <v>0</v>
      </c>
      <c r="P178" s="265" t="n">
        <f aca="false">N178-O178</f>
        <v>0</v>
      </c>
      <c r="Q178" s="266" t="n">
        <f aca="false">Q177+N178</f>
        <v>-35.97585753869</v>
      </c>
      <c r="R178" s="268" t="n">
        <f aca="false">R177+O178</f>
        <v>-40.9154347222222</v>
      </c>
      <c r="S178" s="269" t="n">
        <f aca="false">I178-N178</f>
        <v>0.132905671778549</v>
      </c>
      <c r="T178" s="264" t="n">
        <f aca="false">IF(LEFT(B178,1)="1",VLOOKUP(B178,Cigsch,2,FALSE())/1000,VLOOKUP(B178,Cigsch,2,FALSE())/1000*-1)*POLLHOURSFLOWED</f>
        <v>0.149870138888889</v>
      </c>
      <c r="U178" s="265" t="n">
        <f aca="false">S178-T178</f>
        <v>-0.0169644671103395</v>
      </c>
      <c r="V178" s="270" t="n">
        <f aca="false">V177+S178</f>
        <v>22.0258205024806</v>
      </c>
      <c r="W178" s="266" t="n">
        <f aca="false">W177+T178</f>
        <v>22.0415520833335</v>
      </c>
      <c r="X178" s="271" t="n">
        <f aca="false">S178-Y178</f>
        <v>0.132905671778549</v>
      </c>
      <c r="Y178" s="272" t="n">
        <f aca="false">IF(F178="OBA",I178-J178,0)</f>
        <v>0</v>
      </c>
      <c r="AB178" s="194"/>
      <c r="AC178" s="194"/>
    </row>
    <row r="179" customFormat="false" ht="12.75" hidden="false" customHeight="false" outlineLevel="0" collapsed="false">
      <c r="A179" s="253" t="n">
        <v>817</v>
      </c>
      <c r="B179" s="179" t="n">
        <v>16297</v>
      </c>
      <c r="C179" s="178" t="n">
        <v>7285</v>
      </c>
      <c r="D179" s="237" t="s">
        <v>279</v>
      </c>
      <c r="E179" s="179" t="s">
        <v>118</v>
      </c>
      <c r="F179" s="180" t="s">
        <v>142</v>
      </c>
      <c r="G179" s="181" t="n">
        <f aca="false">VLOOKUP($B179,BTU,2,FALSE())/1000</f>
        <v>1.08915051</v>
      </c>
      <c r="H179" s="182" t="str">
        <f aca="false">VLOOKUP($B179,spotdata,3,FALSE())</f>
        <v>    </v>
      </c>
      <c r="I179" s="204" t="n">
        <f aca="false">IF(VLOOKUP($B179,errordata,3,FALSE())="UNAV",J179*POLLHOURSFLOWED,IF(LEFT(B179,1)="1",VLOOKUP($B179,totalvolume,2,FALSE())*G179/1000,VLOOKUP($B179,totalvolume,2,FALSE())*G179/1000*-1))</f>
        <v>0</v>
      </c>
      <c r="J179" s="205" t="n">
        <f aca="false">O179+T179</f>
        <v>0</v>
      </c>
      <c r="K179" s="206" t="n">
        <f aca="false">I179-J179</f>
        <v>0</v>
      </c>
      <c r="L179" s="79" t="n">
        <f aca="false">L178+I179</f>
        <v>-13.9500370362094</v>
      </c>
      <c r="M179" s="200" t="n">
        <f aca="false">M178+J179</f>
        <v>-18.8738826388888</v>
      </c>
      <c r="N179" s="79" t="n">
        <f aca="false">IF(F179="CIG",O179,IF(F179="OBA",O179,IF(F179="HPL",I179-T179,IF(ISERR((O179/$J179)*$I179),0,IF(F179="TP",(O179/$J179)*$I179)))))</f>
        <v>0</v>
      </c>
      <c r="O179" s="205" t="n">
        <f aca="false">IF(LEFT(B179,1)="1",VLOOKUP(B179,Cigsch,3,FALSE())/1000,VLOOKUP(B179,Cigsch,3,FALSE())/1000*-1)*POLLHOURSFLOWED</f>
        <v>0</v>
      </c>
      <c r="P179" s="206" t="n">
        <f aca="false">N179-O179</f>
        <v>0</v>
      </c>
      <c r="Q179" s="79" t="n">
        <f aca="false">Q178+N179</f>
        <v>-35.97585753869</v>
      </c>
      <c r="R179" s="201" t="n">
        <f aca="false">R178+O179</f>
        <v>-40.9154347222222</v>
      </c>
      <c r="S179" s="207" t="n">
        <f aca="false">I179-N179</f>
        <v>0</v>
      </c>
      <c r="T179" s="205" t="n">
        <f aca="false">IF(LEFT(B179,1)="1",VLOOKUP(B179,Cigsch,2,FALSE())/1000,VLOOKUP(B179,Cigsch,2,FALSE())/1000*-1)*POLLHOURSFLOWED</f>
        <v>0</v>
      </c>
      <c r="U179" s="206" t="n">
        <f aca="false">S179-T179</f>
        <v>0</v>
      </c>
      <c r="V179" s="203" t="n">
        <f aca="false">V178+S179</f>
        <v>22.0258205024806</v>
      </c>
      <c r="W179" s="79" t="n">
        <f aca="false">W178+T179</f>
        <v>22.0415520833335</v>
      </c>
      <c r="X179" s="309" t="n">
        <f aca="false">S179-Y179</f>
        <v>0</v>
      </c>
      <c r="Y179" s="310" t="n">
        <f aca="false">IF(F179="OBA",I179-J179,0)</f>
        <v>0</v>
      </c>
      <c r="AB179" s="194"/>
      <c r="AC179" s="194"/>
    </row>
    <row r="180" customFormat="false" ht="13.5" hidden="false" customHeight="false" outlineLevel="0" collapsed="false">
      <c r="A180" s="253" t="n">
        <v>817</v>
      </c>
      <c r="B180" s="179" t="n">
        <v>26164</v>
      </c>
      <c r="C180" s="178"/>
      <c r="D180" s="237" t="s">
        <v>280</v>
      </c>
      <c r="E180" s="179" t="s">
        <v>118</v>
      </c>
      <c r="F180" s="180" t="s">
        <v>142</v>
      </c>
      <c r="G180" s="181" t="n">
        <f aca="false">VLOOKUP($B180,BTU,2,FALSE())/1000</f>
        <v>1.08915051</v>
      </c>
      <c r="H180" s="182" t="str">
        <f aca="false">VLOOKUP($B180,spotdata,3,FALSE())</f>
        <v>    </v>
      </c>
      <c r="I180" s="204" t="n">
        <f aca="false">IF(VLOOKUP($B180,errordata,3,FALSE())="UNAV",J180*POLLHOURSFLOWED,IF(LEFT(B180,1)="1",VLOOKUP($B180,totalvolume,2,FALSE())*G180/1000,VLOOKUP($B180,totalvolume,2,FALSE())*G180/1000*-1))</f>
        <v>-12.394543477475</v>
      </c>
      <c r="J180" s="205" t="n">
        <f aca="false">O180+T180</f>
        <v>-10.6416666666667</v>
      </c>
      <c r="K180" s="206" t="n">
        <f aca="false">I180-J180</f>
        <v>-1.75287681080833</v>
      </c>
      <c r="L180" s="79" t="n">
        <f aca="false">L179+I180</f>
        <v>-26.3445805136844</v>
      </c>
      <c r="M180" s="200" t="n">
        <f aca="false">M179+J180</f>
        <v>-29.5155493055554</v>
      </c>
      <c r="N180" s="79" t="n">
        <f aca="false">IF(F180="CIG",O180,IF(F180="OBA",O180,IF(F180="HPL",I180-T180,IF(ISERR((O180/$J180)*$I180),0,IF(F180="TP",(O180/$J180)*$I180)))))</f>
        <v>-0</v>
      </c>
      <c r="O180" s="205" t="n">
        <f aca="false">IF(LEFT(B180,1)="1",VLOOKUP(B180,Cigsch,3,FALSE())/1000,VLOOKUP(B180,Cigsch,3,FALSE())/1000*-1)*POLLHOURSFLOWED</f>
        <v>-0</v>
      </c>
      <c r="P180" s="206" t="n">
        <f aca="false">N180-O180</f>
        <v>0</v>
      </c>
      <c r="Q180" s="79" t="n">
        <f aca="false">Q179+N180</f>
        <v>-35.97585753869</v>
      </c>
      <c r="R180" s="201" t="n">
        <f aca="false">R179+O180</f>
        <v>-40.9154347222222</v>
      </c>
      <c r="S180" s="207" t="n">
        <f aca="false">I180-N180</f>
        <v>-12.394543477475</v>
      </c>
      <c r="T180" s="205" t="n">
        <f aca="false">IF(LEFT(B180,1)="1",VLOOKUP(B180,Cigsch,2,FALSE())/1000,VLOOKUP(B180,Cigsch,2,FALSE())/1000*-1)*POLLHOURSFLOWED</f>
        <v>-10.6416666666667</v>
      </c>
      <c r="U180" s="206" t="n">
        <f aca="false">S180-T180</f>
        <v>-1.75287681080833</v>
      </c>
      <c r="V180" s="203" t="n">
        <f aca="false">V179+S180</f>
        <v>9.63127702500557</v>
      </c>
      <c r="W180" s="79" t="n">
        <f aca="false">W179+T180</f>
        <v>11.3998854166668</v>
      </c>
      <c r="X180" s="309" t="n">
        <f aca="false">S180-Y180</f>
        <v>-10.6416666666667</v>
      </c>
      <c r="Y180" s="311" t="n">
        <f aca="false">IF(F180="OBA",I180-J180,0)</f>
        <v>-1.75287681080833</v>
      </c>
      <c r="AB180" s="194"/>
      <c r="AC180" s="194"/>
    </row>
    <row r="181" customFormat="false" ht="12.75" hidden="false" customHeight="false" outlineLevel="0" collapsed="false">
      <c r="A181" s="253" t="n">
        <v>817</v>
      </c>
      <c r="B181" s="179" t="n">
        <v>16346</v>
      </c>
      <c r="C181" s="178"/>
      <c r="D181" s="179" t="s">
        <v>281</v>
      </c>
      <c r="E181" s="179" t="s">
        <v>116</v>
      </c>
      <c r="F181" s="180" t="s">
        <v>116</v>
      </c>
      <c r="G181" s="181" t="n">
        <f aca="false">VLOOKUP($B181,BTU,2,FALSE())/1000</f>
        <v>1.025</v>
      </c>
      <c r="H181" s="182" t="str">
        <f aca="false">VLOOKUP($B181,spotdata,3,FALSE())</f>
        <v>UNAV</v>
      </c>
      <c r="I181" s="204" t="n">
        <f aca="false">IF(VLOOKUP($B181,errordata,3,FALSE())="UNAV",J181*POLLHOURSFLOWED,IF(LEFT(B181,1)="1",VLOOKUP($B181,totalvolume,2,FALSE())*G181/1000,VLOOKUP($B181,totalvolume,2,FALSE())*G181/1000*-1))</f>
        <v>0.217839473861883</v>
      </c>
      <c r="J181" s="205" t="n">
        <f aca="false">O181+T181</f>
        <v>0.245645138888889</v>
      </c>
      <c r="K181" s="206" t="n">
        <f aca="false">I181-J181</f>
        <v>-0.0278056650270062</v>
      </c>
      <c r="L181" s="79" t="n">
        <f aca="false">L180+I181</f>
        <v>-26.1267410398225</v>
      </c>
      <c r="M181" s="200" t="n">
        <f aca="false">M180+J181</f>
        <v>-29.2699041666665</v>
      </c>
      <c r="N181" s="79" t="n">
        <f aca="false">IF(F181="CIG",O181,IF(F181="OBA",O181,IF(F181="HPL",I181-T181,IF(ISERR((O181/$J181)*$I181),0,IF(F181="TP",(O181/$J181)*$I181)))))</f>
        <v>0</v>
      </c>
      <c r="O181" s="205" t="n">
        <f aca="false">IF(LEFT(B181,1)="1",VLOOKUP(B181,Cigsch,3,FALSE())/1000,VLOOKUP(B181,Cigsch,3,FALSE())/1000*-1)*POLLHOURSFLOWED</f>
        <v>0</v>
      </c>
      <c r="P181" s="206" t="n">
        <f aca="false">N181-O181</f>
        <v>0</v>
      </c>
      <c r="Q181" s="79" t="n">
        <f aca="false">Q180+N181</f>
        <v>-35.97585753869</v>
      </c>
      <c r="R181" s="201" t="n">
        <f aca="false">R180+O181</f>
        <v>-40.9154347222222</v>
      </c>
      <c r="S181" s="207" t="n">
        <f aca="false">I181-N181</f>
        <v>0.217839473861883</v>
      </c>
      <c r="T181" s="205" t="n">
        <f aca="false">IF(LEFT(B181,1)="1",VLOOKUP(B181,Cigsch,2,FALSE())/1000,VLOOKUP(B181,Cigsch,2,FALSE())/1000*-1)*POLLHOURSFLOWED</f>
        <v>0.245645138888889</v>
      </c>
      <c r="U181" s="206" t="n">
        <f aca="false">S181-T181</f>
        <v>-0.0278056650270062</v>
      </c>
      <c r="V181" s="203" t="n">
        <f aca="false">V180+S181</f>
        <v>9.84911649886745</v>
      </c>
      <c r="W181" s="79" t="n">
        <f aca="false">W180+T181</f>
        <v>11.6455305555557</v>
      </c>
      <c r="X181" s="208" t="n">
        <f aca="false">S181-Y181</f>
        <v>0.217839473861883</v>
      </c>
      <c r="Y181" s="209" t="n">
        <f aca="false">IF(F181="OBA",I181-J181,0)</f>
        <v>0</v>
      </c>
      <c r="AB181" s="194"/>
      <c r="AC181" s="194"/>
    </row>
    <row r="182" customFormat="false" ht="12.75" hidden="false" customHeight="false" outlineLevel="0" collapsed="false">
      <c r="A182" s="253" t="n">
        <v>817</v>
      </c>
      <c r="B182" s="179" t="n">
        <v>16083</v>
      </c>
      <c r="C182" s="178"/>
      <c r="D182" s="179" t="s">
        <v>282</v>
      </c>
      <c r="E182" s="179" t="s">
        <v>149</v>
      </c>
      <c r="F182" s="180" t="s">
        <v>149</v>
      </c>
      <c r="G182" s="181" t="n">
        <f aca="false">VLOOKUP($B182,BTU,2,FALSE())/1000</f>
        <v>1.025</v>
      </c>
      <c r="H182" s="182" t="str">
        <f aca="false">VLOOKUP($B182,spotdata,3,FALSE())</f>
        <v>UNAV</v>
      </c>
      <c r="I182" s="204" t="n">
        <f aca="false">IF(VLOOKUP($B182,errordata,3,FALSE())="UNAV",J182*POLLHOURSFLOWED,IF(LEFT(B182,1)="1",VLOOKUP($B182,totalvolume,2,FALSE())*G182/1000,VLOOKUP($B182,totalvolume,2,FALSE())*G182/1000*-1))</f>
        <v>0</v>
      </c>
      <c r="J182" s="205" t="n">
        <f aca="false">O182+T182</f>
        <v>0</v>
      </c>
      <c r="K182" s="206" t="n">
        <f aca="false">I182-J182</f>
        <v>0</v>
      </c>
      <c r="L182" s="79" t="n">
        <f aca="false">L181+I182</f>
        <v>-26.1267410398225</v>
      </c>
      <c r="M182" s="200" t="n">
        <f aca="false">M181+J182</f>
        <v>-29.2699041666665</v>
      </c>
      <c r="N182" s="79" t="n">
        <f aca="false">IF(F182="CIG",O182,IF(F182="OBA",O182,IF(F182="HPL",I182-T182,IF(ISERR((O182/$J182)*$I182),0,IF(F182="TP",(O182/$J182)*$I182)))))</f>
        <v>0</v>
      </c>
      <c r="O182" s="205" t="n">
        <f aca="false">IF(LEFT(B182,1)="1",VLOOKUP(B182,Cigsch,3,FALSE())/1000,VLOOKUP(B182,Cigsch,3,FALSE())/1000*-1)*POLLHOURSFLOWED</f>
        <v>0</v>
      </c>
      <c r="P182" s="206" t="n">
        <f aca="false">N182-O182</f>
        <v>0</v>
      </c>
      <c r="Q182" s="79" t="n">
        <f aca="false">Q181+N182</f>
        <v>-35.97585753869</v>
      </c>
      <c r="R182" s="201" t="n">
        <f aca="false">R181+O182</f>
        <v>-40.9154347222222</v>
      </c>
      <c r="S182" s="207" t="n">
        <f aca="false">I182-N182</f>
        <v>0</v>
      </c>
      <c r="T182" s="205" t="n">
        <f aca="false">IF(LEFT(B182,1)="1",VLOOKUP(B182,Cigsch,2,FALSE())/1000,VLOOKUP(B182,Cigsch,2,FALSE())/1000*-1)*POLLHOURSFLOWED</f>
        <v>0</v>
      </c>
      <c r="U182" s="206" t="n">
        <f aca="false">S182-T182</f>
        <v>0</v>
      </c>
      <c r="V182" s="203" t="n">
        <f aca="false">V181+S182</f>
        <v>9.84911649886745</v>
      </c>
      <c r="W182" s="79" t="n">
        <f aca="false">W181+T182</f>
        <v>11.6455305555557</v>
      </c>
      <c r="X182" s="208" t="n">
        <f aca="false">S182-Y182</f>
        <v>0</v>
      </c>
      <c r="Y182" s="209" t="n">
        <f aca="false">IF(F182="OBA",I182-J182,0)</f>
        <v>0</v>
      </c>
      <c r="AB182" s="194"/>
      <c r="AC182" s="194"/>
    </row>
    <row r="183" customFormat="false" ht="12.75" hidden="false" customHeight="false" outlineLevel="0" collapsed="false">
      <c r="A183" s="253" t="n">
        <v>817</v>
      </c>
      <c r="B183" s="179" t="n">
        <v>16198</v>
      </c>
      <c r="C183" s="178" t="n">
        <v>5646</v>
      </c>
      <c r="D183" s="179" t="s">
        <v>283</v>
      </c>
      <c r="E183" s="179" t="s">
        <v>149</v>
      </c>
      <c r="F183" s="180" t="s">
        <v>149</v>
      </c>
      <c r="G183" s="181" t="n">
        <f aca="false">VLOOKUP($B183,BTU,2,FALSE())/1000</f>
        <v>1.025</v>
      </c>
      <c r="H183" s="182" t="str">
        <f aca="false">VLOOKUP($B183,spotdata,3,FALSE())</f>
        <v>UNAV</v>
      </c>
      <c r="I183" s="204" t="n">
        <f aca="false">IF(VLOOKUP($B183,errordata,3,FALSE())="UNAV",J183*POLLHOURSFLOWED,IF(LEFT(B183,1)="1",VLOOKUP($B183,totalvolume,2,FALSE())*G183/1000,VLOOKUP($B183,totalvolume,2,FALSE())*G183/1000*-1))</f>
        <v>0</v>
      </c>
      <c r="J183" s="205" t="n">
        <f aca="false">O183+T183</f>
        <v>0</v>
      </c>
      <c r="K183" s="206" t="n">
        <f aca="false">I183-J183</f>
        <v>0</v>
      </c>
      <c r="L183" s="79" t="n">
        <f aca="false">L182+I183</f>
        <v>-26.1267410398225</v>
      </c>
      <c r="M183" s="200" t="n">
        <f aca="false">M182+J183</f>
        <v>-29.2699041666665</v>
      </c>
      <c r="N183" s="79" t="n">
        <f aca="false">IF(F183="CIG",O183,IF(F183="OBA",O183,IF(F183="HPL",I183-T183,IF(ISERR((O183/$J183)*$I183),0,IF(F183="TP",(O183/$J183)*$I183)))))</f>
        <v>0</v>
      </c>
      <c r="O183" s="205" t="n">
        <f aca="false">IF(LEFT(B183,1)="1",VLOOKUP(B183,Cigsch,3,FALSE())/1000,VLOOKUP(B183,Cigsch,3,FALSE())/1000*-1)*POLLHOURSFLOWED</f>
        <v>0</v>
      </c>
      <c r="P183" s="206" t="n">
        <f aca="false">N183-O183</f>
        <v>0</v>
      </c>
      <c r="Q183" s="79" t="n">
        <f aca="false">Q182+N183</f>
        <v>-35.97585753869</v>
      </c>
      <c r="R183" s="201" t="n">
        <f aca="false">R182+O183</f>
        <v>-40.9154347222222</v>
      </c>
      <c r="S183" s="207" t="n">
        <f aca="false">I183-N183</f>
        <v>0</v>
      </c>
      <c r="T183" s="205" t="n">
        <f aca="false">IF(LEFT(B183,1)="1",VLOOKUP(B183,Cigsch,2,FALSE())/1000,VLOOKUP(B183,Cigsch,2,FALSE())/1000*-1)*POLLHOURSFLOWED</f>
        <v>0</v>
      </c>
      <c r="U183" s="206" t="n">
        <f aca="false">S183-T183</f>
        <v>0</v>
      </c>
      <c r="V183" s="203" t="n">
        <f aca="false">V182+S183</f>
        <v>9.84911649886745</v>
      </c>
      <c r="W183" s="79" t="n">
        <f aca="false">W182+T183</f>
        <v>11.6455305555557</v>
      </c>
      <c r="X183" s="208" t="n">
        <f aca="false">S183-Y183</f>
        <v>0</v>
      </c>
      <c r="Y183" s="209" t="n">
        <f aca="false">IF(F183="OBA",I183-J183,0)</f>
        <v>0</v>
      </c>
      <c r="AB183" s="194"/>
      <c r="AC183" s="194"/>
    </row>
    <row r="184" customFormat="false" ht="12.75" hidden="false" customHeight="false" outlineLevel="0" collapsed="false">
      <c r="A184" s="253" t="n">
        <v>817</v>
      </c>
      <c r="B184" s="179" t="n">
        <v>16128</v>
      </c>
      <c r="C184" s="178" t="n">
        <v>5048</v>
      </c>
      <c r="D184" s="179" t="s">
        <v>284</v>
      </c>
      <c r="E184" s="179" t="s">
        <v>149</v>
      </c>
      <c r="F184" s="180" t="s">
        <v>149</v>
      </c>
      <c r="G184" s="181" t="n">
        <f aca="false">VLOOKUP($B184,BTU,2,FALSE())/1000</f>
        <v>1.025</v>
      </c>
      <c r="H184" s="182" t="str">
        <f aca="false">VLOOKUP($B184,spotdata,3,FALSE())</f>
        <v>UNAV</v>
      </c>
      <c r="I184" s="204" t="n">
        <f aca="false">IF(VLOOKUP($B184,errordata,3,FALSE())="UNAV",J184*POLLHOURSFLOWED,IF(LEFT(B184,1)="1",VLOOKUP($B184,totalvolume,2,FALSE())*G184/1000,VLOOKUP($B184,totalvolume,2,FALSE())*G184/1000*-1))</f>
        <v>0.114817917631173</v>
      </c>
      <c r="J184" s="205" t="n">
        <f aca="false">O184+T184</f>
        <v>0.129473611111111</v>
      </c>
      <c r="K184" s="206" t="n">
        <f aca="false">I184-J184</f>
        <v>-0.0146556934799383</v>
      </c>
      <c r="L184" s="79" t="n">
        <f aca="false">L183+I184</f>
        <v>-26.0119231221913</v>
      </c>
      <c r="M184" s="200" t="n">
        <f aca="false">M183+J184</f>
        <v>-29.1404305555554</v>
      </c>
      <c r="N184" s="79" t="n">
        <f aca="false">IF(F184="CIG",O184,IF(F184="OBA",O184,IF(F184="HPL",I184-T184,IF(ISERR((O184/$J184)*$I184),0,IF(F184="TP",(O184/$J184)*$I184)))))</f>
        <v>0.114817917631173</v>
      </c>
      <c r="O184" s="205" t="n">
        <f aca="false">IF(LEFT(B184,1)="1",VLOOKUP(B184,Cigsch,3,FALSE())/1000,VLOOKUP(B184,Cigsch,3,FALSE())/1000*-1)*POLLHOURSFLOWED</f>
        <v>0.129473611111111</v>
      </c>
      <c r="P184" s="206" t="n">
        <f aca="false">N184-O184</f>
        <v>-0.0146556934799383</v>
      </c>
      <c r="Q184" s="79" t="n">
        <f aca="false">Q183+N184</f>
        <v>-35.8610396210588</v>
      </c>
      <c r="R184" s="201" t="n">
        <f aca="false">R183+O184</f>
        <v>-40.7859611111111</v>
      </c>
      <c r="S184" s="207" t="n">
        <f aca="false">I184-N184</f>
        <v>0</v>
      </c>
      <c r="T184" s="205" t="n">
        <f aca="false">IF(LEFT(B184,1)="1",VLOOKUP(B184,Cigsch,2,FALSE())/1000,VLOOKUP(B184,Cigsch,2,FALSE())/1000*-1)*POLLHOURSFLOWED</f>
        <v>0</v>
      </c>
      <c r="U184" s="206" t="n">
        <f aca="false">S184-T184</f>
        <v>0</v>
      </c>
      <c r="V184" s="203" t="n">
        <f aca="false">V183+S184</f>
        <v>9.84911649886745</v>
      </c>
      <c r="W184" s="79" t="n">
        <f aca="false">W183+T184</f>
        <v>11.6455305555557</v>
      </c>
      <c r="X184" s="208" t="n">
        <f aca="false">S184-Y184</f>
        <v>0</v>
      </c>
      <c r="Y184" s="209" t="n">
        <f aca="false">IF(F184="OBA",I184-J184,0)</f>
        <v>0</v>
      </c>
      <c r="AB184" s="194"/>
      <c r="AC184" s="194"/>
    </row>
    <row r="185" customFormat="false" ht="12.75" hidden="false" customHeight="false" outlineLevel="0" collapsed="false">
      <c r="A185" s="253" t="n">
        <v>817</v>
      </c>
      <c r="B185" s="179" t="n">
        <v>16324</v>
      </c>
      <c r="C185" s="178" t="n">
        <v>6848</v>
      </c>
      <c r="D185" s="179" t="s">
        <v>285</v>
      </c>
      <c r="E185" s="179" t="s">
        <v>149</v>
      </c>
      <c r="F185" s="180" t="s">
        <v>149</v>
      </c>
      <c r="G185" s="181" t="n">
        <f aca="false">VLOOKUP($B185,BTU,2,FALSE())/1000</f>
        <v>1.025</v>
      </c>
      <c r="H185" s="182" t="str">
        <f aca="false">VLOOKUP($B185,spotdata,3,FALSE())</f>
        <v>UNAV</v>
      </c>
      <c r="I185" s="204" t="n">
        <f aca="false">IF(VLOOKUP($B185,errordata,3,FALSE())="UNAV",J185*POLLHOURSFLOWED,IF(LEFT(B185,1)="1",VLOOKUP($B185,totalvolume,2,FALSE())*G185/1000,VLOOKUP($B185,totalvolume,2,FALSE())*G185/1000*-1))</f>
        <v>0.10302155623071</v>
      </c>
      <c r="J185" s="205" t="n">
        <f aca="false">O185+T185</f>
        <v>0.116171527777778</v>
      </c>
      <c r="K185" s="206" t="n">
        <f aca="false">I185-J185</f>
        <v>-0.0131499715470679</v>
      </c>
      <c r="L185" s="79" t="n">
        <f aca="false">L184+I185</f>
        <v>-25.9089015659606</v>
      </c>
      <c r="M185" s="200" t="n">
        <f aca="false">M184+J185</f>
        <v>-29.0242590277776</v>
      </c>
      <c r="N185" s="79" t="n">
        <f aca="false">IF(F185="CIG",O185,IF(F185="OBA",O185,IF(F185="HPL",I185-T185,IF(ISERR((O185/$J185)*$I185),0,IF(F185="TP",(O185/$J185)*$I185)))))</f>
        <v>0.10302155623071</v>
      </c>
      <c r="O185" s="205" t="n">
        <f aca="false">IF(LEFT(B185,1)="1",VLOOKUP(B185,Cigsch,3,FALSE())/1000,VLOOKUP(B185,Cigsch,3,FALSE())/1000*-1)*POLLHOURSFLOWED</f>
        <v>0.116171527777778</v>
      </c>
      <c r="P185" s="206" t="n">
        <f aca="false">N185-O185</f>
        <v>-0.0131499715470679</v>
      </c>
      <c r="Q185" s="79" t="n">
        <f aca="false">Q184+N185</f>
        <v>-35.7580180648281</v>
      </c>
      <c r="R185" s="201" t="n">
        <f aca="false">R184+O185</f>
        <v>-40.6697895833333</v>
      </c>
      <c r="S185" s="207" t="n">
        <f aca="false">I185-N185</f>
        <v>0</v>
      </c>
      <c r="T185" s="205" t="n">
        <f aca="false">IF(LEFT(B185,1)="1",VLOOKUP(B185,Cigsch,2,FALSE())/1000,VLOOKUP(B185,Cigsch,2,FALSE())/1000*-1)*POLLHOURSFLOWED</f>
        <v>0</v>
      </c>
      <c r="U185" s="206" t="n">
        <f aca="false">S185-T185</f>
        <v>0</v>
      </c>
      <c r="V185" s="203" t="n">
        <f aca="false">V184+S185</f>
        <v>9.84911649886745</v>
      </c>
      <c r="W185" s="79" t="n">
        <f aca="false">W184+T185</f>
        <v>11.6455305555557</v>
      </c>
      <c r="X185" s="208" t="n">
        <f aca="false">S185-Y185</f>
        <v>0</v>
      </c>
      <c r="Y185" s="209" t="n">
        <f aca="false">IF(F185="OBA",I185-J185,0)</f>
        <v>0</v>
      </c>
      <c r="AB185" s="194"/>
      <c r="AC185" s="194"/>
    </row>
    <row r="186" customFormat="false" ht="12.75" hidden="false" customHeight="false" outlineLevel="0" collapsed="false">
      <c r="A186" s="253" t="n">
        <v>817</v>
      </c>
      <c r="B186" s="179" t="n">
        <v>16223</v>
      </c>
      <c r="C186" s="178" t="n">
        <v>6026</v>
      </c>
      <c r="D186" s="179" t="s">
        <v>286</v>
      </c>
      <c r="E186" s="179" t="s">
        <v>149</v>
      </c>
      <c r="F186" s="180" t="s">
        <v>149</v>
      </c>
      <c r="G186" s="181" t="n">
        <f aca="false">VLOOKUP($B186,BTU,2,FALSE())/1000</f>
        <v>1.025</v>
      </c>
      <c r="H186" s="182" t="str">
        <f aca="false">VLOOKUP($B186,spotdata,3,FALSE())</f>
        <v>UNAV</v>
      </c>
      <c r="I186" s="204" t="n">
        <f aca="false">IF(VLOOKUP($B186,errordata,3,FALSE())="UNAV",J186*POLLHOURSFLOWED,IF(LEFT(B186,1)="1",VLOOKUP($B186,totalvolume,2,FALSE())*G186/1000,VLOOKUP($B186,totalvolume,2,FALSE())*G186/1000*-1))</f>
        <v>0.0401076287615741</v>
      </c>
      <c r="J186" s="205" t="n">
        <f aca="false">O186+T186</f>
        <v>0.0452270833333333</v>
      </c>
      <c r="K186" s="206" t="n">
        <f aca="false">I186-J186</f>
        <v>-0.00511945457175926</v>
      </c>
      <c r="L186" s="79" t="n">
        <f aca="false">L185+I186</f>
        <v>-25.868793937199</v>
      </c>
      <c r="M186" s="200" t="n">
        <f aca="false">M185+J186</f>
        <v>-28.9790319444443</v>
      </c>
      <c r="N186" s="79" t="n">
        <f aca="false">IF(F186="CIG",O186,IF(F186="OBA",O186,IF(F186="HPL",I186-T186,IF(ISERR((O186/$J186)*$I186),0,IF(F186="TP",(O186/$J186)*$I186)))))</f>
        <v>0.0401076287615741</v>
      </c>
      <c r="O186" s="205" t="n">
        <f aca="false">IF(LEFT(B186,1)="1",VLOOKUP(B186,Cigsch,3,FALSE())/1000,VLOOKUP(B186,Cigsch,3,FALSE())/1000*-1)*POLLHOURSFLOWED</f>
        <v>0.0452270833333333</v>
      </c>
      <c r="P186" s="206" t="n">
        <f aca="false">N186-O186</f>
        <v>-0.00511945457175926</v>
      </c>
      <c r="Q186" s="79" t="n">
        <f aca="false">Q185+N186</f>
        <v>-35.7179104360665</v>
      </c>
      <c r="R186" s="201" t="n">
        <f aca="false">R185+O186</f>
        <v>-40.6245625</v>
      </c>
      <c r="S186" s="207" t="n">
        <f aca="false">I186-N186</f>
        <v>0</v>
      </c>
      <c r="T186" s="205" t="n">
        <f aca="false">IF(LEFT(B186,1)="1",VLOOKUP(B186,Cigsch,2,FALSE())/1000,VLOOKUP(B186,Cigsch,2,FALSE())/1000*-1)*POLLHOURSFLOWED</f>
        <v>0</v>
      </c>
      <c r="U186" s="206" t="n">
        <f aca="false">S186-T186</f>
        <v>0</v>
      </c>
      <c r="V186" s="203" t="n">
        <f aca="false">V185+S186</f>
        <v>9.84911649886745</v>
      </c>
      <c r="W186" s="79" t="n">
        <f aca="false">W185+T186</f>
        <v>11.6455305555557</v>
      </c>
      <c r="X186" s="208" t="n">
        <f aca="false">S186-Y186</f>
        <v>0</v>
      </c>
      <c r="Y186" s="209" t="n">
        <f aca="false">IF(F186="OBA",I186-J186,0)</f>
        <v>0</v>
      </c>
      <c r="AB186" s="194"/>
      <c r="AC186" s="194"/>
    </row>
    <row r="187" customFormat="false" ht="12.75" hidden="false" customHeight="false" outlineLevel="0" collapsed="false">
      <c r="A187" s="253" t="n">
        <v>817</v>
      </c>
      <c r="B187" s="179" t="n">
        <v>16168</v>
      </c>
      <c r="C187" s="178" t="n">
        <v>535</v>
      </c>
      <c r="D187" s="179" t="s">
        <v>287</v>
      </c>
      <c r="E187" s="179" t="s">
        <v>118</v>
      </c>
      <c r="F187" s="180" t="s">
        <v>149</v>
      </c>
      <c r="G187" s="181" t="n">
        <f aca="false">VLOOKUP($B187,BTU,2,FALSE())/1000</f>
        <v>1.025</v>
      </c>
      <c r="H187" s="182" t="str">
        <f aca="false">VLOOKUP($B187,spotdata,3,FALSE())</f>
        <v>    </v>
      </c>
      <c r="I187" s="204" t="n">
        <f aca="false">IF(VLOOKUP($B187,errordata,3,FALSE())="UNAV",J187*POLLHOURSFLOWED,IF(LEFT(B187,1)="1",VLOOKUP($B187,totalvolume,2,FALSE())*G187/1000,VLOOKUP($B187,totalvolume,2,FALSE())*G187/1000*-1))</f>
        <v>0</v>
      </c>
      <c r="J187" s="205" t="n">
        <f aca="false">O187+T187</f>
        <v>0</v>
      </c>
      <c r="K187" s="206" t="n">
        <f aca="false">I187-J187</f>
        <v>0</v>
      </c>
      <c r="L187" s="79" t="n">
        <f aca="false">L186+I187</f>
        <v>-25.868793937199</v>
      </c>
      <c r="M187" s="200" t="n">
        <f aca="false">M186+J187</f>
        <v>-28.9790319444443</v>
      </c>
      <c r="N187" s="79" t="n">
        <f aca="false">IF(F187="CIG",O187,IF(F187="OBA",O187,IF(F187="HPL",I187-T187,IF(ISERR((O187/$J187)*$I187),0,IF(F187="TP",(O187/$J187)*$I187)))))</f>
        <v>0</v>
      </c>
      <c r="O187" s="205" t="n">
        <f aca="false">IF(LEFT(B187,1)="1",VLOOKUP(B187,Cigsch,3,FALSE())/1000,VLOOKUP(B187,Cigsch,3,FALSE())/1000*-1)*POLLHOURSFLOWED</f>
        <v>0</v>
      </c>
      <c r="P187" s="206" t="n">
        <f aca="false">N187-O187</f>
        <v>0</v>
      </c>
      <c r="Q187" s="79" t="n">
        <f aca="false">Q186+N187</f>
        <v>-35.7179104360665</v>
      </c>
      <c r="R187" s="201" t="n">
        <f aca="false">R186+O187</f>
        <v>-40.6245625</v>
      </c>
      <c r="S187" s="207" t="n">
        <f aca="false">I187-N187</f>
        <v>0</v>
      </c>
      <c r="T187" s="205" t="n">
        <f aca="false">IF(LEFT(B187,1)="1",VLOOKUP(B187,Cigsch,2,FALSE())/1000,VLOOKUP(B187,Cigsch,2,FALSE())/1000*-1)*POLLHOURSFLOWED</f>
        <v>0</v>
      </c>
      <c r="U187" s="206" t="n">
        <f aca="false">S187-T187</f>
        <v>0</v>
      </c>
      <c r="V187" s="203" t="n">
        <f aca="false">V186+S187</f>
        <v>9.84911649886745</v>
      </c>
      <c r="W187" s="79" t="n">
        <f aca="false">W186+T187</f>
        <v>11.6455305555557</v>
      </c>
      <c r="X187" s="208" t="n">
        <f aca="false">S187-Y187</f>
        <v>0</v>
      </c>
      <c r="Y187" s="209" t="n">
        <f aca="false">IF(F187="OBA",I187-J187,0)</f>
        <v>0</v>
      </c>
      <c r="AB187" s="194"/>
      <c r="AC187" s="194"/>
    </row>
    <row r="188" customFormat="false" ht="12.75" hidden="false" customHeight="false" outlineLevel="0" collapsed="false">
      <c r="A188" s="256" t="n">
        <v>817</v>
      </c>
      <c r="B188" s="257" t="n">
        <v>16219</v>
      </c>
      <c r="C188" s="258" t="n">
        <v>5961</v>
      </c>
      <c r="D188" s="257" t="s">
        <v>288</v>
      </c>
      <c r="E188" s="257" t="s">
        <v>149</v>
      </c>
      <c r="F188" s="260" t="s">
        <v>149</v>
      </c>
      <c r="G188" s="261" t="n">
        <f aca="false">VLOOKUP($B188,BTU,2,FALSE())/1000</f>
        <v>1.025</v>
      </c>
      <c r="H188" s="262" t="str">
        <f aca="false">VLOOKUP($B188,spotdata,3,FALSE())</f>
        <v>UNAV</v>
      </c>
      <c r="I188" s="263" t="n">
        <f aca="false">IF(VLOOKUP($B188,errordata,3,FALSE())="UNAV",J188*POLLHOURSFLOWED,IF(LEFT(B188,1)="1",VLOOKUP($B188,totalvolume,2,FALSE())*G188/1000,VLOOKUP($B188,totalvolume,2,FALSE())*G188/1000*-1))</f>
        <v>0</v>
      </c>
      <c r="J188" s="264" t="n">
        <f aca="false">O188+T188</f>
        <v>0</v>
      </c>
      <c r="K188" s="265" t="n">
        <f aca="false">I188-J188</f>
        <v>0</v>
      </c>
      <c r="L188" s="266" t="n">
        <f aca="false">L187+I188</f>
        <v>-25.868793937199</v>
      </c>
      <c r="M188" s="267" t="n">
        <f aca="false">M187+J188</f>
        <v>-28.9790319444443</v>
      </c>
      <c r="N188" s="266" t="n">
        <f aca="false">IF(F188="CIG",O188,IF(F188="OBA",O188,IF(F188="HPL",I188-T188,IF(ISERR((O188/$J188)*$I188),0,IF(F188="TP",(O188/$J188)*$I188)))))</f>
        <v>0</v>
      </c>
      <c r="O188" s="264" t="n">
        <f aca="false">IF(LEFT(B188,1)="1",VLOOKUP(B188,Cigsch,3,FALSE())/1000,VLOOKUP(B188,Cigsch,3,FALSE())/1000*-1)*POLLHOURSFLOWED</f>
        <v>0</v>
      </c>
      <c r="P188" s="265" t="n">
        <f aca="false">N188-O188</f>
        <v>0</v>
      </c>
      <c r="Q188" s="266" t="n">
        <f aca="false">Q187+N188</f>
        <v>-35.7179104360665</v>
      </c>
      <c r="R188" s="268" t="n">
        <f aca="false">R187+O188</f>
        <v>-40.6245625</v>
      </c>
      <c r="S188" s="269" t="n">
        <f aca="false">I188-N188</f>
        <v>0</v>
      </c>
      <c r="T188" s="264" t="n">
        <f aca="false">IF(LEFT(B188,1)="1",VLOOKUP(B188,Cigsch,2,FALSE())/1000,VLOOKUP(B188,Cigsch,2,FALSE())/1000*-1)*POLLHOURSFLOWED</f>
        <v>0</v>
      </c>
      <c r="U188" s="265" t="n">
        <f aca="false">S188-T188</f>
        <v>0</v>
      </c>
      <c r="V188" s="270" t="n">
        <f aca="false">V187+S188</f>
        <v>9.84911649886745</v>
      </c>
      <c r="W188" s="266" t="n">
        <f aca="false">W187+T188</f>
        <v>11.6455305555557</v>
      </c>
      <c r="X188" s="271" t="n">
        <f aca="false">S188-Y188</f>
        <v>0</v>
      </c>
      <c r="Y188" s="272" t="n">
        <f aca="false">IF(F188="OBA",I188-J188,0)</f>
        <v>0</v>
      </c>
      <c r="AB188" s="194"/>
      <c r="AC188" s="194"/>
    </row>
    <row r="189" customFormat="false" ht="12.75" hidden="false" customHeight="false" outlineLevel="0" collapsed="false">
      <c r="A189" s="253" t="n">
        <v>818</v>
      </c>
      <c r="B189" s="179" t="n">
        <v>26015</v>
      </c>
      <c r="C189" s="178"/>
      <c r="D189" s="179" t="s">
        <v>289</v>
      </c>
      <c r="E189" s="179" t="s">
        <v>116</v>
      </c>
      <c r="F189" s="180" t="s">
        <v>116</v>
      </c>
      <c r="G189" s="181" t="n">
        <f aca="false">VLOOKUP($B189,BTU,2,FALSE())/1000</f>
        <v>1.025</v>
      </c>
      <c r="H189" s="182" t="str">
        <f aca="false">VLOOKUP($B189,spotdata,3,FALSE())</f>
        <v>UNAV</v>
      </c>
      <c r="I189" s="204" t="n">
        <f aca="false">IF(VLOOKUP($B189,errordata,3,FALSE())="UNAV",J189*POLLHOURSFLOWED,IF(LEFT(B189,1)="1",VLOOKUP($B189,totalvolume,2,FALSE())*G189/1000,VLOOKUP($B189,totalvolume,2,FALSE())*G189/1000*-1))</f>
        <v>-0.0393212046682099</v>
      </c>
      <c r="J189" s="205" t="n">
        <f aca="false">O189+T189</f>
        <v>-0.0443402777777778</v>
      </c>
      <c r="K189" s="206" t="n">
        <f aca="false">I189-J189</f>
        <v>0.0050190731095679</v>
      </c>
      <c r="L189" s="79" t="n">
        <f aca="false">L188+I189</f>
        <v>-25.9081151418672</v>
      </c>
      <c r="M189" s="200" t="n">
        <f aca="false">M188+J189</f>
        <v>-29.0233722222221</v>
      </c>
      <c r="N189" s="79" t="n">
        <f aca="false">IF(F189="CIG",O189,IF(F189="OBA",O189,IF(F189="HPL",I189-T189,IF(ISERR((O189/$J189)*$I189),0,IF(F189="TP",(O189/$J189)*$I189)))))</f>
        <v>-0</v>
      </c>
      <c r="O189" s="205" t="n">
        <f aca="false">IF(LEFT(B189,1)="1",VLOOKUP(B189,Cigsch,3,FALSE())/1000,VLOOKUP(B189,Cigsch,3,FALSE())/1000*-1)*POLLHOURSFLOWED</f>
        <v>-0</v>
      </c>
      <c r="P189" s="206" t="n">
        <f aca="false">N189-O189</f>
        <v>0</v>
      </c>
      <c r="Q189" s="79" t="n">
        <f aca="false">Q188+N189</f>
        <v>-35.7179104360665</v>
      </c>
      <c r="R189" s="201" t="n">
        <f aca="false">R188+O189</f>
        <v>-40.6245625</v>
      </c>
      <c r="S189" s="207" t="n">
        <f aca="false">I189-N189</f>
        <v>-0.0393212046682099</v>
      </c>
      <c r="T189" s="205" t="n">
        <f aca="false">IF(LEFT(B189,1)="1",VLOOKUP(B189,Cigsch,2,FALSE())/1000,VLOOKUP(B189,Cigsch,2,FALSE())/1000*-1)*POLLHOURSFLOWED</f>
        <v>-0.0443402777777778</v>
      </c>
      <c r="U189" s="206" t="n">
        <f aca="false">S189-T189</f>
        <v>0.0050190731095679</v>
      </c>
      <c r="V189" s="203" t="n">
        <f aca="false">V188+S189</f>
        <v>9.80979529419924</v>
      </c>
      <c r="W189" s="79" t="n">
        <f aca="false">W188+T189</f>
        <v>11.6011902777779</v>
      </c>
      <c r="X189" s="208" t="n">
        <f aca="false">S189-Y189</f>
        <v>-0.0393212046682099</v>
      </c>
      <c r="Y189" s="209" t="n">
        <f aca="false">IF(F189="OBA",I189-J189,0)</f>
        <v>0</v>
      </c>
      <c r="AB189" s="194"/>
      <c r="AC189" s="194"/>
    </row>
    <row r="190" customFormat="false" ht="12.75" hidden="false" customHeight="false" outlineLevel="0" collapsed="false">
      <c r="A190" s="253" t="n">
        <v>818</v>
      </c>
      <c r="B190" s="179" t="n">
        <v>26016</v>
      </c>
      <c r="C190" s="178"/>
      <c r="D190" s="179" t="s">
        <v>290</v>
      </c>
      <c r="E190" s="179" t="s">
        <v>116</v>
      </c>
      <c r="F190" s="180" t="s">
        <v>116</v>
      </c>
      <c r="G190" s="181" t="n">
        <f aca="false">VLOOKUP($B190,BTU,2,FALSE())/1000</f>
        <v>1.025</v>
      </c>
      <c r="H190" s="182" t="str">
        <f aca="false">VLOOKUP($B190,spotdata,3,FALSE())</f>
        <v>UNAV</v>
      </c>
      <c r="I190" s="204" t="n">
        <f aca="false">IF(VLOOKUP($B190,errordata,3,FALSE())="UNAV",J190*POLLHOURSFLOWED,IF(LEFT(B190,1)="1",VLOOKUP($B190,totalvolume,2,FALSE())*G190/1000,VLOOKUP($B190,totalvolume,2,FALSE())*G190/1000*-1))</f>
        <v>-0.0393212046682099</v>
      </c>
      <c r="J190" s="205" t="n">
        <f aca="false">O190+T190</f>
        <v>-0.0443402777777778</v>
      </c>
      <c r="K190" s="206" t="n">
        <f aca="false">I190-J190</f>
        <v>0.0050190731095679</v>
      </c>
      <c r="L190" s="79" t="n">
        <f aca="false">L189+I190</f>
        <v>-25.9474363465354</v>
      </c>
      <c r="M190" s="200" t="n">
        <f aca="false">M189+J190</f>
        <v>-29.0677124999999</v>
      </c>
      <c r="N190" s="79" t="n">
        <f aca="false">IF(F190="CIG",O190,IF(F190="OBA",O190,IF(F190="HPL",I190-T190,IF(ISERR((O190/$J190)*$I190),0,IF(F190="TP",(O190/$J190)*$I190)))))</f>
        <v>-0</v>
      </c>
      <c r="O190" s="205" t="n">
        <f aca="false">IF(LEFT(B190,1)="1",VLOOKUP(B190,Cigsch,3,FALSE())/1000,VLOOKUP(B190,Cigsch,3,FALSE())/1000*-1)*POLLHOURSFLOWED</f>
        <v>-0</v>
      </c>
      <c r="P190" s="206" t="n">
        <f aca="false">N190-O190</f>
        <v>0</v>
      </c>
      <c r="Q190" s="79" t="n">
        <f aca="false">Q189+N190</f>
        <v>-35.7179104360665</v>
      </c>
      <c r="R190" s="201" t="n">
        <f aca="false">R189+O190</f>
        <v>-40.6245625</v>
      </c>
      <c r="S190" s="207" t="n">
        <f aca="false">I190-N190</f>
        <v>-0.0393212046682099</v>
      </c>
      <c r="T190" s="205" t="n">
        <f aca="false">IF(LEFT(B190,1)="1",VLOOKUP(B190,Cigsch,2,FALSE())/1000,VLOOKUP(B190,Cigsch,2,FALSE())/1000*-1)*POLLHOURSFLOWED</f>
        <v>-0.0443402777777778</v>
      </c>
      <c r="U190" s="206" t="n">
        <f aca="false">S190-T190</f>
        <v>0.0050190731095679</v>
      </c>
      <c r="V190" s="203" t="n">
        <f aca="false">V189+S190</f>
        <v>9.77047408953103</v>
      </c>
      <c r="W190" s="79" t="n">
        <f aca="false">W189+T190</f>
        <v>11.5568500000001</v>
      </c>
      <c r="X190" s="208" t="n">
        <f aca="false">S190-Y190</f>
        <v>-0.0393212046682099</v>
      </c>
      <c r="Y190" s="209" t="n">
        <f aca="false">IF(F190="OBA",I190-J190,0)</f>
        <v>0</v>
      </c>
      <c r="AB190" s="194"/>
      <c r="AC190" s="194"/>
    </row>
    <row r="191" customFormat="false" ht="12.75" hidden="false" customHeight="false" outlineLevel="0" collapsed="false">
      <c r="A191" s="253" t="n">
        <v>818</v>
      </c>
      <c r="B191" s="179" t="n">
        <v>16331</v>
      </c>
      <c r="C191" s="178"/>
      <c r="D191" s="179" t="s">
        <v>291</v>
      </c>
      <c r="E191" s="179" t="s">
        <v>116</v>
      </c>
      <c r="F191" s="180" t="s">
        <v>116</v>
      </c>
      <c r="G191" s="181" t="n">
        <f aca="false">VLOOKUP($B191,BTU,2,FALSE())/1000</f>
        <v>1.105</v>
      </c>
      <c r="H191" s="182" t="str">
        <f aca="false">VLOOKUP($B191,spotdata,3,FALSE())</f>
        <v>    </v>
      </c>
      <c r="I191" s="204" t="n">
        <f aca="false">IF(VLOOKUP($B191,errordata,3,FALSE())="UNAV",J191*POLLHOURSFLOWED,IF(LEFT(B191,1)="1",VLOOKUP($B191,totalvolume,2,FALSE())*G191/1000,VLOOKUP($B191,totalvolume,2,FALSE())*G191/1000*-1))</f>
        <v>3.72294651885</v>
      </c>
      <c r="J191" s="205" t="n">
        <f aca="false">O191+T191</f>
        <v>3.90194444444444</v>
      </c>
      <c r="K191" s="206" t="n">
        <f aca="false">I191-J191</f>
        <v>-0.178997925594445</v>
      </c>
      <c r="L191" s="79" t="n">
        <f aca="false">L190+I191</f>
        <v>-22.2244898276854</v>
      </c>
      <c r="M191" s="200" t="n">
        <f aca="false">M190+J191</f>
        <v>-25.1657680555554</v>
      </c>
      <c r="N191" s="79" t="n">
        <f aca="false">IF(F191="CIG",O191,IF(F191="OBA",O191,IF(F191="HPL",I191-T191,IF(ISERR((O191/$J191)*$I191),0,IF(F191="TP",(O191/$J191)*$I191)))))</f>
        <v>0</v>
      </c>
      <c r="O191" s="205" t="n">
        <f aca="false">IF(LEFT(B191,1)="1",VLOOKUP(B191,Cigsch,3,FALSE())/1000,VLOOKUP(B191,Cigsch,3,FALSE())/1000*-1)*POLLHOURSFLOWED</f>
        <v>0</v>
      </c>
      <c r="P191" s="206" t="n">
        <f aca="false">N191-O191</f>
        <v>0</v>
      </c>
      <c r="Q191" s="79" t="n">
        <f aca="false">Q190+N191</f>
        <v>-35.7179104360665</v>
      </c>
      <c r="R191" s="201" t="n">
        <f aca="false">R190+O191</f>
        <v>-40.6245625</v>
      </c>
      <c r="S191" s="207" t="n">
        <f aca="false">I191-N191</f>
        <v>3.72294651885</v>
      </c>
      <c r="T191" s="205" t="n">
        <f aca="false">IF(LEFT(B191,1)="1",VLOOKUP(B191,Cigsch,2,FALSE())/1000,VLOOKUP(B191,Cigsch,2,FALSE())/1000*-1)*POLLHOURSFLOWED</f>
        <v>3.90194444444444</v>
      </c>
      <c r="U191" s="206" t="n">
        <f aca="false">S191-T191</f>
        <v>-0.178997925594445</v>
      </c>
      <c r="V191" s="203" t="n">
        <f aca="false">V190+S191</f>
        <v>13.493420608381</v>
      </c>
      <c r="W191" s="79" t="n">
        <f aca="false">W190+T191</f>
        <v>15.4587944444446</v>
      </c>
      <c r="X191" s="208" t="n">
        <f aca="false">S191-Y191</f>
        <v>3.72294651885</v>
      </c>
      <c r="Y191" s="209" t="n">
        <f aca="false">IF(F191="OBA",I191-J191,0)</f>
        <v>0</v>
      </c>
      <c r="AB191" s="194"/>
      <c r="AC191" s="194"/>
    </row>
    <row r="192" customFormat="false" ht="12.75" hidden="false" customHeight="false" outlineLevel="0" collapsed="false">
      <c r="A192" s="256" t="n">
        <v>818</v>
      </c>
      <c r="B192" s="257" t="n">
        <v>26055</v>
      </c>
      <c r="C192" s="258"/>
      <c r="D192" s="257" t="s">
        <v>292</v>
      </c>
      <c r="E192" s="257" t="s">
        <v>149</v>
      </c>
      <c r="F192" s="260" t="s">
        <v>116</v>
      </c>
      <c r="G192" s="261" t="n">
        <f aca="false">VLOOKUP($B192,BTU,2,FALSE())/1000</f>
        <v>1.025</v>
      </c>
      <c r="H192" s="262" t="str">
        <f aca="false">VLOOKUP($B192,spotdata,3,FALSE())</f>
        <v>COMM</v>
      </c>
      <c r="I192" s="263" t="n">
        <f aca="false">IF(VLOOKUP($B192,errordata,3,FALSE())="UNAV",J192*POLLHOURSFLOWED,IF(LEFT(B192,1)="1",VLOOKUP($B192,totalvolume,2,FALSE())*G192/1000,VLOOKUP($B192,totalvolume,2,FALSE())*G192/1000*-1))</f>
        <v>-0</v>
      </c>
      <c r="J192" s="264" t="n">
        <f aca="false">O192+T192</f>
        <v>-0</v>
      </c>
      <c r="K192" s="265" t="n">
        <f aca="false">I192-J192</f>
        <v>0</v>
      </c>
      <c r="L192" s="266" t="n">
        <f aca="false">L191+I192</f>
        <v>-22.2244898276854</v>
      </c>
      <c r="M192" s="267" t="n">
        <f aca="false">M191+J192</f>
        <v>-25.1657680555554</v>
      </c>
      <c r="N192" s="266" t="n">
        <f aca="false">IF(F192="CIG",O192,IF(F192="OBA",O192,IF(F192="HPL",I192-T192,IF(ISERR((O192/$J192)*$I192),0,IF(F192="TP",(O192/$J192)*$I192)))))</f>
        <v>-0</v>
      </c>
      <c r="O192" s="264" t="n">
        <f aca="false">IF(LEFT(B192,1)="1",VLOOKUP(B192,Cigsch,3,FALSE())/1000,VLOOKUP(B192,Cigsch,3,FALSE())/1000*-1)*POLLHOURSFLOWED</f>
        <v>-0</v>
      </c>
      <c r="P192" s="265" t="n">
        <f aca="false">N192-O192</f>
        <v>0</v>
      </c>
      <c r="Q192" s="266" t="n">
        <f aca="false">Q191+N192</f>
        <v>-35.7179104360665</v>
      </c>
      <c r="R192" s="268" t="n">
        <f aca="false">R191+O192</f>
        <v>-40.6245625</v>
      </c>
      <c r="S192" s="269" t="n">
        <f aca="false">I192-N192</f>
        <v>0</v>
      </c>
      <c r="T192" s="264" t="n">
        <f aca="false">IF(LEFT(B192,1)="1",VLOOKUP(B192,Cigsch,2,FALSE())/1000,VLOOKUP(B192,Cigsch,2,FALSE())/1000*-1)*POLLHOURSFLOWED</f>
        <v>-0</v>
      </c>
      <c r="U192" s="265" t="n">
        <f aca="false">S192-T192</f>
        <v>0</v>
      </c>
      <c r="V192" s="270" t="n">
        <f aca="false">V191+S192</f>
        <v>13.493420608381</v>
      </c>
      <c r="W192" s="266" t="n">
        <f aca="false">W191+T192</f>
        <v>15.4587944444446</v>
      </c>
      <c r="X192" s="271" t="n">
        <f aca="false">S192-Y192</f>
        <v>0</v>
      </c>
      <c r="Y192" s="272" t="n">
        <f aca="false">IF(F192="OBA",I192-J192,0)</f>
        <v>0</v>
      </c>
      <c r="AB192" s="194"/>
      <c r="AC192" s="194"/>
    </row>
    <row r="193" customFormat="false" ht="12.75" hidden="false" customHeight="false" outlineLevel="0" collapsed="false">
      <c r="A193" s="253" t="n">
        <v>819</v>
      </c>
      <c r="B193" s="179" t="n">
        <v>26021</v>
      </c>
      <c r="C193" s="178" t="n">
        <v>3501</v>
      </c>
      <c r="D193" s="179" t="s">
        <v>293</v>
      </c>
      <c r="E193" s="179" t="s">
        <v>149</v>
      </c>
      <c r="F193" s="180" t="s">
        <v>149</v>
      </c>
      <c r="G193" s="181" t="n">
        <f aca="false">VLOOKUP($B193,BTU,2,FALSE())/1000</f>
        <v>1.025</v>
      </c>
      <c r="H193" s="182" t="str">
        <f aca="false">VLOOKUP($B193,spotdata,3,FALSE())</f>
        <v>    </v>
      </c>
      <c r="I193" s="204" t="n">
        <f aca="false">IF(VLOOKUP($B193,errordata,3,FALSE())="UNAV",J193*POLLHOURSFLOWED,IF(LEFT(B193,1)="1",VLOOKUP($B193,totalvolume,2,FALSE())*G193/1000,VLOOKUP($B193,totalvolume,2,FALSE())*G193/1000*-1))</f>
        <v>-11.3810304075</v>
      </c>
      <c r="J193" s="205" t="n">
        <f aca="false">O193+T193</f>
        <v>-13.3020833333333</v>
      </c>
      <c r="K193" s="206" t="n">
        <f aca="false">I193-J193</f>
        <v>1.92105292583333</v>
      </c>
      <c r="L193" s="79" t="n">
        <f aca="false">L192+I193</f>
        <v>-33.6055202351854</v>
      </c>
      <c r="M193" s="200" t="n">
        <f aca="false">M192+J193</f>
        <v>-38.4678513888888</v>
      </c>
      <c r="N193" s="79" t="n">
        <f aca="false">IF(F193="CIG",O193,IF(F193="OBA",O193,IF(F193="HPL",I193-T193,IF(ISERR((O193/$J193)*$I193),0,IF(F193="TP",(O193/$J193)*$I193)))))</f>
        <v>-11.3810304075</v>
      </c>
      <c r="O193" s="205" t="n">
        <f aca="false">IF(LEFT(B193,1)="1",VLOOKUP(B193,Cigsch,3,FALSE())/1000,VLOOKUP(B193,Cigsch,3,FALSE())/1000*-1)*POLLHOURSFLOWED</f>
        <v>-13.3020833333333</v>
      </c>
      <c r="P193" s="206" t="n">
        <f aca="false">N193-O193</f>
        <v>1.92105292583333</v>
      </c>
      <c r="Q193" s="79" t="n">
        <f aca="false">Q192+N193</f>
        <v>-47.0989408435665</v>
      </c>
      <c r="R193" s="201" t="n">
        <f aca="false">R192+O193</f>
        <v>-53.9266458333333</v>
      </c>
      <c r="S193" s="207" t="n">
        <f aca="false">I193-N193</f>
        <v>0</v>
      </c>
      <c r="T193" s="205" t="n">
        <f aca="false">IF(LEFT(B193,1)="1",VLOOKUP(B193,Cigsch,2,FALSE())/1000,VLOOKUP(B193,Cigsch,2,FALSE())/1000*-1)*POLLHOURSFLOWED</f>
        <v>-0</v>
      </c>
      <c r="U193" s="206" t="n">
        <f aca="false">S193-T193</f>
        <v>0</v>
      </c>
      <c r="V193" s="203" t="n">
        <f aca="false">V192+S193</f>
        <v>13.493420608381</v>
      </c>
      <c r="W193" s="79" t="n">
        <f aca="false">W192+T193</f>
        <v>15.4587944444446</v>
      </c>
      <c r="X193" s="208" t="n">
        <f aca="false">S193-Y193</f>
        <v>0</v>
      </c>
      <c r="Y193" s="209" t="n">
        <f aca="false">IF(F193="OBA",I193-J193,0)</f>
        <v>0</v>
      </c>
      <c r="AB193" s="194"/>
      <c r="AC193" s="194"/>
    </row>
    <row r="194" customFormat="false" ht="12.75" hidden="false" customHeight="false" outlineLevel="0" collapsed="false">
      <c r="A194" s="253" t="n">
        <v>819</v>
      </c>
      <c r="B194" s="179" t="n">
        <v>16363</v>
      </c>
      <c r="C194" s="178"/>
      <c r="D194" s="179" t="s">
        <v>294</v>
      </c>
      <c r="E194" s="179" t="s">
        <v>116</v>
      </c>
      <c r="F194" s="180" t="s">
        <v>116</v>
      </c>
      <c r="G194" s="181" t="n">
        <f aca="false">VLOOKUP($B194,BTU,2,FALSE())/1000</f>
        <v>1.025</v>
      </c>
      <c r="H194" s="182" t="str">
        <f aca="false">VLOOKUP($B194,spotdata,3,FALSE())</f>
        <v>UNAV</v>
      </c>
      <c r="I194" s="204" t="n">
        <f aca="false">IF(VLOOKUP($B194,errordata,3,FALSE())="UNAV",J194*POLLHOURSFLOWED,IF(LEFT(B194,1)="1",VLOOKUP($B194,totalvolume,2,FALSE())*G194/1000,VLOOKUP($B194,totalvolume,2,FALSE())*G194/1000*-1))</f>
        <v>0.0550496865354938</v>
      </c>
      <c r="J194" s="205" t="n">
        <f aca="false">O194+T194</f>
        <v>0.0620763888888889</v>
      </c>
      <c r="K194" s="206" t="n">
        <f aca="false">I194-J194</f>
        <v>-0.00702670235339507</v>
      </c>
      <c r="L194" s="79" t="n">
        <f aca="false">L193+I194</f>
        <v>-33.5504705486499</v>
      </c>
      <c r="M194" s="200" t="n">
        <f aca="false">M193+J194</f>
        <v>-38.4057749999999</v>
      </c>
      <c r="N194" s="79" t="n">
        <f aca="false">IF(F194="CIG",O194,IF(F194="OBA",O194,IF(F194="HPL",I194-T194,IF(ISERR((O194/$J194)*$I194),0,IF(F194="TP",(O194/$J194)*$I194)))))</f>
        <v>0</v>
      </c>
      <c r="O194" s="205" t="n">
        <f aca="false">IF(LEFT(B194,1)="1",VLOOKUP(B194,Cigsch,3,FALSE())/1000,VLOOKUP(B194,Cigsch,3,FALSE())/1000*-1)*POLLHOURSFLOWED</f>
        <v>0</v>
      </c>
      <c r="P194" s="206" t="n">
        <f aca="false">N194-O194</f>
        <v>0</v>
      </c>
      <c r="Q194" s="79" t="n">
        <f aca="false">Q193+N194</f>
        <v>-47.0989408435665</v>
      </c>
      <c r="R194" s="201" t="n">
        <f aca="false">R193+O194</f>
        <v>-53.9266458333333</v>
      </c>
      <c r="S194" s="207" t="n">
        <f aca="false">I194-N194</f>
        <v>0.0550496865354938</v>
      </c>
      <c r="T194" s="205" t="n">
        <f aca="false">IF(LEFT(B194,1)="1",VLOOKUP(B194,Cigsch,2,FALSE())/1000,VLOOKUP(B194,Cigsch,2,FALSE())/1000*-1)*POLLHOURSFLOWED</f>
        <v>0.0620763888888889</v>
      </c>
      <c r="U194" s="206" t="n">
        <f aca="false">S194-T194</f>
        <v>-0.00702670235339507</v>
      </c>
      <c r="V194" s="203" t="n">
        <f aca="false">V193+S194</f>
        <v>13.5484702949165</v>
      </c>
      <c r="W194" s="79" t="n">
        <f aca="false">W193+T194</f>
        <v>15.5208708333335</v>
      </c>
      <c r="X194" s="208" t="n">
        <f aca="false">S194-Y194</f>
        <v>0.0550496865354938</v>
      </c>
      <c r="Y194" s="209" t="n">
        <f aca="false">IF(F194="OBA",I194-J194,0)</f>
        <v>0</v>
      </c>
      <c r="AB194" s="194"/>
      <c r="AC194" s="194"/>
    </row>
    <row r="195" customFormat="false" ht="12.75" hidden="false" customHeight="false" outlineLevel="0" collapsed="false">
      <c r="A195" s="253" t="n">
        <v>819</v>
      </c>
      <c r="B195" s="179" t="n">
        <v>16317</v>
      </c>
      <c r="C195" s="178"/>
      <c r="D195" s="179" t="s">
        <v>295</v>
      </c>
      <c r="E195" s="179" t="s">
        <v>116</v>
      </c>
      <c r="F195" s="180" t="s">
        <v>116</v>
      </c>
      <c r="G195" s="181" t="n">
        <f aca="false">VLOOKUP($B195,BTU,2,FALSE())/1000</f>
        <v>1.025</v>
      </c>
      <c r="H195" s="182" t="str">
        <f aca="false">VLOOKUP($B195,spotdata,3,FALSE())</f>
        <v>UNAV</v>
      </c>
      <c r="I195" s="204" t="n">
        <f aca="false">IF(VLOOKUP($B195,errordata,3,FALSE())="UNAV",J195*POLLHOURSFLOWED,IF(LEFT(B195,1)="1",VLOOKUP($B195,totalvolume,2,FALSE())*G195/1000,VLOOKUP($B195,totalvolume,2,FALSE())*G195/1000*-1))</f>
        <v>0.0566225347222222</v>
      </c>
      <c r="J195" s="205" t="n">
        <f aca="false">O195+T195</f>
        <v>0.06385</v>
      </c>
      <c r="K195" s="206" t="n">
        <f aca="false">I195-J195</f>
        <v>-0.00722746527777778</v>
      </c>
      <c r="L195" s="79" t="n">
        <f aca="false">L194+I195</f>
        <v>-33.4938480139277</v>
      </c>
      <c r="M195" s="200" t="n">
        <f aca="false">M194+J195</f>
        <v>-38.3419249999999</v>
      </c>
      <c r="N195" s="79" t="n">
        <f aca="false">IF(F195="CIG",O195,IF(F195="OBA",O195,IF(F195="HPL",I195-T195,IF(ISERR((O195/$J195)*$I195),0,IF(F195="TP",(O195/$J195)*$I195)))))</f>
        <v>0</v>
      </c>
      <c r="O195" s="205" t="n">
        <f aca="false">IF(LEFT(B195,1)="1",VLOOKUP(B195,Cigsch,3,FALSE())/1000,VLOOKUP(B195,Cigsch,3,FALSE())/1000*-1)*POLLHOURSFLOWED</f>
        <v>0</v>
      </c>
      <c r="P195" s="206" t="n">
        <f aca="false">N195-O195</f>
        <v>0</v>
      </c>
      <c r="Q195" s="79" t="n">
        <f aca="false">Q194+N195</f>
        <v>-47.0989408435665</v>
      </c>
      <c r="R195" s="201" t="n">
        <f aca="false">R194+O195</f>
        <v>-53.9266458333333</v>
      </c>
      <c r="S195" s="207" t="n">
        <f aca="false">I195-N195</f>
        <v>0.0566225347222222</v>
      </c>
      <c r="T195" s="205" t="n">
        <f aca="false">IF(LEFT(B195,1)="1",VLOOKUP(B195,Cigsch,2,FALSE())/1000,VLOOKUP(B195,Cigsch,2,FALSE())/1000*-1)*POLLHOURSFLOWED</f>
        <v>0.06385</v>
      </c>
      <c r="U195" s="206" t="n">
        <f aca="false">S195-T195</f>
        <v>-0.00722746527777778</v>
      </c>
      <c r="V195" s="203" t="n">
        <f aca="false">V194+S195</f>
        <v>13.6050928296387</v>
      </c>
      <c r="W195" s="79" t="n">
        <f aca="false">W194+T195</f>
        <v>15.5847208333335</v>
      </c>
      <c r="X195" s="208" t="n">
        <f aca="false">S195-Y195</f>
        <v>0.0566225347222222</v>
      </c>
      <c r="Y195" s="209" t="n">
        <f aca="false">IF(F195="OBA",I195-J195,0)</f>
        <v>0</v>
      </c>
      <c r="AB195" s="194"/>
      <c r="AC195" s="194"/>
    </row>
    <row r="196" customFormat="false" ht="12.75" hidden="false" customHeight="false" outlineLevel="0" collapsed="false">
      <c r="A196" s="256" t="n">
        <v>819</v>
      </c>
      <c r="B196" s="257" t="n">
        <v>16335</v>
      </c>
      <c r="C196" s="258" t="n">
        <v>3550</v>
      </c>
      <c r="D196" s="257" t="s">
        <v>296</v>
      </c>
      <c r="E196" s="257" t="s">
        <v>149</v>
      </c>
      <c r="F196" s="260" t="s">
        <v>149</v>
      </c>
      <c r="G196" s="261" t="n">
        <f aca="false">VLOOKUP($B196,BTU,2,FALSE())/1000</f>
        <v>1.025</v>
      </c>
      <c r="H196" s="262" t="str">
        <f aca="false">VLOOKUP($B196,spotdata,3,FALSE())</f>
        <v>    </v>
      </c>
      <c r="I196" s="263" t="n">
        <f aca="false">IF(VLOOKUP($B196,errordata,3,FALSE())="UNAV",J196*POLLHOURSFLOWED,IF(LEFT(B196,1)="1",VLOOKUP($B196,totalvolume,2,FALSE())*G196/1000,VLOOKUP($B196,totalvolume,2,FALSE())*G196/1000*-1))</f>
        <v>63.41485211</v>
      </c>
      <c r="J196" s="264" t="n">
        <f aca="false">O196+T196</f>
        <v>70.9444444444444</v>
      </c>
      <c r="K196" s="265" t="n">
        <f aca="false">I196-J196</f>
        <v>-7.52959233444445</v>
      </c>
      <c r="L196" s="266" t="n">
        <f aca="false">L195+I196</f>
        <v>29.9210040960723</v>
      </c>
      <c r="M196" s="267" t="n">
        <f aca="false">M195+J196</f>
        <v>32.6025194444446</v>
      </c>
      <c r="N196" s="266" t="n">
        <f aca="false">IF(F196="CIG",O196,IF(F196="OBA",O196,IF(F196="HPL",I196-T196,IF(ISERR((O196/$J196)*$I196),0,IF(F196="TP",(O196/$J196)*$I196)))))</f>
        <v>63.41485211</v>
      </c>
      <c r="O196" s="264" t="n">
        <f aca="false">IF(LEFT(B196,1)="1",VLOOKUP(B196,Cigsch,3,FALSE())/1000,VLOOKUP(B196,Cigsch,3,FALSE())/1000*-1)*POLLHOURSFLOWED</f>
        <v>70.9444444444444</v>
      </c>
      <c r="P196" s="265" t="n">
        <f aca="false">N196-O196</f>
        <v>-7.52959233444445</v>
      </c>
      <c r="Q196" s="266" t="n">
        <f aca="false">Q195+N196</f>
        <v>16.3159112664335</v>
      </c>
      <c r="R196" s="268" t="n">
        <f aca="false">R195+O196</f>
        <v>17.0177986111111</v>
      </c>
      <c r="S196" s="269" t="n">
        <f aca="false">I196-N196</f>
        <v>0</v>
      </c>
      <c r="T196" s="264" t="n">
        <f aca="false">IF(LEFT(B196,1)="1",VLOOKUP(B196,Cigsch,2,FALSE())/1000,VLOOKUP(B196,Cigsch,2,FALSE())/1000*-1)*POLLHOURSFLOWED</f>
        <v>0</v>
      </c>
      <c r="U196" s="265" t="n">
        <f aca="false">S196-T196</f>
        <v>0</v>
      </c>
      <c r="V196" s="270" t="n">
        <f aca="false">V195+S196</f>
        <v>13.6050928296387</v>
      </c>
      <c r="W196" s="266" t="n">
        <f aca="false">W195+T196</f>
        <v>15.5847208333335</v>
      </c>
      <c r="X196" s="271" t="n">
        <f aca="false">S196-Y196</f>
        <v>0</v>
      </c>
      <c r="Y196" s="272" t="n">
        <f aca="false">IF(F196="OBA",I196-J196,0)</f>
        <v>0</v>
      </c>
      <c r="AB196" s="194"/>
      <c r="AC196" s="194"/>
    </row>
    <row r="197" customFormat="false" ht="12.75" hidden="false" customHeight="false" outlineLevel="0" collapsed="false">
      <c r="A197" s="253" t="n">
        <v>820</v>
      </c>
      <c r="B197" s="179" t="n">
        <v>26199</v>
      </c>
      <c r="C197" s="178"/>
      <c r="D197" s="179" t="s">
        <v>297</v>
      </c>
      <c r="E197" s="179" t="s">
        <v>116</v>
      </c>
      <c r="F197" s="180" t="s">
        <v>156</v>
      </c>
      <c r="G197" s="181" t="n">
        <f aca="false">VLOOKUP($B197,BTU,2,FALSE())/1000</f>
        <v>1.031</v>
      </c>
      <c r="H197" s="182" t="str">
        <f aca="false">VLOOKUP($B197,spotdata,3,FALSE())</f>
        <v>    </v>
      </c>
      <c r="I197" s="204" t="n">
        <f aca="false">IF(VLOOKUP($B197,errordata,3,FALSE())="UNAV",J197*POLLHOURSFLOWED,IF(LEFT(B197,1)="1",VLOOKUP($B197,totalvolume,2,FALSE())*G197/1000,VLOOKUP($B197,totalvolume,2,FALSE())*G197/1000*-1))</f>
        <v>-0</v>
      </c>
      <c r="J197" s="205" t="n">
        <f aca="false">O197+T197</f>
        <v>-0</v>
      </c>
      <c r="K197" s="206" t="n">
        <f aca="false">I197-J197</f>
        <v>0</v>
      </c>
      <c r="L197" s="79" t="n">
        <f aca="false">L196+I197</f>
        <v>29.9210040960723</v>
      </c>
      <c r="M197" s="200" t="n">
        <f aca="false">M196+J197</f>
        <v>32.6025194444446</v>
      </c>
      <c r="N197" s="79" t="n">
        <f aca="false">IF(F197="CIG",O197,IF(F197="OBA",O197,IF(F197="HPL",I197-T197,IF(ISERR((O197/$J197)*$I197),0,IF(F197="TP",(O197/$J197)*$I197)))))</f>
        <v>0</v>
      </c>
      <c r="O197" s="205" t="n">
        <f aca="false">IF(LEFT(B197,1)="1",VLOOKUP(B197,Cigsch,3,FALSE())/1000,VLOOKUP(B197,Cigsch,3,FALSE())/1000*-1)*POLLHOURSFLOWED</f>
        <v>-0</v>
      </c>
      <c r="P197" s="206" t="n">
        <f aca="false">N197-O197</f>
        <v>0</v>
      </c>
      <c r="Q197" s="79" t="n">
        <f aca="false">Q196+N197</f>
        <v>16.3159112664335</v>
      </c>
      <c r="R197" s="201" t="n">
        <f aca="false">R196+O197</f>
        <v>17.0177986111111</v>
      </c>
      <c r="S197" s="207" t="n">
        <f aca="false">I197-N197</f>
        <v>-0</v>
      </c>
      <c r="T197" s="205" t="n">
        <f aca="false">IF(LEFT(B197,1)="1",VLOOKUP(B197,Cigsch,2,FALSE())/1000,VLOOKUP(B197,Cigsch,2,FALSE())/1000*-1)*POLLHOURSFLOWED</f>
        <v>-0</v>
      </c>
      <c r="U197" s="206" t="n">
        <f aca="false">S197-T197</f>
        <v>0</v>
      </c>
      <c r="V197" s="203" t="n">
        <f aca="false">V196+S197</f>
        <v>13.6050928296387</v>
      </c>
      <c r="W197" s="79" t="n">
        <f aca="false">W196+T197</f>
        <v>15.5847208333335</v>
      </c>
      <c r="X197" s="208" t="n">
        <f aca="false">S197-Y197</f>
        <v>-0</v>
      </c>
      <c r="Y197" s="209" t="n">
        <f aca="false">IF(F197="OBA",I197-J197,0)</f>
        <v>0</v>
      </c>
      <c r="AB197" s="194"/>
      <c r="AC197" s="194"/>
    </row>
    <row r="198" customFormat="false" ht="12.75" hidden="false" customHeight="false" outlineLevel="0" collapsed="false">
      <c r="A198" s="253" t="n">
        <v>820</v>
      </c>
      <c r="B198" s="179" t="n">
        <v>16350</v>
      </c>
      <c r="C198" s="178"/>
      <c r="D198" s="179" t="s">
        <v>297</v>
      </c>
      <c r="E198" s="179" t="s">
        <v>116</v>
      </c>
      <c r="F198" s="180" t="s">
        <v>156</v>
      </c>
      <c r="G198" s="181" t="n">
        <f aca="false">VLOOKUP($B198,BTU,2,FALSE())/1000</f>
        <v>1.02</v>
      </c>
      <c r="H198" s="182" t="str">
        <f aca="false">VLOOKUP($B198,spotdata,3,FALSE())</f>
        <v>    </v>
      </c>
      <c r="I198" s="204" t="n">
        <f aca="false">IF(VLOOKUP($B198,errordata,3,FALSE())="UNAV",J198*POLLHOURSFLOWED,IF(LEFT(B198,1)="1",VLOOKUP($B198,totalvolume,2,FALSE())*G198/1000,VLOOKUP($B198,totalvolume,2,FALSE())*G198/1000*-1))</f>
        <v>8.9738374776</v>
      </c>
      <c r="J198" s="205" t="n">
        <f aca="false">O198+T198</f>
        <v>10.4669659722222</v>
      </c>
      <c r="K198" s="206" t="n">
        <f aca="false">I198-J198</f>
        <v>-1.49312849462222</v>
      </c>
      <c r="L198" s="79" t="n">
        <f aca="false">L197+I198</f>
        <v>38.8948415736723</v>
      </c>
      <c r="M198" s="200" t="n">
        <f aca="false">M197+J198</f>
        <v>43.0694854166668</v>
      </c>
      <c r="N198" s="79" t="n">
        <f aca="false">IF(F198="CIG",O198,IF(F198="OBA",O198,IF(F198="HPL",I198-T198,IF(ISERR((O198/$J198)*$I198),0,IF(F198="TP",(O198/$J198)*$I198)))))</f>
        <v>0</v>
      </c>
      <c r="O198" s="205" t="n">
        <f aca="false">IF(LEFT(B198,1)="1",VLOOKUP(B198,Cigsch,3,FALSE())/1000,VLOOKUP(B198,Cigsch,3,FALSE())/1000*-1)*POLLHOURSFLOWED</f>
        <v>0</v>
      </c>
      <c r="P198" s="206" t="n">
        <f aca="false">N198-O198</f>
        <v>0</v>
      </c>
      <c r="Q198" s="79" t="n">
        <f aca="false">Q197+N198</f>
        <v>16.3159112664335</v>
      </c>
      <c r="R198" s="201" t="n">
        <f aca="false">R197+O198</f>
        <v>17.0177986111111</v>
      </c>
      <c r="S198" s="207" t="n">
        <f aca="false">I198-N198</f>
        <v>8.9738374776</v>
      </c>
      <c r="T198" s="205" t="n">
        <f aca="false">IF(LEFT(B198,1)="1",VLOOKUP(B198,Cigsch,2,FALSE())/1000,VLOOKUP(B198,Cigsch,2,FALSE())/1000*-1)*POLLHOURSFLOWED</f>
        <v>10.4669659722222</v>
      </c>
      <c r="U198" s="206" t="n">
        <f aca="false">S198-T198</f>
        <v>-1.49312849462222</v>
      </c>
      <c r="V198" s="203" t="n">
        <f aca="false">V197+S198</f>
        <v>22.5789303072387</v>
      </c>
      <c r="W198" s="79" t="n">
        <f aca="false">W197+T198</f>
        <v>26.0516868055557</v>
      </c>
      <c r="X198" s="208" t="n">
        <f aca="false">S198-Y198</f>
        <v>8.9738374776</v>
      </c>
      <c r="Y198" s="209" t="n">
        <f aca="false">IF(F198="OBA",I198-J198,0)</f>
        <v>0</v>
      </c>
      <c r="AB198" s="194"/>
      <c r="AC198" s="194"/>
    </row>
    <row r="199" customFormat="false" ht="12.75" hidden="false" customHeight="false" outlineLevel="0" collapsed="false">
      <c r="A199" s="253" t="n">
        <v>820</v>
      </c>
      <c r="B199" s="179" t="n">
        <v>16362</v>
      </c>
      <c r="C199" s="178"/>
      <c r="D199" s="179" t="s">
        <v>298</v>
      </c>
      <c r="E199" s="179" t="s">
        <v>116</v>
      </c>
      <c r="F199" s="180" t="s">
        <v>156</v>
      </c>
      <c r="G199" s="181" t="n">
        <f aca="false">VLOOKUP($B199,BTU,2,FALSE())/1000</f>
        <v>1.031</v>
      </c>
      <c r="H199" s="182" t="str">
        <f aca="false">VLOOKUP($B199,spotdata,3,FALSE())</f>
        <v>    </v>
      </c>
      <c r="I199" s="204" t="n">
        <f aca="false">IF(VLOOKUP($B199,errordata,3,FALSE())="UNAV",J199*POLLHOURSFLOWED,IF(LEFT(B199,1)="1",VLOOKUP($B199,totalvolume,2,FALSE())*G199/1000,VLOOKUP($B199,totalvolume,2,FALSE())*G199/1000*-1))</f>
        <v>0</v>
      </c>
      <c r="J199" s="205" t="n">
        <f aca="false">O199+T199</f>
        <v>0</v>
      </c>
      <c r="K199" s="206" t="n">
        <f aca="false">I199-J199</f>
        <v>0</v>
      </c>
      <c r="L199" s="79" t="n">
        <f aca="false">L198+I199</f>
        <v>38.8948415736723</v>
      </c>
      <c r="M199" s="200" t="n">
        <f aca="false">M198+J199</f>
        <v>43.0694854166668</v>
      </c>
      <c r="N199" s="79" t="n">
        <f aca="false">IF(F199="CIG",O199,IF(F199="OBA",O199,IF(F199="HPL",I199-T199,IF(ISERR((O199/$J199)*$I199),0,IF(F199="TP",(O199/$J199)*$I199)))))</f>
        <v>0</v>
      </c>
      <c r="O199" s="205" t="n">
        <f aca="false">IF(LEFT(B199,1)="1",VLOOKUP(B199,Cigsch,3,FALSE())/1000,VLOOKUP(B199,Cigsch,3,FALSE())/1000*-1)*POLLHOURSFLOWED</f>
        <v>0</v>
      </c>
      <c r="P199" s="206" t="n">
        <f aca="false">N199-O199</f>
        <v>0</v>
      </c>
      <c r="Q199" s="79" t="n">
        <f aca="false">Q198+N199</f>
        <v>16.3159112664335</v>
      </c>
      <c r="R199" s="201" t="n">
        <f aca="false">R198+O199</f>
        <v>17.0177986111111</v>
      </c>
      <c r="S199" s="207" t="n">
        <f aca="false">I199-N199</f>
        <v>0</v>
      </c>
      <c r="T199" s="205" t="n">
        <f aca="false">IF(LEFT(B199,1)="1",VLOOKUP(B199,Cigsch,2,FALSE())/1000,VLOOKUP(B199,Cigsch,2,FALSE())/1000*-1)*POLLHOURSFLOWED</f>
        <v>0</v>
      </c>
      <c r="U199" s="206" t="n">
        <f aca="false">S199-T199</f>
        <v>0</v>
      </c>
      <c r="V199" s="203" t="n">
        <f aca="false">V198+S199</f>
        <v>22.5789303072387</v>
      </c>
      <c r="W199" s="79" t="n">
        <f aca="false">W198+T199</f>
        <v>26.0516868055557</v>
      </c>
      <c r="X199" s="208" t="n">
        <f aca="false">S199-Y199</f>
        <v>0</v>
      </c>
      <c r="Y199" s="209" t="n">
        <f aca="false">IF(F199="OBA",I199-J199,0)</f>
        <v>0</v>
      </c>
      <c r="AB199" s="194"/>
      <c r="AC199" s="194"/>
    </row>
    <row r="200" customFormat="false" ht="12.75" hidden="false" customHeight="false" outlineLevel="0" collapsed="false">
      <c r="A200" s="273" t="n">
        <v>820</v>
      </c>
      <c r="B200" s="211" t="n">
        <v>16181</v>
      </c>
      <c r="C200" s="210"/>
      <c r="D200" s="211" t="s">
        <v>299</v>
      </c>
      <c r="E200" s="211" t="s">
        <v>149</v>
      </c>
      <c r="F200" s="212" t="s">
        <v>116</v>
      </c>
      <c r="G200" s="213" t="n">
        <f aca="false">VLOOKUP($B200,BTU,2,FALSE())/1000</f>
        <v>1.025</v>
      </c>
      <c r="H200" s="182" t="str">
        <f aca="false">VLOOKUP($B200,spotdata,3,FALSE())</f>
        <v>UNAV</v>
      </c>
      <c r="I200" s="204" t="n">
        <f aca="false">IF(VLOOKUP($B200,errordata,3,FALSE())="UNAV",J200*POLLHOURSFLOWED,IF(LEFT(B200,1)="1",VLOOKUP($B200,totalvolume,2,FALSE())*G200/1000,VLOOKUP($B200,totalvolume,2,FALSE())*G200/1000*-1))</f>
        <v>0</v>
      </c>
      <c r="J200" s="205" t="n">
        <f aca="false">O200+T200</f>
        <v>0</v>
      </c>
      <c r="K200" s="206" t="n">
        <f aca="false">I200-J200</f>
        <v>0</v>
      </c>
      <c r="L200" s="79" t="n">
        <f aca="false">L199+I200</f>
        <v>38.8948415736723</v>
      </c>
      <c r="M200" s="200" t="n">
        <f aca="false">M199+J200</f>
        <v>43.0694854166668</v>
      </c>
      <c r="N200" s="79" t="n">
        <f aca="false">IF(F200="CIG",O200,IF(F200="OBA",O200,IF(F200="HPL",I200-T200,IF(ISERR((O200/$J200)*$I200),0,IF(F200="TP",(O200/$J200)*$I200)))))</f>
        <v>0</v>
      </c>
      <c r="O200" s="205" t="n">
        <f aca="false">IF(LEFT(B200,1)="1",VLOOKUP(B200,Cigsch,3,FALSE())/1000,VLOOKUP(B200,Cigsch,3,FALSE())/1000*-1)*POLLHOURSFLOWED</f>
        <v>0</v>
      </c>
      <c r="P200" s="206" t="n">
        <f aca="false">N200-O200</f>
        <v>0</v>
      </c>
      <c r="Q200" s="79" t="n">
        <f aca="false">Q199+N200</f>
        <v>16.3159112664335</v>
      </c>
      <c r="R200" s="201" t="n">
        <f aca="false">R199+O200</f>
        <v>17.0177986111111</v>
      </c>
      <c r="S200" s="207" t="n">
        <f aca="false">I200-N200</f>
        <v>0</v>
      </c>
      <c r="T200" s="205" t="n">
        <f aca="false">IF(LEFT(B200,1)="1",VLOOKUP(B200,Cigsch,2,FALSE())/1000,VLOOKUP(B200,Cigsch,2,FALSE())/1000*-1)*POLLHOURSFLOWED</f>
        <v>0</v>
      </c>
      <c r="U200" s="206" t="n">
        <f aca="false">S200-T200</f>
        <v>0</v>
      </c>
      <c r="V200" s="203" t="n">
        <f aca="false">V199+S200</f>
        <v>22.5789303072387</v>
      </c>
      <c r="W200" s="79" t="n">
        <f aca="false">W199+T200</f>
        <v>26.0516868055557</v>
      </c>
      <c r="X200" s="208" t="n">
        <f aca="false">S200-Y200</f>
        <v>0</v>
      </c>
      <c r="Y200" s="209" t="n">
        <f aca="false">IF(F200="OBA",I200-J200,0)</f>
        <v>0</v>
      </c>
      <c r="AB200" s="194"/>
      <c r="AC200" s="194"/>
    </row>
    <row r="201" customFormat="false" ht="12.75" hidden="false" customHeight="false" outlineLevel="0" collapsed="false">
      <c r="A201" s="253" t="n">
        <v>820</v>
      </c>
      <c r="B201" s="179" t="n">
        <v>16204</v>
      </c>
      <c r="C201" s="178" t="n">
        <v>5767</v>
      </c>
      <c r="D201" s="179" t="s">
        <v>300</v>
      </c>
      <c r="E201" s="179" t="s">
        <v>149</v>
      </c>
      <c r="F201" s="180" t="s">
        <v>149</v>
      </c>
      <c r="G201" s="181" t="n">
        <f aca="false">VLOOKUP($B201,BTU,2,FALSE())/1000</f>
        <v>1.025</v>
      </c>
      <c r="H201" s="182" t="str">
        <f aca="false">VLOOKUP($B201,spotdata,3,FALSE())</f>
        <v>UNAV</v>
      </c>
      <c r="I201" s="204" t="n">
        <f aca="false">IF(VLOOKUP($B201,errordata,3,FALSE())="UNAV",J201*POLLHOURSFLOWED,IF(LEFT(B201,1)="1",VLOOKUP($B201,totalvolume,2,FALSE())*G201/1000,VLOOKUP($B201,totalvolume,2,FALSE())*G201/1000*-1))</f>
        <v>0.11796361400463</v>
      </c>
      <c r="J201" s="205" t="n">
        <f aca="false">O201+T201</f>
        <v>0.133020833333333</v>
      </c>
      <c r="K201" s="206" t="n">
        <f aca="false">I201-J201</f>
        <v>-0.0150572193287037</v>
      </c>
      <c r="L201" s="79" t="n">
        <f aca="false">L200+I201</f>
        <v>39.0128051876769</v>
      </c>
      <c r="M201" s="200" t="n">
        <f aca="false">M200+J201</f>
        <v>43.2025062500001</v>
      </c>
      <c r="N201" s="79" t="n">
        <f aca="false">IF(F201="CIG",O201,IF(F201="OBA",O201,IF(F201="HPL",I201-T201,IF(ISERR((O201/$J201)*$I201),0,IF(F201="TP",(O201/$J201)*$I201)))))</f>
        <v>0.11796361400463</v>
      </c>
      <c r="O201" s="205" t="n">
        <f aca="false">IF(LEFT(B201,1)="1",VLOOKUP(B201,Cigsch,3,FALSE())/1000,VLOOKUP(B201,Cigsch,3,FALSE())/1000*-1)*POLLHOURSFLOWED</f>
        <v>0.133020833333333</v>
      </c>
      <c r="P201" s="206" t="n">
        <f aca="false">N201-O201</f>
        <v>-0.0150572193287037</v>
      </c>
      <c r="Q201" s="79" t="n">
        <f aca="false">Q200+N201</f>
        <v>16.4338748804381</v>
      </c>
      <c r="R201" s="201" t="n">
        <f aca="false">R200+O201</f>
        <v>17.1508194444445</v>
      </c>
      <c r="S201" s="207" t="n">
        <f aca="false">I201-N201</f>
        <v>0</v>
      </c>
      <c r="T201" s="205" t="n">
        <f aca="false">IF(LEFT(B201,1)="1",VLOOKUP(B201,Cigsch,2,FALSE())/1000,VLOOKUP(B201,Cigsch,2,FALSE())/1000*-1)*POLLHOURSFLOWED</f>
        <v>0</v>
      </c>
      <c r="U201" s="206" t="n">
        <f aca="false">S201-T201</f>
        <v>0</v>
      </c>
      <c r="V201" s="203" t="n">
        <f aca="false">V200+S201</f>
        <v>22.5789303072387</v>
      </c>
      <c r="W201" s="79" t="n">
        <f aca="false">W200+T201</f>
        <v>26.0516868055557</v>
      </c>
      <c r="X201" s="208" t="n">
        <f aca="false">S201-Y201</f>
        <v>0</v>
      </c>
      <c r="Y201" s="209" t="n">
        <f aca="false">IF(F201="OBA",I201-J201,0)</f>
        <v>0</v>
      </c>
      <c r="AB201" s="194"/>
      <c r="AC201" s="194"/>
    </row>
    <row r="202" customFormat="false" ht="12.75" hidden="false" customHeight="false" outlineLevel="0" collapsed="false">
      <c r="A202" s="253" t="n">
        <v>820</v>
      </c>
      <c r="B202" s="179" t="n">
        <v>16272</v>
      </c>
      <c r="C202" s="178" t="n">
        <v>6427</v>
      </c>
      <c r="D202" s="179" t="s">
        <v>301</v>
      </c>
      <c r="E202" s="179" t="s">
        <v>149</v>
      </c>
      <c r="F202" s="180" t="s">
        <v>149</v>
      </c>
      <c r="G202" s="181" t="n">
        <f aca="false">VLOOKUP($B202,BTU,2,FALSE())/1000</f>
        <v>1.025</v>
      </c>
      <c r="H202" s="182" t="str">
        <f aca="false">VLOOKUP($B202,spotdata,3,FALSE())</f>
        <v>UNAV</v>
      </c>
      <c r="I202" s="204" t="n">
        <f aca="false">IF(VLOOKUP($B202,errordata,3,FALSE())="UNAV",J202*POLLHOURSFLOWED,IF(LEFT(B202,1)="1",VLOOKUP($B202,totalvolume,2,FALSE())*G202/1000,VLOOKUP($B202,totalvolume,2,FALSE())*G202/1000*-1))</f>
        <v>0.463990215084877</v>
      </c>
      <c r="J202" s="205" t="n">
        <f aca="false">O202+T202</f>
        <v>0.523215277777778</v>
      </c>
      <c r="K202" s="206" t="n">
        <f aca="false">I202-J202</f>
        <v>-0.0592250626929012</v>
      </c>
      <c r="L202" s="79" t="n">
        <f aca="false">L201+I202</f>
        <v>39.4767954027618</v>
      </c>
      <c r="M202" s="200" t="n">
        <f aca="false">M201+J202</f>
        <v>43.7257215277779</v>
      </c>
      <c r="N202" s="79" t="n">
        <f aca="false">IF(F202="CIG",O202,IF(F202="OBA",O202,IF(F202="HPL",I202-T202,IF(ISERR((O202/$J202)*$I202),0,IF(F202="TP",(O202/$J202)*$I202)))))</f>
        <v>0.463990215084877</v>
      </c>
      <c r="O202" s="205" t="n">
        <f aca="false">IF(LEFT(B202,1)="1",VLOOKUP(B202,Cigsch,3,FALSE())/1000,VLOOKUP(B202,Cigsch,3,FALSE())/1000*-1)*POLLHOURSFLOWED</f>
        <v>0.523215277777778</v>
      </c>
      <c r="P202" s="206" t="n">
        <f aca="false">N202-O202</f>
        <v>-0.0592250626929012</v>
      </c>
      <c r="Q202" s="79" t="n">
        <f aca="false">Q201+N202</f>
        <v>16.897865095523</v>
      </c>
      <c r="R202" s="201" t="n">
        <f aca="false">R201+O202</f>
        <v>17.6740347222222</v>
      </c>
      <c r="S202" s="207" t="n">
        <f aca="false">I202-N202</f>
        <v>0</v>
      </c>
      <c r="T202" s="205" t="n">
        <f aca="false">IF(LEFT(B202,1)="1",VLOOKUP(B202,Cigsch,2,FALSE())/1000,VLOOKUP(B202,Cigsch,2,FALSE())/1000*-1)*POLLHOURSFLOWED</f>
        <v>0</v>
      </c>
      <c r="U202" s="206" t="n">
        <f aca="false">S202-T202</f>
        <v>0</v>
      </c>
      <c r="V202" s="203" t="n">
        <f aca="false">V201+S202</f>
        <v>22.5789303072387</v>
      </c>
      <c r="W202" s="79" t="n">
        <f aca="false">W201+T202</f>
        <v>26.0516868055557</v>
      </c>
      <c r="X202" s="208" t="n">
        <f aca="false">S202-Y202</f>
        <v>0</v>
      </c>
      <c r="Y202" s="209" t="n">
        <f aca="false">IF(F202="OBA",I202-J202,0)</f>
        <v>0</v>
      </c>
      <c r="AB202" s="194"/>
      <c r="AC202" s="194"/>
    </row>
    <row r="203" customFormat="false" ht="12.75" hidden="false" customHeight="false" outlineLevel="0" collapsed="false">
      <c r="A203" s="253" t="n">
        <v>820</v>
      </c>
      <c r="B203" s="179" t="n">
        <v>26126</v>
      </c>
      <c r="C203" s="178" t="n">
        <v>1427</v>
      </c>
      <c r="D203" s="179" t="s">
        <v>302</v>
      </c>
      <c r="E203" s="179" t="s">
        <v>149</v>
      </c>
      <c r="F203" s="180" t="s">
        <v>149</v>
      </c>
      <c r="G203" s="181" t="n">
        <f aca="false">VLOOKUP($B203,BTU,2,FALSE())/1000</f>
        <v>1.04</v>
      </c>
      <c r="H203" s="182" t="str">
        <f aca="false">VLOOKUP($B203,spotdata,3,FALSE())</f>
        <v>    </v>
      </c>
      <c r="I203" s="204" t="n">
        <f aca="false">IF(VLOOKUP($B203,errordata,3,FALSE())="UNAV",J203*POLLHOURSFLOWED,IF(LEFT(B203,1)="1",VLOOKUP($B203,totalvolume,2,FALSE())*G203/1000,VLOOKUP($B203,totalvolume,2,FALSE())*G203/1000*-1))</f>
        <v>-37.94845028</v>
      </c>
      <c r="J203" s="205" t="n">
        <f aca="false">O203+T203</f>
        <v>-38.1326388888889</v>
      </c>
      <c r="K203" s="206" t="n">
        <f aca="false">I203-J203</f>
        <v>0.184188608888888</v>
      </c>
      <c r="L203" s="79" t="n">
        <f aca="false">L202+I203</f>
        <v>1.52834512276178</v>
      </c>
      <c r="M203" s="200" t="n">
        <f aca="false">M202+J203</f>
        <v>5.59308263888903</v>
      </c>
      <c r="N203" s="79" t="n">
        <f aca="false">IF(F203="CIG",O203,IF(F203="OBA",O203,IF(F203="HPL",I203-T203,IF(ISERR((O203/$J203)*$I203),0,IF(F203="TP",(O203/$J203)*$I203)))))</f>
        <v>-17.5519225022222</v>
      </c>
      <c r="O203" s="205" t="n">
        <f aca="false">IF(LEFT(B203,1)="1",VLOOKUP(B203,Cigsch,3,FALSE())/1000,VLOOKUP(B203,Cigsch,3,FALSE())/1000*-1)*POLLHOURSFLOWED</f>
        <v>-17.7361111111111</v>
      </c>
      <c r="P203" s="206" t="n">
        <f aca="false">N203-O203</f>
        <v>0.184188608888885</v>
      </c>
      <c r="Q203" s="79" t="n">
        <f aca="false">Q202+N203</f>
        <v>-0.654057406699252</v>
      </c>
      <c r="R203" s="201" t="n">
        <f aca="false">R202+O203</f>
        <v>-0.0620763888888689</v>
      </c>
      <c r="S203" s="207" t="n">
        <f aca="false">I203-N203</f>
        <v>-20.3965277777778</v>
      </c>
      <c r="T203" s="205" t="n">
        <f aca="false">IF(LEFT(B203,1)="1",VLOOKUP(B203,Cigsch,2,FALSE())/1000,VLOOKUP(B203,Cigsch,2,FALSE())/1000*-1)*POLLHOURSFLOWED</f>
        <v>-20.3965277777778</v>
      </c>
      <c r="U203" s="206" t="n">
        <f aca="false">S203-T203</f>
        <v>0</v>
      </c>
      <c r="V203" s="203" t="n">
        <f aca="false">V202+S203</f>
        <v>2.18240252946097</v>
      </c>
      <c r="W203" s="79" t="n">
        <f aca="false">W202+T203</f>
        <v>5.65515902777791</v>
      </c>
      <c r="X203" s="208" t="n">
        <f aca="false">S203-Y203</f>
        <v>-20.3965277777778</v>
      </c>
      <c r="Y203" s="209" t="n">
        <f aca="false">IF(F203="OBA",I203-J203,0)</f>
        <v>0</v>
      </c>
      <c r="AB203" s="194"/>
      <c r="AC203" s="194"/>
    </row>
    <row r="204" customFormat="false" ht="12.75" hidden="false" customHeight="false" outlineLevel="0" collapsed="false">
      <c r="A204" s="253" t="n">
        <v>820</v>
      </c>
      <c r="B204" s="179" t="n">
        <v>16308</v>
      </c>
      <c r="C204" s="178" t="n">
        <v>6675</v>
      </c>
      <c r="D204" s="179" t="s">
        <v>303</v>
      </c>
      <c r="E204" s="179" t="s">
        <v>149</v>
      </c>
      <c r="F204" s="180" t="s">
        <v>149</v>
      </c>
      <c r="G204" s="181" t="n">
        <f aca="false">VLOOKUP($B204,BTU,2,FALSE())/1000</f>
        <v>1.025</v>
      </c>
      <c r="H204" s="182" t="str">
        <f aca="false">VLOOKUP($B204,spotdata,3,FALSE())</f>
        <v>UNAV</v>
      </c>
      <c r="I204" s="204" t="n">
        <f aca="false">IF(VLOOKUP($B204,errordata,3,FALSE())="UNAV",J204*POLLHOURSFLOWED,IF(LEFT(B204,1)="1",VLOOKUP($B204,totalvolume,2,FALSE())*G204/1000,VLOOKUP($B204,totalvolume,2,FALSE())*G204/1000*-1))</f>
        <v>0.0927980430169753</v>
      </c>
      <c r="J204" s="205" t="n">
        <f aca="false">O204+T204</f>
        <v>0.104643055555556</v>
      </c>
      <c r="K204" s="206" t="n">
        <f aca="false">I204-J204</f>
        <v>-0.0118450125385803</v>
      </c>
      <c r="L204" s="79" t="n">
        <f aca="false">L203+I204</f>
        <v>1.62114316577875</v>
      </c>
      <c r="M204" s="200" t="n">
        <f aca="false">M203+J204</f>
        <v>5.69772569444459</v>
      </c>
      <c r="N204" s="79" t="n">
        <f aca="false">IF(F204="CIG",O204,IF(F204="OBA",O204,IF(F204="HPL",I204-T204,IF(ISERR((O204/$J204)*$I204),0,IF(F204="TP",(O204/$J204)*$I204)))))</f>
        <v>0.0927980430169753</v>
      </c>
      <c r="O204" s="205" t="n">
        <f aca="false">IF(LEFT(B204,1)="1",VLOOKUP(B204,Cigsch,3,FALSE())/1000,VLOOKUP(B204,Cigsch,3,FALSE())/1000*-1)*POLLHOURSFLOWED</f>
        <v>0.104643055555556</v>
      </c>
      <c r="P204" s="206" t="n">
        <f aca="false">N204-O204</f>
        <v>-0.0118450125385803</v>
      </c>
      <c r="Q204" s="79" t="n">
        <f aca="false">Q203+N204</f>
        <v>-0.561259363682277</v>
      </c>
      <c r="R204" s="201" t="n">
        <f aca="false">R203+O204</f>
        <v>0.0425666666666866</v>
      </c>
      <c r="S204" s="207" t="n">
        <f aca="false">I204-N204</f>
        <v>0</v>
      </c>
      <c r="T204" s="205" t="n">
        <f aca="false">IF(LEFT(B204,1)="1",VLOOKUP(B204,Cigsch,2,FALSE())/1000,VLOOKUP(B204,Cigsch,2,FALSE())/1000*-1)*POLLHOURSFLOWED</f>
        <v>0</v>
      </c>
      <c r="U204" s="206" t="n">
        <f aca="false">S204-T204</f>
        <v>0</v>
      </c>
      <c r="V204" s="203" t="n">
        <f aca="false">V203+S204</f>
        <v>2.18240252946097</v>
      </c>
      <c r="W204" s="79" t="n">
        <f aca="false">W203+T204</f>
        <v>5.65515902777791</v>
      </c>
      <c r="X204" s="208" t="n">
        <f aca="false">S204-Y204</f>
        <v>0</v>
      </c>
      <c r="Y204" s="209" t="n">
        <f aca="false">IF(F204="OBA",I204-J204,0)</f>
        <v>0</v>
      </c>
      <c r="AB204" s="194"/>
      <c r="AC204" s="194"/>
    </row>
    <row r="205" customFormat="false" ht="12.75" hidden="false" customHeight="false" outlineLevel="0" collapsed="false">
      <c r="A205" s="253" t="n">
        <v>820</v>
      </c>
      <c r="B205" s="179" t="n">
        <v>26051</v>
      </c>
      <c r="C205" s="178"/>
      <c r="D205" s="179" t="s">
        <v>304</v>
      </c>
      <c r="E205" s="179" t="s">
        <v>118</v>
      </c>
      <c r="F205" s="180" t="s">
        <v>149</v>
      </c>
      <c r="G205" s="181" t="n">
        <f aca="false">VLOOKUP($B205,BTU,2,FALSE())/1000</f>
        <v>1.025</v>
      </c>
      <c r="H205" s="182" t="str">
        <f aca="false">VLOOKUP($B205,spotdata,3,FALSE())</f>
        <v>UNAV</v>
      </c>
      <c r="I205" s="204" t="n">
        <f aca="false">IF(VLOOKUP($B205,errordata,3,FALSE())="UNAV",J205*POLLHOURSFLOWED,IF(LEFT(B205,1)="1",VLOOKUP($B205,totalvolume,2,FALSE())*G205/1000,VLOOKUP($B205,totalvolume,2,FALSE())*G205/1000*-1))</f>
        <v>-0</v>
      </c>
      <c r="J205" s="205" t="n">
        <f aca="false">O205+T205</f>
        <v>-0</v>
      </c>
      <c r="K205" s="206" t="n">
        <f aca="false">I205-J205</f>
        <v>0</v>
      </c>
      <c r="L205" s="79" t="n">
        <f aca="false">L204+I205</f>
        <v>1.62114316577875</v>
      </c>
      <c r="M205" s="200" t="n">
        <f aca="false">M204+J205</f>
        <v>5.69772569444459</v>
      </c>
      <c r="N205" s="79" t="n">
        <f aca="false">IF(F205="CIG",O205,IF(F205="OBA",O205,IF(F205="HPL",I205-T205,IF(ISERR((O205/$J205)*$I205),0,IF(F205="TP",(O205/$J205)*$I205)))))</f>
        <v>0</v>
      </c>
      <c r="O205" s="205" t="n">
        <f aca="false">IF(LEFT(B205,1)="1",VLOOKUP(B205,Cigsch,3,FALSE())/1000,VLOOKUP(B205,Cigsch,3,FALSE())/1000*-1)*POLLHOURSFLOWED</f>
        <v>-0</v>
      </c>
      <c r="P205" s="206" t="n">
        <f aca="false">N205-O205</f>
        <v>0</v>
      </c>
      <c r="Q205" s="79" t="n">
        <f aca="false">Q204+N205</f>
        <v>-0.561259363682277</v>
      </c>
      <c r="R205" s="201" t="n">
        <f aca="false">R204+O205</f>
        <v>0.0425666666666866</v>
      </c>
      <c r="S205" s="207" t="n">
        <f aca="false">I205-N205</f>
        <v>-0</v>
      </c>
      <c r="T205" s="205" t="n">
        <f aca="false">IF(LEFT(B205,1)="1",VLOOKUP(B205,Cigsch,2,FALSE())/1000,VLOOKUP(B205,Cigsch,2,FALSE())/1000*-1)*POLLHOURSFLOWED</f>
        <v>-0</v>
      </c>
      <c r="U205" s="206" t="n">
        <f aca="false">S205-T205</f>
        <v>0</v>
      </c>
      <c r="V205" s="203" t="n">
        <f aca="false">V204+S205</f>
        <v>2.18240252946097</v>
      </c>
      <c r="W205" s="79" t="n">
        <f aca="false">W204+T205</f>
        <v>5.65515902777791</v>
      </c>
      <c r="X205" s="208" t="n">
        <f aca="false">S205-Y205</f>
        <v>-0</v>
      </c>
      <c r="Y205" s="209" t="n">
        <f aca="false">IF(F205="OBA",I205-J205,0)</f>
        <v>0</v>
      </c>
      <c r="AB205" s="194"/>
      <c r="AC205" s="194"/>
    </row>
    <row r="206" customFormat="false" ht="12.75" hidden="false" customHeight="false" outlineLevel="0" collapsed="false">
      <c r="A206" s="253" t="n">
        <v>820</v>
      </c>
      <c r="B206" s="179" t="n">
        <v>16188</v>
      </c>
      <c r="C206" s="178"/>
      <c r="D206" s="179" t="s">
        <v>305</v>
      </c>
      <c r="E206" s="179" t="s">
        <v>118</v>
      </c>
      <c r="F206" s="180" t="s">
        <v>116</v>
      </c>
      <c r="G206" s="181" t="n">
        <f aca="false">VLOOKUP($B206,BTU,2,FALSE())/1000</f>
        <v>1.025</v>
      </c>
      <c r="H206" s="182" t="str">
        <f aca="false">VLOOKUP($B206,spotdata,3,FALSE())</f>
        <v>UNAV</v>
      </c>
      <c r="I206" s="204" t="n">
        <f aca="false">IF(VLOOKUP($B206,errordata,3,FALSE())="UNAV",J206*POLLHOURSFLOWED,IF(LEFT(B206,1)="1",VLOOKUP($B206,totalvolume,2,FALSE())*G206/1000,VLOOKUP($B206,totalvolume,2,FALSE())*G206/1000*-1))</f>
        <v>0.247723589409722</v>
      </c>
      <c r="J206" s="205" t="n">
        <f aca="false">O206+T206</f>
        <v>0.27934375</v>
      </c>
      <c r="K206" s="206" t="n">
        <f aca="false">I206-J206</f>
        <v>-0.0316201605902778</v>
      </c>
      <c r="L206" s="79" t="n">
        <f aca="false">L205+I206</f>
        <v>1.86886675518848</v>
      </c>
      <c r="M206" s="200" t="n">
        <f aca="false">M205+J206</f>
        <v>5.97706944444459</v>
      </c>
      <c r="N206" s="79" t="n">
        <f aca="false">IF(F206="CIG",O206,IF(F206="OBA",O206,IF(F206="HPL",I206-T206,IF(ISERR((O206/$J206)*$I206),0,IF(F206="TP",(O206/$J206)*$I206)))))</f>
        <v>0</v>
      </c>
      <c r="O206" s="205" t="n">
        <f aca="false">IF(LEFT(B206,1)="1",VLOOKUP(B206,Cigsch,3,FALSE())/1000,VLOOKUP(B206,Cigsch,3,FALSE())/1000*-1)*POLLHOURSFLOWED</f>
        <v>0</v>
      </c>
      <c r="P206" s="206" t="n">
        <f aca="false">N206-O206</f>
        <v>0</v>
      </c>
      <c r="Q206" s="79" t="n">
        <f aca="false">Q205+N206</f>
        <v>-0.561259363682277</v>
      </c>
      <c r="R206" s="201" t="n">
        <f aca="false">R205+O206</f>
        <v>0.0425666666666866</v>
      </c>
      <c r="S206" s="207" t="n">
        <f aca="false">I206-N206</f>
        <v>0.247723589409722</v>
      </c>
      <c r="T206" s="205" t="n">
        <f aca="false">IF(LEFT(B206,1)="1",VLOOKUP(B206,Cigsch,2,FALSE())/1000,VLOOKUP(B206,Cigsch,2,FALSE())/1000*-1)*POLLHOURSFLOWED</f>
        <v>0.27934375</v>
      </c>
      <c r="U206" s="206" t="n">
        <f aca="false">S206-T206</f>
        <v>-0.0316201605902778</v>
      </c>
      <c r="V206" s="203" t="n">
        <f aca="false">V205+S206</f>
        <v>2.43012611887069</v>
      </c>
      <c r="W206" s="79" t="n">
        <f aca="false">W205+T206</f>
        <v>5.93450277777791</v>
      </c>
      <c r="X206" s="208" t="n">
        <f aca="false">S206-Y206</f>
        <v>0.247723589409722</v>
      </c>
      <c r="Y206" s="209" t="n">
        <f aca="false">IF(F206="OBA",I206-J206,0)</f>
        <v>0</v>
      </c>
      <c r="AB206" s="194"/>
      <c r="AC206" s="194"/>
    </row>
    <row r="207" customFormat="false" ht="12.75" hidden="false" customHeight="false" outlineLevel="0" collapsed="false">
      <c r="A207" s="253" t="n">
        <v>820</v>
      </c>
      <c r="B207" s="179" t="n">
        <v>16359</v>
      </c>
      <c r="C207" s="178"/>
      <c r="D207" s="179" t="s">
        <v>306</v>
      </c>
      <c r="E207" s="179" t="s">
        <v>116</v>
      </c>
      <c r="F207" s="180" t="s">
        <v>116</v>
      </c>
      <c r="G207" s="181" t="n">
        <f aca="false">VLOOKUP($B207,BTU,2,FALSE())/1000</f>
        <v>1.025</v>
      </c>
      <c r="H207" s="182" t="str">
        <f aca="false">VLOOKUP($B207,spotdata,3,FALSE())</f>
        <v>UNAV</v>
      </c>
      <c r="I207" s="312" t="n">
        <f aca="false">IF(VLOOKUP($B207,errordata,3,FALSE())="UNAV",J207*POLLHOURSFLOWED,IF(LEFT(B207,1)="1",VLOOKUP($B207,totalvolume,2,FALSE())*G207/1000,VLOOKUP($B207,totalvolume,2,FALSE())*G207/1000*-1))</f>
        <v>0.896523466435185</v>
      </c>
      <c r="J207" s="197" t="n">
        <f aca="false">O207+T207</f>
        <v>1.01095833333333</v>
      </c>
      <c r="K207" s="198" t="n">
        <f aca="false">I207-J207</f>
        <v>-0.114434866898148</v>
      </c>
      <c r="L207" s="199" t="n">
        <f aca="false">L206+I207</f>
        <v>2.76539022162366</v>
      </c>
      <c r="M207" s="200" t="n">
        <f aca="false">M206+J207</f>
        <v>6.98802777777792</v>
      </c>
      <c r="N207" s="199" t="n">
        <f aca="false">IF(F207="CIG",O207,IF(F207="OBA",O207,IF(F207="HPL",I207-T207,IF(ISERR((O207/$J207)*$I207),0,IF(F207="TP",(O207/$J207)*$I207)))))</f>
        <v>0</v>
      </c>
      <c r="O207" s="197" t="n">
        <f aca="false">IF(LEFT(B207,1)="1",VLOOKUP(B207,Cigsch,3,FALSE())/1000,VLOOKUP(B207,Cigsch,3,FALSE())/1000*-1)*POLLHOURSFLOWED</f>
        <v>0</v>
      </c>
      <c r="P207" s="198" t="n">
        <f aca="false">N207-O207</f>
        <v>0</v>
      </c>
      <c r="Q207" s="199" t="n">
        <f aca="false">Q206+N207</f>
        <v>-0.561259363682277</v>
      </c>
      <c r="R207" s="201" t="n">
        <f aca="false">R206+O207</f>
        <v>0.0425666666666866</v>
      </c>
      <c r="S207" s="202" t="n">
        <f aca="false">I207-N207</f>
        <v>0.896523466435185</v>
      </c>
      <c r="T207" s="197" t="n">
        <f aca="false">IF(LEFT(B207,1)="1",VLOOKUP(B207,Cigsch,2,FALSE())/1000,VLOOKUP(B207,Cigsch,2,FALSE())/1000*-1)*POLLHOURSFLOWED</f>
        <v>1.01095833333333</v>
      </c>
      <c r="U207" s="198" t="n">
        <f aca="false">S207-T207</f>
        <v>-0.114434866898148</v>
      </c>
      <c r="V207" s="313" t="n">
        <f aca="false">V206+S207</f>
        <v>3.32664958530588</v>
      </c>
      <c r="W207" s="79" t="n">
        <f aca="false">W206+T207</f>
        <v>6.94546111111124</v>
      </c>
      <c r="X207" s="192" t="n">
        <f aca="false">S207-Y207</f>
        <v>0.896523466435185</v>
      </c>
      <c r="Y207" s="193" t="n">
        <f aca="false">IF(F207="OBA",I207-J207,0)</f>
        <v>0</v>
      </c>
      <c r="AB207" s="194"/>
      <c r="AC207" s="194"/>
    </row>
    <row r="208" customFormat="false" ht="12.75" hidden="false" customHeight="false" outlineLevel="0" collapsed="false">
      <c r="A208" s="256" t="n">
        <v>820</v>
      </c>
      <c r="B208" s="257" t="n">
        <v>16360</v>
      </c>
      <c r="C208" s="258"/>
      <c r="D208" s="257" t="s">
        <v>307</v>
      </c>
      <c r="E208" s="257" t="s">
        <v>116</v>
      </c>
      <c r="F208" s="260" t="s">
        <v>116</v>
      </c>
      <c r="G208" s="261" t="n">
        <f aca="false">VLOOKUP($B208,BTU,2,FALSE())/1000</f>
        <v>1.025</v>
      </c>
      <c r="H208" s="262" t="str">
        <f aca="false">VLOOKUP($B208,spotdata,3,FALSE())</f>
        <v>UNAV</v>
      </c>
      <c r="I208" s="314" t="n">
        <f aca="false">IF(VLOOKUP($B208,errordata,3,FALSE())="UNAV",J208*POLLHOURSFLOWED,IF(LEFT(B208,1)="1",VLOOKUP($B208,totalvolume,2,FALSE())*G208/1000,VLOOKUP($B208,totalvolume,2,FALSE())*G208/1000*-1))</f>
        <v>1.019205625</v>
      </c>
      <c r="J208" s="315" t="n">
        <f aca="false">O208+T208</f>
        <v>1.1493</v>
      </c>
      <c r="K208" s="316" t="n">
        <f aca="false">I208-J208</f>
        <v>-0.130094375</v>
      </c>
      <c r="L208" s="317" t="n">
        <f aca="false">L207+I208</f>
        <v>3.78459584662366</v>
      </c>
      <c r="M208" s="267" t="n">
        <f aca="false">M207+J208</f>
        <v>8.13732777777792</v>
      </c>
      <c r="N208" s="317" t="n">
        <f aca="false">IF(F208="CIG",O208,IF(F208="OBA",O208,IF(F208="HPL",I208-T208,IF(ISERR((O208/$J208)*$I208),0,IF(F208="TP",(O208/$J208)*$I208)))))</f>
        <v>0</v>
      </c>
      <c r="O208" s="315" t="n">
        <f aca="false">IF(LEFT(B208,1)="1",VLOOKUP(B208,Cigsch,3,FALSE())/1000,VLOOKUP(B208,Cigsch,3,FALSE())/1000*-1)*POLLHOURSFLOWED</f>
        <v>0</v>
      </c>
      <c r="P208" s="316" t="n">
        <f aca="false">N208-O208</f>
        <v>0</v>
      </c>
      <c r="Q208" s="317" t="n">
        <f aca="false">Q207+N208</f>
        <v>-0.561259363682277</v>
      </c>
      <c r="R208" s="268" t="n">
        <f aca="false">R207+O208</f>
        <v>0.0425666666666866</v>
      </c>
      <c r="S208" s="318" t="n">
        <f aca="false">I208-N208</f>
        <v>1.019205625</v>
      </c>
      <c r="T208" s="315" t="n">
        <f aca="false">IF(LEFT(B208,1)="1",VLOOKUP(B208,Cigsch,2,FALSE())/1000,VLOOKUP(B208,Cigsch,2,FALSE())/1000*-1)*POLLHOURSFLOWED</f>
        <v>1.1493</v>
      </c>
      <c r="U208" s="316" t="n">
        <f aca="false">S208-T208</f>
        <v>-0.130094375</v>
      </c>
      <c r="V208" s="319" t="n">
        <f aca="false">V207+S208</f>
        <v>4.34585521030588</v>
      </c>
      <c r="W208" s="266" t="n">
        <f aca="false">W207+T208</f>
        <v>8.09476111111124</v>
      </c>
      <c r="X208" s="320" t="n">
        <f aca="false">S208-Y208</f>
        <v>1.019205625</v>
      </c>
      <c r="Y208" s="321" t="n">
        <f aca="false">IF(F208="OBA",I208-J208,0)</f>
        <v>0</v>
      </c>
      <c r="AB208" s="194"/>
      <c r="AC208" s="194"/>
    </row>
    <row r="209" customFormat="false" ht="12.75" hidden="false" customHeight="false" outlineLevel="0" collapsed="false">
      <c r="A209" s="253" t="n">
        <v>820.1</v>
      </c>
      <c r="B209" s="179" t="n">
        <v>16319</v>
      </c>
      <c r="C209" s="178"/>
      <c r="D209" s="179" t="s">
        <v>308</v>
      </c>
      <c r="E209" s="179" t="s">
        <v>116</v>
      </c>
      <c r="F209" s="180" t="s">
        <v>116</v>
      </c>
      <c r="G209" s="181" t="n">
        <f aca="false">VLOOKUP($B209,BTU,2,FALSE())/1000</f>
        <v>1.025</v>
      </c>
      <c r="H209" s="182" t="str">
        <f aca="false">VLOOKUP($B209,spotdata,3,FALSE())</f>
        <v>UNAV</v>
      </c>
      <c r="I209" s="204" t="n">
        <f aca="false">IF(VLOOKUP($B209,errordata,3,FALSE())="UNAV",J209*POLLHOURSFLOWED,IF(LEFT(B209,1)="1",VLOOKUP($B209,totalvolume,2,FALSE())*G209/1000,VLOOKUP($B209,totalvolume,2,FALSE())*G209/1000*-1))</f>
        <v>0.0684188961226852</v>
      </c>
      <c r="J209" s="205" t="n">
        <f aca="false">O209+T209</f>
        <v>0.0771520833333333</v>
      </c>
      <c r="K209" s="206" t="n">
        <f aca="false">I209-J209</f>
        <v>-0.00873318721064816</v>
      </c>
      <c r="L209" s="79" t="n">
        <f aca="false">L208+I209</f>
        <v>3.85301474274635</v>
      </c>
      <c r="M209" s="200" t="n">
        <f aca="false">M208+J209</f>
        <v>8.21447986111125</v>
      </c>
      <c r="N209" s="79" t="n">
        <f aca="false">IF(F209="CIG",O209,IF(F209="OBA",O209,IF(F209="HPL",I209-T209,IF(ISERR((O209/$J209)*$I209),0,IF(F209="TP",(O209/$J209)*$I209)))))</f>
        <v>0</v>
      </c>
      <c r="O209" s="205" t="n">
        <f aca="false">IF(LEFT(B209,1)="1",VLOOKUP(B209,Cigsch,3,FALSE())/1000,VLOOKUP(B209,Cigsch,3,FALSE())/1000*-1)*POLLHOURSFLOWED</f>
        <v>0</v>
      </c>
      <c r="P209" s="206" t="n">
        <f aca="false">N209-O209</f>
        <v>0</v>
      </c>
      <c r="Q209" s="79" t="n">
        <f aca="false">Q208+N209</f>
        <v>-0.561259363682277</v>
      </c>
      <c r="R209" s="201" t="n">
        <f aca="false">R208+O209</f>
        <v>0.0425666666666866</v>
      </c>
      <c r="S209" s="207" t="n">
        <f aca="false">I209-N209</f>
        <v>0.0684188961226852</v>
      </c>
      <c r="T209" s="205" t="n">
        <f aca="false">IF(LEFT(B209,1)="1",VLOOKUP(B209,Cigsch,2,FALSE())/1000,VLOOKUP(B209,Cigsch,2,FALSE())/1000*-1)*POLLHOURSFLOWED</f>
        <v>0.0771520833333333</v>
      </c>
      <c r="U209" s="206" t="n">
        <f aca="false">S209-T209</f>
        <v>-0.00873318721064816</v>
      </c>
      <c r="V209" s="203" t="n">
        <f aca="false">V208+S209</f>
        <v>4.41427410642856</v>
      </c>
      <c r="W209" s="79" t="n">
        <f aca="false">W208+T209</f>
        <v>8.17191319444457</v>
      </c>
      <c r="X209" s="208" t="n">
        <f aca="false">S209-Y209</f>
        <v>0.0684188961226852</v>
      </c>
      <c r="Y209" s="209" t="n">
        <f aca="false">IF(F209="OBA",I209-J209,0)</f>
        <v>0</v>
      </c>
      <c r="AB209" s="194"/>
      <c r="AC209" s="194"/>
    </row>
    <row r="210" customFormat="false" ht="12.75" hidden="false" customHeight="false" outlineLevel="0" collapsed="false">
      <c r="A210" s="253" t="n">
        <v>820.1</v>
      </c>
      <c r="B210" s="214" t="n">
        <v>26167</v>
      </c>
      <c r="C210" s="178"/>
      <c r="D210" s="179" t="s">
        <v>309</v>
      </c>
      <c r="E210" s="179" t="s">
        <v>116</v>
      </c>
      <c r="F210" s="180" t="s">
        <v>142</v>
      </c>
      <c r="G210" s="181" t="n">
        <f aca="false">VLOOKUP($B210,BTU,2,FALSE())/1000</f>
        <v>1.03657898</v>
      </c>
      <c r="H210" s="182" t="str">
        <f aca="false">VLOOKUP($B210,spotdata,3,FALSE())</f>
        <v>    </v>
      </c>
      <c r="I210" s="204" t="n">
        <f aca="false">IF(VLOOKUP($B210,errordata,3,FALSE())="UNAV",J210*POLLHOURSFLOWED,IF(LEFT(B210,1)="1",VLOOKUP($B210,totalvolume,2,FALSE())*G210/1000,VLOOKUP($B210,totalvolume,2,FALSE())*G210/1000*-1))</f>
        <v>-0</v>
      </c>
      <c r="J210" s="205" t="n">
        <f aca="false">O210+T210</f>
        <v>-0</v>
      </c>
      <c r="K210" s="206" t="n">
        <f aca="false">I210-J210</f>
        <v>0</v>
      </c>
      <c r="L210" s="79" t="n">
        <f aca="false">L209+I210</f>
        <v>3.85301474274635</v>
      </c>
      <c r="M210" s="200" t="n">
        <f aca="false">M209+J210</f>
        <v>8.21447986111125</v>
      </c>
      <c r="N210" s="79" t="n">
        <f aca="false">IF(F210="CIG",O210,IF(F210="OBA",O210,IF(F210="HPL",I210-T210,IF(ISERR((O210/$J210)*$I210),0,IF(F210="TP",(O210/$J210)*$I210)))))</f>
        <v>-0</v>
      </c>
      <c r="O210" s="205" t="n">
        <f aca="false">IF(LEFT(B210,1)="1",VLOOKUP(B210,Cigsch,3,FALSE())/1000,VLOOKUP(B210,Cigsch,3,FALSE())/1000*-1)*POLLHOURSFLOWED</f>
        <v>-0</v>
      </c>
      <c r="P210" s="206" t="n">
        <f aca="false">N210-O210</f>
        <v>0</v>
      </c>
      <c r="Q210" s="79" t="n">
        <f aca="false">Q209+N210</f>
        <v>-0.561259363682277</v>
      </c>
      <c r="R210" s="201" t="n">
        <f aca="false">R209+O210</f>
        <v>0.0425666666666866</v>
      </c>
      <c r="S210" s="207" t="n">
        <f aca="false">I210-N210</f>
        <v>0</v>
      </c>
      <c r="T210" s="205" t="n">
        <f aca="false">IF(LEFT(B210,1)="1",VLOOKUP(B210,Cigsch,2,FALSE())/1000,VLOOKUP(B210,Cigsch,2,FALSE())/1000*-1)*POLLHOURSFLOWED</f>
        <v>-0</v>
      </c>
      <c r="U210" s="206" t="n">
        <f aca="false">S210-T210</f>
        <v>0</v>
      </c>
      <c r="V210" s="203" t="n">
        <f aca="false">V209+S210</f>
        <v>4.41427410642856</v>
      </c>
      <c r="W210" s="79" t="n">
        <f aca="false">W209+T210</f>
        <v>8.17191319444457</v>
      </c>
      <c r="X210" s="208" t="n">
        <f aca="false">S210-Y210</f>
        <v>0</v>
      </c>
      <c r="Y210" s="209" t="n">
        <f aca="false">IF(F210="OBA",I210-J210,0)</f>
        <v>0</v>
      </c>
      <c r="AB210" s="194"/>
      <c r="AC210" s="194"/>
    </row>
    <row r="211" customFormat="false" ht="12.75" hidden="false" customHeight="false" outlineLevel="0" collapsed="false">
      <c r="A211" s="253" t="n">
        <v>820.1</v>
      </c>
      <c r="B211" s="214" t="n">
        <v>26169</v>
      </c>
      <c r="C211" s="178"/>
      <c r="D211" s="179" t="s">
        <v>310</v>
      </c>
      <c r="E211" s="179" t="s">
        <v>116</v>
      </c>
      <c r="F211" s="180" t="s">
        <v>142</v>
      </c>
      <c r="G211" s="181" t="n">
        <f aca="false">VLOOKUP($B211,BTU,2,FALSE())/1000</f>
        <v>1.03657898</v>
      </c>
      <c r="H211" s="182" t="str">
        <f aca="false">VLOOKUP($B211,spotdata,3,FALSE())</f>
        <v>    </v>
      </c>
      <c r="I211" s="204" t="n">
        <f aca="false">IF(VLOOKUP($B211,errordata,3,FALSE())="UNAV",J211*POLLHOURSFLOWED,IF(LEFT(B211,1)="1",VLOOKUP($B211,totalvolume,2,FALSE())*G211/1000,VLOOKUP($B211,totalvolume,2,FALSE())*G211/1000*-1))</f>
        <v>-0</v>
      </c>
      <c r="J211" s="205" t="n">
        <f aca="false">O211+T211</f>
        <v>-0</v>
      </c>
      <c r="K211" s="206" t="n">
        <f aca="false">I211-J211</f>
        <v>0</v>
      </c>
      <c r="L211" s="79" t="n">
        <f aca="false">L210+I211</f>
        <v>3.85301474274635</v>
      </c>
      <c r="M211" s="200" t="n">
        <f aca="false">M210+J211</f>
        <v>8.21447986111125</v>
      </c>
      <c r="N211" s="79" t="n">
        <f aca="false">IF(F211="CIG",O211,IF(F211="OBA",O211,IF(F211="HPL",I211-T211,IF(ISERR((O211/$J211)*$I211),0,IF(F211="TP",(O211/$J211)*$I211)))))</f>
        <v>-0</v>
      </c>
      <c r="O211" s="205" t="n">
        <f aca="false">IF(LEFT(B211,1)="1",VLOOKUP(B211,Cigsch,3,FALSE())/1000,VLOOKUP(B211,Cigsch,3,FALSE())/1000*-1)*POLLHOURSFLOWED</f>
        <v>-0</v>
      </c>
      <c r="P211" s="206" t="n">
        <f aca="false">N211-O211</f>
        <v>0</v>
      </c>
      <c r="Q211" s="79" t="n">
        <f aca="false">Q210+N211</f>
        <v>-0.561259363682277</v>
      </c>
      <c r="R211" s="201" t="n">
        <f aca="false">R210+O211</f>
        <v>0.0425666666666866</v>
      </c>
      <c r="S211" s="207" t="n">
        <f aca="false">I211-N211</f>
        <v>0</v>
      </c>
      <c r="T211" s="205" t="n">
        <f aca="false">IF(LEFT(B211,1)="1",VLOOKUP(B211,Cigsch,2,FALSE())/1000,VLOOKUP(B211,Cigsch,2,FALSE())/1000*-1)*POLLHOURSFLOWED</f>
        <v>-0</v>
      </c>
      <c r="U211" s="206" t="n">
        <f aca="false">S211-T211</f>
        <v>0</v>
      </c>
      <c r="V211" s="203" t="n">
        <f aca="false">V210+S211</f>
        <v>4.41427410642856</v>
      </c>
      <c r="W211" s="79" t="n">
        <f aca="false">W210+T211</f>
        <v>8.17191319444457</v>
      </c>
      <c r="X211" s="208" t="n">
        <f aca="false">S211-Y211</f>
        <v>0</v>
      </c>
      <c r="Y211" s="209" t="n">
        <f aca="false">IF(F211="OBA",I211-J211,0)</f>
        <v>0</v>
      </c>
      <c r="AB211" s="194"/>
      <c r="AC211" s="194"/>
    </row>
    <row r="212" customFormat="false" ht="12.75" hidden="false" customHeight="false" outlineLevel="0" collapsed="false">
      <c r="A212" s="253" t="n">
        <v>820.1</v>
      </c>
      <c r="B212" s="179" t="n">
        <v>26178</v>
      </c>
      <c r="C212" s="178"/>
      <c r="D212" s="179" t="s">
        <v>311</v>
      </c>
      <c r="E212" s="179" t="s">
        <v>116</v>
      </c>
      <c r="F212" s="180" t="s">
        <v>116</v>
      </c>
      <c r="G212" s="181" t="n">
        <f aca="false">VLOOKUP($B212,BTU,2,FALSE())/1000</f>
        <v>1.04405615</v>
      </c>
      <c r="H212" s="182" t="str">
        <f aca="false">VLOOKUP($B212,spotdata,3,FALSE())</f>
        <v>UNAV</v>
      </c>
      <c r="I212" s="204" t="n">
        <f aca="false">IF(VLOOKUP($B212,errordata,3,FALSE())="UNAV",J212*POLLHOURSFLOWED,IF(LEFT(B212,1)="1",VLOOKUP($B212,totalvolume,2,FALSE())*G212/1000,VLOOKUP($B212,totalvolume,2,FALSE())*G212/1000*-1))</f>
        <v>-0</v>
      </c>
      <c r="J212" s="205" t="n">
        <f aca="false">O212+T212</f>
        <v>-0</v>
      </c>
      <c r="K212" s="206" t="n">
        <f aca="false">I212-J212</f>
        <v>0</v>
      </c>
      <c r="L212" s="79" t="n">
        <f aca="false">L211+I212</f>
        <v>3.85301474274635</v>
      </c>
      <c r="M212" s="200" t="n">
        <f aca="false">M211+J212</f>
        <v>8.21447986111125</v>
      </c>
      <c r="N212" s="79" t="n">
        <f aca="false">IF(F212="CIG",O212,IF(F212="OBA",O212,IF(F212="HPL",I212-T212,IF(ISERR((O212/$J212)*$I212),0,IF(F212="TP",(O212/$J212)*$I212)))))</f>
        <v>-0</v>
      </c>
      <c r="O212" s="205" t="n">
        <f aca="false">IF(LEFT(B212,1)="1",VLOOKUP(B212,Cigsch,3,FALSE())/1000,VLOOKUP(B212,Cigsch,3,FALSE())/1000*-1)*POLLHOURSFLOWED</f>
        <v>-0</v>
      </c>
      <c r="P212" s="206" t="n">
        <f aca="false">N212-O212</f>
        <v>0</v>
      </c>
      <c r="Q212" s="79" t="n">
        <f aca="false">Q211+N212</f>
        <v>-0.561259363682277</v>
      </c>
      <c r="R212" s="201" t="n">
        <f aca="false">R211+O212</f>
        <v>0.0425666666666866</v>
      </c>
      <c r="S212" s="207" t="n">
        <f aca="false">I212-N212</f>
        <v>0</v>
      </c>
      <c r="T212" s="205" t="n">
        <f aca="false">IF(LEFT(B212,1)="1",VLOOKUP(B212,Cigsch,2,FALSE())/1000,VLOOKUP(B212,Cigsch,2,FALSE())/1000*-1)*POLLHOURSFLOWED</f>
        <v>-0</v>
      </c>
      <c r="U212" s="206" t="n">
        <f aca="false">S212-T212</f>
        <v>0</v>
      </c>
      <c r="V212" s="203" t="n">
        <f aca="false">V211+S212</f>
        <v>4.41427410642856</v>
      </c>
      <c r="W212" s="79" t="n">
        <f aca="false">W211+T212</f>
        <v>8.17191319444457</v>
      </c>
      <c r="X212" s="208" t="n">
        <f aca="false">S212-Y212</f>
        <v>0</v>
      </c>
      <c r="Y212" s="209" t="n">
        <f aca="false">IF(F212="OBA",I212-J212,0)</f>
        <v>0</v>
      </c>
      <c r="AB212" s="194"/>
      <c r="AC212" s="194"/>
    </row>
    <row r="213" customFormat="false" ht="12.75" hidden="false" customHeight="false" outlineLevel="0" collapsed="false">
      <c r="A213" s="253" t="n">
        <v>820.1</v>
      </c>
      <c r="B213" s="214" t="n">
        <v>26157</v>
      </c>
      <c r="C213" s="178"/>
      <c r="D213" s="179" t="s">
        <v>312</v>
      </c>
      <c r="E213" s="179" t="s">
        <v>116</v>
      </c>
      <c r="F213" s="180" t="s">
        <v>116</v>
      </c>
      <c r="G213" s="181" t="n">
        <f aca="false">VLOOKUP($B213,BTU,2,FALSE())/1000</f>
        <v>1.03657898</v>
      </c>
      <c r="H213" s="182" t="str">
        <f aca="false">VLOOKUP($B213,spotdata,3,FALSE())</f>
        <v>    </v>
      </c>
      <c r="I213" s="204" t="n">
        <f aca="false">IF(VLOOKUP($B213,errordata,3,FALSE())="UNAV",J213*POLLHOURSFLOWED,IF(LEFT(B213,1)="1",VLOOKUP($B213,totalvolume,2,FALSE())*G213/1000,VLOOKUP($B213,totalvolume,2,FALSE())*G213/1000*-1))</f>
        <v>-4.44840024437279</v>
      </c>
      <c r="J213" s="205" t="n">
        <f aca="false">O213+T213</f>
        <v>-4.43402777777778</v>
      </c>
      <c r="K213" s="206" t="n">
        <f aca="false">I213-J213</f>
        <v>-0.0143724665950167</v>
      </c>
      <c r="L213" s="79" t="n">
        <f aca="false">L212+I213</f>
        <v>-0.59538550162645</v>
      </c>
      <c r="M213" s="200" t="n">
        <f aca="false">M212+J213</f>
        <v>3.78045208333347</v>
      </c>
      <c r="N213" s="79" t="n">
        <f aca="false">IF(F213="CIG",O213,IF(F213="OBA",O213,IF(F213="HPL",I213-T213,IF(ISERR((O213/$J213)*$I213),0,IF(F213="TP",(O213/$J213)*$I213)))))</f>
        <v>-0</v>
      </c>
      <c r="O213" s="205" t="n">
        <f aca="false">IF(LEFT(B213,1)="1",VLOOKUP(B213,Cigsch,3,FALSE())/1000,VLOOKUP(B213,Cigsch,3,FALSE())/1000*-1)*POLLHOURSFLOWED</f>
        <v>-0</v>
      </c>
      <c r="P213" s="206" t="n">
        <f aca="false">N213-O213</f>
        <v>0</v>
      </c>
      <c r="Q213" s="79" t="n">
        <f aca="false">Q212+N213</f>
        <v>-0.561259363682277</v>
      </c>
      <c r="R213" s="201" t="n">
        <f aca="false">R212+O213</f>
        <v>0.0425666666666866</v>
      </c>
      <c r="S213" s="207" t="n">
        <f aca="false">I213-N213</f>
        <v>-4.44840024437279</v>
      </c>
      <c r="T213" s="205" t="n">
        <f aca="false">IF(LEFT(B213,1)="1",VLOOKUP(B213,Cigsch,2,FALSE())/1000,VLOOKUP(B213,Cigsch,2,FALSE())/1000*-1)*POLLHOURSFLOWED</f>
        <v>-4.43402777777778</v>
      </c>
      <c r="U213" s="206" t="n">
        <f aca="false">S213-T213</f>
        <v>-0.0143724665950167</v>
      </c>
      <c r="V213" s="203" t="n">
        <f aca="false">V212+S213</f>
        <v>-0.0341261379442335</v>
      </c>
      <c r="W213" s="79" t="n">
        <f aca="false">W212+T213</f>
        <v>3.73788541666679</v>
      </c>
      <c r="X213" s="208" t="n">
        <f aca="false">S213-Y213</f>
        <v>-4.44840024437279</v>
      </c>
      <c r="Y213" s="209" t="n">
        <f aca="false">IF(F213="OBA",I213-J213,0)</f>
        <v>0</v>
      </c>
      <c r="AB213" s="194"/>
      <c r="AC213" s="194"/>
    </row>
    <row r="214" customFormat="false" ht="12.75" hidden="false" customHeight="false" outlineLevel="0" collapsed="false">
      <c r="A214" s="253" t="n">
        <v>820.1</v>
      </c>
      <c r="B214" s="179" t="n">
        <v>16330</v>
      </c>
      <c r="C214" s="178"/>
      <c r="D214" s="179" t="s">
        <v>313</v>
      </c>
      <c r="E214" s="179" t="s">
        <v>116</v>
      </c>
      <c r="F214" s="180" t="s">
        <v>116</v>
      </c>
      <c r="G214" s="181" t="n">
        <f aca="false">VLOOKUP($B214,BTU,2,FALSE())/1000</f>
        <v>1.025</v>
      </c>
      <c r="H214" s="182" t="str">
        <f aca="false">VLOOKUP($B214,spotdata,3,FALSE())</f>
        <v>UNAV</v>
      </c>
      <c r="I214" s="204" t="n">
        <f aca="false">IF(VLOOKUP($B214,errordata,3,FALSE())="UNAV",J214*POLLHOURSFLOWED,IF(LEFT(B214,1)="1",VLOOKUP($B214,totalvolume,2,FALSE())*G214/1000,VLOOKUP($B214,totalvolume,2,FALSE())*G214/1000*-1))</f>
        <v>0</v>
      </c>
      <c r="J214" s="205" t="n">
        <f aca="false">O214+T214</f>
        <v>0</v>
      </c>
      <c r="K214" s="206" t="n">
        <f aca="false">I214-J214</f>
        <v>0</v>
      </c>
      <c r="L214" s="79" t="n">
        <f aca="false">L213+I214</f>
        <v>-0.59538550162645</v>
      </c>
      <c r="M214" s="200" t="n">
        <f aca="false">M213+J214</f>
        <v>3.78045208333347</v>
      </c>
      <c r="N214" s="79" t="n">
        <f aca="false">IF(F214="CIG",O214,IF(F214="OBA",O214,IF(F214="HPL",I214-T214,IF(ISERR((O214/$J214)*$I214),0,IF(F214="TP",(O214/$J214)*$I214)))))</f>
        <v>0</v>
      </c>
      <c r="O214" s="205" t="n">
        <f aca="false">IF(LEFT(B214,1)="1",VLOOKUP(B214,Cigsch,3,FALSE())/1000,VLOOKUP(B214,Cigsch,3,FALSE())/1000*-1)*POLLHOURSFLOWED</f>
        <v>0</v>
      </c>
      <c r="P214" s="206" t="n">
        <f aca="false">N214-O214</f>
        <v>0</v>
      </c>
      <c r="Q214" s="79" t="n">
        <f aca="false">Q213+N214</f>
        <v>-0.561259363682277</v>
      </c>
      <c r="R214" s="201" t="n">
        <f aca="false">R213+O214</f>
        <v>0.0425666666666866</v>
      </c>
      <c r="S214" s="207" t="n">
        <f aca="false">I214-N214</f>
        <v>0</v>
      </c>
      <c r="T214" s="205" t="n">
        <f aca="false">IF(LEFT(B214,1)="1",VLOOKUP(B214,Cigsch,2,FALSE())/1000,VLOOKUP(B214,Cigsch,2,FALSE())/1000*-1)*POLLHOURSFLOWED</f>
        <v>0</v>
      </c>
      <c r="U214" s="206" t="n">
        <f aca="false">S214-T214</f>
        <v>0</v>
      </c>
      <c r="V214" s="203" t="n">
        <f aca="false">V213+S214</f>
        <v>-0.0341261379442335</v>
      </c>
      <c r="W214" s="79" t="n">
        <f aca="false">W213+T214</f>
        <v>3.73788541666679</v>
      </c>
      <c r="X214" s="208" t="n">
        <f aca="false">S214-Y214</f>
        <v>0</v>
      </c>
      <c r="Y214" s="209" t="n">
        <f aca="false">IF(F214="OBA",I214-J214,0)</f>
        <v>0</v>
      </c>
      <c r="AB214" s="194"/>
      <c r="AC214" s="194"/>
    </row>
    <row r="215" customFormat="false" ht="12.75" hidden="false" customHeight="false" outlineLevel="0" collapsed="false">
      <c r="A215" s="253" t="n">
        <v>820.1</v>
      </c>
      <c r="B215" s="179" t="n">
        <v>16352</v>
      </c>
      <c r="C215" s="178"/>
      <c r="D215" s="179" t="s">
        <v>314</v>
      </c>
      <c r="E215" s="179" t="s">
        <v>116</v>
      </c>
      <c r="F215" s="180" t="s">
        <v>116</v>
      </c>
      <c r="G215" s="181" t="n">
        <f aca="false">VLOOKUP($B215,BTU,2,FALSE())/1000</f>
        <v>1.136</v>
      </c>
      <c r="H215" s="182" t="str">
        <f aca="false">VLOOKUP($B215,spotdata,3,FALSE())</f>
        <v>    </v>
      </c>
      <c r="I215" s="204" t="n">
        <f aca="false">IF(VLOOKUP($B215,errordata,3,FALSE())="UNAV",J215*POLLHOURSFLOWED,IF(LEFT(B215,1)="1",VLOOKUP($B215,totalvolume,2,FALSE())*G215/1000,VLOOKUP($B215,totalvolume,2,FALSE())*G215/1000*-1))</f>
        <v>0</v>
      </c>
      <c r="J215" s="205" t="n">
        <f aca="false">O215+T215</f>
        <v>0.219927777777778</v>
      </c>
      <c r="K215" s="206" t="n">
        <f aca="false">I215-J215</f>
        <v>-0.219927777777778</v>
      </c>
      <c r="L215" s="79" t="n">
        <f aca="false">L214+I215</f>
        <v>-0.59538550162645</v>
      </c>
      <c r="M215" s="200" t="n">
        <f aca="false">M214+J215</f>
        <v>4.00037986111125</v>
      </c>
      <c r="N215" s="79" t="n">
        <f aca="false">IF(F215="CIG",O215,IF(F215="OBA",O215,IF(F215="HPL",I215-T215,IF(ISERR((O215/$J215)*$I215),0,IF(F215="TP",(O215/$J215)*$I215)))))</f>
        <v>0</v>
      </c>
      <c r="O215" s="205" t="n">
        <f aca="false">IF(LEFT(B215,1)="1",VLOOKUP(B215,Cigsch,3,FALSE())/1000,VLOOKUP(B215,Cigsch,3,FALSE())/1000*-1)*POLLHOURSFLOWED</f>
        <v>0</v>
      </c>
      <c r="P215" s="206" t="n">
        <f aca="false">N215-O215</f>
        <v>0</v>
      </c>
      <c r="Q215" s="79" t="n">
        <f aca="false">Q214+N215</f>
        <v>-0.561259363682277</v>
      </c>
      <c r="R215" s="201" t="n">
        <f aca="false">R214+O215</f>
        <v>0.0425666666666866</v>
      </c>
      <c r="S215" s="207" t="n">
        <f aca="false">I215-N215</f>
        <v>0</v>
      </c>
      <c r="T215" s="205" t="n">
        <f aca="false">IF(LEFT(B215,1)="1",VLOOKUP(B215,Cigsch,2,FALSE())/1000,VLOOKUP(B215,Cigsch,2,FALSE())/1000*-1)*POLLHOURSFLOWED</f>
        <v>0.219927777777778</v>
      </c>
      <c r="U215" s="206" t="n">
        <f aca="false">S215-T215</f>
        <v>-0.219927777777778</v>
      </c>
      <c r="V215" s="203" t="n">
        <f aca="false">V214+S215</f>
        <v>-0.0341261379442335</v>
      </c>
      <c r="W215" s="79" t="n">
        <f aca="false">W214+T215</f>
        <v>3.95781319444457</v>
      </c>
      <c r="X215" s="208" t="n">
        <f aca="false">S215-Y215</f>
        <v>0</v>
      </c>
      <c r="Y215" s="209" t="n">
        <f aca="false">IF(F215="OBA",I215-J215,0)</f>
        <v>0</v>
      </c>
      <c r="AB215" s="194"/>
      <c r="AC215" s="194"/>
    </row>
    <row r="216" customFormat="false" ht="12.75" hidden="false" customHeight="false" outlineLevel="0" collapsed="false">
      <c r="A216" s="253" t="n">
        <v>820.1</v>
      </c>
      <c r="B216" s="179" t="n">
        <v>16312</v>
      </c>
      <c r="C216" s="178"/>
      <c r="D216" s="179" t="s">
        <v>315</v>
      </c>
      <c r="E216" s="179" t="s">
        <v>116</v>
      </c>
      <c r="F216" s="180" t="s">
        <v>116</v>
      </c>
      <c r="G216" s="181" t="n">
        <f aca="false">VLOOKUP($B216,BTU,2,FALSE())/1000</f>
        <v>1.025</v>
      </c>
      <c r="H216" s="182" t="str">
        <f aca="false">VLOOKUP($B216,spotdata,3,FALSE())</f>
        <v>UNAV</v>
      </c>
      <c r="I216" s="204" t="n">
        <f aca="false">IF(VLOOKUP($B216,errordata,3,FALSE())="UNAV",J216*POLLHOURSFLOWED,IF(LEFT(B216,1)="1",VLOOKUP($B216,totalvolume,2,FALSE())*G216/1000,VLOOKUP($B216,totalvolume,2,FALSE())*G216/1000*-1))</f>
        <v>0</v>
      </c>
      <c r="J216" s="205" t="n">
        <f aca="false">O216+T216</f>
        <v>0</v>
      </c>
      <c r="K216" s="206" t="n">
        <f aca="false">I216-J216</f>
        <v>0</v>
      </c>
      <c r="L216" s="79" t="n">
        <f aca="false">L215+I216</f>
        <v>-0.59538550162645</v>
      </c>
      <c r="M216" s="200" t="n">
        <f aca="false">M215+J216</f>
        <v>4.00037986111125</v>
      </c>
      <c r="N216" s="79" t="n">
        <f aca="false">IF(F216="CIG",O216,IF(F216="OBA",O216,IF(F216="HPL",I216-T216,IF(ISERR((O216/$J216)*$I216),0,IF(F216="TP",(O216/$J216)*$I216)))))</f>
        <v>0</v>
      </c>
      <c r="O216" s="205" t="n">
        <f aca="false">IF(LEFT(B216,1)="1",VLOOKUP(B216,Cigsch,3,FALSE())/1000,VLOOKUP(B216,Cigsch,3,FALSE())/1000*-1)*POLLHOURSFLOWED</f>
        <v>0</v>
      </c>
      <c r="P216" s="206" t="n">
        <f aca="false">N216-O216</f>
        <v>0</v>
      </c>
      <c r="Q216" s="79" t="n">
        <f aca="false">Q215+N216</f>
        <v>-0.561259363682277</v>
      </c>
      <c r="R216" s="201" t="n">
        <f aca="false">R215+O216</f>
        <v>0.0425666666666866</v>
      </c>
      <c r="S216" s="207" t="n">
        <f aca="false">I216-N216</f>
        <v>0</v>
      </c>
      <c r="T216" s="205" t="n">
        <f aca="false">IF(LEFT(B216,1)="1",VLOOKUP(B216,Cigsch,2,FALSE())/1000,VLOOKUP(B216,Cigsch,2,FALSE())/1000*-1)*POLLHOURSFLOWED</f>
        <v>0</v>
      </c>
      <c r="U216" s="206" t="n">
        <f aca="false">S216-T216</f>
        <v>0</v>
      </c>
      <c r="V216" s="203" t="n">
        <f aca="false">V215+S216</f>
        <v>-0.0341261379442335</v>
      </c>
      <c r="W216" s="79" t="n">
        <f aca="false">W215+T216</f>
        <v>3.95781319444457</v>
      </c>
      <c r="X216" s="208" t="n">
        <f aca="false">S216-Y216</f>
        <v>0</v>
      </c>
      <c r="Y216" s="209" t="n">
        <f aca="false">IF(F216="OBA",I216-J216,0)</f>
        <v>0</v>
      </c>
      <c r="AB216" s="194"/>
      <c r="AC216" s="194"/>
    </row>
    <row r="217" customFormat="false" ht="12.75" hidden="false" customHeight="false" outlineLevel="0" collapsed="false">
      <c r="A217" s="253" t="n">
        <v>820.1</v>
      </c>
      <c r="B217" s="179" t="n">
        <v>16307</v>
      </c>
      <c r="C217" s="178"/>
      <c r="D217" s="179" t="s">
        <v>316</v>
      </c>
      <c r="E217" s="179" t="s">
        <v>149</v>
      </c>
      <c r="F217" s="180" t="s">
        <v>116</v>
      </c>
      <c r="G217" s="181" t="n">
        <f aca="false">VLOOKUP($B217,BTU,2,FALSE())/1000</f>
        <v>1.025</v>
      </c>
      <c r="H217" s="182" t="str">
        <f aca="false">VLOOKUP($B217,spotdata,3,FALSE())</f>
        <v>UNAV</v>
      </c>
      <c r="I217" s="204" t="n">
        <f aca="false">IF(VLOOKUP($B217,errordata,3,FALSE())="UNAV",J217*POLLHOURSFLOWED,IF(LEFT(B217,1)="1",VLOOKUP($B217,totalvolume,2,FALSE())*G217/1000,VLOOKUP($B217,totalvolume,2,FALSE())*G217/1000*-1))</f>
        <v>0</v>
      </c>
      <c r="J217" s="205" t="n">
        <f aca="false">O217+T217</f>
        <v>0</v>
      </c>
      <c r="K217" s="206" t="n">
        <f aca="false">I217-J217</f>
        <v>0</v>
      </c>
      <c r="L217" s="79" t="n">
        <f aca="false">L216+I217</f>
        <v>-0.59538550162645</v>
      </c>
      <c r="M217" s="200" t="n">
        <f aca="false">M216+J217</f>
        <v>4.00037986111125</v>
      </c>
      <c r="N217" s="79" t="n">
        <f aca="false">IF(F217="CIG",O217,IF(F217="OBA",O217,IF(F217="HPL",I217-T217,IF(ISERR((O217/$J217)*$I217),0,IF(F217="TP",(O217/$J217)*$I217)))))</f>
        <v>0</v>
      </c>
      <c r="O217" s="205" t="n">
        <f aca="false">IF(LEFT(B217,1)="1",VLOOKUP(B217,Cigsch,3,FALSE())/1000,VLOOKUP(B217,Cigsch,3,FALSE())/1000*-1)*POLLHOURSFLOWED</f>
        <v>0</v>
      </c>
      <c r="P217" s="206" t="n">
        <f aca="false">N217-O217</f>
        <v>0</v>
      </c>
      <c r="Q217" s="79" t="n">
        <f aca="false">Q216+N217</f>
        <v>-0.561259363682277</v>
      </c>
      <c r="R217" s="201" t="n">
        <f aca="false">R216+O217</f>
        <v>0.0425666666666866</v>
      </c>
      <c r="S217" s="207" t="n">
        <f aca="false">I217-N217</f>
        <v>0</v>
      </c>
      <c r="T217" s="205" t="n">
        <f aca="false">IF(LEFT(B217,1)="1",VLOOKUP(B217,Cigsch,2,FALSE())/1000,VLOOKUP(B217,Cigsch,2,FALSE())/1000*-1)*POLLHOURSFLOWED</f>
        <v>0</v>
      </c>
      <c r="U217" s="206" t="n">
        <f aca="false">S217-T217</f>
        <v>0</v>
      </c>
      <c r="V217" s="203" t="n">
        <f aca="false">V216+S217</f>
        <v>-0.0341261379442335</v>
      </c>
      <c r="W217" s="79" t="n">
        <f aca="false">W216+T217</f>
        <v>3.95781319444457</v>
      </c>
      <c r="X217" s="208" t="n">
        <f aca="false">S217-Y217</f>
        <v>0</v>
      </c>
      <c r="Y217" s="209" t="n">
        <f aca="false">IF(F217="OBA",I217-J217,0)</f>
        <v>0</v>
      </c>
      <c r="AB217" s="194"/>
      <c r="AC217" s="194"/>
    </row>
    <row r="218" customFormat="false" ht="12.75" hidden="false" customHeight="false" outlineLevel="0" collapsed="false">
      <c r="A218" s="253" t="n">
        <v>820.1</v>
      </c>
      <c r="B218" s="179" t="n">
        <v>26033</v>
      </c>
      <c r="C218" s="178"/>
      <c r="D218" s="179" t="s">
        <v>317</v>
      </c>
      <c r="E218" s="179" t="s">
        <v>116</v>
      </c>
      <c r="F218" s="180" t="s">
        <v>116</v>
      </c>
      <c r="G218" s="181" t="n">
        <f aca="false">VLOOKUP($B218,BTU,2,FALSE())/1000</f>
        <v>1.056</v>
      </c>
      <c r="H218" s="182" t="str">
        <f aca="false">VLOOKUP($B218,spotdata,3,FALSE())</f>
        <v>    </v>
      </c>
      <c r="I218" s="204" t="n">
        <f aca="false">IF(VLOOKUP($B218,errordata,3,FALSE())="UNAV",J218*POLLHOURSFLOWED,IF(LEFT(B218,1)="1",VLOOKUP($B218,totalvolume,2,FALSE())*G218/1000,VLOOKUP($B218,totalvolume,2,FALSE())*G218/1000*-1))</f>
        <v>-11.572837056</v>
      </c>
      <c r="J218" s="205" t="n">
        <f aca="false">O218+T218</f>
        <v>-8.86805555555556</v>
      </c>
      <c r="K218" s="206" t="n">
        <f aca="false">I218-J218</f>
        <v>-2.70478150044445</v>
      </c>
      <c r="L218" s="79" t="n">
        <f aca="false">L217+I218</f>
        <v>-12.1682225576265</v>
      </c>
      <c r="M218" s="200" t="n">
        <f aca="false">M217+J218</f>
        <v>-4.86767569444431</v>
      </c>
      <c r="N218" s="79" t="n">
        <f aca="false">IF(F218="CIG",O218,IF(F218="OBA",O218,IF(F218="HPL",I218-T218,IF(ISERR((O218/$J218)*$I218),0,IF(F218="TP",(O218/$J218)*$I218)))))</f>
        <v>-0</v>
      </c>
      <c r="O218" s="205" t="n">
        <f aca="false">IF(LEFT(B218,1)="1",VLOOKUP(B218,Cigsch,3,FALSE())/1000,VLOOKUP(B218,Cigsch,3,FALSE())/1000*-1)*POLLHOURSFLOWED</f>
        <v>-0</v>
      </c>
      <c r="P218" s="206" t="n">
        <f aca="false">N218-O218</f>
        <v>0</v>
      </c>
      <c r="Q218" s="79" t="n">
        <f aca="false">Q217+N218</f>
        <v>-0.561259363682277</v>
      </c>
      <c r="R218" s="201" t="n">
        <f aca="false">R217+O218</f>
        <v>0.0425666666666866</v>
      </c>
      <c r="S218" s="207" t="n">
        <f aca="false">I218-N218</f>
        <v>-11.572837056</v>
      </c>
      <c r="T218" s="205" t="n">
        <f aca="false">IF(LEFT(B218,1)="1",VLOOKUP(B218,Cigsch,2,FALSE())/1000,VLOOKUP(B218,Cigsch,2,FALSE())/1000*-1)*POLLHOURSFLOWED</f>
        <v>-8.86805555555556</v>
      </c>
      <c r="U218" s="206" t="n">
        <f aca="false">S218-T218</f>
        <v>-2.70478150044445</v>
      </c>
      <c r="V218" s="203" t="n">
        <f aca="false">V217+S218</f>
        <v>-11.6069631939442</v>
      </c>
      <c r="W218" s="79" t="n">
        <f aca="false">W217+T218</f>
        <v>-4.91024236111099</v>
      </c>
      <c r="X218" s="208" t="n">
        <f aca="false">S218-Y218</f>
        <v>-11.572837056</v>
      </c>
      <c r="Y218" s="209" t="n">
        <f aca="false">IF(F218="OBA",I218-J218,0)</f>
        <v>0</v>
      </c>
      <c r="AB218" s="194"/>
      <c r="AC218" s="194"/>
    </row>
    <row r="219" customFormat="false" ht="12.75" hidden="false" customHeight="false" outlineLevel="0" collapsed="false">
      <c r="A219" s="253" t="n">
        <v>820.1</v>
      </c>
      <c r="B219" s="179" t="n">
        <v>16316</v>
      </c>
      <c r="C219" s="178"/>
      <c r="D219" s="179" t="s">
        <v>318</v>
      </c>
      <c r="E219" s="179" t="s">
        <v>116</v>
      </c>
      <c r="F219" s="180" t="s">
        <v>116</v>
      </c>
      <c r="G219" s="181" t="n">
        <f aca="false">VLOOKUP($B219,BTU,2,FALSE())/1000</f>
        <v>1.025</v>
      </c>
      <c r="H219" s="182" t="str">
        <f aca="false">VLOOKUP($B219,spotdata,3,FALSE())</f>
        <v>UNAV</v>
      </c>
      <c r="I219" s="204" t="n">
        <f aca="false">IF(VLOOKUP($B219,errordata,3,FALSE())="UNAV",J219*POLLHOURSFLOWED,IF(LEFT(B219,1)="1",VLOOKUP($B219,totalvolume,2,FALSE())*G219/1000,VLOOKUP($B219,totalvolume,2,FALSE())*G219/1000*-1))</f>
        <v>0.0857202261766975</v>
      </c>
      <c r="J219" s="205" t="n">
        <f aca="false">O219+T219</f>
        <v>0.0966618055555556</v>
      </c>
      <c r="K219" s="206" t="n">
        <f aca="false">I219-J219</f>
        <v>-0.010941579378858</v>
      </c>
      <c r="L219" s="79" t="n">
        <f aca="false">L218+I219</f>
        <v>-12.0825023314498</v>
      </c>
      <c r="M219" s="200" t="n">
        <f aca="false">M218+J219</f>
        <v>-4.77101388888875</v>
      </c>
      <c r="N219" s="79" t="n">
        <f aca="false">IF(F219="CIG",O219,IF(F219="OBA",O219,IF(F219="HPL",I219-T219,IF(ISERR((O219/$J219)*$I219),0,IF(F219="TP",(O219/$J219)*$I219)))))</f>
        <v>0</v>
      </c>
      <c r="O219" s="205" t="n">
        <f aca="false">IF(LEFT(B219,1)="1",VLOOKUP(B219,Cigsch,3,FALSE())/1000,VLOOKUP(B219,Cigsch,3,FALSE())/1000*-1)*POLLHOURSFLOWED</f>
        <v>0</v>
      </c>
      <c r="P219" s="206" t="n">
        <f aca="false">N219-O219</f>
        <v>0</v>
      </c>
      <c r="Q219" s="79" t="n">
        <f aca="false">Q218+N219</f>
        <v>-0.561259363682277</v>
      </c>
      <c r="R219" s="201" t="n">
        <f aca="false">R218+O219</f>
        <v>0.0425666666666866</v>
      </c>
      <c r="S219" s="207" t="n">
        <f aca="false">I219-N219</f>
        <v>0.0857202261766975</v>
      </c>
      <c r="T219" s="205" t="n">
        <f aca="false">IF(LEFT(B219,1)="1",VLOOKUP(B219,Cigsch,2,FALSE())/1000,VLOOKUP(B219,Cigsch,2,FALSE())/1000*-1)*POLLHOURSFLOWED</f>
        <v>0.0966618055555556</v>
      </c>
      <c r="U219" s="206" t="n">
        <f aca="false">S219-T219</f>
        <v>-0.010941579378858</v>
      </c>
      <c r="V219" s="203" t="n">
        <f aca="false">V218+S219</f>
        <v>-11.5212429677675</v>
      </c>
      <c r="W219" s="79" t="n">
        <f aca="false">W218+T219</f>
        <v>-4.81358055555543</v>
      </c>
      <c r="X219" s="208" t="n">
        <f aca="false">S219-Y219</f>
        <v>0.0857202261766975</v>
      </c>
      <c r="Y219" s="209" t="n">
        <f aca="false">IF(F219="OBA",I219-J219,0)</f>
        <v>0</v>
      </c>
      <c r="AB219" s="194"/>
      <c r="AC219" s="194"/>
    </row>
    <row r="220" customFormat="false" ht="12.75" hidden="false" customHeight="false" outlineLevel="0" collapsed="false">
      <c r="A220" s="253" t="n">
        <v>820.1</v>
      </c>
      <c r="B220" s="179" t="n">
        <v>16353</v>
      </c>
      <c r="C220" s="178"/>
      <c r="D220" s="179" t="s">
        <v>319</v>
      </c>
      <c r="E220" s="179" t="s">
        <v>116</v>
      </c>
      <c r="F220" s="180" t="s">
        <v>116</v>
      </c>
      <c r="G220" s="181" t="n">
        <f aca="false">VLOOKUP($B220,BTU,2,FALSE())/1000</f>
        <v>1.025</v>
      </c>
      <c r="H220" s="182" t="str">
        <f aca="false">VLOOKUP($B220,spotdata,3,FALSE())</f>
        <v>UNAV</v>
      </c>
      <c r="I220" s="204" t="n">
        <f aca="false">IF(VLOOKUP($B220,errordata,3,FALSE())="UNAV",J220*POLLHOURSFLOWED,IF(LEFT(B220,1)="1",VLOOKUP($B220,totalvolume,2,FALSE())*G220/1000,VLOOKUP($B220,totalvolume,2,FALSE())*G220/1000*-1))</f>
        <v>0</v>
      </c>
      <c r="J220" s="205" t="n">
        <f aca="false">O220+T220</f>
        <v>0</v>
      </c>
      <c r="K220" s="206" t="n">
        <f aca="false">I220-J220</f>
        <v>0</v>
      </c>
      <c r="L220" s="79" t="n">
        <f aca="false">L219+I220</f>
        <v>-12.0825023314498</v>
      </c>
      <c r="M220" s="200" t="n">
        <f aca="false">M219+J220</f>
        <v>-4.77101388888875</v>
      </c>
      <c r="N220" s="79" t="n">
        <f aca="false">IF(F220="CIG",O220,IF(F220="OBA",O220,IF(F220="HPL",I220-T220,IF(ISERR((O220/$J220)*$I220),0,IF(F220="TP",(O220/$J220)*$I220)))))</f>
        <v>0</v>
      </c>
      <c r="O220" s="205" t="n">
        <f aca="false">IF(LEFT(B220,1)="1",VLOOKUP(B220,Cigsch,3,FALSE())/1000,VLOOKUP(B220,Cigsch,3,FALSE())/1000*-1)*POLLHOURSFLOWED</f>
        <v>0</v>
      </c>
      <c r="P220" s="206" t="n">
        <f aca="false">N220-O220</f>
        <v>0</v>
      </c>
      <c r="Q220" s="79" t="n">
        <f aca="false">Q219+N220</f>
        <v>-0.561259363682277</v>
      </c>
      <c r="R220" s="201" t="n">
        <f aca="false">R219+O220</f>
        <v>0.0425666666666866</v>
      </c>
      <c r="S220" s="207" t="n">
        <f aca="false">I220-N220</f>
        <v>0</v>
      </c>
      <c r="T220" s="205" t="n">
        <f aca="false">IF(LEFT(B220,1)="1",VLOOKUP(B220,Cigsch,2,FALSE())/1000,VLOOKUP(B220,Cigsch,2,FALSE())/1000*-1)*POLLHOURSFLOWED</f>
        <v>0</v>
      </c>
      <c r="U220" s="206" t="n">
        <f aca="false">S220-T220</f>
        <v>0</v>
      </c>
      <c r="V220" s="203" t="n">
        <f aca="false">V219+S220</f>
        <v>-11.5212429677675</v>
      </c>
      <c r="W220" s="79" t="n">
        <f aca="false">W219+T220</f>
        <v>-4.81358055555543</v>
      </c>
      <c r="X220" s="208" t="n">
        <f aca="false">S220-Y220</f>
        <v>0</v>
      </c>
      <c r="Y220" s="209" t="n">
        <f aca="false">IF(F220="OBA",I220-J220,0)</f>
        <v>0</v>
      </c>
      <c r="AB220" s="194"/>
      <c r="AC220" s="194"/>
    </row>
    <row r="221" customFormat="false" ht="12.75" hidden="false" customHeight="false" outlineLevel="0" collapsed="false">
      <c r="A221" s="253" t="n">
        <v>820.1</v>
      </c>
      <c r="B221" s="214" t="n">
        <v>16179</v>
      </c>
      <c r="C221" s="178"/>
      <c r="D221" s="237" t="s">
        <v>320</v>
      </c>
      <c r="E221" s="179" t="s">
        <v>116</v>
      </c>
      <c r="F221" s="180" t="s">
        <v>142</v>
      </c>
      <c r="G221" s="181" t="n">
        <f aca="false">VLOOKUP($B221,BTU,2,FALSE())/1000</f>
        <v>1.03514307</v>
      </c>
      <c r="H221" s="182" t="str">
        <f aca="false">VLOOKUP($B221,spotdata,3,FALSE())</f>
        <v>    </v>
      </c>
      <c r="I221" s="204" t="n">
        <f aca="false">IF(VLOOKUP($B221,errordata,3,FALSE())="UNAV",J221*POLLHOURSFLOWED,IF(LEFT(B221,1)="1",VLOOKUP($B221,totalvolume,2,FALSE())*G221/1000,VLOOKUP($B221,totalvolume,2,FALSE())*G221/1000*-1))</f>
        <v>0</v>
      </c>
      <c r="J221" s="205" t="n">
        <f aca="false">O221+T221</f>
        <v>0</v>
      </c>
      <c r="K221" s="206" t="n">
        <f aca="false">I221-J221</f>
        <v>0</v>
      </c>
      <c r="L221" s="79" t="n">
        <f aca="false">L220+I221</f>
        <v>-12.0825023314498</v>
      </c>
      <c r="M221" s="200" t="n">
        <f aca="false">M220+J221</f>
        <v>-4.77101388888875</v>
      </c>
      <c r="N221" s="79" t="n">
        <f aca="false">IF(F221="CIG",O221,IF(F221="OBA",O221,IF(F221="HPL",I221-T221,IF(ISERR((O221/$J221)*$I221),0,IF(F221="TP",(O221/$J221)*$I221)))))</f>
        <v>0</v>
      </c>
      <c r="O221" s="205" t="n">
        <f aca="false">IF(LEFT(B221,1)="1",VLOOKUP(B221,Cigsch,3,FALSE())/1000,VLOOKUP(B221,Cigsch,3,FALSE())/1000*-1)*POLLHOURSFLOWED</f>
        <v>0</v>
      </c>
      <c r="P221" s="206" t="n">
        <f aca="false">N221-O221</f>
        <v>0</v>
      </c>
      <c r="Q221" s="79" t="n">
        <f aca="false">Q220+N221</f>
        <v>-0.561259363682277</v>
      </c>
      <c r="R221" s="201" t="n">
        <f aca="false">R220+O221</f>
        <v>0.0425666666666866</v>
      </c>
      <c r="S221" s="207" t="n">
        <f aca="false">I221-N221</f>
        <v>0</v>
      </c>
      <c r="T221" s="205" t="n">
        <f aca="false">IF(LEFT(B221,1)="1",VLOOKUP(B221,Cigsch,2,FALSE())/1000,VLOOKUP(B221,Cigsch,2,FALSE())/1000*-1)*POLLHOURSFLOWED</f>
        <v>0</v>
      </c>
      <c r="U221" s="206" t="n">
        <f aca="false">S221-T221</f>
        <v>0</v>
      </c>
      <c r="V221" s="203" t="n">
        <f aca="false">V220+S221</f>
        <v>-11.5212429677675</v>
      </c>
      <c r="W221" s="79" t="n">
        <f aca="false">W220+T221</f>
        <v>-4.81358055555543</v>
      </c>
      <c r="X221" s="208" t="n">
        <f aca="false">S221-Y221</f>
        <v>0</v>
      </c>
      <c r="Y221" s="209" t="n">
        <f aca="false">IF(F221="OBA",I221-J221,0)</f>
        <v>0</v>
      </c>
      <c r="AB221" s="194"/>
      <c r="AC221" s="194"/>
    </row>
    <row r="222" customFormat="false" ht="12.75" hidden="false" customHeight="false" outlineLevel="0" collapsed="false">
      <c r="A222" s="253" t="n">
        <v>820.1</v>
      </c>
      <c r="B222" s="322" t="n">
        <v>26156</v>
      </c>
      <c r="C222" s="210"/>
      <c r="D222" s="323" t="s">
        <v>320</v>
      </c>
      <c r="E222" s="211" t="s">
        <v>116</v>
      </c>
      <c r="F222" s="212" t="s">
        <v>142</v>
      </c>
      <c r="G222" s="213" t="n">
        <f aca="false">VLOOKUP($B222,BTU,2,FALSE())/1000</f>
        <v>1.03514307</v>
      </c>
      <c r="H222" s="182" t="str">
        <f aca="false">VLOOKUP($B222,spotdata,3,FALSE())</f>
        <v>    </v>
      </c>
      <c r="I222" s="204" t="n">
        <f aca="false">IF(VLOOKUP($B222,errordata,3,FALSE())="UNAV",J222*POLLHOURSFLOWED,IF(LEFT(B222,1)="1",VLOOKUP($B222,totalvolume,2,FALSE())*G222/1000,VLOOKUP($B222,totalvolume,2,FALSE())*G222/1000*-1))</f>
        <v>-0</v>
      </c>
      <c r="J222" s="205" t="n">
        <f aca="false">O222+T222</f>
        <v>-0</v>
      </c>
      <c r="K222" s="206" t="n">
        <f aca="false">I222-J222</f>
        <v>0</v>
      </c>
      <c r="L222" s="79" t="n">
        <f aca="false">L221+I222</f>
        <v>-12.0825023314498</v>
      </c>
      <c r="M222" s="200" t="n">
        <f aca="false">M221+J222</f>
        <v>-4.77101388888875</v>
      </c>
      <c r="N222" s="79" t="n">
        <f aca="false">IF(F222="CIG",O222,IF(F222="OBA",O222,IF(F222="HPL",I222-T222,IF(ISERR((O222/$J222)*$I222),0,IF(F222="TP",(O222/$J222)*$I222)))))</f>
        <v>-0</v>
      </c>
      <c r="O222" s="205" t="n">
        <f aca="false">IF(LEFT(B222,1)="1",VLOOKUP(B222,Cigsch,3,FALSE())/1000,VLOOKUP(B222,Cigsch,3,FALSE())/1000*-1)*POLLHOURSFLOWED</f>
        <v>-0</v>
      </c>
      <c r="P222" s="206" t="n">
        <f aca="false">N222-O222</f>
        <v>0</v>
      </c>
      <c r="Q222" s="79" t="n">
        <f aca="false">Q221+N222</f>
        <v>-0.561259363682277</v>
      </c>
      <c r="R222" s="201" t="n">
        <f aca="false">R221+O222</f>
        <v>0.0425666666666866</v>
      </c>
      <c r="S222" s="207" t="n">
        <f aca="false">I222-N222</f>
        <v>0</v>
      </c>
      <c r="T222" s="205" t="n">
        <f aca="false">IF(LEFT(B222,1)="1",VLOOKUP(B222,Cigsch,2,FALSE())/1000,VLOOKUP(B222,Cigsch,2,FALSE())/1000*-1)*POLLHOURSFLOWED</f>
        <v>-0</v>
      </c>
      <c r="U222" s="206" t="n">
        <f aca="false">S222-T222</f>
        <v>0</v>
      </c>
      <c r="V222" s="203" t="n">
        <f aca="false">V221+S222</f>
        <v>-11.5212429677675</v>
      </c>
      <c r="W222" s="79" t="n">
        <f aca="false">W221+T222</f>
        <v>-4.81358055555543</v>
      </c>
      <c r="X222" s="208" t="n">
        <f aca="false">S222-Y222</f>
        <v>0</v>
      </c>
      <c r="Y222" s="209" t="n">
        <f aca="false">IF(F222="OBA",I222-J222,0)</f>
        <v>0</v>
      </c>
      <c r="AB222" s="194"/>
      <c r="AC222" s="194"/>
    </row>
    <row r="223" customFormat="false" ht="13.5" hidden="false" customHeight="false" outlineLevel="0" collapsed="false">
      <c r="A223" s="274" t="n">
        <v>820.1</v>
      </c>
      <c r="B223" s="239" t="n">
        <v>26040</v>
      </c>
      <c r="C223" s="238" t="n">
        <v>1087</v>
      </c>
      <c r="D223" s="239" t="s">
        <v>321</v>
      </c>
      <c r="E223" s="239" t="s">
        <v>116</v>
      </c>
      <c r="F223" s="240" t="s">
        <v>149</v>
      </c>
      <c r="G223" s="241" t="n">
        <f aca="false">VLOOKUP($B223,BTU,2,FALSE())/1000</f>
        <v>1.025</v>
      </c>
      <c r="H223" s="242" t="str">
        <f aca="false">VLOOKUP($B223,spotdata,3,FALSE())</f>
        <v>UNAV</v>
      </c>
      <c r="I223" s="221" t="n">
        <f aca="false">IF(VLOOKUP($B223,errordata,3,FALSE())="UNAV",J223*POLLHOURSFLOWED,IF(LEFT(B223,1)="1",VLOOKUP($B223,totalvolume,2,FALSE())*G223/1000,VLOOKUP($B223,totalvolume,2,FALSE())*G223/1000*-1))</f>
        <v>-0.0377483564814815</v>
      </c>
      <c r="J223" s="222" t="n">
        <f aca="false">O223+T223</f>
        <v>-0.0425666666666667</v>
      </c>
      <c r="K223" s="223" t="n">
        <f aca="false">I223-J223</f>
        <v>0.00481831018518519</v>
      </c>
      <c r="L223" s="224" t="n">
        <f aca="false">L222+I223</f>
        <v>-12.1202506879312</v>
      </c>
      <c r="M223" s="225" t="n">
        <f aca="false">M222+J223</f>
        <v>-4.81358055555542</v>
      </c>
      <c r="N223" s="224" t="n">
        <f aca="false">IF(F223="CIG",O223,IF(F223="OBA",O223,IF(F223="HPL",I223-T223,IF(ISERR((O223/$J223)*$I223),0,IF(F223="TP",(O223/$J223)*$I223)))))</f>
        <v>-0.0377483564814815</v>
      </c>
      <c r="O223" s="222" t="n">
        <f aca="false">IF(LEFT(B223,1)="1",VLOOKUP(B223,Cigsch,3,FALSE())/1000,VLOOKUP(B223,Cigsch,3,FALSE())/1000*-1)*POLLHOURSFLOWED</f>
        <v>-0.0425666666666667</v>
      </c>
      <c r="P223" s="223" t="n">
        <f aca="false">N223-O223</f>
        <v>0.00481831018518519</v>
      </c>
      <c r="Q223" s="224" t="n">
        <f aca="false">Q222+N223</f>
        <v>-0.599007720163758</v>
      </c>
      <c r="R223" s="226" t="n">
        <f aca="false">R222+O223</f>
        <v>1.99770755493489E-014</v>
      </c>
      <c r="S223" s="227" t="n">
        <f aca="false">I223-N223</f>
        <v>0</v>
      </c>
      <c r="T223" s="222" t="n">
        <f aca="false">IF(LEFT(B223,1)="1",VLOOKUP(B223,Cigsch,2,FALSE())/1000,VLOOKUP(B223,Cigsch,2,FALSE())/1000*-1)*POLLHOURSFLOWED</f>
        <v>-0</v>
      </c>
      <c r="U223" s="223" t="n">
        <f aca="false">S223-T223</f>
        <v>0</v>
      </c>
      <c r="V223" s="228" t="n">
        <f aca="false">V222+S223</f>
        <v>-11.5212429677675</v>
      </c>
      <c r="W223" s="224" t="n">
        <f aca="false">W222+T223</f>
        <v>-4.81358055555543</v>
      </c>
      <c r="X223" s="230" t="n">
        <f aca="false">S223-Y223</f>
        <v>0</v>
      </c>
      <c r="Y223" s="231" t="n">
        <f aca="false">IF(F223="OBA",I223-J223,0)</f>
        <v>0</v>
      </c>
      <c r="AB223" s="194"/>
      <c r="AC223" s="194"/>
    </row>
    <row r="224" customFormat="false" ht="12.75" hidden="false" customHeight="true" outlineLevel="0" collapsed="false">
      <c r="A224" s="324"/>
      <c r="B224" s="325"/>
      <c r="C224" s="326"/>
      <c r="D224" s="325"/>
      <c r="E224" s="325"/>
      <c r="F224" s="327"/>
      <c r="G224" s="327"/>
      <c r="H224" s="328"/>
      <c r="I224" s="243" t="n">
        <f aca="false">SUM(I28:I223)</f>
        <v>-12.1202506879314</v>
      </c>
      <c r="J224" s="244" t="n">
        <f aca="false">SUM(J28:J223)</f>
        <v>-4.81358055555554</v>
      </c>
      <c r="K224" s="245" t="n">
        <f aca="false">SUM(K28:K223)</f>
        <v>-7.30667013237582</v>
      </c>
      <c r="L224" s="329" t="n">
        <f aca="false">L223</f>
        <v>-12.1202506879312</v>
      </c>
      <c r="M224" s="330" t="n">
        <f aca="false">M223</f>
        <v>-4.81358055555542</v>
      </c>
      <c r="N224" s="246" t="n">
        <f aca="false">SUM(N28:N223)</f>
        <v>-0.599007720163725</v>
      </c>
      <c r="O224" s="244" t="n">
        <f aca="false">SUM(O28:O223)</f>
        <v>1.97758476261356E-015</v>
      </c>
      <c r="P224" s="245" t="n">
        <f aca="false">SUM(P28:P223)</f>
        <v>-0.599007720163727</v>
      </c>
      <c r="Q224" s="246" t="n">
        <f aca="false">Q223</f>
        <v>-0.599007720163758</v>
      </c>
      <c r="R224" s="248" t="n">
        <f aca="false">R223</f>
        <v>1.99770755493489E-014</v>
      </c>
      <c r="S224" s="331" t="n">
        <f aca="false">SUM(S28:S223)</f>
        <v>-11.5212429677676</v>
      </c>
      <c r="T224" s="244" t="n">
        <f aca="false">SUM(T28:T223)</f>
        <v>-4.81358055555554</v>
      </c>
      <c r="U224" s="245" t="n">
        <f aca="false">SUM(U28:U223)</f>
        <v>-6.7076624122121</v>
      </c>
      <c r="V224" s="250" t="n">
        <f aca="false">V223</f>
        <v>-11.5212429677675</v>
      </c>
      <c r="W224" s="246" t="n">
        <f aca="false">W223</f>
        <v>-4.81358055555543</v>
      </c>
      <c r="X224" s="230" t="n">
        <f aca="false">SUM(X28:X223)</f>
        <v>8.14967578474283</v>
      </c>
      <c r="Y224" s="231" t="n">
        <f aca="false">SUM(Y28:Y223)</f>
        <v>-19.6709187525105</v>
      </c>
      <c r="AB224" s="194"/>
      <c r="AC224" s="194"/>
    </row>
    <row r="225" customFormat="false" ht="12" hidden="false" customHeight="true" outlineLevel="0" collapsed="false">
      <c r="A225" s="332"/>
      <c r="B225" s="333"/>
      <c r="C225" s="334"/>
      <c r="D225" s="335"/>
      <c r="E225" s="333"/>
      <c r="F225" s="336"/>
      <c r="G225" s="336"/>
      <c r="H225" s="337" t="s">
        <v>322</v>
      </c>
      <c r="I225" s="338" t="n">
        <f aca="false">DSUM(meterdataAS,I4,critttlrec)-I179</f>
        <v>713.854459879737</v>
      </c>
      <c r="J225" s="339" t="n">
        <f aca="false">DSUM(meterdataAS,J4,critttlrec)-J179</f>
        <v>715.368305555556</v>
      </c>
      <c r="K225" s="340" t="n">
        <f aca="false">I225-J225</f>
        <v>-1.51384567581897</v>
      </c>
      <c r="L225" s="341"/>
      <c r="M225" s="341"/>
      <c r="N225" s="342" t="n">
        <f aca="false">DSUM(meterdataAS,N4,critttlrec)-N179</f>
        <v>321.278594052744</v>
      </c>
      <c r="O225" s="339" t="n">
        <f aca="false">DSUM(meterdataAS,O4,critttlrec)-O179</f>
        <v>318.693086111111</v>
      </c>
      <c r="P225" s="343" t="n">
        <f aca="false">N225-O225</f>
        <v>2.58550794163324</v>
      </c>
      <c r="Q225" s="341"/>
      <c r="R225" s="344"/>
      <c r="S225" s="342" t="n">
        <f aca="false">DSUM(meterdataAS,S4,critttlrec)-S179</f>
        <v>392.575865826992</v>
      </c>
      <c r="T225" s="339" t="n">
        <f aca="false">DSUM(meterdataAS,T4,critttlrec)-T179</f>
        <v>396.675219444444</v>
      </c>
      <c r="U225" s="343" t="n">
        <f aca="false">S225-T225</f>
        <v>-4.09935361745227</v>
      </c>
      <c r="V225" s="341"/>
      <c r="W225" s="341"/>
      <c r="X225" s="345" t="n">
        <f aca="false">DSUM(meterdataAS,X4,critttlrec)-X179</f>
        <v>403.576981792494</v>
      </c>
      <c r="Y225" s="346" t="n">
        <f aca="false">DSUM(meterdataAS,Y4,critttlrec)-Y179</f>
        <v>-11.0011159655021</v>
      </c>
      <c r="Z225" s="347"/>
      <c r="AA225" s="347"/>
      <c r="AB225" s="348"/>
      <c r="AC225" s="348"/>
      <c r="AD225" s="347"/>
      <c r="AE225" s="347"/>
      <c r="AF225" s="347"/>
      <c r="AG225" s="347"/>
      <c r="AH225" s="347"/>
      <c r="AI225" s="347"/>
      <c r="AJ225" s="347"/>
      <c r="AK225" s="347"/>
      <c r="AL225" s="347"/>
      <c r="AM225" s="347"/>
      <c r="AN225" s="347"/>
      <c r="AO225" s="347"/>
      <c r="AP225" s="347"/>
      <c r="AQ225" s="347"/>
      <c r="AR225" s="347"/>
      <c r="AS225" s="347"/>
      <c r="AT225" s="347"/>
      <c r="AU225" s="347"/>
      <c r="AV225" s="347"/>
      <c r="AW225" s="347"/>
      <c r="AX225" s="347"/>
      <c r="AY225" s="347"/>
      <c r="AZ225" s="347"/>
      <c r="BA225" s="347"/>
      <c r="BB225" s="347"/>
      <c r="BC225" s="347"/>
      <c r="BD225" s="347"/>
      <c r="BE225" s="347"/>
      <c r="BF225" s="347"/>
      <c r="BG225" s="347"/>
      <c r="BH225" s="347"/>
      <c r="BI225" s="347"/>
      <c r="BJ225" s="347"/>
      <c r="BK225" s="347"/>
      <c r="BL225" s="347"/>
      <c r="BM225" s="347"/>
      <c r="BN225" s="347"/>
      <c r="BO225" s="347"/>
      <c r="BP225" s="347"/>
      <c r="BQ225" s="347"/>
      <c r="BR225" s="347"/>
      <c r="BS225" s="347"/>
      <c r="BT225" s="347"/>
      <c r="BU225" s="347"/>
      <c r="BV225" s="347"/>
      <c r="BW225" s="347"/>
      <c r="BX225" s="347"/>
      <c r="BY225" s="347"/>
      <c r="BZ225" s="347"/>
      <c r="CA225" s="347"/>
      <c r="CB225" s="347"/>
      <c r="CC225" s="347"/>
      <c r="CD225" s="347"/>
      <c r="CE225" s="347"/>
      <c r="CF225" s="347"/>
      <c r="CG225" s="347"/>
      <c r="CH225" s="347"/>
      <c r="CI225" s="347"/>
      <c r="CJ225" s="347"/>
      <c r="CK225" s="347"/>
      <c r="CL225" s="347"/>
      <c r="CM225" s="347"/>
      <c r="CN225" s="347"/>
      <c r="CO225" s="347"/>
      <c r="CP225" s="347"/>
      <c r="CQ225" s="347"/>
      <c r="CR225" s="347"/>
      <c r="CS225" s="347"/>
      <c r="CT225" s="347"/>
      <c r="CU225" s="347"/>
      <c r="CV225" s="347"/>
      <c r="CW225" s="347"/>
      <c r="CX225" s="347"/>
      <c r="CY225" s="347"/>
      <c r="CZ225" s="347"/>
      <c r="DA225" s="347"/>
      <c r="DB225" s="347"/>
      <c r="DC225" s="347"/>
      <c r="DD225" s="347"/>
      <c r="DE225" s="347"/>
      <c r="DF225" s="347"/>
      <c r="DG225" s="347"/>
      <c r="DH225" s="347"/>
      <c r="DI225" s="347"/>
      <c r="DJ225" s="347"/>
      <c r="DK225" s="347"/>
      <c r="DL225" s="347"/>
      <c r="DM225" s="347"/>
      <c r="DN225" s="347"/>
      <c r="DO225" s="347"/>
      <c r="DP225" s="347"/>
      <c r="DQ225" s="347"/>
      <c r="DR225" s="347"/>
      <c r="DS225" s="347"/>
      <c r="DT225" s="347"/>
      <c r="DU225" s="347"/>
      <c r="DV225" s="347"/>
      <c r="DW225" s="347"/>
      <c r="DX225" s="347"/>
      <c r="DY225" s="347"/>
      <c r="DZ225" s="347"/>
      <c r="EA225" s="347"/>
      <c r="EB225" s="347"/>
      <c r="EC225" s="347"/>
      <c r="ED225" s="347"/>
      <c r="EE225" s="347"/>
      <c r="EF225" s="347"/>
      <c r="EG225" s="347"/>
      <c r="EH225" s="347"/>
      <c r="EI225" s="347"/>
      <c r="EJ225" s="347"/>
      <c r="EK225" s="347"/>
      <c r="EL225" s="347"/>
      <c r="EM225" s="347"/>
      <c r="EN225" s="347"/>
      <c r="EO225" s="347"/>
      <c r="EP225" s="347"/>
      <c r="EQ225" s="347"/>
      <c r="ER225" s="347"/>
      <c r="ES225" s="347"/>
      <c r="ET225" s="347"/>
      <c r="EU225" s="347"/>
      <c r="EV225" s="347"/>
      <c r="EW225" s="347"/>
      <c r="EX225" s="347"/>
      <c r="EY225" s="347"/>
      <c r="EZ225" s="347"/>
      <c r="FA225" s="347"/>
      <c r="FB225" s="347"/>
      <c r="FC225" s="347"/>
      <c r="FD225" s="347"/>
      <c r="FE225" s="347"/>
      <c r="FF225" s="347"/>
      <c r="FG225" s="347"/>
      <c r="FH225" s="347"/>
      <c r="FI225" s="347"/>
      <c r="FJ225" s="347"/>
      <c r="FK225" s="347"/>
      <c r="FL225" s="347"/>
      <c r="FM225" s="347"/>
      <c r="FN225" s="347"/>
      <c r="FO225" s="347"/>
      <c r="FP225" s="347"/>
      <c r="FQ225" s="347"/>
      <c r="FR225" s="347"/>
      <c r="FS225" s="347"/>
      <c r="FT225" s="347"/>
      <c r="FU225" s="347"/>
      <c r="FV225" s="347"/>
      <c r="FW225" s="347"/>
      <c r="FX225" s="347"/>
      <c r="FY225" s="347"/>
      <c r="FZ225" s="347"/>
      <c r="GA225" s="347"/>
      <c r="GB225" s="347"/>
      <c r="GC225" s="347"/>
      <c r="GD225" s="347"/>
      <c r="GE225" s="347"/>
      <c r="GF225" s="347"/>
      <c r="GG225" s="347"/>
      <c r="GH225" s="347"/>
      <c r="GI225" s="347"/>
      <c r="GJ225" s="347"/>
      <c r="GK225" s="347"/>
      <c r="GL225" s="347"/>
      <c r="GM225" s="347"/>
      <c r="GN225" s="347"/>
      <c r="GO225" s="347"/>
      <c r="GP225" s="347"/>
      <c r="GQ225" s="347"/>
      <c r="GR225" s="347"/>
      <c r="GS225" s="347"/>
      <c r="GT225" s="347"/>
      <c r="GU225" s="347"/>
      <c r="GV225" s="347"/>
      <c r="GW225" s="347"/>
      <c r="GX225" s="347"/>
      <c r="GY225" s="347"/>
      <c r="GZ225" s="347"/>
      <c r="HA225" s="347"/>
      <c r="HB225" s="347"/>
      <c r="HC225" s="347"/>
      <c r="HD225" s="347"/>
      <c r="HE225" s="347"/>
      <c r="HF225" s="347"/>
      <c r="HG225" s="347"/>
      <c r="HH225" s="347"/>
      <c r="HI225" s="347"/>
      <c r="HJ225" s="347"/>
      <c r="HK225" s="347"/>
      <c r="HL225" s="347"/>
      <c r="HM225" s="347"/>
      <c r="HN225" s="347"/>
      <c r="HO225" s="347"/>
      <c r="HP225" s="347"/>
      <c r="HQ225" s="347"/>
      <c r="HR225" s="347"/>
      <c r="HS225" s="347"/>
      <c r="HT225" s="347"/>
      <c r="HU225" s="347"/>
      <c r="HV225" s="347"/>
      <c r="HW225" s="347"/>
      <c r="HX225" s="347"/>
      <c r="HY225" s="347"/>
      <c r="HZ225" s="347"/>
      <c r="IA225" s="347"/>
      <c r="IB225" s="347"/>
      <c r="IC225" s="347"/>
      <c r="ID225" s="347"/>
      <c r="IE225" s="347"/>
      <c r="IF225" s="347"/>
      <c r="IG225" s="347"/>
      <c r="IH225" s="347"/>
      <c r="II225" s="347"/>
      <c r="IJ225" s="347"/>
      <c r="IK225" s="347"/>
      <c r="IL225" s="347"/>
      <c r="IM225" s="347"/>
      <c r="IN225" s="347"/>
      <c r="IO225" s="347"/>
      <c r="IP225" s="347"/>
      <c r="IQ225" s="347"/>
      <c r="IR225" s="347"/>
      <c r="IS225" s="347"/>
      <c r="IT225" s="347"/>
      <c r="IU225" s="347"/>
      <c r="IV225" s="347"/>
      <c r="IW225" s="347"/>
    </row>
    <row r="226" customFormat="false" ht="12" hidden="false" customHeight="true" outlineLevel="0" collapsed="false">
      <c r="A226" s="332"/>
      <c r="B226" s="333"/>
      <c r="C226" s="334"/>
      <c r="D226" s="335"/>
      <c r="E226" s="333"/>
      <c r="F226" s="336"/>
      <c r="G226" s="336"/>
      <c r="H226" s="337" t="s">
        <v>323</v>
      </c>
      <c r="I226" s="349" t="n">
        <f aca="false">I179</f>
        <v>0</v>
      </c>
      <c r="J226" s="350" t="n">
        <f aca="false">J179</f>
        <v>0</v>
      </c>
      <c r="K226" s="351" t="n">
        <f aca="false">I226-J226</f>
        <v>0</v>
      </c>
      <c r="L226" s="341"/>
      <c r="M226" s="341"/>
      <c r="N226" s="352" t="n">
        <f aca="false">N179</f>
        <v>0</v>
      </c>
      <c r="O226" s="350" t="n">
        <f aca="false">O179</f>
        <v>0</v>
      </c>
      <c r="P226" s="353" t="n">
        <f aca="false">N226-O226</f>
        <v>0</v>
      </c>
      <c r="Q226" s="341"/>
      <c r="R226" s="344"/>
      <c r="S226" s="352" t="n">
        <f aca="false">S179</f>
        <v>0</v>
      </c>
      <c r="T226" s="350" t="n">
        <f aca="false">T179</f>
        <v>0</v>
      </c>
      <c r="U226" s="353" t="n">
        <f aca="false">S226-T226</f>
        <v>0</v>
      </c>
      <c r="V226" s="341"/>
      <c r="W226" s="341"/>
      <c r="X226" s="354" t="n">
        <f aca="false">X179</f>
        <v>0</v>
      </c>
      <c r="Y226" s="355" t="n">
        <f aca="false">Y179</f>
        <v>0</v>
      </c>
      <c r="Z226" s="347"/>
      <c r="AA226" s="347"/>
      <c r="AB226" s="348"/>
      <c r="AC226" s="348"/>
      <c r="AD226" s="347"/>
      <c r="AE226" s="347"/>
      <c r="AF226" s="347"/>
      <c r="AG226" s="347"/>
      <c r="AH226" s="347"/>
      <c r="AI226" s="347"/>
      <c r="AJ226" s="347"/>
      <c r="AK226" s="347"/>
      <c r="AL226" s="347"/>
      <c r="AM226" s="347"/>
      <c r="AN226" s="347"/>
      <c r="AO226" s="347"/>
      <c r="AP226" s="347"/>
      <c r="AQ226" s="347"/>
      <c r="AR226" s="347"/>
      <c r="AS226" s="347"/>
      <c r="AT226" s="347"/>
      <c r="AU226" s="347"/>
      <c r="AV226" s="347"/>
      <c r="AW226" s="347"/>
      <c r="AX226" s="347"/>
      <c r="AY226" s="347"/>
      <c r="AZ226" s="347"/>
      <c r="BA226" s="347"/>
      <c r="BB226" s="347"/>
      <c r="BC226" s="347"/>
      <c r="BD226" s="347"/>
      <c r="BE226" s="347"/>
      <c r="BF226" s="347"/>
      <c r="BG226" s="347"/>
      <c r="BH226" s="347"/>
      <c r="BI226" s="347"/>
      <c r="BJ226" s="347"/>
      <c r="BK226" s="347"/>
      <c r="BL226" s="347"/>
      <c r="BM226" s="347"/>
      <c r="BN226" s="347"/>
      <c r="BO226" s="347"/>
      <c r="BP226" s="347"/>
      <c r="BQ226" s="347"/>
      <c r="BR226" s="347"/>
      <c r="BS226" s="347"/>
      <c r="BT226" s="347"/>
      <c r="BU226" s="347"/>
      <c r="BV226" s="347"/>
      <c r="BW226" s="347"/>
      <c r="BX226" s="347"/>
      <c r="BY226" s="347"/>
      <c r="BZ226" s="347"/>
      <c r="CA226" s="347"/>
      <c r="CB226" s="347"/>
      <c r="CC226" s="347"/>
      <c r="CD226" s="347"/>
      <c r="CE226" s="347"/>
      <c r="CF226" s="347"/>
      <c r="CG226" s="347"/>
      <c r="CH226" s="347"/>
      <c r="CI226" s="347"/>
      <c r="CJ226" s="347"/>
      <c r="CK226" s="347"/>
      <c r="CL226" s="347"/>
      <c r="CM226" s="347"/>
      <c r="CN226" s="347"/>
      <c r="CO226" s="347"/>
      <c r="CP226" s="347"/>
      <c r="CQ226" s="347"/>
      <c r="CR226" s="347"/>
      <c r="CS226" s="347"/>
      <c r="CT226" s="347"/>
      <c r="CU226" s="347"/>
      <c r="CV226" s="347"/>
      <c r="CW226" s="347"/>
      <c r="CX226" s="347"/>
      <c r="CY226" s="347"/>
      <c r="CZ226" s="347"/>
      <c r="DA226" s="347"/>
      <c r="DB226" s="347"/>
      <c r="DC226" s="347"/>
      <c r="DD226" s="347"/>
      <c r="DE226" s="347"/>
      <c r="DF226" s="347"/>
      <c r="DG226" s="347"/>
      <c r="DH226" s="347"/>
      <c r="DI226" s="347"/>
      <c r="DJ226" s="347"/>
      <c r="DK226" s="347"/>
      <c r="DL226" s="347"/>
      <c r="DM226" s="347"/>
      <c r="DN226" s="347"/>
      <c r="DO226" s="347"/>
      <c r="DP226" s="347"/>
      <c r="DQ226" s="347"/>
      <c r="DR226" s="347"/>
      <c r="DS226" s="347"/>
      <c r="DT226" s="347"/>
      <c r="DU226" s="347"/>
      <c r="DV226" s="347"/>
      <c r="DW226" s="347"/>
      <c r="DX226" s="347"/>
      <c r="DY226" s="347"/>
      <c r="DZ226" s="347"/>
      <c r="EA226" s="347"/>
      <c r="EB226" s="347"/>
      <c r="EC226" s="347"/>
      <c r="ED226" s="347"/>
      <c r="EE226" s="347"/>
      <c r="EF226" s="347"/>
      <c r="EG226" s="347"/>
      <c r="EH226" s="347"/>
      <c r="EI226" s="347"/>
      <c r="EJ226" s="347"/>
      <c r="EK226" s="347"/>
      <c r="EL226" s="347"/>
      <c r="EM226" s="347"/>
      <c r="EN226" s="347"/>
      <c r="EO226" s="347"/>
      <c r="EP226" s="347"/>
      <c r="EQ226" s="347"/>
      <c r="ER226" s="347"/>
      <c r="ES226" s="347"/>
      <c r="ET226" s="347"/>
      <c r="EU226" s="347"/>
      <c r="EV226" s="347"/>
      <c r="EW226" s="347"/>
      <c r="EX226" s="347"/>
      <c r="EY226" s="347"/>
      <c r="EZ226" s="347"/>
      <c r="FA226" s="347"/>
      <c r="FB226" s="347"/>
      <c r="FC226" s="347"/>
      <c r="FD226" s="347"/>
      <c r="FE226" s="347"/>
      <c r="FF226" s="347"/>
      <c r="FG226" s="347"/>
      <c r="FH226" s="347"/>
      <c r="FI226" s="347"/>
      <c r="FJ226" s="347"/>
      <c r="FK226" s="347"/>
      <c r="FL226" s="347"/>
      <c r="FM226" s="347"/>
      <c r="FN226" s="347"/>
      <c r="FO226" s="347"/>
      <c r="FP226" s="347"/>
      <c r="FQ226" s="347"/>
      <c r="FR226" s="347"/>
      <c r="FS226" s="347"/>
      <c r="FT226" s="347"/>
      <c r="FU226" s="347"/>
      <c r="FV226" s="347"/>
      <c r="FW226" s="347"/>
      <c r="FX226" s="347"/>
      <c r="FY226" s="347"/>
      <c r="FZ226" s="347"/>
      <c r="GA226" s="347"/>
      <c r="GB226" s="347"/>
      <c r="GC226" s="347"/>
      <c r="GD226" s="347"/>
      <c r="GE226" s="347"/>
      <c r="GF226" s="347"/>
      <c r="GG226" s="347"/>
      <c r="GH226" s="347"/>
      <c r="GI226" s="347"/>
      <c r="GJ226" s="347"/>
      <c r="GK226" s="347"/>
      <c r="GL226" s="347"/>
      <c r="GM226" s="347"/>
      <c r="GN226" s="347"/>
      <c r="GO226" s="347"/>
      <c r="GP226" s="347"/>
      <c r="GQ226" s="347"/>
      <c r="GR226" s="347"/>
      <c r="GS226" s="347"/>
      <c r="GT226" s="347"/>
      <c r="GU226" s="347"/>
      <c r="GV226" s="347"/>
      <c r="GW226" s="347"/>
      <c r="GX226" s="347"/>
      <c r="GY226" s="347"/>
      <c r="GZ226" s="347"/>
      <c r="HA226" s="347"/>
      <c r="HB226" s="347"/>
      <c r="HC226" s="347"/>
      <c r="HD226" s="347"/>
      <c r="HE226" s="347"/>
      <c r="HF226" s="347"/>
      <c r="HG226" s="347"/>
      <c r="HH226" s="347"/>
      <c r="HI226" s="347"/>
      <c r="HJ226" s="347"/>
      <c r="HK226" s="347"/>
      <c r="HL226" s="347"/>
      <c r="HM226" s="347"/>
      <c r="HN226" s="347"/>
      <c r="HO226" s="347"/>
      <c r="HP226" s="347"/>
      <c r="HQ226" s="347"/>
      <c r="HR226" s="347"/>
      <c r="HS226" s="347"/>
      <c r="HT226" s="347"/>
      <c r="HU226" s="347"/>
      <c r="HV226" s="347"/>
      <c r="HW226" s="347"/>
      <c r="HX226" s="347"/>
      <c r="HY226" s="347"/>
      <c r="HZ226" s="347"/>
      <c r="IA226" s="347"/>
      <c r="IB226" s="347"/>
      <c r="IC226" s="347"/>
      <c r="ID226" s="347"/>
      <c r="IE226" s="347"/>
      <c r="IF226" s="347"/>
      <c r="IG226" s="347"/>
      <c r="IH226" s="347"/>
      <c r="II226" s="347"/>
      <c r="IJ226" s="347"/>
      <c r="IK226" s="347"/>
      <c r="IL226" s="347"/>
      <c r="IM226" s="347"/>
      <c r="IN226" s="347"/>
      <c r="IO226" s="347"/>
      <c r="IP226" s="347"/>
      <c r="IQ226" s="347"/>
      <c r="IR226" s="347"/>
      <c r="IS226" s="347"/>
      <c r="IT226" s="347"/>
      <c r="IU226" s="347"/>
      <c r="IV226" s="347"/>
      <c r="IW226" s="347"/>
    </row>
    <row r="227" customFormat="false" ht="12" hidden="false" customHeight="true" outlineLevel="0" collapsed="false">
      <c r="A227" s="332"/>
      <c r="B227" s="333"/>
      <c r="C227" s="334"/>
      <c r="D227" s="335"/>
      <c r="E227" s="333"/>
      <c r="F227" s="336"/>
      <c r="G227" s="336"/>
      <c r="H227" s="337" t="s">
        <v>324</v>
      </c>
      <c r="I227" s="356" t="n">
        <f aca="false">I225+I226</f>
        <v>713.854459879737</v>
      </c>
      <c r="J227" s="357" t="n">
        <f aca="false">J225+J226</f>
        <v>715.368305555556</v>
      </c>
      <c r="K227" s="358" t="n">
        <f aca="false">I227-J227</f>
        <v>-1.51384567581897</v>
      </c>
      <c r="L227" s="341"/>
      <c r="M227" s="341"/>
      <c r="N227" s="359" t="n">
        <f aca="false">N225+N226</f>
        <v>321.278594052744</v>
      </c>
      <c r="O227" s="357" t="n">
        <f aca="false">O225+O226</f>
        <v>318.693086111111</v>
      </c>
      <c r="P227" s="360" t="n">
        <f aca="false">N227-O227</f>
        <v>2.58550794163324</v>
      </c>
      <c r="Q227" s="341"/>
      <c r="R227" s="344"/>
      <c r="S227" s="359" t="n">
        <f aca="false">S225+S226</f>
        <v>392.575865826992</v>
      </c>
      <c r="T227" s="357" t="n">
        <f aca="false">T225+T226</f>
        <v>396.675219444444</v>
      </c>
      <c r="U227" s="360" t="n">
        <f aca="false">S227-T227</f>
        <v>-4.09935361745227</v>
      </c>
      <c r="V227" s="341"/>
      <c r="W227" s="341"/>
      <c r="X227" s="361" t="n">
        <f aca="false">X225+X226</f>
        <v>403.576981792494</v>
      </c>
      <c r="Y227" s="362" t="n">
        <f aca="false">Y225+Y226</f>
        <v>-11.0011159655021</v>
      </c>
      <c r="Z227" s="347"/>
      <c r="AA227" s="347"/>
      <c r="AB227" s="348"/>
      <c r="AC227" s="348"/>
      <c r="AD227" s="347"/>
      <c r="AE227" s="347"/>
      <c r="AF227" s="347"/>
      <c r="AG227" s="347"/>
      <c r="AH227" s="347"/>
      <c r="AI227" s="347"/>
      <c r="AJ227" s="347"/>
      <c r="AK227" s="347"/>
      <c r="AL227" s="347"/>
      <c r="AM227" s="347"/>
      <c r="AN227" s="347"/>
      <c r="AO227" s="347"/>
      <c r="AP227" s="347"/>
      <c r="AQ227" s="347"/>
      <c r="AR227" s="347"/>
      <c r="AS227" s="347"/>
      <c r="AT227" s="347"/>
      <c r="AU227" s="347"/>
      <c r="AV227" s="347"/>
      <c r="AW227" s="347"/>
      <c r="AX227" s="347"/>
      <c r="AY227" s="347"/>
      <c r="AZ227" s="347"/>
      <c r="BA227" s="347"/>
      <c r="BB227" s="347"/>
      <c r="BC227" s="347"/>
      <c r="BD227" s="347"/>
      <c r="BE227" s="347"/>
      <c r="BF227" s="347"/>
      <c r="BG227" s="347"/>
      <c r="BH227" s="347"/>
      <c r="BI227" s="347"/>
      <c r="BJ227" s="347"/>
      <c r="BK227" s="347"/>
      <c r="BL227" s="347"/>
      <c r="BM227" s="347"/>
      <c r="BN227" s="347"/>
      <c r="BO227" s="347"/>
      <c r="BP227" s="347"/>
      <c r="BQ227" s="347"/>
      <c r="BR227" s="347"/>
      <c r="BS227" s="347"/>
      <c r="BT227" s="347"/>
      <c r="BU227" s="347"/>
      <c r="BV227" s="347"/>
      <c r="BW227" s="347"/>
      <c r="BX227" s="347"/>
      <c r="BY227" s="347"/>
      <c r="BZ227" s="347"/>
      <c r="CA227" s="347"/>
      <c r="CB227" s="347"/>
      <c r="CC227" s="347"/>
      <c r="CD227" s="347"/>
      <c r="CE227" s="347"/>
      <c r="CF227" s="347"/>
      <c r="CG227" s="347"/>
      <c r="CH227" s="347"/>
      <c r="CI227" s="347"/>
      <c r="CJ227" s="347"/>
      <c r="CK227" s="347"/>
      <c r="CL227" s="347"/>
      <c r="CM227" s="347"/>
      <c r="CN227" s="347"/>
      <c r="CO227" s="347"/>
      <c r="CP227" s="347"/>
      <c r="CQ227" s="347"/>
      <c r="CR227" s="347"/>
      <c r="CS227" s="347"/>
      <c r="CT227" s="347"/>
      <c r="CU227" s="347"/>
      <c r="CV227" s="347"/>
      <c r="CW227" s="347"/>
      <c r="CX227" s="347"/>
      <c r="CY227" s="347"/>
      <c r="CZ227" s="347"/>
      <c r="DA227" s="347"/>
      <c r="DB227" s="347"/>
      <c r="DC227" s="347"/>
      <c r="DD227" s="347"/>
      <c r="DE227" s="347"/>
      <c r="DF227" s="347"/>
      <c r="DG227" s="347"/>
      <c r="DH227" s="347"/>
      <c r="DI227" s="347"/>
      <c r="DJ227" s="347"/>
      <c r="DK227" s="347"/>
      <c r="DL227" s="347"/>
      <c r="DM227" s="347"/>
      <c r="DN227" s="347"/>
      <c r="DO227" s="347"/>
      <c r="DP227" s="347"/>
      <c r="DQ227" s="347"/>
      <c r="DR227" s="347"/>
      <c r="DS227" s="347"/>
      <c r="DT227" s="347"/>
      <c r="DU227" s="347"/>
      <c r="DV227" s="347"/>
      <c r="DW227" s="347"/>
      <c r="DX227" s="347"/>
      <c r="DY227" s="347"/>
      <c r="DZ227" s="347"/>
      <c r="EA227" s="347"/>
      <c r="EB227" s="347"/>
      <c r="EC227" s="347"/>
      <c r="ED227" s="347"/>
      <c r="EE227" s="347"/>
      <c r="EF227" s="347"/>
      <c r="EG227" s="347"/>
      <c r="EH227" s="347"/>
      <c r="EI227" s="347"/>
      <c r="EJ227" s="347"/>
      <c r="EK227" s="347"/>
      <c r="EL227" s="347"/>
      <c r="EM227" s="347"/>
      <c r="EN227" s="347"/>
      <c r="EO227" s="347"/>
      <c r="EP227" s="347"/>
      <c r="EQ227" s="347"/>
      <c r="ER227" s="347"/>
      <c r="ES227" s="347"/>
      <c r="ET227" s="347"/>
      <c r="EU227" s="347"/>
      <c r="EV227" s="347"/>
      <c r="EW227" s="347"/>
      <c r="EX227" s="347"/>
      <c r="EY227" s="347"/>
      <c r="EZ227" s="347"/>
      <c r="FA227" s="347"/>
      <c r="FB227" s="347"/>
      <c r="FC227" s="347"/>
      <c r="FD227" s="347"/>
      <c r="FE227" s="347"/>
      <c r="FF227" s="347"/>
      <c r="FG227" s="347"/>
      <c r="FH227" s="347"/>
      <c r="FI227" s="347"/>
      <c r="FJ227" s="347"/>
      <c r="FK227" s="347"/>
      <c r="FL227" s="347"/>
      <c r="FM227" s="347"/>
      <c r="FN227" s="347"/>
      <c r="FO227" s="347"/>
      <c r="FP227" s="347"/>
      <c r="FQ227" s="347"/>
      <c r="FR227" s="347"/>
      <c r="FS227" s="347"/>
      <c r="FT227" s="347"/>
      <c r="FU227" s="347"/>
      <c r="FV227" s="347"/>
      <c r="FW227" s="347"/>
      <c r="FX227" s="347"/>
      <c r="FY227" s="347"/>
      <c r="FZ227" s="347"/>
      <c r="GA227" s="347"/>
      <c r="GB227" s="347"/>
      <c r="GC227" s="347"/>
      <c r="GD227" s="347"/>
      <c r="GE227" s="347"/>
      <c r="GF227" s="347"/>
      <c r="GG227" s="347"/>
      <c r="GH227" s="347"/>
      <c r="GI227" s="347"/>
      <c r="GJ227" s="347"/>
      <c r="GK227" s="347"/>
      <c r="GL227" s="347"/>
      <c r="GM227" s="347"/>
      <c r="GN227" s="347"/>
      <c r="GO227" s="347"/>
      <c r="GP227" s="347"/>
      <c r="GQ227" s="347"/>
      <c r="GR227" s="347"/>
      <c r="GS227" s="347"/>
      <c r="GT227" s="347"/>
      <c r="GU227" s="347"/>
      <c r="GV227" s="347"/>
      <c r="GW227" s="347"/>
      <c r="GX227" s="347"/>
      <c r="GY227" s="347"/>
      <c r="GZ227" s="347"/>
      <c r="HA227" s="347"/>
      <c r="HB227" s="347"/>
      <c r="HC227" s="347"/>
      <c r="HD227" s="347"/>
      <c r="HE227" s="347"/>
      <c r="HF227" s="347"/>
      <c r="HG227" s="347"/>
      <c r="HH227" s="347"/>
      <c r="HI227" s="347"/>
      <c r="HJ227" s="347"/>
      <c r="HK227" s="347"/>
      <c r="HL227" s="347"/>
      <c r="HM227" s="347"/>
      <c r="HN227" s="347"/>
      <c r="HO227" s="347"/>
      <c r="HP227" s="347"/>
      <c r="HQ227" s="347"/>
      <c r="HR227" s="347"/>
      <c r="HS227" s="347"/>
      <c r="HT227" s="347"/>
      <c r="HU227" s="347"/>
      <c r="HV227" s="347"/>
      <c r="HW227" s="347"/>
      <c r="HX227" s="347"/>
      <c r="HY227" s="347"/>
      <c r="HZ227" s="347"/>
      <c r="IA227" s="347"/>
      <c r="IB227" s="347"/>
      <c r="IC227" s="347"/>
      <c r="ID227" s="347"/>
      <c r="IE227" s="347"/>
      <c r="IF227" s="347"/>
      <c r="IG227" s="347"/>
      <c r="IH227" s="347"/>
      <c r="II227" s="347"/>
      <c r="IJ227" s="347"/>
      <c r="IK227" s="347"/>
      <c r="IL227" s="347"/>
      <c r="IM227" s="347"/>
      <c r="IN227" s="347"/>
      <c r="IO227" s="347"/>
      <c r="IP227" s="347"/>
      <c r="IQ227" s="347"/>
      <c r="IR227" s="347"/>
      <c r="IS227" s="347"/>
      <c r="IT227" s="347"/>
      <c r="IU227" s="347"/>
      <c r="IV227" s="347"/>
      <c r="IW227" s="347"/>
    </row>
    <row r="228" customFormat="false" ht="12" hidden="false" customHeight="true" outlineLevel="0" collapsed="false">
      <c r="A228" s="332"/>
      <c r="B228" s="333"/>
      <c r="C228" s="334"/>
      <c r="D228" s="335"/>
      <c r="E228" s="333"/>
      <c r="F228" s="336"/>
      <c r="G228" s="336"/>
      <c r="H228" s="337" t="s">
        <v>325</v>
      </c>
      <c r="I228" s="363" t="n">
        <f aca="false">DSUM(meterdataAS,I4,critttldel)-I180</f>
        <v>-713.580167090193</v>
      </c>
      <c r="J228" s="364" t="n">
        <f aca="false">DSUM(meterdataAS,J4,critttldel)-J180</f>
        <v>-709.540219444445</v>
      </c>
      <c r="K228" s="365" t="n">
        <f aca="false">I228-J228</f>
        <v>-4.0399476457485</v>
      </c>
      <c r="L228" s="341"/>
      <c r="M228" s="341"/>
      <c r="N228" s="366" t="n">
        <f aca="false">DSUM(meterdataAS,N4,critttldel)-N180</f>
        <v>-321.877601772908</v>
      </c>
      <c r="O228" s="364" t="n">
        <f aca="false">DSUM(meterdataAS,O4,critttldel)-O180</f>
        <v>-318.693086111111</v>
      </c>
      <c r="P228" s="367" t="n">
        <f aca="false">N228-O228</f>
        <v>-3.18451566179698</v>
      </c>
      <c r="Q228" s="341"/>
      <c r="R228" s="341"/>
      <c r="S228" s="366" t="n">
        <f aca="false">DSUM(meterdataAS,S4,critttldel)-S180</f>
        <v>-391.702565317285</v>
      </c>
      <c r="T228" s="364" t="n">
        <f aca="false">DSUM(meterdataAS,T4,critttldel)-T180</f>
        <v>-390.847133333333</v>
      </c>
      <c r="U228" s="367" t="n">
        <f aca="false">S228-T228</f>
        <v>-0.855431983951519</v>
      </c>
      <c r="V228" s="341"/>
      <c r="W228" s="341"/>
      <c r="X228" s="345" t="n">
        <f aca="false">DSUM(meterdataAS,X4,critttldel)-X180</f>
        <v>-384.785639341085</v>
      </c>
      <c r="Y228" s="346" t="n">
        <f aca="false">DSUM(meterdataAS,Y4,critttldel)-Y180</f>
        <v>-6.9169259762</v>
      </c>
      <c r="Z228" s="347"/>
      <c r="AA228" s="347"/>
      <c r="AB228" s="348"/>
      <c r="AC228" s="348"/>
      <c r="AD228" s="347"/>
      <c r="AE228" s="347"/>
      <c r="AF228" s="347"/>
      <c r="AG228" s="347"/>
      <c r="AH228" s="347"/>
      <c r="AI228" s="347"/>
      <c r="AJ228" s="347"/>
      <c r="AK228" s="347"/>
      <c r="AL228" s="347"/>
      <c r="AM228" s="347"/>
      <c r="AN228" s="347"/>
      <c r="AO228" s="347"/>
      <c r="AP228" s="347"/>
      <c r="AQ228" s="347"/>
      <c r="AR228" s="347"/>
      <c r="AS228" s="347"/>
      <c r="AT228" s="347"/>
      <c r="AU228" s="347"/>
      <c r="AV228" s="347"/>
      <c r="AW228" s="347"/>
      <c r="AX228" s="347"/>
      <c r="AY228" s="347"/>
      <c r="AZ228" s="347"/>
      <c r="BA228" s="347"/>
      <c r="BB228" s="347"/>
      <c r="BC228" s="347"/>
      <c r="BD228" s="347"/>
      <c r="BE228" s="347"/>
      <c r="BF228" s="347"/>
      <c r="BG228" s="347"/>
      <c r="BH228" s="347"/>
      <c r="BI228" s="347"/>
      <c r="BJ228" s="347"/>
      <c r="BK228" s="347"/>
      <c r="BL228" s="347"/>
      <c r="BM228" s="347"/>
      <c r="BN228" s="347"/>
      <c r="BO228" s="347"/>
      <c r="BP228" s="347"/>
      <c r="BQ228" s="347"/>
      <c r="BR228" s="347"/>
      <c r="BS228" s="347"/>
      <c r="BT228" s="347"/>
      <c r="BU228" s="347"/>
      <c r="BV228" s="347"/>
      <c r="BW228" s="347"/>
      <c r="BX228" s="347"/>
      <c r="BY228" s="347"/>
      <c r="BZ228" s="347"/>
      <c r="CA228" s="347"/>
      <c r="CB228" s="347"/>
      <c r="CC228" s="347"/>
      <c r="CD228" s="347"/>
      <c r="CE228" s="347"/>
      <c r="CF228" s="347"/>
      <c r="CG228" s="347"/>
      <c r="CH228" s="347"/>
      <c r="CI228" s="347"/>
      <c r="CJ228" s="347"/>
      <c r="CK228" s="347"/>
      <c r="CL228" s="347"/>
      <c r="CM228" s="347"/>
      <c r="CN228" s="347"/>
      <c r="CO228" s="347"/>
      <c r="CP228" s="347"/>
      <c r="CQ228" s="347"/>
      <c r="CR228" s="347"/>
      <c r="CS228" s="347"/>
      <c r="CT228" s="347"/>
      <c r="CU228" s="347"/>
      <c r="CV228" s="347"/>
      <c r="CW228" s="347"/>
      <c r="CX228" s="347"/>
      <c r="CY228" s="347"/>
      <c r="CZ228" s="347"/>
      <c r="DA228" s="347"/>
      <c r="DB228" s="347"/>
      <c r="DC228" s="347"/>
      <c r="DD228" s="347"/>
      <c r="DE228" s="347"/>
      <c r="DF228" s="347"/>
      <c r="DG228" s="347"/>
      <c r="DH228" s="347"/>
      <c r="DI228" s="347"/>
      <c r="DJ228" s="347"/>
      <c r="DK228" s="347"/>
      <c r="DL228" s="347"/>
      <c r="DM228" s="347"/>
      <c r="DN228" s="347"/>
      <c r="DO228" s="347"/>
      <c r="DP228" s="347"/>
      <c r="DQ228" s="347"/>
      <c r="DR228" s="347"/>
      <c r="DS228" s="347"/>
      <c r="DT228" s="347"/>
      <c r="DU228" s="347"/>
      <c r="DV228" s="347"/>
      <c r="DW228" s="347"/>
      <c r="DX228" s="347"/>
      <c r="DY228" s="347"/>
      <c r="DZ228" s="347"/>
      <c r="EA228" s="347"/>
      <c r="EB228" s="347"/>
      <c r="EC228" s="347"/>
      <c r="ED228" s="347"/>
      <c r="EE228" s="347"/>
      <c r="EF228" s="347"/>
      <c r="EG228" s="347"/>
      <c r="EH228" s="347"/>
      <c r="EI228" s="347"/>
      <c r="EJ228" s="347"/>
      <c r="EK228" s="347"/>
      <c r="EL228" s="347"/>
      <c r="EM228" s="347"/>
      <c r="EN228" s="347"/>
      <c r="EO228" s="347"/>
      <c r="EP228" s="347"/>
      <c r="EQ228" s="347"/>
      <c r="ER228" s="347"/>
      <c r="ES228" s="347"/>
      <c r="ET228" s="347"/>
      <c r="EU228" s="347"/>
      <c r="EV228" s="347"/>
      <c r="EW228" s="347"/>
      <c r="EX228" s="347"/>
      <c r="EY228" s="347"/>
      <c r="EZ228" s="347"/>
      <c r="FA228" s="347"/>
      <c r="FB228" s="347"/>
      <c r="FC228" s="347"/>
      <c r="FD228" s="347"/>
      <c r="FE228" s="347"/>
      <c r="FF228" s="347"/>
      <c r="FG228" s="347"/>
      <c r="FH228" s="347"/>
      <c r="FI228" s="347"/>
      <c r="FJ228" s="347"/>
      <c r="FK228" s="347"/>
      <c r="FL228" s="347"/>
      <c r="FM228" s="347"/>
      <c r="FN228" s="347"/>
      <c r="FO228" s="347"/>
      <c r="FP228" s="347"/>
      <c r="FQ228" s="347"/>
      <c r="FR228" s="347"/>
      <c r="FS228" s="347"/>
      <c r="FT228" s="347"/>
      <c r="FU228" s="347"/>
      <c r="FV228" s="347"/>
      <c r="FW228" s="347"/>
      <c r="FX228" s="347"/>
      <c r="FY228" s="347"/>
      <c r="FZ228" s="347"/>
      <c r="GA228" s="347"/>
      <c r="GB228" s="347"/>
      <c r="GC228" s="347"/>
      <c r="GD228" s="347"/>
      <c r="GE228" s="347"/>
      <c r="GF228" s="347"/>
      <c r="GG228" s="347"/>
      <c r="GH228" s="347"/>
      <c r="GI228" s="347"/>
      <c r="GJ228" s="347"/>
      <c r="GK228" s="347"/>
      <c r="GL228" s="347"/>
      <c r="GM228" s="347"/>
      <c r="GN228" s="347"/>
      <c r="GO228" s="347"/>
      <c r="GP228" s="347"/>
      <c r="GQ228" s="347"/>
      <c r="GR228" s="347"/>
      <c r="GS228" s="347"/>
      <c r="GT228" s="347"/>
      <c r="GU228" s="347"/>
      <c r="GV228" s="347"/>
      <c r="GW228" s="347"/>
      <c r="GX228" s="347"/>
      <c r="GY228" s="347"/>
      <c r="GZ228" s="347"/>
      <c r="HA228" s="347"/>
      <c r="HB228" s="347"/>
      <c r="HC228" s="347"/>
      <c r="HD228" s="347"/>
      <c r="HE228" s="347"/>
      <c r="HF228" s="347"/>
      <c r="HG228" s="347"/>
      <c r="HH228" s="347"/>
      <c r="HI228" s="347"/>
      <c r="HJ228" s="347"/>
      <c r="HK228" s="347"/>
      <c r="HL228" s="347"/>
      <c r="HM228" s="347"/>
      <c r="HN228" s="347"/>
      <c r="HO228" s="347"/>
      <c r="HP228" s="347"/>
      <c r="HQ228" s="347"/>
      <c r="HR228" s="347"/>
      <c r="HS228" s="347"/>
      <c r="HT228" s="347"/>
      <c r="HU228" s="347"/>
      <c r="HV228" s="347"/>
      <c r="HW228" s="347"/>
      <c r="HX228" s="347"/>
      <c r="HY228" s="347"/>
      <c r="HZ228" s="347"/>
      <c r="IA228" s="347"/>
      <c r="IB228" s="347"/>
      <c r="IC228" s="347"/>
      <c r="ID228" s="347"/>
      <c r="IE228" s="347"/>
      <c r="IF228" s="347"/>
      <c r="IG228" s="347"/>
      <c r="IH228" s="347"/>
      <c r="II228" s="347"/>
      <c r="IJ228" s="347"/>
      <c r="IK228" s="347"/>
      <c r="IL228" s="347"/>
      <c r="IM228" s="347"/>
      <c r="IN228" s="347"/>
      <c r="IO228" s="347"/>
      <c r="IP228" s="347"/>
      <c r="IQ228" s="347"/>
      <c r="IR228" s="347"/>
      <c r="IS228" s="347"/>
      <c r="IT228" s="347"/>
      <c r="IU228" s="347"/>
      <c r="IV228" s="347"/>
      <c r="IW228" s="347"/>
    </row>
    <row r="229" customFormat="false" ht="12" hidden="false" customHeight="true" outlineLevel="0" collapsed="false">
      <c r="A229" s="332"/>
      <c r="B229" s="333"/>
      <c r="C229" s="334"/>
      <c r="D229" s="335"/>
      <c r="E229" s="333"/>
      <c r="F229" s="336"/>
      <c r="G229" s="336"/>
      <c r="H229" s="337" t="s">
        <v>326</v>
      </c>
      <c r="I229" s="363" t="n">
        <f aca="false">I180</f>
        <v>-12.394543477475</v>
      </c>
      <c r="J229" s="364" t="n">
        <f aca="false">J180</f>
        <v>-10.6416666666667</v>
      </c>
      <c r="K229" s="365" t="n">
        <f aca="false">I229-J229</f>
        <v>-1.75287681080833</v>
      </c>
      <c r="L229" s="341"/>
      <c r="M229" s="341"/>
      <c r="N229" s="366" t="n">
        <f aca="false">N180</f>
        <v>-0</v>
      </c>
      <c r="O229" s="364" t="n">
        <f aca="false">O180</f>
        <v>-0</v>
      </c>
      <c r="P229" s="367" t="n">
        <f aca="false">N229-O229</f>
        <v>0</v>
      </c>
      <c r="Q229" s="341"/>
      <c r="R229" s="341"/>
      <c r="S229" s="366" t="n">
        <f aca="false">S180</f>
        <v>-12.394543477475</v>
      </c>
      <c r="T229" s="364" t="n">
        <f aca="false">T180</f>
        <v>-10.6416666666667</v>
      </c>
      <c r="U229" s="367" t="n">
        <f aca="false">S229-T229</f>
        <v>-1.75287681080833</v>
      </c>
      <c r="V229" s="341"/>
      <c r="W229" s="341"/>
      <c r="X229" s="345" t="n">
        <f aca="false">X180</f>
        <v>-10.6416666666667</v>
      </c>
      <c r="Y229" s="346" t="n">
        <f aca="false">Y180</f>
        <v>-1.75287681080833</v>
      </c>
      <c r="Z229" s="347"/>
      <c r="AA229" s="347"/>
      <c r="AB229" s="348"/>
      <c r="AC229" s="348"/>
      <c r="AD229" s="347"/>
      <c r="AE229" s="347"/>
      <c r="AF229" s="347"/>
      <c r="AG229" s="347"/>
      <c r="AH229" s="347"/>
      <c r="AI229" s="347"/>
      <c r="AJ229" s="347"/>
      <c r="AK229" s="347"/>
      <c r="AL229" s="347"/>
      <c r="AM229" s="347"/>
      <c r="AN229" s="347"/>
      <c r="AO229" s="347"/>
      <c r="AP229" s="347"/>
      <c r="AQ229" s="347"/>
      <c r="AR229" s="347"/>
      <c r="AS229" s="347"/>
      <c r="AT229" s="347"/>
      <c r="AU229" s="347"/>
      <c r="AV229" s="347"/>
      <c r="AW229" s="347"/>
      <c r="AX229" s="347"/>
      <c r="AY229" s="347"/>
      <c r="AZ229" s="347"/>
      <c r="BA229" s="347"/>
      <c r="BB229" s="347"/>
      <c r="BC229" s="347"/>
      <c r="BD229" s="347"/>
      <c r="BE229" s="347"/>
      <c r="BF229" s="347"/>
      <c r="BG229" s="347"/>
      <c r="BH229" s="347"/>
      <c r="BI229" s="347"/>
      <c r="BJ229" s="347"/>
      <c r="BK229" s="347"/>
      <c r="BL229" s="347"/>
      <c r="BM229" s="347"/>
      <c r="BN229" s="347"/>
      <c r="BO229" s="347"/>
      <c r="BP229" s="347"/>
      <c r="BQ229" s="347"/>
      <c r="BR229" s="347"/>
      <c r="BS229" s="347"/>
      <c r="BT229" s="347"/>
      <c r="BU229" s="347"/>
      <c r="BV229" s="347"/>
      <c r="BW229" s="347"/>
      <c r="BX229" s="347"/>
      <c r="BY229" s="347"/>
      <c r="BZ229" s="347"/>
      <c r="CA229" s="347"/>
      <c r="CB229" s="347"/>
      <c r="CC229" s="347"/>
      <c r="CD229" s="347"/>
      <c r="CE229" s="347"/>
      <c r="CF229" s="347"/>
      <c r="CG229" s="347"/>
      <c r="CH229" s="347"/>
      <c r="CI229" s="347"/>
      <c r="CJ229" s="347"/>
      <c r="CK229" s="347"/>
      <c r="CL229" s="347"/>
      <c r="CM229" s="347"/>
      <c r="CN229" s="347"/>
      <c r="CO229" s="347"/>
      <c r="CP229" s="347"/>
      <c r="CQ229" s="347"/>
      <c r="CR229" s="347"/>
      <c r="CS229" s="347"/>
      <c r="CT229" s="347"/>
      <c r="CU229" s="347"/>
      <c r="CV229" s="347"/>
      <c r="CW229" s="347"/>
      <c r="CX229" s="347"/>
      <c r="CY229" s="347"/>
      <c r="CZ229" s="347"/>
      <c r="DA229" s="347"/>
      <c r="DB229" s="347"/>
      <c r="DC229" s="347"/>
      <c r="DD229" s="347"/>
      <c r="DE229" s="347"/>
      <c r="DF229" s="347"/>
      <c r="DG229" s="347"/>
      <c r="DH229" s="347"/>
      <c r="DI229" s="347"/>
      <c r="DJ229" s="347"/>
      <c r="DK229" s="347"/>
      <c r="DL229" s="347"/>
      <c r="DM229" s="347"/>
      <c r="DN229" s="347"/>
      <c r="DO229" s="347"/>
      <c r="DP229" s="347"/>
      <c r="DQ229" s="347"/>
      <c r="DR229" s="347"/>
      <c r="DS229" s="347"/>
      <c r="DT229" s="347"/>
      <c r="DU229" s="347"/>
      <c r="DV229" s="347"/>
      <c r="DW229" s="347"/>
      <c r="DX229" s="347"/>
      <c r="DY229" s="347"/>
      <c r="DZ229" s="347"/>
      <c r="EA229" s="347"/>
      <c r="EB229" s="347"/>
      <c r="EC229" s="347"/>
      <c r="ED229" s="347"/>
      <c r="EE229" s="347"/>
      <c r="EF229" s="347"/>
      <c r="EG229" s="347"/>
      <c r="EH229" s="347"/>
      <c r="EI229" s="347"/>
      <c r="EJ229" s="347"/>
      <c r="EK229" s="347"/>
      <c r="EL229" s="347"/>
      <c r="EM229" s="347"/>
      <c r="EN229" s="347"/>
      <c r="EO229" s="347"/>
      <c r="EP229" s="347"/>
      <c r="EQ229" s="347"/>
      <c r="ER229" s="347"/>
      <c r="ES229" s="347"/>
      <c r="ET229" s="347"/>
      <c r="EU229" s="347"/>
      <c r="EV229" s="347"/>
      <c r="EW229" s="347"/>
      <c r="EX229" s="347"/>
      <c r="EY229" s="347"/>
      <c r="EZ229" s="347"/>
      <c r="FA229" s="347"/>
      <c r="FB229" s="347"/>
      <c r="FC229" s="347"/>
      <c r="FD229" s="347"/>
      <c r="FE229" s="347"/>
      <c r="FF229" s="347"/>
      <c r="FG229" s="347"/>
      <c r="FH229" s="347"/>
      <c r="FI229" s="347"/>
      <c r="FJ229" s="347"/>
      <c r="FK229" s="347"/>
      <c r="FL229" s="347"/>
      <c r="FM229" s="347"/>
      <c r="FN229" s="347"/>
      <c r="FO229" s="347"/>
      <c r="FP229" s="347"/>
      <c r="FQ229" s="347"/>
      <c r="FR229" s="347"/>
      <c r="FS229" s="347"/>
      <c r="FT229" s="347"/>
      <c r="FU229" s="347"/>
      <c r="FV229" s="347"/>
      <c r="FW229" s="347"/>
      <c r="FX229" s="347"/>
      <c r="FY229" s="347"/>
      <c r="FZ229" s="347"/>
      <c r="GA229" s="347"/>
      <c r="GB229" s="347"/>
      <c r="GC229" s="347"/>
      <c r="GD229" s="347"/>
      <c r="GE229" s="347"/>
      <c r="GF229" s="347"/>
      <c r="GG229" s="347"/>
      <c r="GH229" s="347"/>
      <c r="GI229" s="347"/>
      <c r="GJ229" s="347"/>
      <c r="GK229" s="347"/>
      <c r="GL229" s="347"/>
      <c r="GM229" s="347"/>
      <c r="GN229" s="347"/>
      <c r="GO229" s="347"/>
      <c r="GP229" s="347"/>
      <c r="GQ229" s="347"/>
      <c r="GR229" s="347"/>
      <c r="GS229" s="347"/>
      <c r="GT229" s="347"/>
      <c r="GU229" s="347"/>
      <c r="GV229" s="347"/>
      <c r="GW229" s="347"/>
      <c r="GX229" s="347"/>
      <c r="GY229" s="347"/>
      <c r="GZ229" s="347"/>
      <c r="HA229" s="347"/>
      <c r="HB229" s="347"/>
      <c r="HC229" s="347"/>
      <c r="HD229" s="347"/>
      <c r="HE229" s="347"/>
      <c r="HF229" s="347"/>
      <c r="HG229" s="347"/>
      <c r="HH229" s="347"/>
      <c r="HI229" s="347"/>
      <c r="HJ229" s="347"/>
      <c r="HK229" s="347"/>
      <c r="HL229" s="347"/>
      <c r="HM229" s="347"/>
      <c r="HN229" s="347"/>
      <c r="HO229" s="347"/>
      <c r="HP229" s="347"/>
      <c r="HQ229" s="347"/>
      <c r="HR229" s="347"/>
      <c r="HS229" s="347"/>
      <c r="HT229" s="347"/>
      <c r="HU229" s="347"/>
      <c r="HV229" s="347"/>
      <c r="HW229" s="347"/>
      <c r="HX229" s="347"/>
      <c r="HY229" s="347"/>
      <c r="HZ229" s="347"/>
      <c r="IA229" s="347"/>
      <c r="IB229" s="347"/>
      <c r="IC229" s="347"/>
      <c r="ID229" s="347"/>
      <c r="IE229" s="347"/>
      <c r="IF229" s="347"/>
      <c r="IG229" s="347"/>
      <c r="IH229" s="347"/>
      <c r="II229" s="347"/>
      <c r="IJ229" s="347"/>
      <c r="IK229" s="347"/>
      <c r="IL229" s="347"/>
      <c r="IM229" s="347"/>
      <c r="IN229" s="347"/>
      <c r="IO229" s="347"/>
      <c r="IP229" s="347"/>
      <c r="IQ229" s="347"/>
      <c r="IR229" s="347"/>
      <c r="IS229" s="347"/>
      <c r="IT229" s="347"/>
      <c r="IU229" s="347"/>
      <c r="IV229" s="347"/>
      <c r="IW229" s="347"/>
    </row>
    <row r="230" customFormat="false" ht="12" hidden="false" customHeight="true" outlineLevel="0" collapsed="false">
      <c r="A230" s="368"/>
      <c r="B230" s="369"/>
      <c r="C230" s="334"/>
      <c r="D230" s="335"/>
      <c r="E230" s="341"/>
      <c r="F230" s="370"/>
      <c r="G230" s="213"/>
      <c r="H230" s="371" t="s">
        <v>327</v>
      </c>
      <c r="I230" s="349" t="n">
        <f aca="false">DSUM(totalvolume,"Value",critfuel)*BTUDefault/-1000</f>
        <v>-0.68834924805</v>
      </c>
      <c r="J230" s="350"/>
      <c r="K230" s="351" t="n">
        <f aca="false">I230-J230</f>
        <v>-0.68834924805</v>
      </c>
      <c r="L230" s="341"/>
      <c r="M230" s="341"/>
      <c r="N230" s="352" t="n">
        <f aca="false">Fuel*uafhpl</f>
        <v>-0.309799673546937</v>
      </c>
      <c r="O230" s="350"/>
      <c r="P230" s="353" t="n">
        <f aca="false">N230-O230</f>
        <v>-0.309799673546937</v>
      </c>
      <c r="Q230" s="341"/>
      <c r="R230" s="341"/>
      <c r="S230" s="352" t="n">
        <f aca="false">Fuel*uafcig</f>
        <v>-0.378549574503062</v>
      </c>
      <c r="T230" s="350"/>
      <c r="U230" s="353" t="n">
        <f aca="false">S230-T230</f>
        <v>-0.378549574503062</v>
      </c>
      <c r="V230" s="341"/>
      <c r="W230" s="372"/>
      <c r="X230" s="373" t="n">
        <f aca="false">Fuel*uafcig</f>
        <v>-0.378549574503062</v>
      </c>
      <c r="Y230" s="374"/>
      <c r="Z230" s="347"/>
      <c r="AA230" s="347"/>
      <c r="AB230" s="348"/>
      <c r="AC230" s="348"/>
      <c r="AD230" s="347"/>
      <c r="AE230" s="347"/>
      <c r="AF230" s="347"/>
      <c r="AG230" s="347"/>
      <c r="AH230" s="347"/>
      <c r="AI230" s="347"/>
      <c r="AJ230" s="347"/>
      <c r="AK230" s="347"/>
      <c r="AL230" s="347"/>
      <c r="AM230" s="347"/>
      <c r="AN230" s="347"/>
      <c r="AO230" s="347"/>
      <c r="AP230" s="347"/>
      <c r="AQ230" s="347"/>
      <c r="AR230" s="347"/>
      <c r="AS230" s="347"/>
      <c r="AT230" s="347"/>
      <c r="AU230" s="347"/>
      <c r="AV230" s="347"/>
      <c r="AW230" s="347"/>
      <c r="AX230" s="347"/>
      <c r="AY230" s="347"/>
      <c r="AZ230" s="347"/>
      <c r="BA230" s="347"/>
      <c r="BB230" s="347"/>
      <c r="BC230" s="347"/>
      <c r="BD230" s="347"/>
      <c r="BE230" s="347"/>
      <c r="BF230" s="347"/>
      <c r="BG230" s="347"/>
      <c r="BH230" s="347"/>
      <c r="BI230" s="347"/>
      <c r="BJ230" s="347"/>
      <c r="BK230" s="347"/>
      <c r="BL230" s="347"/>
      <c r="BM230" s="347"/>
      <c r="BN230" s="347"/>
      <c r="BO230" s="347"/>
      <c r="BP230" s="347"/>
      <c r="BQ230" s="347"/>
      <c r="BR230" s="347"/>
      <c r="BS230" s="347"/>
      <c r="BT230" s="347"/>
      <c r="BU230" s="347"/>
      <c r="BV230" s="347"/>
      <c r="BW230" s="347"/>
      <c r="BX230" s="347"/>
      <c r="BY230" s="347"/>
      <c r="BZ230" s="347"/>
      <c r="CA230" s="347"/>
      <c r="CB230" s="347"/>
      <c r="CC230" s="347"/>
      <c r="CD230" s="347"/>
      <c r="CE230" s="347"/>
      <c r="CF230" s="347"/>
      <c r="CG230" s="347"/>
      <c r="CH230" s="347"/>
      <c r="CI230" s="347"/>
      <c r="CJ230" s="347"/>
      <c r="CK230" s="347"/>
      <c r="CL230" s="347"/>
      <c r="CM230" s="347"/>
      <c r="CN230" s="347"/>
      <c r="CO230" s="347"/>
      <c r="CP230" s="347"/>
      <c r="CQ230" s="347"/>
      <c r="CR230" s="347"/>
      <c r="CS230" s="347"/>
      <c r="CT230" s="347"/>
      <c r="CU230" s="347"/>
      <c r="CV230" s="347"/>
      <c r="CW230" s="347"/>
      <c r="CX230" s="347"/>
      <c r="CY230" s="347"/>
      <c r="CZ230" s="347"/>
      <c r="DA230" s="347"/>
      <c r="DB230" s="347"/>
      <c r="DC230" s="347"/>
      <c r="DD230" s="347"/>
      <c r="DE230" s="347"/>
      <c r="DF230" s="347"/>
      <c r="DG230" s="347"/>
      <c r="DH230" s="347"/>
      <c r="DI230" s="347"/>
      <c r="DJ230" s="347"/>
      <c r="DK230" s="347"/>
      <c r="DL230" s="347"/>
      <c r="DM230" s="347"/>
      <c r="DN230" s="347"/>
      <c r="DO230" s="347"/>
      <c r="DP230" s="347"/>
      <c r="DQ230" s="347"/>
      <c r="DR230" s="347"/>
      <c r="DS230" s="347"/>
      <c r="DT230" s="347"/>
      <c r="DU230" s="347"/>
      <c r="DV230" s="347"/>
      <c r="DW230" s="347"/>
      <c r="DX230" s="347"/>
      <c r="DY230" s="347"/>
      <c r="DZ230" s="347"/>
      <c r="EA230" s="347"/>
      <c r="EB230" s="347"/>
      <c r="EC230" s="347"/>
      <c r="ED230" s="347"/>
      <c r="EE230" s="347"/>
      <c r="EF230" s="347"/>
      <c r="EG230" s="347"/>
      <c r="EH230" s="347"/>
      <c r="EI230" s="347"/>
      <c r="EJ230" s="347"/>
      <c r="EK230" s="347"/>
      <c r="EL230" s="347"/>
      <c r="EM230" s="347"/>
      <c r="EN230" s="347"/>
      <c r="EO230" s="347"/>
      <c r="EP230" s="347"/>
      <c r="EQ230" s="347"/>
      <c r="ER230" s="347"/>
      <c r="ES230" s="347"/>
      <c r="ET230" s="347"/>
      <c r="EU230" s="347"/>
      <c r="EV230" s="347"/>
      <c r="EW230" s="347"/>
      <c r="EX230" s="347"/>
      <c r="EY230" s="347"/>
      <c r="EZ230" s="347"/>
      <c r="FA230" s="347"/>
      <c r="FB230" s="347"/>
      <c r="FC230" s="347"/>
      <c r="FD230" s="347"/>
      <c r="FE230" s="347"/>
      <c r="FF230" s="347"/>
      <c r="FG230" s="347"/>
      <c r="FH230" s="347"/>
      <c r="FI230" s="347"/>
      <c r="FJ230" s="347"/>
      <c r="FK230" s="347"/>
      <c r="FL230" s="347"/>
      <c r="FM230" s="347"/>
      <c r="FN230" s="347"/>
      <c r="FO230" s="347"/>
      <c r="FP230" s="347"/>
      <c r="FQ230" s="347"/>
      <c r="FR230" s="347"/>
      <c r="FS230" s="347"/>
      <c r="FT230" s="347"/>
      <c r="FU230" s="347"/>
      <c r="FV230" s="347"/>
      <c r="FW230" s="347"/>
      <c r="FX230" s="347"/>
      <c r="FY230" s="347"/>
      <c r="FZ230" s="347"/>
      <c r="GA230" s="347"/>
      <c r="GB230" s="347"/>
      <c r="GC230" s="347"/>
      <c r="GD230" s="347"/>
      <c r="GE230" s="347"/>
      <c r="GF230" s="347"/>
      <c r="GG230" s="347"/>
      <c r="GH230" s="347"/>
      <c r="GI230" s="347"/>
      <c r="GJ230" s="347"/>
      <c r="GK230" s="347"/>
      <c r="GL230" s="347"/>
      <c r="GM230" s="347"/>
      <c r="GN230" s="347"/>
      <c r="GO230" s="347"/>
      <c r="GP230" s="347"/>
      <c r="GQ230" s="347"/>
      <c r="GR230" s="347"/>
      <c r="GS230" s="347"/>
      <c r="GT230" s="347"/>
      <c r="GU230" s="347"/>
      <c r="GV230" s="347"/>
      <c r="GW230" s="347"/>
      <c r="GX230" s="347"/>
      <c r="GY230" s="347"/>
      <c r="GZ230" s="347"/>
      <c r="HA230" s="347"/>
      <c r="HB230" s="347"/>
      <c r="HC230" s="347"/>
      <c r="HD230" s="347"/>
      <c r="HE230" s="347"/>
      <c r="HF230" s="347"/>
      <c r="HG230" s="347"/>
      <c r="HH230" s="347"/>
      <c r="HI230" s="347"/>
      <c r="HJ230" s="347"/>
      <c r="HK230" s="347"/>
      <c r="HL230" s="347"/>
      <c r="HM230" s="347"/>
      <c r="HN230" s="347"/>
      <c r="HO230" s="347"/>
      <c r="HP230" s="347"/>
      <c r="HQ230" s="347"/>
      <c r="HR230" s="347"/>
      <c r="HS230" s="347"/>
      <c r="HT230" s="347"/>
      <c r="HU230" s="347"/>
      <c r="HV230" s="347"/>
      <c r="HW230" s="347"/>
      <c r="HX230" s="347"/>
      <c r="HY230" s="347"/>
      <c r="HZ230" s="347"/>
      <c r="IA230" s="347"/>
      <c r="IB230" s="347"/>
      <c r="IC230" s="347"/>
      <c r="ID230" s="347"/>
      <c r="IE230" s="347"/>
      <c r="IF230" s="347"/>
      <c r="IG230" s="347"/>
      <c r="IH230" s="347"/>
      <c r="II230" s="347"/>
      <c r="IJ230" s="347"/>
      <c r="IK230" s="347"/>
      <c r="IL230" s="347"/>
      <c r="IM230" s="347"/>
      <c r="IN230" s="347"/>
      <c r="IO230" s="347"/>
      <c r="IP230" s="347"/>
      <c r="IQ230" s="347"/>
      <c r="IR230" s="347"/>
      <c r="IS230" s="347"/>
      <c r="IT230" s="347"/>
      <c r="IU230" s="347"/>
      <c r="IV230" s="347"/>
      <c r="IW230" s="347"/>
    </row>
    <row r="231" customFormat="false" ht="12" hidden="false" customHeight="true" outlineLevel="0" collapsed="false">
      <c r="A231" s="332"/>
      <c r="B231" s="375"/>
      <c r="C231" s="334"/>
      <c r="D231" s="335"/>
      <c r="E231" s="333"/>
      <c r="F231" s="78"/>
      <c r="G231" s="336"/>
      <c r="H231" s="337" t="s">
        <v>328</v>
      </c>
      <c r="I231" s="376" t="n">
        <f aca="false">I228+I229+I230</f>
        <v>-726.663059815718</v>
      </c>
      <c r="J231" s="377" t="n">
        <f aca="false">J228+J229+J230</f>
        <v>-720.181886111111</v>
      </c>
      <c r="K231" s="378" t="n">
        <f aca="false">I231-J231</f>
        <v>-6.48117370460682</v>
      </c>
      <c r="L231" s="341"/>
      <c r="M231" s="341"/>
      <c r="N231" s="379" t="n">
        <f aca="false">N228+N229+N230</f>
        <v>-322.187401446455</v>
      </c>
      <c r="O231" s="377" t="n">
        <f aca="false">O228+O229+O230</f>
        <v>-318.693086111111</v>
      </c>
      <c r="P231" s="380" t="n">
        <f aca="false">N231-O231</f>
        <v>-3.49431533534391</v>
      </c>
      <c r="Q231" s="341"/>
      <c r="R231" s="341"/>
      <c r="S231" s="379" t="n">
        <f aca="false">S228+S229+S230</f>
        <v>-404.475658369263</v>
      </c>
      <c r="T231" s="377" t="n">
        <f aca="false">T228+T229+T230</f>
        <v>-401.4888</v>
      </c>
      <c r="U231" s="380" t="n">
        <f aca="false">S231-T231</f>
        <v>-2.9868583692629</v>
      </c>
      <c r="V231" s="341"/>
      <c r="W231" s="341"/>
      <c r="X231" s="381" t="n">
        <f aca="false">X228+X229+X230</f>
        <v>-395.805855582255</v>
      </c>
      <c r="Y231" s="382" t="n">
        <f aca="false">Y228+Y229+Y230</f>
        <v>-8.66980278700833</v>
      </c>
      <c r="Z231" s="347"/>
      <c r="AA231" s="347"/>
      <c r="AB231" s="348"/>
      <c r="AC231" s="348"/>
      <c r="AD231" s="347"/>
      <c r="AE231" s="347"/>
      <c r="AF231" s="347"/>
      <c r="AG231" s="347"/>
      <c r="AH231" s="347"/>
      <c r="AI231" s="347"/>
      <c r="AJ231" s="347"/>
      <c r="AK231" s="347"/>
      <c r="AL231" s="347"/>
      <c r="AM231" s="347"/>
      <c r="AN231" s="347"/>
      <c r="AO231" s="347"/>
      <c r="AP231" s="347"/>
      <c r="AQ231" s="347"/>
      <c r="AR231" s="347"/>
      <c r="AS231" s="347"/>
      <c r="AT231" s="347"/>
      <c r="AU231" s="347"/>
      <c r="AV231" s="347"/>
      <c r="AW231" s="347"/>
      <c r="AX231" s="347"/>
      <c r="AY231" s="347"/>
      <c r="AZ231" s="347"/>
      <c r="BA231" s="347"/>
      <c r="BB231" s="347"/>
      <c r="BC231" s="347"/>
      <c r="BD231" s="347"/>
      <c r="BE231" s="347"/>
      <c r="BF231" s="347"/>
      <c r="BG231" s="347"/>
      <c r="BH231" s="347"/>
      <c r="BI231" s="347"/>
      <c r="BJ231" s="347"/>
      <c r="BK231" s="347"/>
      <c r="BL231" s="347"/>
      <c r="BM231" s="347"/>
      <c r="BN231" s="347"/>
      <c r="BO231" s="347"/>
      <c r="BP231" s="347"/>
      <c r="BQ231" s="347"/>
      <c r="BR231" s="347"/>
      <c r="BS231" s="347"/>
      <c r="BT231" s="347"/>
      <c r="BU231" s="347"/>
      <c r="BV231" s="347"/>
      <c r="BW231" s="347"/>
      <c r="BX231" s="347"/>
      <c r="BY231" s="347"/>
      <c r="BZ231" s="347"/>
      <c r="CA231" s="347"/>
      <c r="CB231" s="347"/>
      <c r="CC231" s="347"/>
      <c r="CD231" s="347"/>
      <c r="CE231" s="347"/>
      <c r="CF231" s="347"/>
      <c r="CG231" s="347"/>
      <c r="CH231" s="347"/>
      <c r="CI231" s="347"/>
      <c r="CJ231" s="347"/>
      <c r="CK231" s="347"/>
      <c r="CL231" s="347"/>
      <c r="CM231" s="347"/>
      <c r="CN231" s="347"/>
      <c r="CO231" s="347"/>
      <c r="CP231" s="347"/>
      <c r="CQ231" s="347"/>
      <c r="CR231" s="347"/>
      <c r="CS231" s="347"/>
      <c r="CT231" s="347"/>
      <c r="CU231" s="347"/>
      <c r="CV231" s="347"/>
      <c r="CW231" s="347"/>
      <c r="CX231" s="347"/>
      <c r="CY231" s="347"/>
      <c r="CZ231" s="347"/>
      <c r="DA231" s="347"/>
      <c r="DB231" s="347"/>
      <c r="DC231" s="347"/>
      <c r="DD231" s="347"/>
      <c r="DE231" s="347"/>
      <c r="DF231" s="347"/>
      <c r="DG231" s="347"/>
      <c r="DH231" s="347"/>
      <c r="DI231" s="347"/>
      <c r="DJ231" s="347"/>
      <c r="DK231" s="347"/>
      <c r="DL231" s="347"/>
      <c r="DM231" s="347"/>
      <c r="DN231" s="347"/>
      <c r="DO231" s="347"/>
      <c r="DP231" s="347"/>
      <c r="DQ231" s="347"/>
      <c r="DR231" s="347"/>
      <c r="DS231" s="347"/>
      <c r="DT231" s="347"/>
      <c r="DU231" s="347"/>
      <c r="DV231" s="347"/>
      <c r="DW231" s="347"/>
      <c r="DX231" s="347"/>
      <c r="DY231" s="347"/>
      <c r="DZ231" s="347"/>
      <c r="EA231" s="347"/>
      <c r="EB231" s="347"/>
      <c r="EC231" s="347"/>
      <c r="ED231" s="347"/>
      <c r="EE231" s="347"/>
      <c r="EF231" s="347"/>
      <c r="EG231" s="347"/>
      <c r="EH231" s="347"/>
      <c r="EI231" s="347"/>
      <c r="EJ231" s="347"/>
      <c r="EK231" s="347"/>
      <c r="EL231" s="347"/>
      <c r="EM231" s="347"/>
      <c r="EN231" s="347"/>
      <c r="EO231" s="347"/>
      <c r="EP231" s="347"/>
      <c r="EQ231" s="347"/>
      <c r="ER231" s="347"/>
      <c r="ES231" s="347"/>
      <c r="ET231" s="347"/>
      <c r="EU231" s="347"/>
      <c r="EV231" s="347"/>
      <c r="EW231" s="347"/>
      <c r="EX231" s="347"/>
      <c r="EY231" s="347"/>
      <c r="EZ231" s="347"/>
      <c r="FA231" s="347"/>
      <c r="FB231" s="347"/>
      <c r="FC231" s="347"/>
      <c r="FD231" s="347"/>
      <c r="FE231" s="347"/>
      <c r="FF231" s="347"/>
      <c r="FG231" s="347"/>
      <c r="FH231" s="347"/>
      <c r="FI231" s="347"/>
      <c r="FJ231" s="347"/>
      <c r="FK231" s="347"/>
      <c r="FL231" s="347"/>
      <c r="FM231" s="347"/>
      <c r="FN231" s="347"/>
      <c r="FO231" s="347"/>
      <c r="FP231" s="347"/>
      <c r="FQ231" s="347"/>
      <c r="FR231" s="347"/>
      <c r="FS231" s="347"/>
      <c r="FT231" s="347"/>
      <c r="FU231" s="347"/>
      <c r="FV231" s="347"/>
      <c r="FW231" s="347"/>
      <c r="FX231" s="347"/>
      <c r="FY231" s="347"/>
      <c r="FZ231" s="347"/>
      <c r="GA231" s="347"/>
      <c r="GB231" s="347"/>
      <c r="GC231" s="347"/>
      <c r="GD231" s="347"/>
      <c r="GE231" s="347"/>
      <c r="GF231" s="347"/>
      <c r="GG231" s="347"/>
      <c r="GH231" s="347"/>
      <c r="GI231" s="347"/>
      <c r="GJ231" s="347"/>
      <c r="GK231" s="347"/>
      <c r="GL231" s="347"/>
      <c r="GM231" s="347"/>
      <c r="GN231" s="347"/>
      <c r="GO231" s="347"/>
      <c r="GP231" s="347"/>
      <c r="GQ231" s="347"/>
      <c r="GR231" s="347"/>
      <c r="GS231" s="347"/>
      <c r="GT231" s="347"/>
      <c r="GU231" s="347"/>
      <c r="GV231" s="347"/>
      <c r="GW231" s="347"/>
      <c r="GX231" s="347"/>
      <c r="GY231" s="347"/>
      <c r="GZ231" s="347"/>
      <c r="HA231" s="347"/>
      <c r="HB231" s="347"/>
      <c r="HC231" s="347"/>
      <c r="HD231" s="347"/>
      <c r="HE231" s="347"/>
      <c r="HF231" s="347"/>
      <c r="HG231" s="347"/>
      <c r="HH231" s="347"/>
      <c r="HI231" s="347"/>
      <c r="HJ231" s="347"/>
      <c r="HK231" s="347"/>
      <c r="HL231" s="347"/>
      <c r="HM231" s="347"/>
      <c r="HN231" s="347"/>
      <c r="HO231" s="347"/>
      <c r="HP231" s="347"/>
      <c r="HQ231" s="347"/>
      <c r="HR231" s="347"/>
      <c r="HS231" s="347"/>
      <c r="HT231" s="347"/>
      <c r="HU231" s="347"/>
      <c r="HV231" s="347"/>
      <c r="HW231" s="347"/>
      <c r="HX231" s="347"/>
      <c r="HY231" s="347"/>
      <c r="HZ231" s="347"/>
      <c r="IA231" s="347"/>
      <c r="IB231" s="347"/>
      <c r="IC231" s="347"/>
      <c r="ID231" s="347"/>
      <c r="IE231" s="347"/>
      <c r="IF231" s="347"/>
      <c r="IG231" s="347"/>
      <c r="IH231" s="347"/>
      <c r="II231" s="347"/>
      <c r="IJ231" s="347"/>
      <c r="IK231" s="347"/>
      <c r="IL231" s="347"/>
      <c r="IM231" s="347"/>
      <c r="IN231" s="347"/>
      <c r="IO231" s="347"/>
      <c r="IP231" s="347"/>
      <c r="IQ231" s="347"/>
      <c r="IR231" s="347"/>
      <c r="IS231" s="347"/>
      <c r="IT231" s="347"/>
      <c r="IU231" s="347"/>
      <c r="IV231" s="347"/>
      <c r="IW231" s="347"/>
    </row>
    <row r="232" customFormat="false" ht="12" hidden="false" customHeight="true" outlineLevel="0" collapsed="false">
      <c r="A232" s="332"/>
      <c r="B232" s="375"/>
      <c r="C232" s="334"/>
      <c r="D232" s="337"/>
      <c r="E232" s="333"/>
      <c r="F232" s="336"/>
      <c r="G232" s="336"/>
      <c r="H232" s="337" t="s">
        <v>329</v>
      </c>
      <c r="I232" s="383" t="n">
        <f aca="false">I227+I231</f>
        <v>-12.8085999359814</v>
      </c>
      <c r="J232" s="384" t="n">
        <f aca="false">J227+J231</f>
        <v>-4.81358055555563</v>
      </c>
      <c r="K232" s="385" t="n">
        <f aca="false">I232-J232</f>
        <v>-7.99501938042579</v>
      </c>
      <c r="L232" s="341"/>
      <c r="M232" s="341"/>
      <c r="N232" s="386" t="n">
        <f aca="false">N227+N231</f>
        <v>-0.908807393710674</v>
      </c>
      <c r="O232" s="387" t="n">
        <f aca="false">O227+O231</f>
        <v>0</v>
      </c>
      <c r="P232" s="388" t="n">
        <f aca="false">N232-O232</f>
        <v>-0.908807393710674</v>
      </c>
      <c r="Q232" s="341"/>
      <c r="R232" s="341"/>
      <c r="S232" s="386" t="n">
        <f aca="false">S227+S231</f>
        <v>-11.8997925422707</v>
      </c>
      <c r="T232" s="387" t="n">
        <f aca="false">T227+T231</f>
        <v>-4.81358055555552</v>
      </c>
      <c r="U232" s="388" t="n">
        <f aca="false">S232-T232</f>
        <v>-7.08621198671517</v>
      </c>
      <c r="V232" s="341"/>
      <c r="W232" s="341"/>
      <c r="X232" s="354" t="n">
        <f aca="false">X227+X231</f>
        <v>7.7711262102398</v>
      </c>
      <c r="Y232" s="355" t="n">
        <f aca="false">Y227+Y231</f>
        <v>-19.6709187525105</v>
      </c>
      <c r="Z232" s="347"/>
      <c r="AA232" s="347"/>
      <c r="AB232" s="348"/>
      <c r="AC232" s="348"/>
      <c r="AD232" s="347"/>
      <c r="AE232" s="347"/>
      <c r="AF232" s="347"/>
      <c r="AG232" s="347"/>
      <c r="AH232" s="347"/>
      <c r="AI232" s="347"/>
      <c r="AJ232" s="347"/>
      <c r="AK232" s="347"/>
      <c r="AL232" s="347"/>
      <c r="AM232" s="347"/>
      <c r="AN232" s="347"/>
      <c r="AO232" s="347"/>
      <c r="AP232" s="347"/>
      <c r="AQ232" s="347"/>
      <c r="AR232" s="347"/>
      <c r="AS232" s="347"/>
      <c r="AT232" s="347"/>
      <c r="AU232" s="347"/>
      <c r="AV232" s="347"/>
      <c r="AW232" s="347"/>
      <c r="AX232" s="347"/>
      <c r="AY232" s="347"/>
      <c r="AZ232" s="347"/>
      <c r="BA232" s="347"/>
      <c r="BB232" s="347"/>
      <c r="BC232" s="347"/>
      <c r="BD232" s="347"/>
      <c r="BE232" s="347"/>
      <c r="BF232" s="347"/>
      <c r="BG232" s="347"/>
      <c r="BH232" s="347"/>
      <c r="BI232" s="347"/>
      <c r="BJ232" s="347"/>
      <c r="BK232" s="347"/>
      <c r="BL232" s="347"/>
      <c r="BM232" s="347"/>
      <c r="BN232" s="347"/>
      <c r="BO232" s="347"/>
      <c r="BP232" s="347"/>
      <c r="BQ232" s="347"/>
      <c r="BR232" s="347"/>
      <c r="BS232" s="347"/>
      <c r="BT232" s="347"/>
      <c r="BU232" s="347"/>
      <c r="BV232" s="347"/>
      <c r="BW232" s="347"/>
      <c r="BX232" s="347"/>
      <c r="BY232" s="347"/>
      <c r="BZ232" s="347"/>
      <c r="CA232" s="347"/>
      <c r="CB232" s="347"/>
      <c r="CC232" s="347"/>
      <c r="CD232" s="347"/>
      <c r="CE232" s="347"/>
      <c r="CF232" s="347"/>
      <c r="CG232" s="347"/>
      <c r="CH232" s="347"/>
      <c r="CI232" s="347"/>
      <c r="CJ232" s="347"/>
      <c r="CK232" s="347"/>
      <c r="CL232" s="347"/>
      <c r="CM232" s="347"/>
      <c r="CN232" s="347"/>
      <c r="CO232" s="347"/>
      <c r="CP232" s="347"/>
      <c r="CQ232" s="347"/>
      <c r="CR232" s="347"/>
      <c r="CS232" s="347"/>
      <c r="CT232" s="347"/>
      <c r="CU232" s="347"/>
      <c r="CV232" s="347"/>
      <c r="CW232" s="347"/>
      <c r="CX232" s="347"/>
      <c r="CY232" s="347"/>
      <c r="CZ232" s="347"/>
      <c r="DA232" s="347"/>
      <c r="DB232" s="347"/>
      <c r="DC232" s="347"/>
      <c r="DD232" s="347"/>
      <c r="DE232" s="347"/>
      <c r="DF232" s="347"/>
      <c r="DG232" s="347"/>
      <c r="DH232" s="347"/>
      <c r="DI232" s="347"/>
      <c r="DJ232" s="347"/>
      <c r="DK232" s="347"/>
      <c r="DL232" s="347"/>
      <c r="DM232" s="347"/>
      <c r="DN232" s="347"/>
      <c r="DO232" s="347"/>
      <c r="DP232" s="347"/>
      <c r="DQ232" s="347"/>
      <c r="DR232" s="347"/>
      <c r="DS232" s="347"/>
      <c r="DT232" s="347"/>
      <c r="DU232" s="347"/>
      <c r="DV232" s="347"/>
      <c r="DW232" s="347"/>
      <c r="DX232" s="347"/>
      <c r="DY232" s="347"/>
      <c r="DZ232" s="347"/>
      <c r="EA232" s="347"/>
      <c r="EB232" s="347"/>
      <c r="EC232" s="347"/>
      <c r="ED232" s="347"/>
      <c r="EE232" s="347"/>
      <c r="EF232" s="347"/>
      <c r="EG232" s="347"/>
      <c r="EH232" s="347"/>
      <c r="EI232" s="347"/>
      <c r="EJ232" s="347"/>
      <c r="EK232" s="347"/>
      <c r="EL232" s="347"/>
      <c r="EM232" s="347"/>
      <c r="EN232" s="347"/>
      <c r="EO232" s="347"/>
      <c r="EP232" s="347"/>
      <c r="EQ232" s="347"/>
      <c r="ER232" s="347"/>
      <c r="ES232" s="347"/>
      <c r="ET232" s="347"/>
      <c r="EU232" s="347"/>
      <c r="EV232" s="347"/>
      <c r="EW232" s="347"/>
      <c r="EX232" s="347"/>
      <c r="EY232" s="347"/>
      <c r="EZ232" s="347"/>
      <c r="FA232" s="347"/>
      <c r="FB232" s="347"/>
      <c r="FC232" s="347"/>
      <c r="FD232" s="347"/>
      <c r="FE232" s="347"/>
      <c r="FF232" s="347"/>
      <c r="FG232" s="347"/>
      <c r="FH232" s="347"/>
      <c r="FI232" s="347"/>
      <c r="FJ232" s="347"/>
      <c r="FK232" s="347"/>
      <c r="FL232" s="347"/>
      <c r="FM232" s="347"/>
      <c r="FN232" s="347"/>
      <c r="FO232" s="347"/>
      <c r="FP232" s="347"/>
      <c r="FQ232" s="347"/>
      <c r="FR232" s="347"/>
      <c r="FS232" s="347"/>
      <c r="FT232" s="347"/>
      <c r="FU232" s="347"/>
      <c r="FV232" s="347"/>
      <c r="FW232" s="347"/>
      <c r="FX232" s="347"/>
      <c r="FY232" s="347"/>
      <c r="FZ232" s="347"/>
      <c r="GA232" s="347"/>
      <c r="GB232" s="347"/>
      <c r="GC232" s="347"/>
      <c r="GD232" s="347"/>
      <c r="GE232" s="347"/>
      <c r="GF232" s="347"/>
      <c r="GG232" s="347"/>
      <c r="GH232" s="347"/>
      <c r="GI232" s="347"/>
      <c r="GJ232" s="347"/>
      <c r="GK232" s="347"/>
      <c r="GL232" s="347"/>
      <c r="GM232" s="347"/>
      <c r="GN232" s="347"/>
      <c r="GO232" s="347"/>
      <c r="GP232" s="347"/>
      <c r="GQ232" s="347"/>
      <c r="GR232" s="347"/>
      <c r="GS232" s="347"/>
      <c r="GT232" s="347"/>
      <c r="GU232" s="347"/>
      <c r="GV232" s="347"/>
      <c r="GW232" s="347"/>
      <c r="GX232" s="347"/>
      <c r="GY232" s="347"/>
      <c r="GZ232" s="347"/>
      <c r="HA232" s="347"/>
      <c r="HB232" s="347"/>
      <c r="HC232" s="347"/>
      <c r="HD232" s="347"/>
      <c r="HE232" s="347"/>
      <c r="HF232" s="347"/>
      <c r="HG232" s="347"/>
      <c r="HH232" s="347"/>
      <c r="HI232" s="347"/>
      <c r="HJ232" s="347"/>
      <c r="HK232" s="347"/>
      <c r="HL232" s="347"/>
      <c r="HM232" s="347"/>
      <c r="HN232" s="347"/>
      <c r="HO232" s="347"/>
      <c r="HP232" s="347"/>
      <c r="HQ232" s="347"/>
      <c r="HR232" s="347"/>
      <c r="HS232" s="347"/>
      <c r="HT232" s="347"/>
      <c r="HU232" s="347"/>
      <c r="HV232" s="347"/>
      <c r="HW232" s="347"/>
      <c r="HX232" s="347"/>
      <c r="HY232" s="347"/>
      <c r="HZ232" s="347"/>
      <c r="IA232" s="347"/>
      <c r="IB232" s="347"/>
      <c r="IC232" s="347"/>
      <c r="ID232" s="347"/>
      <c r="IE232" s="347"/>
      <c r="IF232" s="347"/>
      <c r="IG232" s="347"/>
      <c r="IH232" s="347"/>
      <c r="II232" s="347"/>
      <c r="IJ232" s="347"/>
      <c r="IK232" s="347"/>
      <c r="IL232" s="347"/>
      <c r="IM232" s="347"/>
      <c r="IN232" s="347"/>
      <c r="IO232" s="347"/>
      <c r="IP232" s="347"/>
      <c r="IQ232" s="347"/>
      <c r="IR232" s="347"/>
      <c r="IS232" s="347"/>
      <c r="IT232" s="347"/>
      <c r="IU232" s="347"/>
      <c r="IV232" s="347"/>
      <c r="IW232" s="347"/>
    </row>
    <row r="233" customFormat="false" ht="12" hidden="false" customHeight="true" outlineLevel="0" collapsed="false">
      <c r="A233" s="368"/>
      <c r="B233" s="369"/>
      <c r="C233" s="334"/>
      <c r="D233" s="389"/>
      <c r="E233" s="341"/>
      <c r="F233" s="390"/>
      <c r="G233" s="335"/>
      <c r="H233" s="391" t="s">
        <v>330</v>
      </c>
      <c r="I233" s="341" t="n">
        <f aca="false">LPChange</f>
        <v>-7.03019493526858</v>
      </c>
      <c r="J233" s="341"/>
      <c r="K233" s="341"/>
      <c r="L233" s="341"/>
      <c r="M233" s="341"/>
      <c r="N233" s="341" t="n">
        <f aca="false">LPChange*uafhpl</f>
        <v>-3.16402190034693</v>
      </c>
      <c r="O233" s="341"/>
      <c r="P233" s="341"/>
      <c r="Q233" s="341"/>
      <c r="R233" s="341"/>
      <c r="S233" s="341" t="n">
        <f aca="false">LPChange*uafcig</f>
        <v>-3.86617303492165</v>
      </c>
      <c r="T233" s="341"/>
      <c r="U233" s="341"/>
      <c r="V233" s="341"/>
      <c r="W233" s="372"/>
      <c r="X233" s="392"/>
      <c r="Y233" s="392"/>
      <c r="Z233" s="347"/>
      <c r="AA233" s="347"/>
      <c r="AB233" s="348"/>
      <c r="AC233" s="348"/>
      <c r="AD233" s="347"/>
      <c r="AE233" s="347"/>
      <c r="AF233" s="347"/>
      <c r="AG233" s="347"/>
      <c r="AH233" s="347"/>
      <c r="AI233" s="347"/>
      <c r="AJ233" s="347"/>
      <c r="AK233" s="347"/>
      <c r="AL233" s="347"/>
      <c r="AM233" s="347"/>
      <c r="AN233" s="347"/>
      <c r="AO233" s="347"/>
      <c r="AP233" s="347"/>
      <c r="AQ233" s="347"/>
      <c r="AR233" s="347"/>
      <c r="AS233" s="347"/>
      <c r="AT233" s="347"/>
      <c r="AU233" s="347"/>
      <c r="AV233" s="347"/>
      <c r="AW233" s="347"/>
      <c r="AX233" s="347"/>
      <c r="AY233" s="347"/>
      <c r="AZ233" s="347"/>
      <c r="BA233" s="347"/>
      <c r="BB233" s="347"/>
      <c r="BC233" s="347"/>
      <c r="BD233" s="347"/>
      <c r="BE233" s="347"/>
      <c r="BF233" s="347"/>
      <c r="BG233" s="347"/>
      <c r="BH233" s="347"/>
      <c r="BI233" s="347"/>
      <c r="BJ233" s="347"/>
      <c r="BK233" s="347"/>
      <c r="BL233" s="347"/>
      <c r="BM233" s="347"/>
      <c r="BN233" s="347"/>
      <c r="BO233" s="347"/>
      <c r="BP233" s="347"/>
      <c r="BQ233" s="347"/>
      <c r="BR233" s="347"/>
      <c r="BS233" s="347"/>
      <c r="BT233" s="347"/>
      <c r="BU233" s="347"/>
      <c r="BV233" s="347"/>
      <c r="BW233" s="347"/>
      <c r="BX233" s="347"/>
      <c r="BY233" s="347"/>
      <c r="BZ233" s="347"/>
      <c r="CA233" s="347"/>
      <c r="CB233" s="347"/>
      <c r="CC233" s="347"/>
      <c r="CD233" s="347"/>
      <c r="CE233" s="347"/>
      <c r="CF233" s="347"/>
      <c r="CG233" s="347"/>
      <c r="CH233" s="347"/>
      <c r="CI233" s="347"/>
      <c r="CJ233" s="347"/>
      <c r="CK233" s="347"/>
      <c r="CL233" s="347"/>
      <c r="CM233" s="347"/>
      <c r="CN233" s="347"/>
      <c r="CO233" s="347"/>
      <c r="CP233" s="347"/>
      <c r="CQ233" s="347"/>
      <c r="CR233" s="347"/>
      <c r="CS233" s="347"/>
      <c r="CT233" s="347"/>
      <c r="CU233" s="347"/>
      <c r="CV233" s="347"/>
      <c r="CW233" s="347"/>
      <c r="CX233" s="347"/>
      <c r="CY233" s="347"/>
      <c r="CZ233" s="347"/>
      <c r="DA233" s="347"/>
      <c r="DB233" s="347"/>
      <c r="DC233" s="347"/>
      <c r="DD233" s="347"/>
      <c r="DE233" s="347"/>
      <c r="DF233" s="347"/>
      <c r="DG233" s="347"/>
      <c r="DH233" s="347"/>
      <c r="DI233" s="347"/>
      <c r="DJ233" s="347"/>
      <c r="DK233" s="347"/>
      <c r="DL233" s="347"/>
      <c r="DM233" s="347"/>
      <c r="DN233" s="347"/>
      <c r="DO233" s="347"/>
      <c r="DP233" s="347"/>
      <c r="DQ233" s="347"/>
      <c r="DR233" s="347"/>
      <c r="DS233" s="347"/>
      <c r="DT233" s="347"/>
      <c r="DU233" s="347"/>
      <c r="DV233" s="347"/>
      <c r="DW233" s="347"/>
      <c r="DX233" s="347"/>
      <c r="DY233" s="347"/>
      <c r="DZ233" s="347"/>
      <c r="EA233" s="347"/>
      <c r="EB233" s="347"/>
      <c r="EC233" s="347"/>
      <c r="ED233" s="347"/>
      <c r="EE233" s="347"/>
      <c r="EF233" s="347"/>
      <c r="EG233" s="347"/>
      <c r="EH233" s="347"/>
      <c r="EI233" s="347"/>
      <c r="EJ233" s="347"/>
      <c r="EK233" s="347"/>
      <c r="EL233" s="347"/>
      <c r="EM233" s="347"/>
      <c r="EN233" s="347"/>
      <c r="EO233" s="347"/>
      <c r="EP233" s="347"/>
      <c r="EQ233" s="347"/>
      <c r="ER233" s="347"/>
      <c r="ES233" s="347"/>
      <c r="ET233" s="347"/>
      <c r="EU233" s="347"/>
      <c r="EV233" s="347"/>
      <c r="EW233" s="347"/>
      <c r="EX233" s="347"/>
      <c r="EY233" s="347"/>
      <c r="EZ233" s="347"/>
      <c r="FA233" s="347"/>
      <c r="FB233" s="347"/>
      <c r="FC233" s="347"/>
      <c r="FD233" s="347"/>
      <c r="FE233" s="347"/>
      <c r="FF233" s="347"/>
      <c r="FG233" s="347"/>
      <c r="FH233" s="347"/>
      <c r="FI233" s="347"/>
      <c r="FJ233" s="347"/>
      <c r="FK233" s="347"/>
      <c r="FL233" s="347"/>
      <c r="FM233" s="347"/>
      <c r="FN233" s="347"/>
      <c r="FO233" s="347"/>
      <c r="FP233" s="347"/>
      <c r="FQ233" s="347"/>
      <c r="FR233" s="347"/>
      <c r="FS233" s="347"/>
      <c r="FT233" s="347"/>
      <c r="FU233" s="347"/>
      <c r="FV233" s="347"/>
      <c r="FW233" s="347"/>
      <c r="FX233" s="347"/>
      <c r="FY233" s="347"/>
      <c r="FZ233" s="347"/>
      <c r="GA233" s="347"/>
      <c r="GB233" s="347"/>
      <c r="GC233" s="347"/>
      <c r="GD233" s="347"/>
      <c r="GE233" s="347"/>
      <c r="GF233" s="347"/>
      <c r="GG233" s="347"/>
      <c r="GH233" s="347"/>
      <c r="GI233" s="347"/>
      <c r="GJ233" s="347"/>
      <c r="GK233" s="347"/>
      <c r="GL233" s="347"/>
      <c r="GM233" s="347"/>
      <c r="GN233" s="347"/>
      <c r="GO233" s="347"/>
      <c r="GP233" s="347"/>
      <c r="GQ233" s="347"/>
      <c r="GR233" s="347"/>
      <c r="GS233" s="347"/>
      <c r="GT233" s="347"/>
      <c r="GU233" s="347"/>
      <c r="GV233" s="347"/>
      <c r="GW233" s="347"/>
      <c r="GX233" s="347"/>
      <c r="GY233" s="347"/>
      <c r="GZ233" s="347"/>
      <c r="HA233" s="347"/>
      <c r="HB233" s="347"/>
      <c r="HC233" s="347"/>
      <c r="HD233" s="347"/>
      <c r="HE233" s="347"/>
      <c r="HF233" s="347"/>
      <c r="HG233" s="347"/>
      <c r="HH233" s="347"/>
      <c r="HI233" s="347"/>
      <c r="HJ233" s="347"/>
      <c r="HK233" s="347"/>
      <c r="HL233" s="347"/>
      <c r="HM233" s="347"/>
      <c r="HN233" s="347"/>
      <c r="HO233" s="347"/>
      <c r="HP233" s="347"/>
      <c r="HQ233" s="347"/>
      <c r="HR233" s="347"/>
      <c r="HS233" s="347"/>
      <c r="HT233" s="347"/>
      <c r="HU233" s="347"/>
      <c r="HV233" s="347"/>
      <c r="HW233" s="347"/>
      <c r="HX233" s="347"/>
      <c r="HY233" s="347"/>
      <c r="HZ233" s="347"/>
      <c r="IA233" s="347"/>
      <c r="IB233" s="347"/>
      <c r="IC233" s="347"/>
      <c r="ID233" s="347"/>
      <c r="IE233" s="347"/>
      <c r="IF233" s="347"/>
      <c r="IG233" s="347"/>
      <c r="IH233" s="347"/>
      <c r="II233" s="347"/>
      <c r="IJ233" s="347"/>
      <c r="IK233" s="347"/>
      <c r="IL233" s="347"/>
      <c r="IM233" s="347"/>
      <c r="IN233" s="347"/>
      <c r="IO233" s="347"/>
      <c r="IP233" s="347"/>
      <c r="IQ233" s="347"/>
      <c r="IR233" s="347"/>
      <c r="IS233" s="347"/>
      <c r="IT233" s="347"/>
      <c r="IU233" s="347"/>
      <c r="IV233" s="347"/>
      <c r="IW233" s="347"/>
    </row>
    <row r="234" customFormat="false" ht="12" hidden="false" customHeight="true" outlineLevel="0" collapsed="false">
      <c r="A234" s="393"/>
      <c r="B234" s="394"/>
      <c r="C234" s="393"/>
      <c r="D234" s="395"/>
      <c r="E234" s="396"/>
      <c r="F234" s="397"/>
      <c r="G234" s="397"/>
      <c r="H234" s="398" t="s">
        <v>331</v>
      </c>
      <c r="I234" s="399" t="n">
        <f aca="false">I233-I232</f>
        <v>5.77840500071284</v>
      </c>
      <c r="J234" s="400" t="n">
        <f aca="false">I234/I227</f>
        <v>0.00809465419840107</v>
      </c>
      <c r="K234" s="401"/>
      <c r="L234" s="401"/>
      <c r="M234" s="401"/>
      <c r="N234" s="399" t="n">
        <f aca="false">N233-N232</f>
        <v>-2.25521450663625</v>
      </c>
      <c r="O234" s="402" t="n">
        <f aca="false">N234/N227</f>
        <v>-0.00701949818127633</v>
      </c>
      <c r="P234" s="401"/>
      <c r="Q234" s="401"/>
      <c r="R234" s="403"/>
      <c r="S234" s="399" t="n">
        <f aca="false">S233-S232</f>
        <v>8.03361950734903</v>
      </c>
      <c r="T234" s="402" t="n">
        <f aca="false">S234/S227</f>
        <v>0.0204638649663947</v>
      </c>
      <c r="U234" s="401"/>
      <c r="V234" s="401"/>
      <c r="W234" s="404"/>
      <c r="X234" s="401"/>
      <c r="Y234" s="405" t="str">
        <f aca="false">IF(Y235&gt;0,"Withdrawal",IF(Y235&lt;0,"Injection","N/A"))</f>
        <v>Injection</v>
      </c>
      <c r="Z234" s="406"/>
      <c r="AA234" s="406"/>
      <c r="AB234" s="407"/>
      <c r="AC234" s="407"/>
      <c r="AD234" s="406"/>
      <c r="AE234" s="406"/>
      <c r="AF234" s="406"/>
      <c r="AG234" s="406"/>
      <c r="AH234" s="406"/>
      <c r="AI234" s="406"/>
      <c r="AJ234" s="406"/>
      <c r="AK234" s="406"/>
      <c r="AL234" s="406"/>
      <c r="AM234" s="406"/>
      <c r="AN234" s="406"/>
      <c r="AO234" s="406"/>
      <c r="AP234" s="406"/>
      <c r="AQ234" s="406"/>
      <c r="AR234" s="406"/>
      <c r="AS234" s="406"/>
      <c r="AT234" s="406"/>
      <c r="AU234" s="406"/>
      <c r="AV234" s="406"/>
      <c r="AW234" s="406"/>
      <c r="AX234" s="406"/>
      <c r="AY234" s="406"/>
      <c r="AZ234" s="406"/>
      <c r="BA234" s="406"/>
      <c r="BB234" s="406"/>
      <c r="BC234" s="406"/>
      <c r="BD234" s="406"/>
      <c r="BE234" s="406"/>
      <c r="BF234" s="406"/>
      <c r="BG234" s="406"/>
      <c r="BH234" s="406"/>
      <c r="BI234" s="406"/>
      <c r="BJ234" s="406"/>
      <c r="BK234" s="406"/>
      <c r="BL234" s="406"/>
      <c r="BM234" s="406"/>
      <c r="BN234" s="406"/>
      <c r="BO234" s="406"/>
      <c r="BP234" s="406"/>
      <c r="BQ234" s="406"/>
      <c r="BR234" s="406"/>
      <c r="BS234" s="406"/>
      <c r="BT234" s="406"/>
      <c r="BU234" s="406"/>
      <c r="BV234" s="406"/>
      <c r="BW234" s="406"/>
      <c r="BX234" s="406"/>
      <c r="BY234" s="406"/>
      <c r="BZ234" s="406"/>
      <c r="CA234" s="406"/>
      <c r="CB234" s="406"/>
      <c r="CC234" s="406"/>
      <c r="CD234" s="406"/>
      <c r="CE234" s="406"/>
      <c r="CF234" s="406"/>
      <c r="CG234" s="406"/>
      <c r="CH234" s="406"/>
      <c r="CI234" s="406"/>
      <c r="CJ234" s="406"/>
      <c r="CK234" s="406"/>
      <c r="CL234" s="406"/>
      <c r="CM234" s="406"/>
      <c r="CN234" s="406"/>
      <c r="CO234" s="406"/>
      <c r="CP234" s="406"/>
      <c r="CQ234" s="406"/>
      <c r="CR234" s="406"/>
      <c r="CS234" s="406"/>
      <c r="CT234" s="406"/>
      <c r="CU234" s="406"/>
      <c r="CV234" s="406"/>
      <c r="CW234" s="406"/>
      <c r="CX234" s="406"/>
      <c r="CY234" s="406"/>
      <c r="CZ234" s="406"/>
      <c r="DA234" s="406"/>
      <c r="DB234" s="406"/>
      <c r="DC234" s="406"/>
      <c r="DD234" s="406"/>
      <c r="DE234" s="406"/>
      <c r="DF234" s="406"/>
      <c r="DG234" s="406"/>
      <c r="DH234" s="406"/>
      <c r="DI234" s="406"/>
      <c r="DJ234" s="406"/>
      <c r="DK234" s="406"/>
      <c r="DL234" s="406"/>
      <c r="DM234" s="406"/>
      <c r="DN234" s="406"/>
      <c r="DO234" s="406"/>
      <c r="DP234" s="406"/>
      <c r="DQ234" s="406"/>
      <c r="DR234" s="406"/>
      <c r="DS234" s="406"/>
      <c r="DT234" s="406"/>
      <c r="DU234" s="406"/>
      <c r="DV234" s="406"/>
      <c r="DW234" s="406"/>
      <c r="DX234" s="406"/>
      <c r="DY234" s="406"/>
      <c r="DZ234" s="406"/>
      <c r="EA234" s="406"/>
      <c r="EB234" s="406"/>
      <c r="EC234" s="406"/>
      <c r="ED234" s="406"/>
      <c r="EE234" s="406"/>
      <c r="EF234" s="406"/>
      <c r="EG234" s="406"/>
      <c r="EH234" s="406"/>
      <c r="EI234" s="406"/>
      <c r="EJ234" s="406"/>
      <c r="EK234" s="406"/>
      <c r="EL234" s="406"/>
      <c r="EM234" s="406"/>
      <c r="EN234" s="406"/>
      <c r="EO234" s="406"/>
      <c r="EP234" s="406"/>
      <c r="EQ234" s="406"/>
      <c r="ER234" s="406"/>
      <c r="ES234" s="406"/>
      <c r="ET234" s="406"/>
      <c r="EU234" s="406"/>
      <c r="EV234" s="406"/>
      <c r="EW234" s="406"/>
      <c r="EX234" s="406"/>
      <c r="EY234" s="406"/>
      <c r="EZ234" s="406"/>
      <c r="FA234" s="406"/>
      <c r="FB234" s="406"/>
      <c r="FC234" s="406"/>
      <c r="FD234" s="406"/>
      <c r="FE234" s="406"/>
      <c r="FF234" s="406"/>
      <c r="FG234" s="406"/>
      <c r="FH234" s="406"/>
      <c r="FI234" s="406"/>
      <c r="FJ234" s="406"/>
      <c r="FK234" s="406"/>
      <c r="FL234" s="406"/>
      <c r="FM234" s="406"/>
      <c r="FN234" s="406"/>
      <c r="FO234" s="406"/>
      <c r="FP234" s="406"/>
      <c r="FQ234" s="406"/>
      <c r="FR234" s="406"/>
      <c r="FS234" s="406"/>
      <c r="FT234" s="406"/>
      <c r="FU234" s="406"/>
      <c r="FV234" s="406"/>
      <c r="FW234" s="406"/>
      <c r="FX234" s="406"/>
      <c r="FY234" s="406"/>
      <c r="FZ234" s="406"/>
      <c r="GA234" s="406"/>
      <c r="GB234" s="406"/>
      <c r="GC234" s="406"/>
      <c r="GD234" s="406"/>
      <c r="GE234" s="406"/>
      <c r="GF234" s="406"/>
      <c r="GG234" s="406"/>
      <c r="GH234" s="406"/>
      <c r="GI234" s="406"/>
      <c r="GJ234" s="406"/>
      <c r="GK234" s="406"/>
      <c r="GL234" s="406"/>
      <c r="GM234" s="406"/>
      <c r="GN234" s="406"/>
      <c r="GO234" s="406"/>
      <c r="GP234" s="406"/>
      <c r="GQ234" s="406"/>
      <c r="GR234" s="406"/>
      <c r="GS234" s="406"/>
      <c r="GT234" s="406"/>
      <c r="GU234" s="406"/>
      <c r="GV234" s="406"/>
      <c r="GW234" s="406"/>
      <c r="GX234" s="406"/>
      <c r="GY234" s="406"/>
      <c r="GZ234" s="406"/>
      <c r="HA234" s="406"/>
      <c r="HB234" s="406"/>
      <c r="HC234" s="406"/>
      <c r="HD234" s="406"/>
      <c r="HE234" s="406"/>
      <c r="HF234" s="406"/>
      <c r="HG234" s="406"/>
      <c r="HH234" s="406"/>
      <c r="HI234" s="406"/>
      <c r="HJ234" s="406"/>
      <c r="HK234" s="406"/>
      <c r="HL234" s="406"/>
      <c r="HM234" s="406"/>
      <c r="HN234" s="406"/>
      <c r="HO234" s="406"/>
      <c r="HP234" s="406"/>
      <c r="HQ234" s="406"/>
      <c r="HR234" s="406"/>
      <c r="HS234" s="406"/>
      <c r="HT234" s="406"/>
      <c r="HU234" s="406"/>
      <c r="HV234" s="406"/>
      <c r="HW234" s="406"/>
      <c r="HX234" s="406"/>
      <c r="HY234" s="406"/>
      <c r="HZ234" s="406"/>
      <c r="IA234" s="406"/>
      <c r="IB234" s="406"/>
      <c r="IC234" s="406"/>
      <c r="ID234" s="406"/>
      <c r="IE234" s="406"/>
      <c r="IF234" s="406"/>
      <c r="IG234" s="406"/>
      <c r="IH234" s="406"/>
      <c r="II234" s="406"/>
      <c r="IJ234" s="406"/>
      <c r="IK234" s="406"/>
      <c r="IL234" s="406"/>
      <c r="IM234" s="406"/>
      <c r="IN234" s="406"/>
      <c r="IO234" s="406"/>
      <c r="IP234" s="406"/>
      <c r="IQ234" s="406"/>
      <c r="IR234" s="406"/>
      <c r="IS234" s="406"/>
      <c r="IT234" s="406"/>
      <c r="IU234" s="406"/>
      <c r="IV234" s="406"/>
      <c r="IW234" s="406"/>
    </row>
    <row r="235" customFormat="false" ht="12" hidden="false" customHeight="true" outlineLevel="0" collapsed="false">
      <c r="A235" s="393"/>
      <c r="B235" s="408"/>
      <c r="C235" s="393"/>
      <c r="D235" s="409"/>
      <c r="E235" s="410"/>
      <c r="F235" s="411"/>
      <c r="G235" s="395"/>
      <c r="H235" s="398" t="s">
        <v>332</v>
      </c>
      <c r="I235" s="399" t="n">
        <f aca="false">LPack</f>
        <v>430.345805064731</v>
      </c>
      <c r="J235" s="399"/>
      <c r="K235" s="401"/>
      <c r="L235" s="401"/>
      <c r="M235" s="401"/>
      <c r="N235" s="412"/>
      <c r="O235" s="401"/>
      <c r="P235" s="401"/>
      <c r="Q235" s="401"/>
      <c r="R235" s="403"/>
      <c r="S235" s="401"/>
      <c r="T235" s="401"/>
      <c r="U235" s="401"/>
      <c r="V235" s="401"/>
      <c r="W235" s="401"/>
      <c r="X235" s="413" t="s">
        <v>333</v>
      </c>
      <c r="Y235" s="414" t="n">
        <f aca="false">Y226+Y229</f>
        <v>-1.75287681080833</v>
      </c>
      <c r="Z235" s="406"/>
      <c r="AA235" s="406"/>
      <c r="AB235" s="407"/>
      <c r="AC235" s="407"/>
      <c r="AD235" s="406"/>
      <c r="AE235" s="406"/>
      <c r="AF235" s="406"/>
      <c r="AG235" s="406"/>
      <c r="AH235" s="406"/>
      <c r="AI235" s="406"/>
      <c r="AJ235" s="406"/>
      <c r="AK235" s="406"/>
      <c r="AL235" s="406"/>
      <c r="AM235" s="406"/>
      <c r="AN235" s="406"/>
      <c r="AO235" s="406"/>
      <c r="AP235" s="406"/>
      <c r="AQ235" s="406"/>
      <c r="AR235" s="406"/>
      <c r="AS235" s="406"/>
      <c r="AT235" s="406"/>
      <c r="AU235" s="406"/>
      <c r="AV235" s="406"/>
      <c r="AW235" s="406"/>
      <c r="AX235" s="406"/>
      <c r="AY235" s="406"/>
      <c r="AZ235" s="406"/>
      <c r="BA235" s="406"/>
      <c r="BB235" s="406"/>
      <c r="BC235" s="406"/>
      <c r="BD235" s="406"/>
      <c r="BE235" s="406"/>
      <c r="BF235" s="406"/>
      <c r="BG235" s="406"/>
      <c r="BH235" s="406"/>
      <c r="BI235" s="406"/>
      <c r="BJ235" s="406"/>
      <c r="BK235" s="406"/>
      <c r="BL235" s="406"/>
      <c r="BM235" s="406"/>
      <c r="BN235" s="406"/>
      <c r="BO235" s="406"/>
      <c r="BP235" s="406"/>
      <c r="BQ235" s="406"/>
      <c r="BR235" s="406"/>
      <c r="BS235" s="406"/>
      <c r="BT235" s="406"/>
      <c r="BU235" s="406"/>
      <c r="BV235" s="406"/>
      <c r="BW235" s="406"/>
      <c r="BX235" s="406"/>
      <c r="BY235" s="406"/>
      <c r="BZ235" s="406"/>
      <c r="CA235" s="406"/>
      <c r="CB235" s="406"/>
      <c r="CC235" s="406"/>
      <c r="CD235" s="406"/>
      <c r="CE235" s="406"/>
      <c r="CF235" s="406"/>
      <c r="CG235" s="406"/>
      <c r="CH235" s="406"/>
      <c r="CI235" s="406"/>
      <c r="CJ235" s="406"/>
      <c r="CK235" s="406"/>
      <c r="CL235" s="406"/>
      <c r="CM235" s="406"/>
      <c r="CN235" s="406"/>
      <c r="CO235" s="406"/>
      <c r="CP235" s="406"/>
      <c r="CQ235" s="406"/>
      <c r="CR235" s="406"/>
      <c r="CS235" s="406"/>
      <c r="CT235" s="406"/>
      <c r="CU235" s="406"/>
      <c r="CV235" s="406"/>
      <c r="CW235" s="406"/>
      <c r="CX235" s="406"/>
      <c r="CY235" s="406"/>
      <c r="CZ235" s="406"/>
      <c r="DA235" s="406"/>
      <c r="DB235" s="406"/>
      <c r="DC235" s="406"/>
      <c r="DD235" s="406"/>
      <c r="DE235" s="406"/>
      <c r="DF235" s="406"/>
      <c r="DG235" s="406"/>
      <c r="DH235" s="406"/>
      <c r="DI235" s="406"/>
      <c r="DJ235" s="406"/>
      <c r="DK235" s="406"/>
      <c r="DL235" s="406"/>
      <c r="DM235" s="406"/>
      <c r="DN235" s="406"/>
      <c r="DO235" s="406"/>
      <c r="DP235" s="406"/>
      <c r="DQ235" s="406"/>
      <c r="DR235" s="406"/>
      <c r="DS235" s="406"/>
      <c r="DT235" s="406"/>
      <c r="DU235" s="406"/>
      <c r="DV235" s="406"/>
      <c r="DW235" s="406"/>
      <c r="DX235" s="406"/>
      <c r="DY235" s="406"/>
      <c r="DZ235" s="406"/>
      <c r="EA235" s="406"/>
      <c r="EB235" s="406"/>
      <c r="EC235" s="406"/>
      <c r="ED235" s="406"/>
      <c r="EE235" s="406"/>
      <c r="EF235" s="406"/>
      <c r="EG235" s="406"/>
      <c r="EH235" s="406"/>
      <c r="EI235" s="406"/>
      <c r="EJ235" s="406"/>
      <c r="EK235" s="406"/>
      <c r="EL235" s="406"/>
      <c r="EM235" s="406"/>
      <c r="EN235" s="406"/>
      <c r="EO235" s="406"/>
      <c r="EP235" s="406"/>
      <c r="EQ235" s="406"/>
      <c r="ER235" s="406"/>
      <c r="ES235" s="406"/>
      <c r="ET235" s="406"/>
      <c r="EU235" s="406"/>
      <c r="EV235" s="406"/>
      <c r="EW235" s="406"/>
      <c r="EX235" s="406"/>
      <c r="EY235" s="406"/>
      <c r="EZ235" s="406"/>
      <c r="FA235" s="406"/>
      <c r="FB235" s="406"/>
      <c r="FC235" s="406"/>
      <c r="FD235" s="406"/>
      <c r="FE235" s="406"/>
      <c r="FF235" s="406"/>
      <c r="FG235" s="406"/>
      <c r="FH235" s="406"/>
      <c r="FI235" s="406"/>
      <c r="FJ235" s="406"/>
      <c r="FK235" s="406"/>
      <c r="FL235" s="406"/>
      <c r="FM235" s="406"/>
      <c r="FN235" s="406"/>
      <c r="FO235" s="406"/>
      <c r="FP235" s="406"/>
      <c r="FQ235" s="406"/>
      <c r="FR235" s="406"/>
      <c r="FS235" s="406"/>
      <c r="FT235" s="406"/>
      <c r="FU235" s="406"/>
      <c r="FV235" s="406"/>
      <c r="FW235" s="406"/>
      <c r="FX235" s="406"/>
      <c r="FY235" s="406"/>
      <c r="FZ235" s="406"/>
      <c r="GA235" s="406"/>
      <c r="GB235" s="406"/>
      <c r="GC235" s="406"/>
      <c r="GD235" s="406"/>
      <c r="GE235" s="406"/>
      <c r="GF235" s="406"/>
      <c r="GG235" s="406"/>
      <c r="GH235" s="406"/>
      <c r="GI235" s="406"/>
      <c r="GJ235" s="406"/>
      <c r="GK235" s="406"/>
      <c r="GL235" s="406"/>
      <c r="GM235" s="406"/>
      <c r="GN235" s="406"/>
      <c r="GO235" s="406"/>
      <c r="GP235" s="406"/>
      <c r="GQ235" s="406"/>
      <c r="GR235" s="406"/>
      <c r="GS235" s="406"/>
      <c r="GT235" s="406"/>
      <c r="GU235" s="406"/>
      <c r="GV235" s="406"/>
      <c r="GW235" s="406"/>
      <c r="GX235" s="406"/>
      <c r="GY235" s="406"/>
      <c r="GZ235" s="406"/>
      <c r="HA235" s="406"/>
      <c r="HB235" s="406"/>
      <c r="HC235" s="406"/>
      <c r="HD235" s="406"/>
      <c r="HE235" s="406"/>
      <c r="HF235" s="406"/>
      <c r="HG235" s="406"/>
      <c r="HH235" s="406"/>
      <c r="HI235" s="406"/>
      <c r="HJ235" s="406"/>
      <c r="HK235" s="406"/>
      <c r="HL235" s="406"/>
      <c r="HM235" s="406"/>
      <c r="HN235" s="406"/>
      <c r="HO235" s="406"/>
      <c r="HP235" s="406"/>
      <c r="HQ235" s="406"/>
      <c r="HR235" s="406"/>
      <c r="HS235" s="406"/>
      <c r="HT235" s="406"/>
      <c r="HU235" s="406"/>
      <c r="HV235" s="406"/>
      <c r="HW235" s="406"/>
      <c r="HX235" s="406"/>
      <c r="HY235" s="406"/>
      <c r="HZ235" s="406"/>
      <c r="IA235" s="406"/>
      <c r="IB235" s="406"/>
      <c r="IC235" s="406"/>
      <c r="ID235" s="406"/>
      <c r="IE235" s="406"/>
      <c r="IF235" s="406"/>
      <c r="IG235" s="406"/>
      <c r="IH235" s="406"/>
      <c r="II235" s="406"/>
      <c r="IJ235" s="406"/>
      <c r="IK235" s="406"/>
      <c r="IL235" s="406"/>
      <c r="IM235" s="406"/>
      <c r="IN235" s="406"/>
      <c r="IO235" s="406"/>
      <c r="IP235" s="406"/>
      <c r="IQ235" s="406"/>
      <c r="IR235" s="406"/>
      <c r="IS235" s="406"/>
      <c r="IT235" s="406"/>
      <c r="IU235" s="406"/>
      <c r="IV235" s="406"/>
      <c r="IW235" s="406"/>
    </row>
    <row r="236" customFormat="false" ht="12" hidden="true" customHeight="true" outlineLevel="0" collapsed="false">
      <c r="A236" s="393"/>
      <c r="B236" s="415" t="n">
        <v>99802</v>
      </c>
      <c r="C236" s="393"/>
      <c r="D236" s="416" t="s">
        <v>334</v>
      </c>
      <c r="E236" s="410"/>
      <c r="F236" s="411"/>
      <c r="G236" s="395"/>
      <c r="H236" s="395"/>
      <c r="I236" s="399" t="n">
        <f aca="false">LP802b</f>
        <v>45.2979919683323</v>
      </c>
      <c r="J236" s="399"/>
      <c r="K236" s="401"/>
      <c r="L236" s="401"/>
      <c r="M236" s="401"/>
      <c r="N236" s="412"/>
      <c r="O236" s="401"/>
      <c r="P236" s="401"/>
      <c r="Q236" s="401"/>
      <c r="R236" s="403"/>
      <c r="S236" s="401"/>
      <c r="T236" s="401"/>
      <c r="U236" s="401"/>
      <c r="V236" s="401"/>
      <c r="W236" s="401"/>
      <c r="X236" s="413"/>
      <c r="Y236" s="417"/>
      <c r="Z236" s="406"/>
      <c r="AA236" s="406"/>
      <c r="AB236" s="407"/>
      <c r="AC236" s="407"/>
      <c r="AD236" s="406"/>
      <c r="AE236" s="406"/>
      <c r="AF236" s="406"/>
      <c r="AG236" s="406"/>
      <c r="AH236" s="406"/>
      <c r="AI236" s="406"/>
      <c r="AJ236" s="406"/>
      <c r="AK236" s="406"/>
      <c r="AL236" s="406"/>
      <c r="AM236" s="406"/>
      <c r="AN236" s="406"/>
      <c r="AO236" s="406"/>
      <c r="AP236" s="406"/>
      <c r="AQ236" s="406"/>
      <c r="AR236" s="406"/>
      <c r="AS236" s="406"/>
      <c r="AT236" s="406"/>
      <c r="AU236" s="406"/>
      <c r="AV236" s="406"/>
      <c r="AW236" s="406"/>
      <c r="AX236" s="406"/>
      <c r="AY236" s="406"/>
      <c r="AZ236" s="406"/>
      <c r="BA236" s="406"/>
      <c r="BB236" s="406"/>
      <c r="BC236" s="406"/>
      <c r="BD236" s="406"/>
      <c r="BE236" s="406"/>
      <c r="BF236" s="406"/>
      <c r="BG236" s="406"/>
      <c r="BH236" s="406"/>
      <c r="BI236" s="406"/>
      <c r="BJ236" s="406"/>
      <c r="BK236" s="406"/>
      <c r="BL236" s="406"/>
      <c r="BM236" s="406"/>
      <c r="BN236" s="406"/>
      <c r="BO236" s="406"/>
      <c r="BP236" s="406"/>
      <c r="BQ236" s="406"/>
      <c r="BR236" s="406"/>
      <c r="BS236" s="406"/>
      <c r="BT236" s="406"/>
      <c r="BU236" s="406"/>
      <c r="BV236" s="406"/>
      <c r="BW236" s="406"/>
      <c r="BX236" s="406"/>
      <c r="BY236" s="406"/>
      <c r="BZ236" s="406"/>
      <c r="CA236" s="406"/>
      <c r="CB236" s="406"/>
      <c r="CC236" s="406"/>
      <c r="CD236" s="406"/>
      <c r="CE236" s="406"/>
      <c r="CF236" s="406"/>
      <c r="CG236" s="406"/>
      <c r="CH236" s="406"/>
      <c r="CI236" s="406"/>
      <c r="CJ236" s="406"/>
      <c r="CK236" s="406"/>
      <c r="CL236" s="406"/>
      <c r="CM236" s="406"/>
      <c r="CN236" s="406"/>
      <c r="CO236" s="406"/>
      <c r="CP236" s="406"/>
      <c r="CQ236" s="406"/>
      <c r="CR236" s="406"/>
      <c r="CS236" s="406"/>
      <c r="CT236" s="406"/>
      <c r="CU236" s="406"/>
      <c r="CV236" s="406"/>
      <c r="CW236" s="406"/>
      <c r="CX236" s="406"/>
      <c r="CY236" s="406"/>
      <c r="CZ236" s="406"/>
      <c r="DA236" s="406"/>
      <c r="DB236" s="406"/>
      <c r="DC236" s="406"/>
      <c r="DD236" s="406"/>
      <c r="DE236" s="406"/>
      <c r="DF236" s="406"/>
      <c r="DG236" s="406"/>
      <c r="DH236" s="406"/>
      <c r="DI236" s="406"/>
      <c r="DJ236" s="406"/>
      <c r="DK236" s="406"/>
      <c r="DL236" s="406"/>
      <c r="DM236" s="406"/>
      <c r="DN236" s="406"/>
      <c r="DO236" s="406"/>
      <c r="DP236" s="406"/>
      <c r="DQ236" s="406"/>
      <c r="DR236" s="406"/>
      <c r="DS236" s="406"/>
      <c r="DT236" s="406"/>
      <c r="DU236" s="406"/>
      <c r="DV236" s="406"/>
      <c r="DW236" s="406"/>
      <c r="DX236" s="406"/>
      <c r="DY236" s="406"/>
      <c r="DZ236" s="406"/>
      <c r="EA236" s="406"/>
      <c r="EB236" s="406"/>
      <c r="EC236" s="406"/>
      <c r="ED236" s="406"/>
      <c r="EE236" s="406"/>
      <c r="EF236" s="406"/>
      <c r="EG236" s="406"/>
      <c r="EH236" s="406"/>
      <c r="EI236" s="406"/>
      <c r="EJ236" s="406"/>
      <c r="EK236" s="406"/>
      <c r="EL236" s="406"/>
      <c r="EM236" s="406"/>
      <c r="EN236" s="406"/>
      <c r="EO236" s="406"/>
      <c r="EP236" s="406"/>
      <c r="EQ236" s="406"/>
      <c r="ER236" s="406"/>
      <c r="ES236" s="406"/>
      <c r="ET236" s="406"/>
      <c r="EU236" s="406"/>
      <c r="EV236" s="406"/>
      <c r="EW236" s="406"/>
      <c r="EX236" s="406"/>
      <c r="EY236" s="406"/>
      <c r="EZ236" s="406"/>
      <c r="FA236" s="406"/>
      <c r="FB236" s="406"/>
      <c r="FC236" s="406"/>
      <c r="FD236" s="406"/>
      <c r="FE236" s="406"/>
      <c r="FF236" s="406"/>
      <c r="FG236" s="406"/>
      <c r="FH236" s="406"/>
      <c r="FI236" s="406"/>
      <c r="FJ236" s="406"/>
      <c r="FK236" s="406"/>
      <c r="FL236" s="406"/>
      <c r="FM236" s="406"/>
      <c r="FN236" s="406"/>
      <c r="FO236" s="406"/>
      <c r="FP236" s="406"/>
      <c r="FQ236" s="406"/>
      <c r="FR236" s="406"/>
      <c r="FS236" s="406"/>
      <c r="FT236" s="406"/>
      <c r="FU236" s="406"/>
      <c r="FV236" s="406"/>
      <c r="FW236" s="406"/>
      <c r="FX236" s="406"/>
      <c r="FY236" s="406"/>
      <c r="FZ236" s="406"/>
      <c r="GA236" s="406"/>
      <c r="GB236" s="406"/>
      <c r="GC236" s="406"/>
      <c r="GD236" s="406"/>
      <c r="GE236" s="406"/>
      <c r="GF236" s="406"/>
      <c r="GG236" s="406"/>
      <c r="GH236" s="406"/>
      <c r="GI236" s="406"/>
      <c r="GJ236" s="406"/>
      <c r="GK236" s="406"/>
      <c r="GL236" s="406"/>
      <c r="GM236" s="406"/>
      <c r="GN236" s="406"/>
      <c r="GO236" s="406"/>
      <c r="GP236" s="406"/>
      <c r="GQ236" s="406"/>
      <c r="GR236" s="406"/>
      <c r="GS236" s="406"/>
      <c r="GT236" s="406"/>
      <c r="GU236" s="406"/>
      <c r="GV236" s="406"/>
      <c r="GW236" s="406"/>
      <c r="GX236" s="406"/>
      <c r="GY236" s="406"/>
      <c r="GZ236" s="406"/>
      <c r="HA236" s="406"/>
      <c r="HB236" s="406"/>
      <c r="HC236" s="406"/>
      <c r="HD236" s="406"/>
      <c r="HE236" s="406"/>
      <c r="HF236" s="406"/>
      <c r="HG236" s="406"/>
      <c r="HH236" s="406"/>
      <c r="HI236" s="406"/>
      <c r="HJ236" s="406"/>
      <c r="HK236" s="406"/>
      <c r="HL236" s="406"/>
      <c r="HM236" s="406"/>
      <c r="HN236" s="406"/>
      <c r="HO236" s="406"/>
      <c r="HP236" s="406"/>
      <c r="HQ236" s="406"/>
      <c r="HR236" s="406"/>
      <c r="HS236" s="406"/>
      <c r="HT236" s="406"/>
      <c r="HU236" s="406"/>
      <c r="HV236" s="406"/>
      <c r="HW236" s="406"/>
      <c r="HX236" s="406"/>
      <c r="HY236" s="406"/>
      <c r="HZ236" s="406"/>
      <c r="IA236" s="406"/>
      <c r="IB236" s="406"/>
      <c r="IC236" s="406"/>
      <c r="ID236" s="406"/>
      <c r="IE236" s="406"/>
      <c r="IF236" s="406"/>
      <c r="IG236" s="406"/>
      <c r="IH236" s="406"/>
      <c r="II236" s="406"/>
      <c r="IJ236" s="406"/>
      <c r="IK236" s="406"/>
      <c r="IL236" s="406"/>
      <c r="IM236" s="406"/>
      <c r="IN236" s="406"/>
      <c r="IO236" s="406"/>
      <c r="IP236" s="406"/>
      <c r="IQ236" s="406"/>
      <c r="IR236" s="406"/>
      <c r="IS236" s="406"/>
      <c r="IT236" s="406"/>
      <c r="IU236" s="406"/>
      <c r="IV236" s="406"/>
      <c r="IW236" s="406"/>
    </row>
    <row r="237" customFormat="false" ht="12" hidden="true" customHeight="true" outlineLevel="0" collapsed="false">
      <c r="A237" s="393"/>
      <c r="B237" s="415" t="n">
        <v>99804</v>
      </c>
      <c r="C237" s="393"/>
      <c r="D237" s="416" t="s">
        <v>335</v>
      </c>
      <c r="E237" s="410"/>
      <c r="F237" s="411"/>
      <c r="G237" s="395"/>
      <c r="H237" s="395"/>
      <c r="I237" s="399" t="n">
        <f aca="false">LP804b</f>
        <v>50.1280715472023</v>
      </c>
      <c r="J237" s="399"/>
      <c r="K237" s="401"/>
      <c r="L237" s="401"/>
      <c r="M237" s="401"/>
      <c r="N237" s="412"/>
      <c r="O237" s="401"/>
      <c r="P237" s="401"/>
      <c r="Q237" s="401"/>
      <c r="R237" s="403"/>
      <c r="S237" s="401"/>
      <c r="T237" s="401"/>
      <c r="U237" s="401"/>
      <c r="V237" s="401"/>
      <c r="W237" s="401"/>
      <c r="X237" s="413"/>
      <c r="Y237" s="417"/>
      <c r="Z237" s="406"/>
      <c r="AA237" s="406"/>
      <c r="AB237" s="407"/>
      <c r="AC237" s="407"/>
      <c r="AD237" s="406"/>
      <c r="AE237" s="406"/>
      <c r="AF237" s="406"/>
      <c r="AG237" s="406"/>
      <c r="AH237" s="406"/>
      <c r="AI237" s="406"/>
      <c r="AJ237" s="406"/>
      <c r="AK237" s="406"/>
      <c r="AL237" s="406"/>
      <c r="AM237" s="406"/>
      <c r="AN237" s="406"/>
      <c r="AO237" s="406"/>
      <c r="AP237" s="406"/>
      <c r="AQ237" s="406"/>
      <c r="AR237" s="406"/>
      <c r="AS237" s="406"/>
      <c r="AT237" s="406"/>
      <c r="AU237" s="406"/>
      <c r="AV237" s="406"/>
      <c r="AW237" s="406"/>
      <c r="AX237" s="406"/>
      <c r="AY237" s="406"/>
      <c r="AZ237" s="406"/>
      <c r="BA237" s="406"/>
      <c r="BB237" s="406"/>
      <c r="BC237" s="406"/>
      <c r="BD237" s="406"/>
      <c r="BE237" s="406"/>
      <c r="BF237" s="406"/>
      <c r="BG237" s="406"/>
      <c r="BH237" s="406"/>
      <c r="BI237" s="406"/>
      <c r="BJ237" s="406"/>
      <c r="BK237" s="406"/>
      <c r="BL237" s="406"/>
      <c r="BM237" s="406"/>
      <c r="BN237" s="406"/>
      <c r="BO237" s="406"/>
      <c r="BP237" s="406"/>
      <c r="BQ237" s="406"/>
      <c r="BR237" s="406"/>
      <c r="BS237" s="406"/>
      <c r="BT237" s="406"/>
      <c r="BU237" s="406"/>
      <c r="BV237" s="406"/>
      <c r="BW237" s="406"/>
      <c r="BX237" s="406"/>
      <c r="BY237" s="406"/>
      <c r="BZ237" s="406"/>
      <c r="CA237" s="406"/>
      <c r="CB237" s="406"/>
      <c r="CC237" s="406"/>
      <c r="CD237" s="406"/>
      <c r="CE237" s="406"/>
      <c r="CF237" s="406"/>
      <c r="CG237" s="406"/>
      <c r="CH237" s="406"/>
      <c r="CI237" s="406"/>
      <c r="CJ237" s="406"/>
      <c r="CK237" s="406"/>
      <c r="CL237" s="406"/>
      <c r="CM237" s="406"/>
      <c r="CN237" s="406"/>
      <c r="CO237" s="406"/>
      <c r="CP237" s="406"/>
      <c r="CQ237" s="406"/>
      <c r="CR237" s="406"/>
      <c r="CS237" s="406"/>
      <c r="CT237" s="406"/>
      <c r="CU237" s="406"/>
      <c r="CV237" s="406"/>
      <c r="CW237" s="406"/>
      <c r="CX237" s="406"/>
      <c r="CY237" s="406"/>
      <c r="CZ237" s="406"/>
      <c r="DA237" s="406"/>
      <c r="DB237" s="406"/>
      <c r="DC237" s="406"/>
      <c r="DD237" s="406"/>
      <c r="DE237" s="406"/>
      <c r="DF237" s="406"/>
      <c r="DG237" s="406"/>
      <c r="DH237" s="406"/>
      <c r="DI237" s="406"/>
      <c r="DJ237" s="406"/>
      <c r="DK237" s="406"/>
      <c r="DL237" s="406"/>
      <c r="DM237" s="406"/>
      <c r="DN237" s="406"/>
      <c r="DO237" s="406"/>
      <c r="DP237" s="406"/>
      <c r="DQ237" s="406"/>
      <c r="DR237" s="406"/>
      <c r="DS237" s="406"/>
      <c r="DT237" s="406"/>
      <c r="DU237" s="406"/>
      <c r="DV237" s="406"/>
      <c r="DW237" s="406"/>
      <c r="DX237" s="406"/>
      <c r="DY237" s="406"/>
      <c r="DZ237" s="406"/>
      <c r="EA237" s="406"/>
      <c r="EB237" s="406"/>
      <c r="EC237" s="406"/>
      <c r="ED237" s="406"/>
      <c r="EE237" s="406"/>
      <c r="EF237" s="406"/>
      <c r="EG237" s="406"/>
      <c r="EH237" s="406"/>
      <c r="EI237" s="406"/>
      <c r="EJ237" s="406"/>
      <c r="EK237" s="406"/>
      <c r="EL237" s="406"/>
      <c r="EM237" s="406"/>
      <c r="EN237" s="406"/>
      <c r="EO237" s="406"/>
      <c r="EP237" s="406"/>
      <c r="EQ237" s="406"/>
      <c r="ER237" s="406"/>
      <c r="ES237" s="406"/>
      <c r="ET237" s="406"/>
      <c r="EU237" s="406"/>
      <c r="EV237" s="406"/>
      <c r="EW237" s="406"/>
      <c r="EX237" s="406"/>
      <c r="EY237" s="406"/>
      <c r="EZ237" s="406"/>
      <c r="FA237" s="406"/>
      <c r="FB237" s="406"/>
      <c r="FC237" s="406"/>
      <c r="FD237" s="406"/>
      <c r="FE237" s="406"/>
      <c r="FF237" s="406"/>
      <c r="FG237" s="406"/>
      <c r="FH237" s="406"/>
      <c r="FI237" s="406"/>
      <c r="FJ237" s="406"/>
      <c r="FK237" s="406"/>
      <c r="FL237" s="406"/>
      <c r="FM237" s="406"/>
      <c r="FN237" s="406"/>
      <c r="FO237" s="406"/>
      <c r="FP237" s="406"/>
      <c r="FQ237" s="406"/>
      <c r="FR237" s="406"/>
      <c r="FS237" s="406"/>
      <c r="FT237" s="406"/>
      <c r="FU237" s="406"/>
      <c r="FV237" s="406"/>
      <c r="FW237" s="406"/>
      <c r="FX237" s="406"/>
      <c r="FY237" s="406"/>
      <c r="FZ237" s="406"/>
      <c r="GA237" s="406"/>
      <c r="GB237" s="406"/>
      <c r="GC237" s="406"/>
      <c r="GD237" s="406"/>
      <c r="GE237" s="406"/>
      <c r="GF237" s="406"/>
      <c r="GG237" s="406"/>
      <c r="GH237" s="406"/>
      <c r="GI237" s="406"/>
      <c r="GJ237" s="406"/>
      <c r="GK237" s="406"/>
      <c r="GL237" s="406"/>
      <c r="GM237" s="406"/>
      <c r="GN237" s="406"/>
      <c r="GO237" s="406"/>
      <c r="GP237" s="406"/>
      <c r="GQ237" s="406"/>
      <c r="GR237" s="406"/>
      <c r="GS237" s="406"/>
      <c r="GT237" s="406"/>
      <c r="GU237" s="406"/>
      <c r="GV237" s="406"/>
      <c r="GW237" s="406"/>
      <c r="GX237" s="406"/>
      <c r="GY237" s="406"/>
      <c r="GZ237" s="406"/>
      <c r="HA237" s="406"/>
      <c r="HB237" s="406"/>
      <c r="HC237" s="406"/>
      <c r="HD237" s="406"/>
      <c r="HE237" s="406"/>
      <c r="HF237" s="406"/>
      <c r="HG237" s="406"/>
      <c r="HH237" s="406"/>
      <c r="HI237" s="406"/>
      <c r="HJ237" s="406"/>
      <c r="HK237" s="406"/>
      <c r="HL237" s="406"/>
      <c r="HM237" s="406"/>
      <c r="HN237" s="406"/>
      <c r="HO237" s="406"/>
      <c r="HP237" s="406"/>
      <c r="HQ237" s="406"/>
      <c r="HR237" s="406"/>
      <c r="HS237" s="406"/>
      <c r="HT237" s="406"/>
      <c r="HU237" s="406"/>
      <c r="HV237" s="406"/>
      <c r="HW237" s="406"/>
      <c r="HX237" s="406"/>
      <c r="HY237" s="406"/>
      <c r="HZ237" s="406"/>
      <c r="IA237" s="406"/>
      <c r="IB237" s="406"/>
      <c r="IC237" s="406"/>
      <c r="ID237" s="406"/>
      <c r="IE237" s="406"/>
      <c r="IF237" s="406"/>
      <c r="IG237" s="406"/>
      <c r="IH237" s="406"/>
      <c r="II237" s="406"/>
      <c r="IJ237" s="406"/>
      <c r="IK237" s="406"/>
      <c r="IL237" s="406"/>
      <c r="IM237" s="406"/>
      <c r="IN237" s="406"/>
      <c r="IO237" s="406"/>
      <c r="IP237" s="406"/>
      <c r="IQ237" s="406"/>
      <c r="IR237" s="406"/>
      <c r="IS237" s="406"/>
      <c r="IT237" s="406"/>
      <c r="IU237" s="406"/>
      <c r="IV237" s="406"/>
      <c r="IW237" s="406"/>
    </row>
    <row r="238" customFormat="false" ht="12" hidden="true" customHeight="true" outlineLevel="0" collapsed="false">
      <c r="A238" s="393"/>
      <c r="B238" s="415" t="n">
        <v>99806</v>
      </c>
      <c r="C238" s="393"/>
      <c r="D238" s="416" t="s">
        <v>336</v>
      </c>
      <c r="E238" s="410"/>
      <c r="F238" s="411"/>
      <c r="G238" s="395"/>
      <c r="H238" s="395"/>
      <c r="I238" s="399" t="n">
        <f aca="false">LP806b</f>
        <v>41.7643104350835</v>
      </c>
      <c r="J238" s="399"/>
      <c r="K238" s="401"/>
      <c r="L238" s="401"/>
      <c r="M238" s="401"/>
      <c r="N238" s="412"/>
      <c r="O238" s="401"/>
      <c r="P238" s="401"/>
      <c r="Q238" s="401"/>
      <c r="R238" s="403"/>
      <c r="S238" s="401"/>
      <c r="T238" s="401"/>
      <c r="U238" s="401"/>
      <c r="V238" s="401"/>
      <c r="W238" s="401"/>
      <c r="X238" s="413"/>
      <c r="Y238" s="417"/>
      <c r="Z238" s="406"/>
      <c r="AA238" s="406"/>
      <c r="AB238" s="407"/>
      <c r="AC238" s="407"/>
      <c r="AD238" s="406"/>
      <c r="AE238" s="406"/>
      <c r="AF238" s="406"/>
      <c r="AG238" s="406"/>
      <c r="AH238" s="406"/>
      <c r="AI238" s="406"/>
      <c r="AJ238" s="406"/>
      <c r="AK238" s="406"/>
      <c r="AL238" s="406"/>
      <c r="AM238" s="406"/>
      <c r="AN238" s="406"/>
      <c r="AO238" s="406"/>
      <c r="AP238" s="406"/>
      <c r="AQ238" s="406"/>
      <c r="AR238" s="406"/>
      <c r="AS238" s="406"/>
      <c r="AT238" s="406"/>
      <c r="AU238" s="406"/>
      <c r="AV238" s="406"/>
      <c r="AW238" s="406"/>
      <c r="AX238" s="406"/>
      <c r="AY238" s="406"/>
      <c r="AZ238" s="406"/>
      <c r="BA238" s="406"/>
      <c r="BB238" s="406"/>
      <c r="BC238" s="406"/>
      <c r="BD238" s="406"/>
      <c r="BE238" s="406"/>
      <c r="BF238" s="406"/>
      <c r="BG238" s="406"/>
      <c r="BH238" s="406"/>
      <c r="BI238" s="406"/>
      <c r="BJ238" s="406"/>
      <c r="BK238" s="406"/>
      <c r="BL238" s="406"/>
      <c r="BM238" s="406"/>
      <c r="BN238" s="406"/>
      <c r="BO238" s="406"/>
      <c r="BP238" s="406"/>
      <c r="BQ238" s="406"/>
      <c r="BR238" s="406"/>
      <c r="BS238" s="406"/>
      <c r="BT238" s="406"/>
      <c r="BU238" s="406"/>
      <c r="BV238" s="406"/>
      <c r="BW238" s="406"/>
      <c r="BX238" s="406"/>
      <c r="BY238" s="406"/>
      <c r="BZ238" s="406"/>
      <c r="CA238" s="406"/>
      <c r="CB238" s="406"/>
      <c r="CC238" s="406"/>
      <c r="CD238" s="406"/>
      <c r="CE238" s="406"/>
      <c r="CF238" s="406"/>
      <c r="CG238" s="406"/>
      <c r="CH238" s="406"/>
      <c r="CI238" s="406"/>
      <c r="CJ238" s="406"/>
      <c r="CK238" s="406"/>
      <c r="CL238" s="406"/>
      <c r="CM238" s="406"/>
      <c r="CN238" s="406"/>
      <c r="CO238" s="406"/>
      <c r="CP238" s="406"/>
      <c r="CQ238" s="406"/>
      <c r="CR238" s="406"/>
      <c r="CS238" s="406"/>
      <c r="CT238" s="406"/>
      <c r="CU238" s="406"/>
      <c r="CV238" s="406"/>
      <c r="CW238" s="406"/>
      <c r="CX238" s="406"/>
      <c r="CY238" s="406"/>
      <c r="CZ238" s="406"/>
      <c r="DA238" s="406"/>
      <c r="DB238" s="406"/>
      <c r="DC238" s="406"/>
      <c r="DD238" s="406"/>
      <c r="DE238" s="406"/>
      <c r="DF238" s="406"/>
      <c r="DG238" s="406"/>
      <c r="DH238" s="406"/>
      <c r="DI238" s="406"/>
      <c r="DJ238" s="406"/>
      <c r="DK238" s="406"/>
      <c r="DL238" s="406"/>
      <c r="DM238" s="406"/>
      <c r="DN238" s="406"/>
      <c r="DO238" s="406"/>
      <c r="DP238" s="406"/>
      <c r="DQ238" s="406"/>
      <c r="DR238" s="406"/>
      <c r="DS238" s="406"/>
      <c r="DT238" s="406"/>
      <c r="DU238" s="406"/>
      <c r="DV238" s="406"/>
      <c r="DW238" s="406"/>
      <c r="DX238" s="406"/>
      <c r="DY238" s="406"/>
      <c r="DZ238" s="406"/>
      <c r="EA238" s="406"/>
      <c r="EB238" s="406"/>
      <c r="EC238" s="406"/>
      <c r="ED238" s="406"/>
      <c r="EE238" s="406"/>
      <c r="EF238" s="406"/>
      <c r="EG238" s="406"/>
      <c r="EH238" s="406"/>
      <c r="EI238" s="406"/>
      <c r="EJ238" s="406"/>
      <c r="EK238" s="406"/>
      <c r="EL238" s="406"/>
      <c r="EM238" s="406"/>
      <c r="EN238" s="406"/>
      <c r="EO238" s="406"/>
      <c r="EP238" s="406"/>
      <c r="EQ238" s="406"/>
      <c r="ER238" s="406"/>
      <c r="ES238" s="406"/>
      <c r="ET238" s="406"/>
      <c r="EU238" s="406"/>
      <c r="EV238" s="406"/>
      <c r="EW238" s="406"/>
      <c r="EX238" s="406"/>
      <c r="EY238" s="406"/>
      <c r="EZ238" s="406"/>
      <c r="FA238" s="406"/>
      <c r="FB238" s="406"/>
      <c r="FC238" s="406"/>
      <c r="FD238" s="406"/>
      <c r="FE238" s="406"/>
      <c r="FF238" s="406"/>
      <c r="FG238" s="406"/>
      <c r="FH238" s="406"/>
      <c r="FI238" s="406"/>
      <c r="FJ238" s="406"/>
      <c r="FK238" s="406"/>
      <c r="FL238" s="406"/>
      <c r="FM238" s="406"/>
      <c r="FN238" s="406"/>
      <c r="FO238" s="406"/>
      <c r="FP238" s="406"/>
      <c r="FQ238" s="406"/>
      <c r="FR238" s="406"/>
      <c r="FS238" s="406"/>
      <c r="FT238" s="406"/>
      <c r="FU238" s="406"/>
      <c r="FV238" s="406"/>
      <c r="FW238" s="406"/>
      <c r="FX238" s="406"/>
      <c r="FY238" s="406"/>
      <c r="FZ238" s="406"/>
      <c r="GA238" s="406"/>
      <c r="GB238" s="406"/>
      <c r="GC238" s="406"/>
      <c r="GD238" s="406"/>
      <c r="GE238" s="406"/>
      <c r="GF238" s="406"/>
      <c r="GG238" s="406"/>
      <c r="GH238" s="406"/>
      <c r="GI238" s="406"/>
      <c r="GJ238" s="406"/>
      <c r="GK238" s="406"/>
      <c r="GL238" s="406"/>
      <c r="GM238" s="406"/>
      <c r="GN238" s="406"/>
      <c r="GO238" s="406"/>
      <c r="GP238" s="406"/>
      <c r="GQ238" s="406"/>
      <c r="GR238" s="406"/>
      <c r="GS238" s="406"/>
      <c r="GT238" s="406"/>
      <c r="GU238" s="406"/>
      <c r="GV238" s="406"/>
      <c r="GW238" s="406"/>
      <c r="GX238" s="406"/>
      <c r="GY238" s="406"/>
      <c r="GZ238" s="406"/>
      <c r="HA238" s="406"/>
      <c r="HB238" s="406"/>
      <c r="HC238" s="406"/>
      <c r="HD238" s="406"/>
      <c r="HE238" s="406"/>
      <c r="HF238" s="406"/>
      <c r="HG238" s="406"/>
      <c r="HH238" s="406"/>
      <c r="HI238" s="406"/>
      <c r="HJ238" s="406"/>
      <c r="HK238" s="406"/>
      <c r="HL238" s="406"/>
      <c r="HM238" s="406"/>
      <c r="HN238" s="406"/>
      <c r="HO238" s="406"/>
      <c r="HP238" s="406"/>
      <c r="HQ238" s="406"/>
      <c r="HR238" s="406"/>
      <c r="HS238" s="406"/>
      <c r="HT238" s="406"/>
      <c r="HU238" s="406"/>
      <c r="HV238" s="406"/>
      <c r="HW238" s="406"/>
      <c r="HX238" s="406"/>
      <c r="HY238" s="406"/>
      <c r="HZ238" s="406"/>
      <c r="IA238" s="406"/>
      <c r="IB238" s="406"/>
      <c r="IC238" s="406"/>
      <c r="ID238" s="406"/>
      <c r="IE238" s="406"/>
      <c r="IF238" s="406"/>
      <c r="IG238" s="406"/>
      <c r="IH238" s="406"/>
      <c r="II238" s="406"/>
      <c r="IJ238" s="406"/>
      <c r="IK238" s="406"/>
      <c r="IL238" s="406"/>
      <c r="IM238" s="406"/>
      <c r="IN238" s="406"/>
      <c r="IO238" s="406"/>
      <c r="IP238" s="406"/>
      <c r="IQ238" s="406"/>
      <c r="IR238" s="406"/>
      <c r="IS238" s="406"/>
      <c r="IT238" s="406"/>
      <c r="IU238" s="406"/>
      <c r="IV238" s="406"/>
      <c r="IW238" s="406"/>
    </row>
    <row r="239" customFormat="false" ht="12" hidden="true" customHeight="true" outlineLevel="0" collapsed="false">
      <c r="A239" s="393"/>
      <c r="B239" s="415" t="n">
        <v>99809</v>
      </c>
      <c r="C239" s="393"/>
      <c r="D239" s="416" t="s">
        <v>337</v>
      </c>
      <c r="E239" s="410"/>
      <c r="F239" s="411"/>
      <c r="G239" s="395"/>
      <c r="H239" s="395"/>
      <c r="I239" s="399" t="n">
        <f aca="false">LP809b</f>
        <v>74.6102151446377</v>
      </c>
      <c r="J239" s="399"/>
      <c r="K239" s="401"/>
      <c r="L239" s="401"/>
      <c r="M239" s="401"/>
      <c r="N239" s="412"/>
      <c r="O239" s="401"/>
      <c r="P239" s="401"/>
      <c r="Q239" s="401"/>
      <c r="R239" s="403"/>
      <c r="S239" s="401"/>
      <c r="T239" s="401"/>
      <c r="U239" s="401"/>
      <c r="V239" s="401"/>
      <c r="W239" s="401"/>
      <c r="X239" s="413"/>
      <c r="Y239" s="417"/>
      <c r="Z239" s="406"/>
      <c r="AA239" s="406"/>
      <c r="AB239" s="407"/>
      <c r="AC239" s="407"/>
      <c r="AD239" s="406"/>
      <c r="AE239" s="406"/>
      <c r="AF239" s="406"/>
      <c r="AG239" s="406"/>
      <c r="AH239" s="406"/>
      <c r="AI239" s="406"/>
      <c r="AJ239" s="406"/>
      <c r="AK239" s="406"/>
      <c r="AL239" s="406"/>
      <c r="AM239" s="406"/>
      <c r="AN239" s="406"/>
      <c r="AO239" s="406"/>
      <c r="AP239" s="406"/>
      <c r="AQ239" s="406"/>
      <c r="AR239" s="406"/>
      <c r="AS239" s="406"/>
      <c r="AT239" s="406"/>
      <c r="AU239" s="406"/>
      <c r="AV239" s="406"/>
      <c r="AW239" s="406"/>
      <c r="AX239" s="406"/>
      <c r="AY239" s="406"/>
      <c r="AZ239" s="406"/>
      <c r="BA239" s="406"/>
      <c r="BB239" s="406"/>
      <c r="BC239" s="406"/>
      <c r="BD239" s="406"/>
      <c r="BE239" s="406"/>
      <c r="BF239" s="406"/>
      <c r="BG239" s="406"/>
      <c r="BH239" s="406"/>
      <c r="BI239" s="406"/>
      <c r="BJ239" s="406"/>
      <c r="BK239" s="406"/>
      <c r="BL239" s="406"/>
      <c r="BM239" s="406"/>
      <c r="BN239" s="406"/>
      <c r="BO239" s="406"/>
      <c r="BP239" s="406"/>
      <c r="BQ239" s="406"/>
      <c r="BR239" s="406"/>
      <c r="BS239" s="406"/>
      <c r="BT239" s="406"/>
      <c r="BU239" s="406"/>
      <c r="BV239" s="406"/>
      <c r="BW239" s="406"/>
      <c r="BX239" s="406"/>
      <c r="BY239" s="406"/>
      <c r="BZ239" s="406"/>
      <c r="CA239" s="406"/>
      <c r="CB239" s="406"/>
      <c r="CC239" s="406"/>
      <c r="CD239" s="406"/>
      <c r="CE239" s="406"/>
      <c r="CF239" s="406"/>
      <c r="CG239" s="406"/>
      <c r="CH239" s="406"/>
      <c r="CI239" s="406"/>
      <c r="CJ239" s="406"/>
      <c r="CK239" s="406"/>
      <c r="CL239" s="406"/>
      <c r="CM239" s="406"/>
      <c r="CN239" s="406"/>
      <c r="CO239" s="406"/>
      <c r="CP239" s="406"/>
      <c r="CQ239" s="406"/>
      <c r="CR239" s="406"/>
      <c r="CS239" s="406"/>
      <c r="CT239" s="406"/>
      <c r="CU239" s="406"/>
      <c r="CV239" s="406"/>
      <c r="CW239" s="406"/>
      <c r="CX239" s="406"/>
      <c r="CY239" s="406"/>
      <c r="CZ239" s="406"/>
      <c r="DA239" s="406"/>
      <c r="DB239" s="406"/>
      <c r="DC239" s="406"/>
      <c r="DD239" s="406"/>
      <c r="DE239" s="406"/>
      <c r="DF239" s="406"/>
      <c r="DG239" s="406"/>
      <c r="DH239" s="406"/>
      <c r="DI239" s="406"/>
      <c r="DJ239" s="406"/>
      <c r="DK239" s="406"/>
      <c r="DL239" s="406"/>
      <c r="DM239" s="406"/>
      <c r="DN239" s="406"/>
      <c r="DO239" s="406"/>
      <c r="DP239" s="406"/>
      <c r="DQ239" s="406"/>
      <c r="DR239" s="406"/>
      <c r="DS239" s="406"/>
      <c r="DT239" s="406"/>
      <c r="DU239" s="406"/>
      <c r="DV239" s="406"/>
      <c r="DW239" s="406"/>
      <c r="DX239" s="406"/>
      <c r="DY239" s="406"/>
      <c r="DZ239" s="406"/>
      <c r="EA239" s="406"/>
      <c r="EB239" s="406"/>
      <c r="EC239" s="406"/>
      <c r="ED239" s="406"/>
      <c r="EE239" s="406"/>
      <c r="EF239" s="406"/>
      <c r="EG239" s="406"/>
      <c r="EH239" s="406"/>
      <c r="EI239" s="406"/>
      <c r="EJ239" s="406"/>
      <c r="EK239" s="406"/>
      <c r="EL239" s="406"/>
      <c r="EM239" s="406"/>
      <c r="EN239" s="406"/>
      <c r="EO239" s="406"/>
      <c r="EP239" s="406"/>
      <c r="EQ239" s="406"/>
      <c r="ER239" s="406"/>
      <c r="ES239" s="406"/>
      <c r="ET239" s="406"/>
      <c r="EU239" s="406"/>
      <c r="EV239" s="406"/>
      <c r="EW239" s="406"/>
      <c r="EX239" s="406"/>
      <c r="EY239" s="406"/>
      <c r="EZ239" s="406"/>
      <c r="FA239" s="406"/>
      <c r="FB239" s="406"/>
      <c r="FC239" s="406"/>
      <c r="FD239" s="406"/>
      <c r="FE239" s="406"/>
      <c r="FF239" s="406"/>
      <c r="FG239" s="406"/>
      <c r="FH239" s="406"/>
      <c r="FI239" s="406"/>
      <c r="FJ239" s="406"/>
      <c r="FK239" s="406"/>
      <c r="FL239" s="406"/>
      <c r="FM239" s="406"/>
      <c r="FN239" s="406"/>
      <c r="FO239" s="406"/>
      <c r="FP239" s="406"/>
      <c r="FQ239" s="406"/>
      <c r="FR239" s="406"/>
      <c r="FS239" s="406"/>
      <c r="FT239" s="406"/>
      <c r="FU239" s="406"/>
      <c r="FV239" s="406"/>
      <c r="FW239" s="406"/>
      <c r="FX239" s="406"/>
      <c r="FY239" s="406"/>
      <c r="FZ239" s="406"/>
      <c r="GA239" s="406"/>
      <c r="GB239" s="406"/>
      <c r="GC239" s="406"/>
      <c r="GD239" s="406"/>
      <c r="GE239" s="406"/>
      <c r="GF239" s="406"/>
      <c r="GG239" s="406"/>
      <c r="GH239" s="406"/>
      <c r="GI239" s="406"/>
      <c r="GJ239" s="406"/>
      <c r="GK239" s="406"/>
      <c r="GL239" s="406"/>
      <c r="GM239" s="406"/>
      <c r="GN239" s="406"/>
      <c r="GO239" s="406"/>
      <c r="GP239" s="406"/>
      <c r="GQ239" s="406"/>
      <c r="GR239" s="406"/>
      <c r="GS239" s="406"/>
      <c r="GT239" s="406"/>
      <c r="GU239" s="406"/>
      <c r="GV239" s="406"/>
      <c r="GW239" s="406"/>
      <c r="GX239" s="406"/>
      <c r="GY239" s="406"/>
      <c r="GZ239" s="406"/>
      <c r="HA239" s="406"/>
      <c r="HB239" s="406"/>
      <c r="HC239" s="406"/>
      <c r="HD239" s="406"/>
      <c r="HE239" s="406"/>
      <c r="HF239" s="406"/>
      <c r="HG239" s="406"/>
      <c r="HH239" s="406"/>
      <c r="HI239" s="406"/>
      <c r="HJ239" s="406"/>
      <c r="HK239" s="406"/>
      <c r="HL239" s="406"/>
      <c r="HM239" s="406"/>
      <c r="HN239" s="406"/>
      <c r="HO239" s="406"/>
      <c r="HP239" s="406"/>
      <c r="HQ239" s="406"/>
      <c r="HR239" s="406"/>
      <c r="HS239" s="406"/>
      <c r="HT239" s="406"/>
      <c r="HU239" s="406"/>
      <c r="HV239" s="406"/>
      <c r="HW239" s="406"/>
      <c r="HX239" s="406"/>
      <c r="HY239" s="406"/>
      <c r="HZ239" s="406"/>
      <c r="IA239" s="406"/>
      <c r="IB239" s="406"/>
      <c r="IC239" s="406"/>
      <c r="ID239" s="406"/>
      <c r="IE239" s="406"/>
      <c r="IF239" s="406"/>
      <c r="IG239" s="406"/>
      <c r="IH239" s="406"/>
      <c r="II239" s="406"/>
      <c r="IJ239" s="406"/>
      <c r="IK239" s="406"/>
      <c r="IL239" s="406"/>
      <c r="IM239" s="406"/>
      <c r="IN239" s="406"/>
      <c r="IO239" s="406"/>
      <c r="IP239" s="406"/>
      <c r="IQ239" s="406"/>
      <c r="IR239" s="406"/>
      <c r="IS239" s="406"/>
      <c r="IT239" s="406"/>
      <c r="IU239" s="406"/>
      <c r="IV239" s="406"/>
      <c r="IW239" s="406"/>
    </row>
    <row r="240" customFormat="false" ht="12" hidden="true" customHeight="true" outlineLevel="0" collapsed="false">
      <c r="A240" s="393"/>
      <c r="B240" s="415" t="n">
        <v>99812</v>
      </c>
      <c r="C240" s="393"/>
      <c r="D240" s="416" t="s">
        <v>338</v>
      </c>
      <c r="E240" s="410"/>
      <c r="F240" s="411"/>
      <c r="G240" s="395"/>
      <c r="H240" s="395"/>
      <c r="I240" s="399" t="n">
        <f aca="false">LP812b</f>
        <v>74.7207611286854</v>
      </c>
      <c r="J240" s="399"/>
      <c r="K240" s="401"/>
      <c r="L240" s="401"/>
      <c r="M240" s="401"/>
      <c r="N240" s="412"/>
      <c r="O240" s="401"/>
      <c r="P240" s="401"/>
      <c r="Q240" s="401"/>
      <c r="R240" s="403"/>
      <c r="S240" s="401"/>
      <c r="T240" s="401"/>
      <c r="U240" s="401"/>
      <c r="V240" s="401"/>
      <c r="W240" s="401"/>
      <c r="X240" s="413"/>
      <c r="Y240" s="417"/>
      <c r="Z240" s="406"/>
      <c r="AA240" s="406"/>
      <c r="AB240" s="407"/>
      <c r="AC240" s="407"/>
      <c r="AD240" s="406"/>
      <c r="AE240" s="406"/>
      <c r="AF240" s="406"/>
      <c r="AG240" s="406"/>
      <c r="AH240" s="406"/>
      <c r="AI240" s="406"/>
      <c r="AJ240" s="406"/>
      <c r="AK240" s="406"/>
      <c r="AL240" s="406"/>
      <c r="AM240" s="406"/>
      <c r="AN240" s="406"/>
      <c r="AO240" s="406"/>
      <c r="AP240" s="406"/>
      <c r="AQ240" s="406"/>
      <c r="AR240" s="406"/>
      <c r="AS240" s="406"/>
      <c r="AT240" s="406"/>
      <c r="AU240" s="406"/>
      <c r="AV240" s="406"/>
      <c r="AW240" s="406"/>
      <c r="AX240" s="406"/>
      <c r="AY240" s="406"/>
      <c r="AZ240" s="406"/>
      <c r="BA240" s="406"/>
      <c r="BB240" s="406"/>
      <c r="BC240" s="406"/>
      <c r="BD240" s="406"/>
      <c r="BE240" s="406"/>
      <c r="BF240" s="406"/>
      <c r="BG240" s="406"/>
      <c r="BH240" s="406"/>
      <c r="BI240" s="406"/>
      <c r="BJ240" s="406"/>
      <c r="BK240" s="406"/>
      <c r="BL240" s="406"/>
      <c r="BM240" s="406"/>
      <c r="BN240" s="406"/>
      <c r="BO240" s="406"/>
      <c r="BP240" s="406"/>
      <c r="BQ240" s="406"/>
      <c r="BR240" s="406"/>
      <c r="BS240" s="406"/>
      <c r="BT240" s="406"/>
      <c r="BU240" s="406"/>
      <c r="BV240" s="406"/>
      <c r="BW240" s="406"/>
      <c r="BX240" s="406"/>
      <c r="BY240" s="406"/>
      <c r="BZ240" s="406"/>
      <c r="CA240" s="406"/>
      <c r="CB240" s="406"/>
      <c r="CC240" s="406"/>
      <c r="CD240" s="406"/>
      <c r="CE240" s="406"/>
      <c r="CF240" s="406"/>
      <c r="CG240" s="406"/>
      <c r="CH240" s="406"/>
      <c r="CI240" s="406"/>
      <c r="CJ240" s="406"/>
      <c r="CK240" s="406"/>
      <c r="CL240" s="406"/>
      <c r="CM240" s="406"/>
      <c r="CN240" s="406"/>
      <c r="CO240" s="406"/>
      <c r="CP240" s="406"/>
      <c r="CQ240" s="406"/>
      <c r="CR240" s="406"/>
      <c r="CS240" s="406"/>
      <c r="CT240" s="406"/>
      <c r="CU240" s="406"/>
      <c r="CV240" s="406"/>
      <c r="CW240" s="406"/>
      <c r="CX240" s="406"/>
      <c r="CY240" s="406"/>
      <c r="CZ240" s="406"/>
      <c r="DA240" s="406"/>
      <c r="DB240" s="406"/>
      <c r="DC240" s="406"/>
      <c r="DD240" s="406"/>
      <c r="DE240" s="406"/>
      <c r="DF240" s="406"/>
      <c r="DG240" s="406"/>
      <c r="DH240" s="406"/>
      <c r="DI240" s="406"/>
      <c r="DJ240" s="406"/>
      <c r="DK240" s="406"/>
      <c r="DL240" s="406"/>
      <c r="DM240" s="406"/>
      <c r="DN240" s="406"/>
      <c r="DO240" s="406"/>
      <c r="DP240" s="406"/>
      <c r="DQ240" s="406"/>
      <c r="DR240" s="406"/>
      <c r="DS240" s="406"/>
      <c r="DT240" s="406"/>
      <c r="DU240" s="406"/>
      <c r="DV240" s="406"/>
      <c r="DW240" s="406"/>
      <c r="DX240" s="406"/>
      <c r="DY240" s="406"/>
      <c r="DZ240" s="406"/>
      <c r="EA240" s="406"/>
      <c r="EB240" s="406"/>
      <c r="EC240" s="406"/>
      <c r="ED240" s="406"/>
      <c r="EE240" s="406"/>
      <c r="EF240" s="406"/>
      <c r="EG240" s="406"/>
      <c r="EH240" s="406"/>
      <c r="EI240" s="406"/>
      <c r="EJ240" s="406"/>
      <c r="EK240" s="406"/>
      <c r="EL240" s="406"/>
      <c r="EM240" s="406"/>
      <c r="EN240" s="406"/>
      <c r="EO240" s="406"/>
      <c r="EP240" s="406"/>
      <c r="EQ240" s="406"/>
      <c r="ER240" s="406"/>
      <c r="ES240" s="406"/>
      <c r="ET240" s="406"/>
      <c r="EU240" s="406"/>
      <c r="EV240" s="406"/>
      <c r="EW240" s="406"/>
      <c r="EX240" s="406"/>
      <c r="EY240" s="406"/>
      <c r="EZ240" s="406"/>
      <c r="FA240" s="406"/>
      <c r="FB240" s="406"/>
      <c r="FC240" s="406"/>
      <c r="FD240" s="406"/>
      <c r="FE240" s="406"/>
      <c r="FF240" s="406"/>
      <c r="FG240" s="406"/>
      <c r="FH240" s="406"/>
      <c r="FI240" s="406"/>
      <c r="FJ240" s="406"/>
      <c r="FK240" s="406"/>
      <c r="FL240" s="406"/>
      <c r="FM240" s="406"/>
      <c r="FN240" s="406"/>
      <c r="FO240" s="406"/>
      <c r="FP240" s="406"/>
      <c r="FQ240" s="406"/>
      <c r="FR240" s="406"/>
      <c r="FS240" s="406"/>
      <c r="FT240" s="406"/>
      <c r="FU240" s="406"/>
      <c r="FV240" s="406"/>
      <c r="FW240" s="406"/>
      <c r="FX240" s="406"/>
      <c r="FY240" s="406"/>
      <c r="FZ240" s="406"/>
      <c r="GA240" s="406"/>
      <c r="GB240" s="406"/>
      <c r="GC240" s="406"/>
      <c r="GD240" s="406"/>
      <c r="GE240" s="406"/>
      <c r="GF240" s="406"/>
      <c r="GG240" s="406"/>
      <c r="GH240" s="406"/>
      <c r="GI240" s="406"/>
      <c r="GJ240" s="406"/>
      <c r="GK240" s="406"/>
      <c r="GL240" s="406"/>
      <c r="GM240" s="406"/>
      <c r="GN240" s="406"/>
      <c r="GO240" s="406"/>
      <c r="GP240" s="406"/>
      <c r="GQ240" s="406"/>
      <c r="GR240" s="406"/>
      <c r="GS240" s="406"/>
      <c r="GT240" s="406"/>
      <c r="GU240" s="406"/>
      <c r="GV240" s="406"/>
      <c r="GW240" s="406"/>
      <c r="GX240" s="406"/>
      <c r="GY240" s="406"/>
      <c r="GZ240" s="406"/>
      <c r="HA240" s="406"/>
      <c r="HB240" s="406"/>
      <c r="HC240" s="406"/>
      <c r="HD240" s="406"/>
      <c r="HE240" s="406"/>
      <c r="HF240" s="406"/>
      <c r="HG240" s="406"/>
      <c r="HH240" s="406"/>
      <c r="HI240" s="406"/>
      <c r="HJ240" s="406"/>
      <c r="HK240" s="406"/>
      <c r="HL240" s="406"/>
      <c r="HM240" s="406"/>
      <c r="HN240" s="406"/>
      <c r="HO240" s="406"/>
      <c r="HP240" s="406"/>
      <c r="HQ240" s="406"/>
      <c r="HR240" s="406"/>
      <c r="HS240" s="406"/>
      <c r="HT240" s="406"/>
      <c r="HU240" s="406"/>
      <c r="HV240" s="406"/>
      <c r="HW240" s="406"/>
      <c r="HX240" s="406"/>
      <c r="HY240" s="406"/>
      <c r="HZ240" s="406"/>
      <c r="IA240" s="406"/>
      <c r="IB240" s="406"/>
      <c r="IC240" s="406"/>
      <c r="ID240" s="406"/>
      <c r="IE240" s="406"/>
      <c r="IF240" s="406"/>
      <c r="IG240" s="406"/>
      <c r="IH240" s="406"/>
      <c r="II240" s="406"/>
      <c r="IJ240" s="406"/>
      <c r="IK240" s="406"/>
      <c r="IL240" s="406"/>
      <c r="IM240" s="406"/>
      <c r="IN240" s="406"/>
      <c r="IO240" s="406"/>
      <c r="IP240" s="406"/>
      <c r="IQ240" s="406"/>
      <c r="IR240" s="406"/>
      <c r="IS240" s="406"/>
      <c r="IT240" s="406"/>
      <c r="IU240" s="406"/>
      <c r="IV240" s="406"/>
      <c r="IW240" s="406"/>
    </row>
    <row r="241" customFormat="false" ht="12" hidden="true" customHeight="true" outlineLevel="0" collapsed="false">
      <c r="A241" s="393"/>
      <c r="B241" s="415" t="n">
        <v>99814</v>
      </c>
      <c r="C241" s="393"/>
      <c r="D241" s="416" t="s">
        <v>339</v>
      </c>
      <c r="E241" s="410"/>
      <c r="F241" s="411"/>
      <c r="G241" s="395"/>
      <c r="H241" s="395"/>
      <c r="I241" s="399" t="n">
        <f aca="false">LP8141Ab</f>
        <v>34.8605436205707</v>
      </c>
      <c r="J241" s="399"/>
      <c r="K241" s="401"/>
      <c r="L241" s="401"/>
      <c r="M241" s="401"/>
      <c r="N241" s="412"/>
      <c r="O241" s="401"/>
      <c r="P241" s="401"/>
      <c r="Q241" s="401"/>
      <c r="R241" s="403"/>
      <c r="S241" s="401"/>
      <c r="T241" s="401"/>
      <c r="U241" s="401"/>
      <c r="V241" s="401"/>
      <c r="W241" s="401"/>
      <c r="X241" s="413"/>
      <c r="Y241" s="417"/>
      <c r="Z241" s="406"/>
      <c r="AA241" s="406"/>
      <c r="AB241" s="407"/>
      <c r="AC241" s="407"/>
      <c r="AD241" s="406"/>
      <c r="AE241" s="406"/>
      <c r="AF241" s="406"/>
      <c r="AG241" s="406"/>
      <c r="AH241" s="406"/>
      <c r="AI241" s="406"/>
      <c r="AJ241" s="406"/>
      <c r="AK241" s="406"/>
      <c r="AL241" s="406"/>
      <c r="AM241" s="406"/>
      <c r="AN241" s="406"/>
      <c r="AO241" s="406"/>
      <c r="AP241" s="406"/>
      <c r="AQ241" s="406"/>
      <c r="AR241" s="406"/>
      <c r="AS241" s="406"/>
      <c r="AT241" s="406"/>
      <c r="AU241" s="406"/>
      <c r="AV241" s="406"/>
      <c r="AW241" s="406"/>
      <c r="AX241" s="406"/>
      <c r="AY241" s="406"/>
      <c r="AZ241" s="406"/>
      <c r="BA241" s="406"/>
      <c r="BB241" s="406"/>
      <c r="BC241" s="406"/>
      <c r="BD241" s="406"/>
      <c r="BE241" s="406"/>
      <c r="BF241" s="406"/>
      <c r="BG241" s="406"/>
      <c r="BH241" s="406"/>
      <c r="BI241" s="406"/>
      <c r="BJ241" s="406"/>
      <c r="BK241" s="406"/>
      <c r="BL241" s="406"/>
      <c r="BM241" s="406"/>
      <c r="BN241" s="406"/>
      <c r="BO241" s="406"/>
      <c r="BP241" s="406"/>
      <c r="BQ241" s="406"/>
      <c r="BR241" s="406"/>
      <c r="BS241" s="406"/>
      <c r="BT241" s="406"/>
      <c r="BU241" s="406"/>
      <c r="BV241" s="406"/>
      <c r="BW241" s="406"/>
      <c r="BX241" s="406"/>
      <c r="BY241" s="406"/>
      <c r="BZ241" s="406"/>
      <c r="CA241" s="406"/>
      <c r="CB241" s="406"/>
      <c r="CC241" s="406"/>
      <c r="CD241" s="406"/>
      <c r="CE241" s="406"/>
      <c r="CF241" s="406"/>
      <c r="CG241" s="406"/>
      <c r="CH241" s="406"/>
      <c r="CI241" s="406"/>
      <c r="CJ241" s="406"/>
      <c r="CK241" s="406"/>
      <c r="CL241" s="406"/>
      <c r="CM241" s="406"/>
      <c r="CN241" s="406"/>
      <c r="CO241" s="406"/>
      <c r="CP241" s="406"/>
      <c r="CQ241" s="406"/>
      <c r="CR241" s="406"/>
      <c r="CS241" s="406"/>
      <c r="CT241" s="406"/>
      <c r="CU241" s="406"/>
      <c r="CV241" s="406"/>
      <c r="CW241" s="406"/>
      <c r="CX241" s="406"/>
      <c r="CY241" s="406"/>
      <c r="CZ241" s="406"/>
      <c r="DA241" s="406"/>
      <c r="DB241" s="406"/>
      <c r="DC241" s="406"/>
      <c r="DD241" s="406"/>
      <c r="DE241" s="406"/>
      <c r="DF241" s="406"/>
      <c r="DG241" s="406"/>
      <c r="DH241" s="406"/>
      <c r="DI241" s="406"/>
      <c r="DJ241" s="406"/>
      <c r="DK241" s="406"/>
      <c r="DL241" s="406"/>
      <c r="DM241" s="406"/>
      <c r="DN241" s="406"/>
      <c r="DO241" s="406"/>
      <c r="DP241" s="406"/>
      <c r="DQ241" s="406"/>
      <c r="DR241" s="406"/>
      <c r="DS241" s="406"/>
      <c r="DT241" s="406"/>
      <c r="DU241" s="406"/>
      <c r="DV241" s="406"/>
      <c r="DW241" s="406"/>
      <c r="DX241" s="406"/>
      <c r="DY241" s="406"/>
      <c r="DZ241" s="406"/>
      <c r="EA241" s="406"/>
      <c r="EB241" s="406"/>
      <c r="EC241" s="406"/>
      <c r="ED241" s="406"/>
      <c r="EE241" s="406"/>
      <c r="EF241" s="406"/>
      <c r="EG241" s="406"/>
      <c r="EH241" s="406"/>
      <c r="EI241" s="406"/>
      <c r="EJ241" s="406"/>
      <c r="EK241" s="406"/>
      <c r="EL241" s="406"/>
      <c r="EM241" s="406"/>
      <c r="EN241" s="406"/>
      <c r="EO241" s="406"/>
      <c r="EP241" s="406"/>
      <c r="EQ241" s="406"/>
      <c r="ER241" s="406"/>
      <c r="ES241" s="406"/>
      <c r="ET241" s="406"/>
      <c r="EU241" s="406"/>
      <c r="EV241" s="406"/>
      <c r="EW241" s="406"/>
      <c r="EX241" s="406"/>
      <c r="EY241" s="406"/>
      <c r="EZ241" s="406"/>
      <c r="FA241" s="406"/>
      <c r="FB241" s="406"/>
      <c r="FC241" s="406"/>
      <c r="FD241" s="406"/>
      <c r="FE241" s="406"/>
      <c r="FF241" s="406"/>
      <c r="FG241" s="406"/>
      <c r="FH241" s="406"/>
      <c r="FI241" s="406"/>
      <c r="FJ241" s="406"/>
      <c r="FK241" s="406"/>
      <c r="FL241" s="406"/>
      <c r="FM241" s="406"/>
      <c r="FN241" s="406"/>
      <c r="FO241" s="406"/>
      <c r="FP241" s="406"/>
      <c r="FQ241" s="406"/>
      <c r="FR241" s="406"/>
      <c r="FS241" s="406"/>
      <c r="FT241" s="406"/>
      <c r="FU241" s="406"/>
      <c r="FV241" s="406"/>
      <c r="FW241" s="406"/>
      <c r="FX241" s="406"/>
      <c r="FY241" s="406"/>
      <c r="FZ241" s="406"/>
      <c r="GA241" s="406"/>
      <c r="GB241" s="406"/>
      <c r="GC241" s="406"/>
      <c r="GD241" s="406"/>
      <c r="GE241" s="406"/>
      <c r="GF241" s="406"/>
      <c r="GG241" s="406"/>
      <c r="GH241" s="406"/>
      <c r="GI241" s="406"/>
      <c r="GJ241" s="406"/>
      <c r="GK241" s="406"/>
      <c r="GL241" s="406"/>
      <c r="GM241" s="406"/>
      <c r="GN241" s="406"/>
      <c r="GO241" s="406"/>
      <c r="GP241" s="406"/>
      <c r="GQ241" s="406"/>
      <c r="GR241" s="406"/>
      <c r="GS241" s="406"/>
      <c r="GT241" s="406"/>
      <c r="GU241" s="406"/>
      <c r="GV241" s="406"/>
      <c r="GW241" s="406"/>
      <c r="GX241" s="406"/>
      <c r="GY241" s="406"/>
      <c r="GZ241" s="406"/>
      <c r="HA241" s="406"/>
      <c r="HB241" s="406"/>
      <c r="HC241" s="406"/>
      <c r="HD241" s="406"/>
      <c r="HE241" s="406"/>
      <c r="HF241" s="406"/>
      <c r="HG241" s="406"/>
      <c r="HH241" s="406"/>
      <c r="HI241" s="406"/>
      <c r="HJ241" s="406"/>
      <c r="HK241" s="406"/>
      <c r="HL241" s="406"/>
      <c r="HM241" s="406"/>
      <c r="HN241" s="406"/>
      <c r="HO241" s="406"/>
      <c r="HP241" s="406"/>
      <c r="HQ241" s="406"/>
      <c r="HR241" s="406"/>
      <c r="HS241" s="406"/>
      <c r="HT241" s="406"/>
      <c r="HU241" s="406"/>
      <c r="HV241" s="406"/>
      <c r="HW241" s="406"/>
      <c r="HX241" s="406"/>
      <c r="HY241" s="406"/>
      <c r="HZ241" s="406"/>
      <c r="IA241" s="406"/>
      <c r="IB241" s="406"/>
      <c r="IC241" s="406"/>
      <c r="ID241" s="406"/>
      <c r="IE241" s="406"/>
      <c r="IF241" s="406"/>
      <c r="IG241" s="406"/>
      <c r="IH241" s="406"/>
      <c r="II241" s="406"/>
      <c r="IJ241" s="406"/>
      <c r="IK241" s="406"/>
      <c r="IL241" s="406"/>
      <c r="IM241" s="406"/>
      <c r="IN241" s="406"/>
      <c r="IO241" s="406"/>
      <c r="IP241" s="406"/>
      <c r="IQ241" s="406"/>
      <c r="IR241" s="406"/>
      <c r="IS241" s="406"/>
      <c r="IT241" s="406"/>
      <c r="IU241" s="406"/>
      <c r="IV241" s="406"/>
      <c r="IW241" s="406"/>
    </row>
    <row r="242" customFormat="false" ht="12" hidden="true" customHeight="true" outlineLevel="0" collapsed="false">
      <c r="A242" s="393"/>
      <c r="B242" s="415" t="n">
        <v>99820</v>
      </c>
      <c r="C242" s="393"/>
      <c r="D242" s="416" t="s">
        <v>340</v>
      </c>
      <c r="E242" s="410"/>
      <c r="F242" s="411"/>
      <c r="G242" s="395"/>
      <c r="H242" s="395"/>
      <c r="I242" s="399" t="n">
        <f aca="false">LPsabineb</f>
        <v>108.96391122022</v>
      </c>
      <c r="J242" s="399"/>
      <c r="K242" s="401"/>
      <c r="L242" s="401"/>
      <c r="M242" s="401"/>
      <c r="N242" s="412"/>
      <c r="O242" s="401"/>
      <c r="P242" s="401"/>
      <c r="Q242" s="401"/>
      <c r="R242" s="403"/>
      <c r="S242" s="401"/>
      <c r="T242" s="401"/>
      <c r="U242" s="401"/>
      <c r="V242" s="401"/>
      <c r="W242" s="401"/>
      <c r="X242" s="413"/>
      <c r="Y242" s="417"/>
      <c r="Z242" s="406"/>
      <c r="AA242" s="406"/>
      <c r="AB242" s="407"/>
      <c r="AC242" s="407"/>
      <c r="AD242" s="406"/>
      <c r="AE242" s="406"/>
      <c r="AF242" s="406"/>
      <c r="AG242" s="406"/>
      <c r="AH242" s="406"/>
      <c r="AI242" s="406"/>
      <c r="AJ242" s="406"/>
      <c r="AK242" s="406"/>
      <c r="AL242" s="406"/>
      <c r="AM242" s="406"/>
      <c r="AN242" s="406"/>
      <c r="AO242" s="406"/>
      <c r="AP242" s="406"/>
      <c r="AQ242" s="406"/>
      <c r="AR242" s="406"/>
      <c r="AS242" s="406"/>
      <c r="AT242" s="406"/>
      <c r="AU242" s="406"/>
      <c r="AV242" s="406"/>
      <c r="AW242" s="406"/>
      <c r="AX242" s="406"/>
      <c r="AY242" s="406"/>
      <c r="AZ242" s="406"/>
      <c r="BA242" s="406"/>
      <c r="BB242" s="406"/>
      <c r="BC242" s="406"/>
      <c r="BD242" s="406"/>
      <c r="BE242" s="406"/>
      <c r="BF242" s="406"/>
      <c r="BG242" s="406"/>
      <c r="BH242" s="406"/>
      <c r="BI242" s="406"/>
      <c r="BJ242" s="406"/>
      <c r="BK242" s="406"/>
      <c r="BL242" s="406"/>
      <c r="BM242" s="406"/>
      <c r="BN242" s="406"/>
      <c r="BO242" s="406"/>
      <c r="BP242" s="406"/>
      <c r="BQ242" s="406"/>
      <c r="BR242" s="406"/>
      <c r="BS242" s="406"/>
      <c r="BT242" s="406"/>
      <c r="BU242" s="406"/>
      <c r="BV242" s="406"/>
      <c r="BW242" s="406"/>
      <c r="BX242" s="406"/>
      <c r="BY242" s="406"/>
      <c r="BZ242" s="406"/>
      <c r="CA242" s="406"/>
      <c r="CB242" s="406"/>
      <c r="CC242" s="406"/>
      <c r="CD242" s="406"/>
      <c r="CE242" s="406"/>
      <c r="CF242" s="406"/>
      <c r="CG242" s="406"/>
      <c r="CH242" s="406"/>
      <c r="CI242" s="406"/>
      <c r="CJ242" s="406"/>
      <c r="CK242" s="406"/>
      <c r="CL242" s="406"/>
      <c r="CM242" s="406"/>
      <c r="CN242" s="406"/>
      <c r="CO242" s="406"/>
      <c r="CP242" s="406"/>
      <c r="CQ242" s="406"/>
      <c r="CR242" s="406"/>
      <c r="CS242" s="406"/>
      <c r="CT242" s="406"/>
      <c r="CU242" s="406"/>
      <c r="CV242" s="406"/>
      <c r="CW242" s="406"/>
      <c r="CX242" s="406"/>
      <c r="CY242" s="406"/>
      <c r="CZ242" s="406"/>
      <c r="DA242" s="406"/>
      <c r="DB242" s="406"/>
      <c r="DC242" s="406"/>
      <c r="DD242" s="406"/>
      <c r="DE242" s="406"/>
      <c r="DF242" s="406"/>
      <c r="DG242" s="406"/>
      <c r="DH242" s="406"/>
      <c r="DI242" s="406"/>
      <c r="DJ242" s="406"/>
      <c r="DK242" s="406"/>
      <c r="DL242" s="406"/>
      <c r="DM242" s="406"/>
      <c r="DN242" s="406"/>
      <c r="DO242" s="406"/>
      <c r="DP242" s="406"/>
      <c r="DQ242" s="406"/>
      <c r="DR242" s="406"/>
      <c r="DS242" s="406"/>
      <c r="DT242" s="406"/>
      <c r="DU242" s="406"/>
      <c r="DV242" s="406"/>
      <c r="DW242" s="406"/>
      <c r="DX242" s="406"/>
      <c r="DY242" s="406"/>
      <c r="DZ242" s="406"/>
      <c r="EA242" s="406"/>
      <c r="EB242" s="406"/>
      <c r="EC242" s="406"/>
      <c r="ED242" s="406"/>
      <c r="EE242" s="406"/>
      <c r="EF242" s="406"/>
      <c r="EG242" s="406"/>
      <c r="EH242" s="406"/>
      <c r="EI242" s="406"/>
      <c r="EJ242" s="406"/>
      <c r="EK242" s="406"/>
      <c r="EL242" s="406"/>
      <c r="EM242" s="406"/>
      <c r="EN242" s="406"/>
      <c r="EO242" s="406"/>
      <c r="EP242" s="406"/>
      <c r="EQ242" s="406"/>
      <c r="ER242" s="406"/>
      <c r="ES242" s="406"/>
      <c r="ET242" s="406"/>
      <c r="EU242" s="406"/>
      <c r="EV242" s="406"/>
      <c r="EW242" s="406"/>
      <c r="EX242" s="406"/>
      <c r="EY242" s="406"/>
      <c r="EZ242" s="406"/>
      <c r="FA242" s="406"/>
      <c r="FB242" s="406"/>
      <c r="FC242" s="406"/>
      <c r="FD242" s="406"/>
      <c r="FE242" s="406"/>
      <c r="FF242" s="406"/>
      <c r="FG242" s="406"/>
      <c r="FH242" s="406"/>
      <c r="FI242" s="406"/>
      <c r="FJ242" s="406"/>
      <c r="FK242" s="406"/>
      <c r="FL242" s="406"/>
      <c r="FM242" s="406"/>
      <c r="FN242" s="406"/>
      <c r="FO242" s="406"/>
      <c r="FP242" s="406"/>
      <c r="FQ242" s="406"/>
      <c r="FR242" s="406"/>
      <c r="FS242" s="406"/>
      <c r="FT242" s="406"/>
      <c r="FU242" s="406"/>
      <c r="FV242" s="406"/>
      <c r="FW242" s="406"/>
      <c r="FX242" s="406"/>
      <c r="FY242" s="406"/>
      <c r="FZ242" s="406"/>
      <c r="GA242" s="406"/>
      <c r="GB242" s="406"/>
      <c r="GC242" s="406"/>
      <c r="GD242" s="406"/>
      <c r="GE242" s="406"/>
      <c r="GF242" s="406"/>
      <c r="GG242" s="406"/>
      <c r="GH242" s="406"/>
      <c r="GI242" s="406"/>
      <c r="GJ242" s="406"/>
      <c r="GK242" s="406"/>
      <c r="GL242" s="406"/>
      <c r="GM242" s="406"/>
      <c r="GN242" s="406"/>
      <c r="GO242" s="406"/>
      <c r="GP242" s="406"/>
      <c r="GQ242" s="406"/>
      <c r="GR242" s="406"/>
      <c r="GS242" s="406"/>
      <c r="GT242" s="406"/>
      <c r="GU242" s="406"/>
      <c r="GV242" s="406"/>
      <c r="GW242" s="406"/>
      <c r="GX242" s="406"/>
      <c r="GY242" s="406"/>
      <c r="GZ242" s="406"/>
      <c r="HA242" s="406"/>
      <c r="HB242" s="406"/>
      <c r="HC242" s="406"/>
      <c r="HD242" s="406"/>
      <c r="HE242" s="406"/>
      <c r="HF242" s="406"/>
      <c r="HG242" s="406"/>
      <c r="HH242" s="406"/>
      <c r="HI242" s="406"/>
      <c r="HJ242" s="406"/>
      <c r="HK242" s="406"/>
      <c r="HL242" s="406"/>
      <c r="HM242" s="406"/>
      <c r="HN242" s="406"/>
      <c r="HO242" s="406"/>
      <c r="HP242" s="406"/>
      <c r="HQ242" s="406"/>
      <c r="HR242" s="406"/>
      <c r="HS242" s="406"/>
      <c r="HT242" s="406"/>
      <c r="HU242" s="406"/>
      <c r="HV242" s="406"/>
      <c r="HW242" s="406"/>
      <c r="HX242" s="406"/>
      <c r="HY242" s="406"/>
      <c r="HZ242" s="406"/>
      <c r="IA242" s="406"/>
      <c r="IB242" s="406"/>
      <c r="IC242" s="406"/>
      <c r="ID242" s="406"/>
      <c r="IE242" s="406"/>
      <c r="IF242" s="406"/>
      <c r="IG242" s="406"/>
      <c r="IH242" s="406"/>
      <c r="II242" s="406"/>
      <c r="IJ242" s="406"/>
      <c r="IK242" s="406"/>
      <c r="IL242" s="406"/>
      <c r="IM242" s="406"/>
      <c r="IN242" s="406"/>
      <c r="IO242" s="406"/>
      <c r="IP242" s="406"/>
      <c r="IQ242" s="406"/>
      <c r="IR242" s="406"/>
      <c r="IS242" s="406"/>
      <c r="IT242" s="406"/>
      <c r="IU242" s="406"/>
      <c r="IV242" s="406"/>
      <c r="IW242" s="406"/>
    </row>
    <row r="243" customFormat="false" ht="12" hidden="true" customHeight="true" outlineLevel="0" collapsed="false">
      <c r="A243" s="393"/>
      <c r="B243" s="415" t="n">
        <v>49990</v>
      </c>
      <c r="C243" s="393"/>
      <c r="D243" s="416" t="s">
        <v>327</v>
      </c>
      <c r="E243" s="410"/>
      <c r="F243" s="411"/>
      <c r="G243" s="395"/>
      <c r="H243" s="395"/>
      <c r="I243" s="399" t="n">
        <f aca="false">Fuel</f>
        <v>-0.68834924805</v>
      </c>
      <c r="J243" s="399"/>
      <c r="K243" s="401"/>
      <c r="L243" s="401"/>
      <c r="M243" s="401"/>
      <c r="N243" s="412"/>
      <c r="O243" s="401"/>
      <c r="P243" s="401"/>
      <c r="Q243" s="401"/>
      <c r="R243" s="403"/>
      <c r="S243" s="401"/>
      <c r="T243" s="401"/>
      <c r="U243" s="401"/>
      <c r="V243" s="401"/>
      <c r="W243" s="401"/>
      <c r="X243" s="413"/>
      <c r="Y243" s="417"/>
      <c r="Z243" s="406"/>
      <c r="AA243" s="406"/>
      <c r="AB243" s="407"/>
      <c r="AC243" s="407"/>
      <c r="AD243" s="406"/>
      <c r="AE243" s="406"/>
      <c r="AF243" s="406"/>
      <c r="AG243" s="406"/>
      <c r="AH243" s="406"/>
      <c r="AI243" s="406"/>
      <c r="AJ243" s="406"/>
      <c r="AK243" s="406"/>
      <c r="AL243" s="406"/>
      <c r="AM243" s="406"/>
      <c r="AN243" s="406"/>
      <c r="AO243" s="406"/>
      <c r="AP243" s="406"/>
      <c r="AQ243" s="406"/>
      <c r="AR243" s="406"/>
      <c r="AS243" s="406"/>
      <c r="AT243" s="406"/>
      <c r="AU243" s="406"/>
      <c r="AV243" s="406"/>
      <c r="AW243" s="406"/>
      <c r="AX243" s="406"/>
      <c r="AY243" s="406"/>
      <c r="AZ243" s="406"/>
      <c r="BA243" s="406"/>
      <c r="BB243" s="406"/>
      <c r="BC243" s="406"/>
      <c r="BD243" s="406"/>
      <c r="BE243" s="406"/>
      <c r="BF243" s="406"/>
      <c r="BG243" s="406"/>
      <c r="BH243" s="406"/>
      <c r="BI243" s="406"/>
      <c r="BJ243" s="406"/>
      <c r="BK243" s="406"/>
      <c r="BL243" s="406"/>
      <c r="BM243" s="406"/>
      <c r="BN243" s="406"/>
      <c r="BO243" s="406"/>
      <c r="BP243" s="406"/>
      <c r="BQ243" s="406"/>
      <c r="BR243" s="406"/>
      <c r="BS243" s="406"/>
      <c r="BT243" s="406"/>
      <c r="BU243" s="406"/>
      <c r="BV243" s="406"/>
      <c r="BW243" s="406"/>
      <c r="BX243" s="406"/>
      <c r="BY243" s="406"/>
      <c r="BZ243" s="406"/>
      <c r="CA243" s="406"/>
      <c r="CB243" s="406"/>
      <c r="CC243" s="406"/>
      <c r="CD243" s="406"/>
      <c r="CE243" s="406"/>
      <c r="CF243" s="406"/>
      <c r="CG243" s="406"/>
      <c r="CH243" s="406"/>
      <c r="CI243" s="406"/>
      <c r="CJ243" s="406"/>
      <c r="CK243" s="406"/>
      <c r="CL243" s="406"/>
      <c r="CM243" s="406"/>
      <c r="CN243" s="406"/>
      <c r="CO243" s="406"/>
      <c r="CP243" s="406"/>
      <c r="CQ243" s="406"/>
      <c r="CR243" s="406"/>
      <c r="CS243" s="406"/>
      <c r="CT243" s="406"/>
      <c r="CU243" s="406"/>
      <c r="CV243" s="406"/>
      <c r="CW243" s="406"/>
      <c r="CX243" s="406"/>
      <c r="CY243" s="406"/>
      <c r="CZ243" s="406"/>
      <c r="DA243" s="406"/>
      <c r="DB243" s="406"/>
      <c r="DC243" s="406"/>
      <c r="DD243" s="406"/>
      <c r="DE243" s="406"/>
      <c r="DF243" s="406"/>
      <c r="DG243" s="406"/>
      <c r="DH243" s="406"/>
      <c r="DI243" s="406"/>
      <c r="DJ243" s="406"/>
      <c r="DK243" s="406"/>
      <c r="DL243" s="406"/>
      <c r="DM243" s="406"/>
      <c r="DN243" s="406"/>
      <c r="DO243" s="406"/>
      <c r="DP243" s="406"/>
      <c r="DQ243" s="406"/>
      <c r="DR243" s="406"/>
      <c r="DS243" s="406"/>
      <c r="DT243" s="406"/>
      <c r="DU243" s="406"/>
      <c r="DV243" s="406"/>
      <c r="DW243" s="406"/>
      <c r="DX243" s="406"/>
      <c r="DY243" s="406"/>
      <c r="DZ243" s="406"/>
      <c r="EA243" s="406"/>
      <c r="EB243" s="406"/>
      <c r="EC243" s="406"/>
      <c r="ED243" s="406"/>
      <c r="EE243" s="406"/>
      <c r="EF243" s="406"/>
      <c r="EG243" s="406"/>
      <c r="EH243" s="406"/>
      <c r="EI243" s="406"/>
      <c r="EJ243" s="406"/>
      <c r="EK243" s="406"/>
      <c r="EL243" s="406"/>
      <c r="EM243" s="406"/>
      <c r="EN243" s="406"/>
      <c r="EO243" s="406"/>
      <c r="EP243" s="406"/>
      <c r="EQ243" s="406"/>
      <c r="ER243" s="406"/>
      <c r="ES243" s="406"/>
      <c r="ET243" s="406"/>
      <c r="EU243" s="406"/>
      <c r="EV243" s="406"/>
      <c r="EW243" s="406"/>
      <c r="EX243" s="406"/>
      <c r="EY243" s="406"/>
      <c r="EZ243" s="406"/>
      <c r="FA243" s="406"/>
      <c r="FB243" s="406"/>
      <c r="FC243" s="406"/>
      <c r="FD243" s="406"/>
      <c r="FE243" s="406"/>
      <c r="FF243" s="406"/>
      <c r="FG243" s="406"/>
      <c r="FH243" s="406"/>
      <c r="FI243" s="406"/>
      <c r="FJ243" s="406"/>
      <c r="FK243" s="406"/>
      <c r="FL243" s="406"/>
      <c r="FM243" s="406"/>
      <c r="FN243" s="406"/>
      <c r="FO243" s="406"/>
      <c r="FP243" s="406"/>
      <c r="FQ243" s="406"/>
      <c r="FR243" s="406"/>
      <c r="FS243" s="406"/>
      <c r="FT243" s="406"/>
      <c r="FU243" s="406"/>
      <c r="FV243" s="406"/>
      <c r="FW243" s="406"/>
      <c r="FX243" s="406"/>
      <c r="FY243" s="406"/>
      <c r="FZ243" s="406"/>
      <c r="GA243" s="406"/>
      <c r="GB243" s="406"/>
      <c r="GC243" s="406"/>
      <c r="GD243" s="406"/>
      <c r="GE243" s="406"/>
      <c r="GF243" s="406"/>
      <c r="GG243" s="406"/>
      <c r="GH243" s="406"/>
      <c r="GI243" s="406"/>
      <c r="GJ243" s="406"/>
      <c r="GK243" s="406"/>
      <c r="GL243" s="406"/>
      <c r="GM243" s="406"/>
      <c r="GN243" s="406"/>
      <c r="GO243" s="406"/>
      <c r="GP243" s="406"/>
      <c r="GQ243" s="406"/>
      <c r="GR243" s="406"/>
      <c r="GS243" s="406"/>
      <c r="GT243" s="406"/>
      <c r="GU243" s="406"/>
      <c r="GV243" s="406"/>
      <c r="GW243" s="406"/>
      <c r="GX243" s="406"/>
      <c r="GY243" s="406"/>
      <c r="GZ243" s="406"/>
      <c r="HA243" s="406"/>
      <c r="HB243" s="406"/>
      <c r="HC243" s="406"/>
      <c r="HD243" s="406"/>
      <c r="HE243" s="406"/>
      <c r="HF243" s="406"/>
      <c r="HG243" s="406"/>
      <c r="HH243" s="406"/>
      <c r="HI243" s="406"/>
      <c r="HJ243" s="406"/>
      <c r="HK243" s="406"/>
      <c r="HL243" s="406"/>
      <c r="HM243" s="406"/>
      <c r="HN243" s="406"/>
      <c r="HO243" s="406"/>
      <c r="HP243" s="406"/>
      <c r="HQ243" s="406"/>
      <c r="HR243" s="406"/>
      <c r="HS243" s="406"/>
      <c r="HT243" s="406"/>
      <c r="HU243" s="406"/>
      <c r="HV243" s="406"/>
      <c r="HW243" s="406"/>
      <c r="HX243" s="406"/>
      <c r="HY243" s="406"/>
      <c r="HZ243" s="406"/>
      <c r="IA243" s="406"/>
      <c r="IB243" s="406"/>
      <c r="IC243" s="406"/>
      <c r="ID243" s="406"/>
      <c r="IE243" s="406"/>
      <c r="IF243" s="406"/>
      <c r="IG243" s="406"/>
      <c r="IH243" s="406"/>
      <c r="II243" s="406"/>
      <c r="IJ243" s="406"/>
      <c r="IK243" s="406"/>
      <c r="IL243" s="406"/>
      <c r="IM243" s="406"/>
      <c r="IN243" s="406"/>
      <c r="IO243" s="406"/>
      <c r="IP243" s="406"/>
      <c r="IQ243" s="406"/>
      <c r="IR243" s="406"/>
      <c r="IS243" s="406"/>
      <c r="IT243" s="406"/>
      <c r="IU243" s="406"/>
      <c r="IV243" s="406"/>
      <c r="IW243" s="406"/>
    </row>
    <row r="244" customFormat="false" ht="12" hidden="true" customHeight="true" outlineLevel="0" collapsed="false">
      <c r="A244" s="393"/>
      <c r="B244" s="415" t="n">
        <v>99995</v>
      </c>
      <c r="C244" s="393"/>
      <c r="D244" s="416" t="s">
        <v>341</v>
      </c>
      <c r="E244" s="410"/>
      <c r="F244" s="411"/>
      <c r="G244" s="395"/>
      <c r="H244" s="395"/>
      <c r="I244" s="399" t="n">
        <f aca="false">I233</f>
        <v>-7.03019493526858</v>
      </c>
      <c r="J244" s="399"/>
      <c r="K244" s="401"/>
      <c r="L244" s="401"/>
      <c r="M244" s="401"/>
      <c r="N244" s="412"/>
      <c r="O244" s="401"/>
      <c r="P244" s="401"/>
      <c r="Q244" s="401"/>
      <c r="R244" s="403"/>
      <c r="S244" s="401"/>
      <c r="T244" s="401"/>
      <c r="U244" s="401"/>
      <c r="V244" s="401"/>
      <c r="W244" s="401"/>
      <c r="X244" s="413"/>
      <c r="Y244" s="417"/>
      <c r="Z244" s="406"/>
      <c r="AA244" s="406"/>
      <c r="AB244" s="407"/>
      <c r="AC244" s="407"/>
      <c r="AD244" s="406"/>
      <c r="AE244" s="406"/>
      <c r="AF244" s="406"/>
      <c r="AG244" s="406"/>
      <c r="AH244" s="406"/>
      <c r="AI244" s="406"/>
      <c r="AJ244" s="406"/>
      <c r="AK244" s="406"/>
      <c r="AL244" s="406"/>
      <c r="AM244" s="406"/>
      <c r="AN244" s="406"/>
      <c r="AO244" s="406"/>
      <c r="AP244" s="406"/>
      <c r="AQ244" s="406"/>
      <c r="AR244" s="406"/>
      <c r="AS244" s="406"/>
      <c r="AT244" s="406"/>
      <c r="AU244" s="406"/>
      <c r="AV244" s="406"/>
      <c r="AW244" s="406"/>
      <c r="AX244" s="406"/>
      <c r="AY244" s="406"/>
      <c r="AZ244" s="406"/>
      <c r="BA244" s="406"/>
      <c r="BB244" s="406"/>
      <c r="BC244" s="406"/>
      <c r="BD244" s="406"/>
      <c r="BE244" s="406"/>
      <c r="BF244" s="406"/>
      <c r="BG244" s="406"/>
      <c r="BH244" s="406"/>
      <c r="BI244" s="406"/>
      <c r="BJ244" s="406"/>
      <c r="BK244" s="406"/>
      <c r="BL244" s="406"/>
      <c r="BM244" s="406"/>
      <c r="BN244" s="406"/>
      <c r="BO244" s="406"/>
      <c r="BP244" s="406"/>
      <c r="BQ244" s="406"/>
      <c r="BR244" s="406"/>
      <c r="BS244" s="406"/>
      <c r="BT244" s="406"/>
      <c r="BU244" s="406"/>
      <c r="BV244" s="406"/>
      <c r="BW244" s="406"/>
      <c r="BX244" s="406"/>
      <c r="BY244" s="406"/>
      <c r="BZ244" s="406"/>
      <c r="CA244" s="406"/>
      <c r="CB244" s="406"/>
      <c r="CC244" s="406"/>
      <c r="CD244" s="406"/>
      <c r="CE244" s="406"/>
      <c r="CF244" s="406"/>
      <c r="CG244" s="406"/>
      <c r="CH244" s="406"/>
      <c r="CI244" s="406"/>
      <c r="CJ244" s="406"/>
      <c r="CK244" s="406"/>
      <c r="CL244" s="406"/>
      <c r="CM244" s="406"/>
      <c r="CN244" s="406"/>
      <c r="CO244" s="406"/>
      <c r="CP244" s="406"/>
      <c r="CQ244" s="406"/>
      <c r="CR244" s="406"/>
      <c r="CS244" s="406"/>
      <c r="CT244" s="406"/>
      <c r="CU244" s="406"/>
      <c r="CV244" s="406"/>
      <c r="CW244" s="406"/>
      <c r="CX244" s="406"/>
      <c r="CY244" s="406"/>
      <c r="CZ244" s="406"/>
      <c r="DA244" s="406"/>
      <c r="DB244" s="406"/>
      <c r="DC244" s="406"/>
      <c r="DD244" s="406"/>
      <c r="DE244" s="406"/>
      <c r="DF244" s="406"/>
      <c r="DG244" s="406"/>
      <c r="DH244" s="406"/>
      <c r="DI244" s="406"/>
      <c r="DJ244" s="406"/>
      <c r="DK244" s="406"/>
      <c r="DL244" s="406"/>
      <c r="DM244" s="406"/>
      <c r="DN244" s="406"/>
      <c r="DO244" s="406"/>
      <c r="DP244" s="406"/>
      <c r="DQ244" s="406"/>
      <c r="DR244" s="406"/>
      <c r="DS244" s="406"/>
      <c r="DT244" s="406"/>
      <c r="DU244" s="406"/>
      <c r="DV244" s="406"/>
      <c r="DW244" s="406"/>
      <c r="DX244" s="406"/>
      <c r="DY244" s="406"/>
      <c r="DZ244" s="406"/>
      <c r="EA244" s="406"/>
      <c r="EB244" s="406"/>
      <c r="EC244" s="406"/>
      <c r="ED244" s="406"/>
      <c r="EE244" s="406"/>
      <c r="EF244" s="406"/>
      <c r="EG244" s="406"/>
      <c r="EH244" s="406"/>
      <c r="EI244" s="406"/>
      <c r="EJ244" s="406"/>
      <c r="EK244" s="406"/>
      <c r="EL244" s="406"/>
      <c r="EM244" s="406"/>
      <c r="EN244" s="406"/>
      <c r="EO244" s="406"/>
      <c r="EP244" s="406"/>
      <c r="EQ244" s="406"/>
      <c r="ER244" s="406"/>
      <c r="ES244" s="406"/>
      <c r="ET244" s="406"/>
      <c r="EU244" s="406"/>
      <c r="EV244" s="406"/>
      <c r="EW244" s="406"/>
      <c r="EX244" s="406"/>
      <c r="EY244" s="406"/>
      <c r="EZ244" s="406"/>
      <c r="FA244" s="406"/>
      <c r="FB244" s="406"/>
      <c r="FC244" s="406"/>
      <c r="FD244" s="406"/>
      <c r="FE244" s="406"/>
      <c r="FF244" s="406"/>
      <c r="FG244" s="406"/>
      <c r="FH244" s="406"/>
      <c r="FI244" s="406"/>
      <c r="FJ244" s="406"/>
      <c r="FK244" s="406"/>
      <c r="FL244" s="406"/>
      <c r="FM244" s="406"/>
      <c r="FN244" s="406"/>
      <c r="FO244" s="406"/>
      <c r="FP244" s="406"/>
      <c r="FQ244" s="406"/>
      <c r="FR244" s="406"/>
      <c r="FS244" s="406"/>
      <c r="FT244" s="406"/>
      <c r="FU244" s="406"/>
      <c r="FV244" s="406"/>
      <c r="FW244" s="406"/>
      <c r="FX244" s="406"/>
      <c r="FY244" s="406"/>
      <c r="FZ244" s="406"/>
      <c r="GA244" s="406"/>
      <c r="GB244" s="406"/>
      <c r="GC244" s="406"/>
      <c r="GD244" s="406"/>
      <c r="GE244" s="406"/>
      <c r="GF244" s="406"/>
      <c r="GG244" s="406"/>
      <c r="GH244" s="406"/>
      <c r="GI244" s="406"/>
      <c r="GJ244" s="406"/>
      <c r="GK244" s="406"/>
      <c r="GL244" s="406"/>
      <c r="GM244" s="406"/>
      <c r="GN244" s="406"/>
      <c r="GO244" s="406"/>
      <c r="GP244" s="406"/>
      <c r="GQ244" s="406"/>
      <c r="GR244" s="406"/>
      <c r="GS244" s="406"/>
      <c r="GT244" s="406"/>
      <c r="GU244" s="406"/>
      <c r="GV244" s="406"/>
      <c r="GW244" s="406"/>
      <c r="GX244" s="406"/>
      <c r="GY244" s="406"/>
      <c r="GZ244" s="406"/>
      <c r="HA244" s="406"/>
      <c r="HB244" s="406"/>
      <c r="HC244" s="406"/>
      <c r="HD244" s="406"/>
      <c r="HE244" s="406"/>
      <c r="HF244" s="406"/>
      <c r="HG244" s="406"/>
      <c r="HH244" s="406"/>
      <c r="HI244" s="406"/>
      <c r="HJ244" s="406"/>
      <c r="HK244" s="406"/>
      <c r="HL244" s="406"/>
      <c r="HM244" s="406"/>
      <c r="HN244" s="406"/>
      <c r="HO244" s="406"/>
      <c r="HP244" s="406"/>
      <c r="HQ244" s="406"/>
      <c r="HR244" s="406"/>
      <c r="HS244" s="406"/>
      <c r="HT244" s="406"/>
      <c r="HU244" s="406"/>
      <c r="HV244" s="406"/>
      <c r="HW244" s="406"/>
      <c r="HX244" s="406"/>
      <c r="HY244" s="406"/>
      <c r="HZ244" s="406"/>
      <c r="IA244" s="406"/>
      <c r="IB244" s="406"/>
      <c r="IC244" s="406"/>
      <c r="ID244" s="406"/>
      <c r="IE244" s="406"/>
      <c r="IF244" s="406"/>
      <c r="IG244" s="406"/>
      <c r="IH244" s="406"/>
      <c r="II244" s="406"/>
      <c r="IJ244" s="406"/>
      <c r="IK244" s="406"/>
      <c r="IL244" s="406"/>
      <c r="IM244" s="406"/>
      <c r="IN244" s="406"/>
      <c r="IO244" s="406"/>
      <c r="IP244" s="406"/>
      <c r="IQ244" s="406"/>
      <c r="IR244" s="406"/>
      <c r="IS244" s="406"/>
      <c r="IT244" s="406"/>
      <c r="IU244" s="406"/>
      <c r="IV244" s="406"/>
      <c r="IW244" s="406"/>
    </row>
    <row r="245" customFormat="false" ht="12" hidden="true" customHeight="true" outlineLevel="0" collapsed="false">
      <c r="A245" s="393"/>
      <c r="B245" s="415" t="n">
        <v>99999</v>
      </c>
      <c r="C245" s="393"/>
      <c r="D245" s="416" t="s">
        <v>18</v>
      </c>
      <c r="E245" s="410"/>
      <c r="F245" s="411"/>
      <c r="G245" s="395"/>
      <c r="H245" s="395"/>
      <c r="I245" s="399" t="n">
        <f aca="false">I235</f>
        <v>430.345805064731</v>
      </c>
      <c r="J245" s="399"/>
      <c r="K245" s="401"/>
      <c r="L245" s="401"/>
      <c r="M245" s="401"/>
      <c r="N245" s="412"/>
      <c r="O245" s="401"/>
      <c r="P245" s="401"/>
      <c r="Q245" s="401"/>
      <c r="R245" s="403"/>
      <c r="S245" s="401"/>
      <c r="T245" s="401"/>
      <c r="U245" s="401"/>
      <c r="V245" s="401"/>
      <c r="W245" s="401"/>
      <c r="X245" s="413"/>
      <c r="Y245" s="417"/>
      <c r="Z245" s="406"/>
      <c r="AA245" s="406"/>
      <c r="AB245" s="407"/>
      <c r="AC245" s="407"/>
      <c r="AD245" s="406"/>
      <c r="AE245" s="406"/>
      <c r="AF245" s="406"/>
      <c r="AG245" s="406"/>
      <c r="AH245" s="406"/>
      <c r="AI245" s="406"/>
      <c r="AJ245" s="406"/>
      <c r="AK245" s="406"/>
      <c r="AL245" s="406"/>
      <c r="AM245" s="406"/>
      <c r="AN245" s="406"/>
      <c r="AO245" s="406"/>
      <c r="AP245" s="406"/>
      <c r="AQ245" s="406"/>
      <c r="AR245" s="406"/>
      <c r="AS245" s="406"/>
      <c r="AT245" s="406"/>
      <c r="AU245" s="406"/>
      <c r="AV245" s="406"/>
      <c r="AW245" s="406"/>
      <c r="AX245" s="406"/>
      <c r="AY245" s="406"/>
      <c r="AZ245" s="406"/>
      <c r="BA245" s="406"/>
      <c r="BB245" s="406"/>
      <c r="BC245" s="406"/>
      <c r="BD245" s="406"/>
      <c r="BE245" s="406"/>
      <c r="BF245" s="406"/>
      <c r="BG245" s="406"/>
      <c r="BH245" s="406"/>
      <c r="BI245" s="406"/>
      <c r="BJ245" s="406"/>
      <c r="BK245" s="406"/>
      <c r="BL245" s="406"/>
      <c r="BM245" s="406"/>
      <c r="BN245" s="406"/>
      <c r="BO245" s="406"/>
      <c r="BP245" s="406"/>
      <c r="BQ245" s="406"/>
      <c r="BR245" s="406"/>
      <c r="BS245" s="406"/>
      <c r="BT245" s="406"/>
      <c r="BU245" s="406"/>
      <c r="BV245" s="406"/>
      <c r="BW245" s="406"/>
      <c r="BX245" s="406"/>
      <c r="BY245" s="406"/>
      <c r="BZ245" s="406"/>
      <c r="CA245" s="406"/>
      <c r="CB245" s="406"/>
      <c r="CC245" s="406"/>
      <c r="CD245" s="406"/>
      <c r="CE245" s="406"/>
      <c r="CF245" s="406"/>
      <c r="CG245" s="406"/>
      <c r="CH245" s="406"/>
      <c r="CI245" s="406"/>
      <c r="CJ245" s="406"/>
      <c r="CK245" s="406"/>
      <c r="CL245" s="406"/>
      <c r="CM245" s="406"/>
      <c r="CN245" s="406"/>
      <c r="CO245" s="406"/>
      <c r="CP245" s="406"/>
      <c r="CQ245" s="406"/>
      <c r="CR245" s="406"/>
      <c r="CS245" s="406"/>
      <c r="CT245" s="406"/>
      <c r="CU245" s="406"/>
      <c r="CV245" s="406"/>
      <c r="CW245" s="406"/>
      <c r="CX245" s="406"/>
      <c r="CY245" s="406"/>
      <c r="CZ245" s="406"/>
      <c r="DA245" s="406"/>
      <c r="DB245" s="406"/>
      <c r="DC245" s="406"/>
      <c r="DD245" s="406"/>
      <c r="DE245" s="406"/>
      <c r="DF245" s="406"/>
      <c r="DG245" s="406"/>
      <c r="DH245" s="406"/>
      <c r="DI245" s="406"/>
      <c r="DJ245" s="406"/>
      <c r="DK245" s="406"/>
      <c r="DL245" s="406"/>
      <c r="DM245" s="406"/>
      <c r="DN245" s="406"/>
      <c r="DO245" s="406"/>
      <c r="DP245" s="406"/>
      <c r="DQ245" s="406"/>
      <c r="DR245" s="406"/>
      <c r="DS245" s="406"/>
      <c r="DT245" s="406"/>
      <c r="DU245" s="406"/>
      <c r="DV245" s="406"/>
      <c r="DW245" s="406"/>
      <c r="DX245" s="406"/>
      <c r="DY245" s="406"/>
      <c r="DZ245" s="406"/>
      <c r="EA245" s="406"/>
      <c r="EB245" s="406"/>
      <c r="EC245" s="406"/>
      <c r="ED245" s="406"/>
      <c r="EE245" s="406"/>
      <c r="EF245" s="406"/>
      <c r="EG245" s="406"/>
      <c r="EH245" s="406"/>
      <c r="EI245" s="406"/>
      <c r="EJ245" s="406"/>
      <c r="EK245" s="406"/>
      <c r="EL245" s="406"/>
      <c r="EM245" s="406"/>
      <c r="EN245" s="406"/>
      <c r="EO245" s="406"/>
      <c r="EP245" s="406"/>
      <c r="EQ245" s="406"/>
      <c r="ER245" s="406"/>
      <c r="ES245" s="406"/>
      <c r="ET245" s="406"/>
      <c r="EU245" s="406"/>
      <c r="EV245" s="406"/>
      <c r="EW245" s="406"/>
      <c r="EX245" s="406"/>
      <c r="EY245" s="406"/>
      <c r="EZ245" s="406"/>
      <c r="FA245" s="406"/>
      <c r="FB245" s="406"/>
      <c r="FC245" s="406"/>
      <c r="FD245" s="406"/>
      <c r="FE245" s="406"/>
      <c r="FF245" s="406"/>
      <c r="FG245" s="406"/>
      <c r="FH245" s="406"/>
      <c r="FI245" s="406"/>
      <c r="FJ245" s="406"/>
      <c r="FK245" s="406"/>
      <c r="FL245" s="406"/>
      <c r="FM245" s="406"/>
      <c r="FN245" s="406"/>
      <c r="FO245" s="406"/>
      <c r="FP245" s="406"/>
      <c r="FQ245" s="406"/>
      <c r="FR245" s="406"/>
      <c r="FS245" s="406"/>
      <c r="FT245" s="406"/>
      <c r="FU245" s="406"/>
      <c r="FV245" s="406"/>
      <c r="FW245" s="406"/>
      <c r="FX245" s="406"/>
      <c r="FY245" s="406"/>
      <c r="FZ245" s="406"/>
      <c r="GA245" s="406"/>
      <c r="GB245" s="406"/>
      <c r="GC245" s="406"/>
      <c r="GD245" s="406"/>
      <c r="GE245" s="406"/>
      <c r="GF245" s="406"/>
      <c r="GG245" s="406"/>
      <c r="GH245" s="406"/>
      <c r="GI245" s="406"/>
      <c r="GJ245" s="406"/>
      <c r="GK245" s="406"/>
      <c r="GL245" s="406"/>
      <c r="GM245" s="406"/>
      <c r="GN245" s="406"/>
      <c r="GO245" s="406"/>
      <c r="GP245" s="406"/>
      <c r="GQ245" s="406"/>
      <c r="GR245" s="406"/>
      <c r="GS245" s="406"/>
      <c r="GT245" s="406"/>
      <c r="GU245" s="406"/>
      <c r="GV245" s="406"/>
      <c r="GW245" s="406"/>
      <c r="GX245" s="406"/>
      <c r="GY245" s="406"/>
      <c r="GZ245" s="406"/>
      <c r="HA245" s="406"/>
      <c r="HB245" s="406"/>
      <c r="HC245" s="406"/>
      <c r="HD245" s="406"/>
      <c r="HE245" s="406"/>
      <c r="HF245" s="406"/>
      <c r="HG245" s="406"/>
      <c r="HH245" s="406"/>
      <c r="HI245" s="406"/>
      <c r="HJ245" s="406"/>
      <c r="HK245" s="406"/>
      <c r="HL245" s="406"/>
      <c r="HM245" s="406"/>
      <c r="HN245" s="406"/>
      <c r="HO245" s="406"/>
      <c r="HP245" s="406"/>
      <c r="HQ245" s="406"/>
      <c r="HR245" s="406"/>
      <c r="HS245" s="406"/>
      <c r="HT245" s="406"/>
      <c r="HU245" s="406"/>
      <c r="HV245" s="406"/>
      <c r="HW245" s="406"/>
      <c r="HX245" s="406"/>
      <c r="HY245" s="406"/>
      <c r="HZ245" s="406"/>
      <c r="IA245" s="406"/>
      <c r="IB245" s="406"/>
      <c r="IC245" s="406"/>
      <c r="ID245" s="406"/>
      <c r="IE245" s="406"/>
      <c r="IF245" s="406"/>
      <c r="IG245" s="406"/>
      <c r="IH245" s="406"/>
      <c r="II245" s="406"/>
      <c r="IJ245" s="406"/>
      <c r="IK245" s="406"/>
      <c r="IL245" s="406"/>
      <c r="IM245" s="406"/>
      <c r="IN245" s="406"/>
      <c r="IO245" s="406"/>
      <c r="IP245" s="406"/>
      <c r="IQ245" s="406"/>
      <c r="IR245" s="406"/>
      <c r="IS245" s="406"/>
      <c r="IT245" s="406"/>
      <c r="IU245" s="406"/>
      <c r="IV245" s="406"/>
      <c r="IW245" s="406"/>
    </row>
    <row r="246" customFormat="false" ht="12" hidden="true" customHeight="true" outlineLevel="0" collapsed="false">
      <c r="A246" s="418"/>
      <c r="B246" s="419" t="n">
        <v>56031</v>
      </c>
      <c r="C246" s="335"/>
      <c r="D246" s="75" t="s">
        <v>342</v>
      </c>
      <c r="E246" s="419"/>
      <c r="G246" s="181" t="n">
        <f aca="false">BTUDefault</f>
        <v>1.025</v>
      </c>
      <c r="H246" s="335"/>
      <c r="I246" s="68" t="n">
        <f aca="false">(VLOOKUP(56006,totalvolume,2,FALSE())-(VLOOKUP(56031,totalvolume,2,FALSE())))*BTUDefault/1000</f>
        <v>49.4297321225</v>
      </c>
      <c r="J246" s="420"/>
      <c r="K246" s="420"/>
      <c r="L246" s="420"/>
      <c r="M246" s="420"/>
      <c r="N246" s="420"/>
      <c r="O246" s="420"/>
      <c r="P246" s="420"/>
      <c r="Q246" s="420"/>
      <c r="R246" s="344"/>
      <c r="S246" s="420"/>
      <c r="T246" s="420"/>
      <c r="U246" s="420"/>
      <c r="V246" s="420"/>
      <c r="W246" s="420"/>
      <c r="X246" s="421"/>
      <c r="Y246" s="421"/>
      <c r="Z246" s="347"/>
      <c r="AA246" s="347"/>
      <c r="AB246" s="348"/>
      <c r="AC246" s="348"/>
      <c r="AD246" s="347"/>
      <c r="AE246" s="347"/>
      <c r="AF246" s="347"/>
      <c r="AG246" s="347"/>
      <c r="AH246" s="347"/>
      <c r="AI246" s="347"/>
      <c r="AJ246" s="347"/>
      <c r="AK246" s="347"/>
      <c r="AL246" s="347"/>
      <c r="AM246" s="347"/>
      <c r="AN246" s="347"/>
      <c r="AO246" s="347"/>
      <c r="AP246" s="347"/>
      <c r="AQ246" s="347"/>
      <c r="AR246" s="347"/>
      <c r="AS246" s="347"/>
      <c r="AT246" s="347"/>
      <c r="AU246" s="347"/>
      <c r="AV246" s="347"/>
      <c r="AW246" s="347"/>
      <c r="AX246" s="347"/>
      <c r="AY246" s="347"/>
      <c r="AZ246" s="347"/>
      <c r="BA246" s="347"/>
      <c r="BB246" s="347"/>
      <c r="BC246" s="347"/>
      <c r="BD246" s="347"/>
      <c r="BE246" s="347"/>
      <c r="BF246" s="347"/>
      <c r="BG246" s="347"/>
      <c r="BH246" s="347"/>
      <c r="BI246" s="347"/>
      <c r="BJ246" s="347"/>
      <c r="BK246" s="347"/>
      <c r="BL246" s="347"/>
      <c r="BM246" s="347"/>
      <c r="BN246" s="347"/>
      <c r="BO246" s="347"/>
      <c r="BP246" s="347"/>
      <c r="BQ246" s="347"/>
      <c r="BR246" s="347"/>
      <c r="BS246" s="347"/>
      <c r="BT246" s="347"/>
      <c r="BU246" s="347"/>
      <c r="BV246" s="347"/>
      <c r="BW246" s="347"/>
      <c r="BX246" s="347"/>
      <c r="BY246" s="347"/>
      <c r="BZ246" s="347"/>
      <c r="CA246" s="347"/>
      <c r="CB246" s="347"/>
      <c r="CC246" s="347"/>
      <c r="CD246" s="347"/>
      <c r="CE246" s="347"/>
      <c r="CF246" s="347"/>
      <c r="CG246" s="347"/>
      <c r="CH246" s="347"/>
      <c r="CI246" s="347"/>
      <c r="CJ246" s="347"/>
      <c r="CK246" s="347"/>
      <c r="CL246" s="347"/>
      <c r="CM246" s="347"/>
      <c r="CN246" s="347"/>
      <c r="CO246" s="347"/>
      <c r="CP246" s="347"/>
      <c r="CQ246" s="347"/>
      <c r="CR246" s="347"/>
      <c r="CS246" s="347"/>
      <c r="CT246" s="347"/>
      <c r="CU246" s="347"/>
      <c r="CV246" s="347"/>
      <c r="CW246" s="347"/>
      <c r="CX246" s="347"/>
      <c r="CY246" s="347"/>
      <c r="CZ246" s="347"/>
      <c r="DA246" s="347"/>
      <c r="DB246" s="347"/>
      <c r="DC246" s="347"/>
      <c r="DD246" s="347"/>
      <c r="DE246" s="347"/>
      <c r="DF246" s="347"/>
      <c r="DG246" s="347"/>
      <c r="DH246" s="347"/>
      <c r="DI246" s="347"/>
      <c r="DJ246" s="347"/>
      <c r="DK246" s="347"/>
      <c r="DL246" s="347"/>
      <c r="DM246" s="347"/>
      <c r="DN246" s="347"/>
      <c r="DO246" s="347"/>
      <c r="DP246" s="347"/>
      <c r="DQ246" s="347"/>
      <c r="DR246" s="347"/>
      <c r="DS246" s="347"/>
      <c r="DT246" s="347"/>
      <c r="DU246" s="347"/>
      <c r="DV246" s="347"/>
      <c r="DW246" s="347"/>
      <c r="DX246" s="347"/>
      <c r="DY246" s="347"/>
      <c r="DZ246" s="347"/>
      <c r="EA246" s="347"/>
      <c r="EB246" s="347"/>
      <c r="EC246" s="347"/>
      <c r="ED246" s="347"/>
      <c r="EE246" s="347"/>
      <c r="EF246" s="347"/>
      <c r="EG246" s="347"/>
      <c r="EH246" s="347"/>
      <c r="EI246" s="347"/>
      <c r="EJ246" s="347"/>
      <c r="EK246" s="347"/>
      <c r="EL246" s="347"/>
      <c r="EM246" s="347"/>
      <c r="EN246" s="347"/>
      <c r="EO246" s="347"/>
      <c r="EP246" s="347"/>
      <c r="EQ246" s="347"/>
      <c r="ER246" s="347"/>
      <c r="ES246" s="347"/>
      <c r="ET246" s="347"/>
      <c r="EU246" s="347"/>
      <c r="EV246" s="347"/>
      <c r="EW246" s="347"/>
      <c r="EX246" s="347"/>
      <c r="EY246" s="347"/>
      <c r="EZ246" s="347"/>
      <c r="FA246" s="347"/>
      <c r="FB246" s="347"/>
      <c r="FC246" s="347"/>
      <c r="FD246" s="347"/>
      <c r="FE246" s="347"/>
      <c r="FF246" s="347"/>
      <c r="FG246" s="347"/>
      <c r="FH246" s="347"/>
      <c r="FI246" s="347"/>
      <c r="FJ246" s="347"/>
      <c r="FK246" s="347"/>
      <c r="FL246" s="347"/>
      <c r="FM246" s="347"/>
      <c r="FN246" s="347"/>
      <c r="FO246" s="347"/>
      <c r="FP246" s="347"/>
      <c r="FQ246" s="347"/>
      <c r="FR246" s="347"/>
      <c r="FS246" s="347"/>
      <c r="FT246" s="347"/>
      <c r="FU246" s="347"/>
      <c r="FV246" s="347"/>
      <c r="FW246" s="347"/>
      <c r="FX246" s="347"/>
      <c r="FY246" s="347"/>
      <c r="FZ246" s="347"/>
      <c r="GA246" s="347"/>
      <c r="GB246" s="347"/>
      <c r="GC246" s="347"/>
      <c r="GD246" s="347"/>
      <c r="GE246" s="347"/>
      <c r="GF246" s="347"/>
      <c r="GG246" s="347"/>
      <c r="GH246" s="347"/>
      <c r="GI246" s="347"/>
      <c r="GJ246" s="347"/>
      <c r="GK246" s="347"/>
      <c r="GL246" s="347"/>
      <c r="GM246" s="347"/>
      <c r="GN246" s="347"/>
      <c r="GO246" s="347"/>
      <c r="GP246" s="347"/>
      <c r="GQ246" s="347"/>
      <c r="GR246" s="347"/>
      <c r="GS246" s="347"/>
      <c r="GT246" s="347"/>
      <c r="GU246" s="347"/>
      <c r="GV246" s="347"/>
      <c r="GW246" s="347"/>
      <c r="GX246" s="347"/>
      <c r="GY246" s="347"/>
      <c r="GZ246" s="347"/>
      <c r="HA246" s="347"/>
      <c r="HB246" s="347"/>
      <c r="HC246" s="347"/>
      <c r="HD246" s="347"/>
      <c r="HE246" s="347"/>
      <c r="HF246" s="347"/>
      <c r="HG246" s="347"/>
      <c r="HH246" s="347"/>
      <c r="HI246" s="347"/>
      <c r="HJ246" s="347"/>
      <c r="HK246" s="347"/>
      <c r="HL246" s="347"/>
      <c r="HM246" s="347"/>
      <c r="HN246" s="347"/>
      <c r="HO246" s="347"/>
      <c r="HP246" s="347"/>
      <c r="HQ246" s="347"/>
      <c r="HR246" s="347"/>
      <c r="HS246" s="347"/>
      <c r="HT246" s="347"/>
      <c r="HU246" s="347"/>
      <c r="HV246" s="347"/>
      <c r="HW246" s="347"/>
      <c r="HX246" s="347"/>
      <c r="HY246" s="347"/>
      <c r="HZ246" s="347"/>
      <c r="IA246" s="347"/>
      <c r="IB246" s="347"/>
      <c r="IC246" s="347"/>
      <c r="ID246" s="347"/>
      <c r="IE246" s="347"/>
      <c r="IF246" s="347"/>
      <c r="IG246" s="347"/>
      <c r="IH246" s="347"/>
      <c r="II246" s="347"/>
      <c r="IJ246" s="347"/>
      <c r="IK246" s="347"/>
      <c r="IL246" s="347"/>
      <c r="IM246" s="347"/>
      <c r="IN246" s="347"/>
      <c r="IO246" s="347"/>
      <c r="IP246" s="347"/>
      <c r="IQ246" s="347"/>
      <c r="IR246" s="347"/>
      <c r="IS246" s="347"/>
      <c r="IT246" s="347"/>
      <c r="IU246" s="347"/>
      <c r="IV246" s="347"/>
      <c r="IW246" s="347"/>
    </row>
    <row r="247" customFormat="false" ht="12" hidden="true" customHeight="true" outlineLevel="0" collapsed="false">
      <c r="A247" s="418"/>
      <c r="B247" s="419" t="n">
        <v>56039</v>
      </c>
      <c r="C247" s="335"/>
      <c r="D247" s="75" t="s">
        <v>343</v>
      </c>
      <c r="E247" s="419"/>
      <c r="G247" s="181" t="n">
        <f aca="false">BTUDefault</f>
        <v>1.025</v>
      </c>
      <c r="H247" s="335"/>
      <c r="I247" s="68" t="n">
        <f aca="false">(VLOOKUP(56039,totalvolume,2,FALSE())-(VLOOKUP(56040,totalvolume,2,FALSE())))*BTUDefault/1000</f>
        <v>357.521505725</v>
      </c>
      <c r="J247" s="420"/>
      <c r="K247" s="420"/>
      <c r="L247" s="420"/>
      <c r="M247" s="420"/>
      <c r="N247" s="420"/>
      <c r="O247" s="420"/>
      <c r="P247" s="420"/>
      <c r="Q247" s="420"/>
      <c r="R247" s="344"/>
      <c r="S247" s="420"/>
      <c r="T247" s="420"/>
      <c r="U247" s="420"/>
      <c r="V247" s="420"/>
      <c r="W247" s="420"/>
      <c r="X247" s="421"/>
      <c r="Y247" s="421"/>
      <c r="Z247" s="347"/>
      <c r="AA247" s="347"/>
      <c r="AB247" s="348"/>
      <c r="AC247" s="348"/>
      <c r="AD247" s="347"/>
      <c r="AE247" s="347"/>
      <c r="AF247" s="347"/>
      <c r="AG247" s="347"/>
      <c r="AH247" s="347"/>
      <c r="AI247" s="347"/>
      <c r="AJ247" s="347"/>
      <c r="AK247" s="347"/>
      <c r="AL247" s="347"/>
      <c r="AM247" s="347"/>
      <c r="AN247" s="347"/>
      <c r="AO247" s="347"/>
      <c r="AP247" s="347"/>
      <c r="AQ247" s="347"/>
      <c r="AR247" s="347"/>
      <c r="AS247" s="347"/>
      <c r="AT247" s="347"/>
      <c r="AU247" s="347"/>
      <c r="AV247" s="347"/>
      <c r="AW247" s="347"/>
      <c r="AX247" s="347"/>
      <c r="AY247" s="347"/>
      <c r="AZ247" s="347"/>
      <c r="BA247" s="347"/>
      <c r="BB247" s="347"/>
      <c r="BC247" s="347"/>
      <c r="BD247" s="347"/>
      <c r="BE247" s="347"/>
      <c r="BF247" s="347"/>
      <c r="BG247" s="347"/>
      <c r="BH247" s="347"/>
      <c r="BI247" s="347"/>
      <c r="BJ247" s="347"/>
      <c r="BK247" s="347"/>
      <c r="BL247" s="347"/>
      <c r="BM247" s="347"/>
      <c r="BN247" s="347"/>
      <c r="BO247" s="347"/>
      <c r="BP247" s="347"/>
      <c r="BQ247" s="347"/>
      <c r="BR247" s="347"/>
      <c r="BS247" s="347"/>
      <c r="BT247" s="347"/>
      <c r="BU247" s="347"/>
      <c r="BV247" s="347"/>
      <c r="BW247" s="347"/>
      <c r="BX247" s="347"/>
      <c r="BY247" s="347"/>
      <c r="BZ247" s="347"/>
      <c r="CA247" s="347"/>
      <c r="CB247" s="347"/>
      <c r="CC247" s="347"/>
      <c r="CD247" s="347"/>
      <c r="CE247" s="347"/>
      <c r="CF247" s="347"/>
      <c r="CG247" s="347"/>
      <c r="CH247" s="347"/>
      <c r="CI247" s="347"/>
      <c r="CJ247" s="347"/>
      <c r="CK247" s="347"/>
      <c r="CL247" s="347"/>
      <c r="CM247" s="347"/>
      <c r="CN247" s="347"/>
      <c r="CO247" s="347"/>
      <c r="CP247" s="347"/>
      <c r="CQ247" s="347"/>
      <c r="CR247" s="347"/>
      <c r="CS247" s="347"/>
      <c r="CT247" s="347"/>
      <c r="CU247" s="347"/>
      <c r="CV247" s="347"/>
      <c r="CW247" s="347"/>
      <c r="CX247" s="347"/>
      <c r="CY247" s="347"/>
      <c r="CZ247" s="347"/>
      <c r="DA247" s="347"/>
      <c r="DB247" s="347"/>
      <c r="DC247" s="347"/>
      <c r="DD247" s="347"/>
      <c r="DE247" s="347"/>
      <c r="DF247" s="347"/>
      <c r="DG247" s="347"/>
      <c r="DH247" s="347"/>
      <c r="DI247" s="347"/>
      <c r="DJ247" s="347"/>
      <c r="DK247" s="347"/>
      <c r="DL247" s="347"/>
      <c r="DM247" s="347"/>
      <c r="DN247" s="347"/>
      <c r="DO247" s="347"/>
      <c r="DP247" s="347"/>
      <c r="DQ247" s="347"/>
      <c r="DR247" s="347"/>
      <c r="DS247" s="347"/>
      <c r="DT247" s="347"/>
      <c r="DU247" s="347"/>
      <c r="DV247" s="347"/>
      <c r="DW247" s="347"/>
      <c r="DX247" s="347"/>
      <c r="DY247" s="347"/>
      <c r="DZ247" s="347"/>
      <c r="EA247" s="347"/>
      <c r="EB247" s="347"/>
      <c r="EC247" s="347"/>
      <c r="ED247" s="347"/>
      <c r="EE247" s="347"/>
      <c r="EF247" s="347"/>
      <c r="EG247" s="347"/>
      <c r="EH247" s="347"/>
      <c r="EI247" s="347"/>
      <c r="EJ247" s="347"/>
      <c r="EK247" s="347"/>
      <c r="EL247" s="347"/>
      <c r="EM247" s="347"/>
      <c r="EN247" s="347"/>
      <c r="EO247" s="347"/>
      <c r="EP247" s="347"/>
      <c r="EQ247" s="347"/>
      <c r="ER247" s="347"/>
      <c r="ES247" s="347"/>
      <c r="ET247" s="347"/>
      <c r="EU247" s="347"/>
      <c r="EV247" s="347"/>
      <c r="EW247" s="347"/>
      <c r="EX247" s="347"/>
      <c r="EY247" s="347"/>
      <c r="EZ247" s="347"/>
      <c r="FA247" s="347"/>
      <c r="FB247" s="347"/>
      <c r="FC247" s="347"/>
      <c r="FD247" s="347"/>
      <c r="FE247" s="347"/>
      <c r="FF247" s="347"/>
      <c r="FG247" s="347"/>
      <c r="FH247" s="347"/>
      <c r="FI247" s="347"/>
      <c r="FJ247" s="347"/>
      <c r="FK247" s="347"/>
      <c r="FL247" s="347"/>
      <c r="FM247" s="347"/>
      <c r="FN247" s="347"/>
      <c r="FO247" s="347"/>
      <c r="FP247" s="347"/>
      <c r="FQ247" s="347"/>
      <c r="FR247" s="347"/>
      <c r="FS247" s="347"/>
      <c r="FT247" s="347"/>
      <c r="FU247" s="347"/>
      <c r="FV247" s="347"/>
      <c r="FW247" s="347"/>
      <c r="FX247" s="347"/>
      <c r="FY247" s="347"/>
      <c r="FZ247" s="347"/>
      <c r="GA247" s="347"/>
      <c r="GB247" s="347"/>
      <c r="GC247" s="347"/>
      <c r="GD247" s="347"/>
      <c r="GE247" s="347"/>
      <c r="GF247" s="347"/>
      <c r="GG247" s="347"/>
      <c r="GH247" s="347"/>
      <c r="GI247" s="347"/>
      <c r="GJ247" s="347"/>
      <c r="GK247" s="347"/>
      <c r="GL247" s="347"/>
      <c r="GM247" s="347"/>
      <c r="GN247" s="347"/>
      <c r="GO247" s="347"/>
      <c r="GP247" s="347"/>
      <c r="GQ247" s="347"/>
      <c r="GR247" s="347"/>
      <c r="GS247" s="347"/>
      <c r="GT247" s="347"/>
      <c r="GU247" s="347"/>
      <c r="GV247" s="347"/>
      <c r="GW247" s="347"/>
      <c r="GX247" s="347"/>
      <c r="GY247" s="347"/>
      <c r="GZ247" s="347"/>
      <c r="HA247" s="347"/>
      <c r="HB247" s="347"/>
      <c r="HC247" s="347"/>
      <c r="HD247" s="347"/>
      <c r="HE247" s="347"/>
      <c r="HF247" s="347"/>
      <c r="HG247" s="347"/>
      <c r="HH247" s="347"/>
      <c r="HI247" s="347"/>
      <c r="HJ247" s="347"/>
      <c r="HK247" s="347"/>
      <c r="HL247" s="347"/>
      <c r="HM247" s="347"/>
      <c r="HN247" s="347"/>
      <c r="HO247" s="347"/>
      <c r="HP247" s="347"/>
      <c r="HQ247" s="347"/>
      <c r="HR247" s="347"/>
      <c r="HS247" s="347"/>
      <c r="HT247" s="347"/>
      <c r="HU247" s="347"/>
      <c r="HV247" s="347"/>
      <c r="HW247" s="347"/>
      <c r="HX247" s="347"/>
      <c r="HY247" s="347"/>
      <c r="HZ247" s="347"/>
      <c r="IA247" s="347"/>
      <c r="IB247" s="347"/>
      <c r="IC247" s="347"/>
      <c r="ID247" s="347"/>
      <c r="IE247" s="347"/>
      <c r="IF247" s="347"/>
      <c r="IG247" s="347"/>
      <c r="IH247" s="347"/>
      <c r="II247" s="347"/>
      <c r="IJ247" s="347"/>
      <c r="IK247" s="347"/>
      <c r="IL247" s="347"/>
      <c r="IM247" s="347"/>
      <c r="IN247" s="347"/>
      <c r="IO247" s="347"/>
      <c r="IP247" s="347"/>
      <c r="IQ247" s="347"/>
      <c r="IR247" s="347"/>
      <c r="IS247" s="347"/>
      <c r="IT247" s="347"/>
      <c r="IU247" s="347"/>
      <c r="IV247" s="347"/>
      <c r="IW247" s="347"/>
    </row>
    <row r="248" customFormat="false" ht="12" hidden="true" customHeight="true" outlineLevel="0" collapsed="false">
      <c r="A248" s="418"/>
      <c r="B248" s="419" t="n">
        <v>56041</v>
      </c>
      <c r="C248" s="335"/>
      <c r="D248" s="75" t="s">
        <v>344</v>
      </c>
      <c r="E248" s="419"/>
      <c r="G248" s="181" t="n">
        <f aca="false">BTUDefault</f>
        <v>1.025</v>
      </c>
      <c r="H248" s="335"/>
      <c r="I248" s="68" t="n">
        <f aca="false">(VLOOKUP(56041,totalvolume,2,FALSE())-(VLOOKUP(56042,totalvolume,2,FALSE())))*BTUDefault/1000</f>
        <v>-19.268666194765</v>
      </c>
      <c r="J248" s="420"/>
      <c r="K248" s="420"/>
      <c r="L248" s="420"/>
      <c r="M248" s="420"/>
      <c r="N248" s="420"/>
      <c r="O248" s="420"/>
      <c r="P248" s="420"/>
      <c r="Q248" s="420"/>
      <c r="R248" s="344"/>
      <c r="S248" s="420"/>
      <c r="T248" s="420"/>
      <c r="U248" s="420"/>
      <c r="V248" s="420"/>
      <c r="W248" s="420"/>
      <c r="X248" s="421"/>
      <c r="Y248" s="421"/>
      <c r="Z248" s="347"/>
      <c r="AA248" s="347"/>
      <c r="AB248" s="348"/>
      <c r="AC248" s="348"/>
      <c r="AD248" s="347"/>
      <c r="AE248" s="347"/>
      <c r="AF248" s="347"/>
      <c r="AG248" s="347"/>
      <c r="AH248" s="347"/>
      <c r="AI248" s="347"/>
      <c r="AJ248" s="347"/>
      <c r="AK248" s="347"/>
      <c r="AL248" s="347"/>
      <c r="AM248" s="347"/>
      <c r="AN248" s="347"/>
      <c r="AO248" s="347"/>
      <c r="AP248" s="347"/>
      <c r="AQ248" s="347"/>
      <c r="AR248" s="347"/>
      <c r="AS248" s="347"/>
      <c r="AT248" s="347"/>
      <c r="AU248" s="347"/>
      <c r="AV248" s="347"/>
      <c r="AW248" s="347"/>
      <c r="AX248" s="347"/>
      <c r="AY248" s="347"/>
      <c r="AZ248" s="347"/>
      <c r="BA248" s="347"/>
      <c r="BB248" s="347"/>
      <c r="BC248" s="347"/>
      <c r="BD248" s="347"/>
      <c r="BE248" s="347"/>
      <c r="BF248" s="347"/>
      <c r="BG248" s="347"/>
      <c r="BH248" s="347"/>
      <c r="BI248" s="347"/>
      <c r="BJ248" s="347"/>
      <c r="BK248" s="347"/>
      <c r="BL248" s="347"/>
      <c r="BM248" s="347"/>
      <c r="BN248" s="347"/>
      <c r="BO248" s="347"/>
      <c r="BP248" s="347"/>
      <c r="BQ248" s="347"/>
      <c r="BR248" s="347"/>
      <c r="BS248" s="347"/>
      <c r="BT248" s="347"/>
      <c r="BU248" s="347"/>
      <c r="BV248" s="347"/>
      <c r="BW248" s="347"/>
      <c r="BX248" s="347"/>
      <c r="BY248" s="347"/>
      <c r="BZ248" s="347"/>
      <c r="CA248" s="347"/>
      <c r="CB248" s="347"/>
      <c r="CC248" s="347"/>
      <c r="CD248" s="347"/>
      <c r="CE248" s="347"/>
      <c r="CF248" s="347"/>
      <c r="CG248" s="347"/>
      <c r="CH248" s="347"/>
      <c r="CI248" s="347"/>
      <c r="CJ248" s="347"/>
      <c r="CK248" s="347"/>
      <c r="CL248" s="347"/>
      <c r="CM248" s="347"/>
      <c r="CN248" s="347"/>
      <c r="CO248" s="347"/>
      <c r="CP248" s="347"/>
      <c r="CQ248" s="347"/>
      <c r="CR248" s="347"/>
      <c r="CS248" s="347"/>
      <c r="CT248" s="347"/>
      <c r="CU248" s="347"/>
      <c r="CV248" s="347"/>
      <c r="CW248" s="347"/>
      <c r="CX248" s="347"/>
      <c r="CY248" s="347"/>
      <c r="CZ248" s="347"/>
      <c r="DA248" s="347"/>
      <c r="DB248" s="347"/>
      <c r="DC248" s="347"/>
      <c r="DD248" s="347"/>
      <c r="DE248" s="347"/>
      <c r="DF248" s="347"/>
      <c r="DG248" s="347"/>
      <c r="DH248" s="347"/>
      <c r="DI248" s="347"/>
      <c r="DJ248" s="347"/>
      <c r="DK248" s="347"/>
      <c r="DL248" s="347"/>
      <c r="DM248" s="347"/>
      <c r="DN248" s="347"/>
      <c r="DO248" s="347"/>
      <c r="DP248" s="347"/>
      <c r="DQ248" s="347"/>
      <c r="DR248" s="347"/>
      <c r="DS248" s="347"/>
      <c r="DT248" s="347"/>
      <c r="DU248" s="347"/>
      <c r="DV248" s="347"/>
      <c r="DW248" s="347"/>
      <c r="DX248" s="347"/>
      <c r="DY248" s="347"/>
      <c r="DZ248" s="347"/>
      <c r="EA248" s="347"/>
      <c r="EB248" s="347"/>
      <c r="EC248" s="347"/>
      <c r="ED248" s="347"/>
      <c r="EE248" s="347"/>
      <c r="EF248" s="347"/>
      <c r="EG248" s="347"/>
      <c r="EH248" s="347"/>
      <c r="EI248" s="347"/>
      <c r="EJ248" s="347"/>
      <c r="EK248" s="347"/>
      <c r="EL248" s="347"/>
      <c r="EM248" s="347"/>
      <c r="EN248" s="347"/>
      <c r="EO248" s="347"/>
      <c r="EP248" s="347"/>
      <c r="EQ248" s="347"/>
      <c r="ER248" s="347"/>
      <c r="ES248" s="347"/>
      <c r="ET248" s="347"/>
      <c r="EU248" s="347"/>
      <c r="EV248" s="347"/>
      <c r="EW248" s="347"/>
      <c r="EX248" s="347"/>
      <c r="EY248" s="347"/>
      <c r="EZ248" s="347"/>
      <c r="FA248" s="347"/>
      <c r="FB248" s="347"/>
      <c r="FC248" s="347"/>
      <c r="FD248" s="347"/>
      <c r="FE248" s="347"/>
      <c r="FF248" s="347"/>
      <c r="FG248" s="347"/>
      <c r="FH248" s="347"/>
      <c r="FI248" s="347"/>
      <c r="FJ248" s="347"/>
      <c r="FK248" s="347"/>
      <c r="FL248" s="347"/>
      <c r="FM248" s="347"/>
      <c r="FN248" s="347"/>
      <c r="FO248" s="347"/>
      <c r="FP248" s="347"/>
      <c r="FQ248" s="347"/>
      <c r="FR248" s="347"/>
      <c r="FS248" s="347"/>
      <c r="FT248" s="347"/>
      <c r="FU248" s="347"/>
      <c r="FV248" s="347"/>
      <c r="FW248" s="347"/>
      <c r="FX248" s="347"/>
      <c r="FY248" s="347"/>
      <c r="FZ248" s="347"/>
      <c r="GA248" s="347"/>
      <c r="GB248" s="347"/>
      <c r="GC248" s="347"/>
      <c r="GD248" s="347"/>
      <c r="GE248" s="347"/>
      <c r="GF248" s="347"/>
      <c r="GG248" s="347"/>
      <c r="GH248" s="347"/>
      <c r="GI248" s="347"/>
      <c r="GJ248" s="347"/>
      <c r="GK248" s="347"/>
      <c r="GL248" s="347"/>
      <c r="GM248" s="347"/>
      <c r="GN248" s="347"/>
      <c r="GO248" s="347"/>
      <c r="GP248" s="347"/>
      <c r="GQ248" s="347"/>
      <c r="GR248" s="347"/>
      <c r="GS248" s="347"/>
      <c r="GT248" s="347"/>
      <c r="GU248" s="347"/>
      <c r="GV248" s="347"/>
      <c r="GW248" s="347"/>
      <c r="GX248" s="347"/>
      <c r="GY248" s="347"/>
      <c r="GZ248" s="347"/>
      <c r="HA248" s="347"/>
      <c r="HB248" s="347"/>
      <c r="HC248" s="347"/>
      <c r="HD248" s="347"/>
      <c r="HE248" s="347"/>
      <c r="HF248" s="347"/>
      <c r="HG248" s="347"/>
      <c r="HH248" s="347"/>
      <c r="HI248" s="347"/>
      <c r="HJ248" s="347"/>
      <c r="HK248" s="347"/>
      <c r="HL248" s="347"/>
      <c r="HM248" s="347"/>
      <c r="HN248" s="347"/>
      <c r="HO248" s="347"/>
      <c r="HP248" s="347"/>
      <c r="HQ248" s="347"/>
      <c r="HR248" s="347"/>
      <c r="HS248" s="347"/>
      <c r="HT248" s="347"/>
      <c r="HU248" s="347"/>
      <c r="HV248" s="347"/>
      <c r="HW248" s="347"/>
      <c r="HX248" s="347"/>
      <c r="HY248" s="347"/>
      <c r="HZ248" s="347"/>
      <c r="IA248" s="347"/>
      <c r="IB248" s="347"/>
      <c r="IC248" s="347"/>
      <c r="ID248" s="347"/>
      <c r="IE248" s="347"/>
      <c r="IF248" s="347"/>
      <c r="IG248" s="347"/>
      <c r="IH248" s="347"/>
      <c r="II248" s="347"/>
      <c r="IJ248" s="347"/>
      <c r="IK248" s="347"/>
      <c r="IL248" s="347"/>
      <c r="IM248" s="347"/>
      <c r="IN248" s="347"/>
      <c r="IO248" s="347"/>
      <c r="IP248" s="347"/>
      <c r="IQ248" s="347"/>
      <c r="IR248" s="347"/>
      <c r="IS248" s="347"/>
      <c r="IT248" s="347"/>
      <c r="IU248" s="347"/>
      <c r="IV248" s="347"/>
      <c r="IW248" s="347"/>
    </row>
    <row r="249" customFormat="false" ht="12" hidden="true" customHeight="true" outlineLevel="0" collapsed="false">
      <c r="A249" s="418"/>
      <c r="B249" s="419" t="n">
        <v>56043</v>
      </c>
      <c r="C249" s="335"/>
      <c r="D249" s="75" t="s">
        <v>345</v>
      </c>
      <c r="E249" s="419"/>
      <c r="G249" s="181" t="n">
        <f aca="false">BTUDefault</f>
        <v>1.025</v>
      </c>
      <c r="H249" s="335"/>
      <c r="I249" s="68" t="n">
        <f aca="false">(VLOOKUP(56043,totalvolume,2,FALSE())-(VLOOKUP(56044,totalvolume,2,FALSE())))*BTUDefault/1000</f>
        <v>271.910174475</v>
      </c>
      <c r="J249" s="420"/>
      <c r="K249" s="420"/>
      <c r="L249" s="420"/>
      <c r="M249" s="420"/>
      <c r="N249" s="420"/>
      <c r="O249" s="420"/>
      <c r="P249" s="420"/>
      <c r="Q249" s="420"/>
      <c r="R249" s="344"/>
      <c r="S249" s="420"/>
      <c r="T249" s="420"/>
      <c r="U249" s="420"/>
      <c r="V249" s="420"/>
      <c r="W249" s="420"/>
      <c r="X249" s="421"/>
      <c r="Y249" s="421"/>
      <c r="Z249" s="347"/>
      <c r="AA249" s="347"/>
      <c r="AB249" s="348"/>
      <c r="AC249" s="348"/>
      <c r="AD249" s="347"/>
      <c r="AE249" s="347"/>
      <c r="AF249" s="347"/>
      <c r="AG249" s="347"/>
      <c r="AH249" s="347"/>
      <c r="AI249" s="347"/>
      <c r="AJ249" s="347"/>
      <c r="AK249" s="347"/>
      <c r="AL249" s="347"/>
      <c r="AM249" s="347"/>
      <c r="AN249" s="347"/>
      <c r="AO249" s="347"/>
      <c r="AP249" s="347"/>
      <c r="AQ249" s="347"/>
      <c r="AR249" s="347"/>
      <c r="AS249" s="347"/>
      <c r="AT249" s="347"/>
      <c r="AU249" s="347"/>
      <c r="AV249" s="347"/>
      <c r="AW249" s="347"/>
      <c r="AX249" s="347"/>
      <c r="AY249" s="347"/>
      <c r="AZ249" s="347"/>
      <c r="BA249" s="347"/>
      <c r="BB249" s="347"/>
      <c r="BC249" s="347"/>
      <c r="BD249" s="347"/>
      <c r="BE249" s="347"/>
      <c r="BF249" s="347"/>
      <c r="BG249" s="347"/>
      <c r="BH249" s="347"/>
      <c r="BI249" s="347"/>
      <c r="BJ249" s="347"/>
      <c r="BK249" s="347"/>
      <c r="BL249" s="347"/>
      <c r="BM249" s="347"/>
      <c r="BN249" s="347"/>
      <c r="BO249" s="347"/>
      <c r="BP249" s="347"/>
      <c r="BQ249" s="347"/>
      <c r="BR249" s="347"/>
      <c r="BS249" s="347"/>
      <c r="BT249" s="347"/>
      <c r="BU249" s="347"/>
      <c r="BV249" s="347"/>
      <c r="BW249" s="347"/>
      <c r="BX249" s="347"/>
      <c r="BY249" s="347"/>
      <c r="BZ249" s="347"/>
      <c r="CA249" s="347"/>
      <c r="CB249" s="347"/>
      <c r="CC249" s="347"/>
      <c r="CD249" s="347"/>
      <c r="CE249" s="347"/>
      <c r="CF249" s="347"/>
      <c r="CG249" s="347"/>
      <c r="CH249" s="347"/>
      <c r="CI249" s="347"/>
      <c r="CJ249" s="347"/>
      <c r="CK249" s="347"/>
      <c r="CL249" s="347"/>
      <c r="CM249" s="347"/>
      <c r="CN249" s="347"/>
      <c r="CO249" s="347"/>
      <c r="CP249" s="347"/>
      <c r="CQ249" s="347"/>
      <c r="CR249" s="347"/>
      <c r="CS249" s="347"/>
      <c r="CT249" s="347"/>
      <c r="CU249" s="347"/>
      <c r="CV249" s="347"/>
      <c r="CW249" s="347"/>
      <c r="CX249" s="347"/>
      <c r="CY249" s="347"/>
      <c r="CZ249" s="347"/>
      <c r="DA249" s="347"/>
      <c r="DB249" s="347"/>
      <c r="DC249" s="347"/>
      <c r="DD249" s="347"/>
      <c r="DE249" s="347"/>
      <c r="DF249" s="347"/>
      <c r="DG249" s="347"/>
      <c r="DH249" s="347"/>
      <c r="DI249" s="347"/>
      <c r="DJ249" s="347"/>
      <c r="DK249" s="347"/>
      <c r="DL249" s="347"/>
      <c r="DM249" s="347"/>
      <c r="DN249" s="347"/>
      <c r="DO249" s="347"/>
      <c r="DP249" s="347"/>
      <c r="DQ249" s="347"/>
      <c r="DR249" s="347"/>
      <c r="DS249" s="347"/>
      <c r="DT249" s="347"/>
      <c r="DU249" s="347"/>
      <c r="DV249" s="347"/>
      <c r="DW249" s="347"/>
      <c r="DX249" s="347"/>
      <c r="DY249" s="347"/>
      <c r="DZ249" s="347"/>
      <c r="EA249" s="347"/>
      <c r="EB249" s="347"/>
      <c r="EC249" s="347"/>
      <c r="ED249" s="347"/>
      <c r="EE249" s="347"/>
      <c r="EF249" s="347"/>
      <c r="EG249" s="347"/>
      <c r="EH249" s="347"/>
      <c r="EI249" s="347"/>
      <c r="EJ249" s="347"/>
      <c r="EK249" s="347"/>
      <c r="EL249" s="347"/>
      <c r="EM249" s="347"/>
      <c r="EN249" s="347"/>
      <c r="EO249" s="347"/>
      <c r="EP249" s="347"/>
      <c r="EQ249" s="347"/>
      <c r="ER249" s="347"/>
      <c r="ES249" s="347"/>
      <c r="ET249" s="347"/>
      <c r="EU249" s="347"/>
      <c r="EV249" s="347"/>
      <c r="EW249" s="347"/>
      <c r="EX249" s="347"/>
      <c r="EY249" s="347"/>
      <c r="EZ249" s="347"/>
      <c r="FA249" s="347"/>
      <c r="FB249" s="347"/>
      <c r="FC249" s="347"/>
      <c r="FD249" s="347"/>
      <c r="FE249" s="347"/>
      <c r="FF249" s="347"/>
      <c r="FG249" s="347"/>
      <c r="FH249" s="347"/>
      <c r="FI249" s="347"/>
      <c r="FJ249" s="347"/>
      <c r="FK249" s="347"/>
      <c r="FL249" s="347"/>
      <c r="FM249" s="347"/>
      <c r="FN249" s="347"/>
      <c r="FO249" s="347"/>
      <c r="FP249" s="347"/>
      <c r="FQ249" s="347"/>
      <c r="FR249" s="347"/>
      <c r="FS249" s="347"/>
      <c r="FT249" s="347"/>
      <c r="FU249" s="347"/>
      <c r="FV249" s="347"/>
      <c r="FW249" s="347"/>
      <c r="FX249" s="347"/>
      <c r="FY249" s="347"/>
      <c r="FZ249" s="347"/>
      <c r="GA249" s="347"/>
      <c r="GB249" s="347"/>
      <c r="GC249" s="347"/>
      <c r="GD249" s="347"/>
      <c r="GE249" s="347"/>
      <c r="GF249" s="347"/>
      <c r="GG249" s="347"/>
      <c r="GH249" s="347"/>
      <c r="GI249" s="347"/>
      <c r="GJ249" s="347"/>
      <c r="GK249" s="347"/>
      <c r="GL249" s="347"/>
      <c r="GM249" s="347"/>
      <c r="GN249" s="347"/>
      <c r="GO249" s="347"/>
      <c r="GP249" s="347"/>
      <c r="GQ249" s="347"/>
      <c r="GR249" s="347"/>
      <c r="GS249" s="347"/>
      <c r="GT249" s="347"/>
      <c r="GU249" s="347"/>
      <c r="GV249" s="347"/>
      <c r="GW249" s="347"/>
      <c r="GX249" s="347"/>
      <c r="GY249" s="347"/>
      <c r="GZ249" s="347"/>
      <c r="HA249" s="347"/>
      <c r="HB249" s="347"/>
      <c r="HC249" s="347"/>
      <c r="HD249" s="347"/>
      <c r="HE249" s="347"/>
      <c r="HF249" s="347"/>
      <c r="HG249" s="347"/>
      <c r="HH249" s="347"/>
      <c r="HI249" s="347"/>
      <c r="HJ249" s="347"/>
      <c r="HK249" s="347"/>
      <c r="HL249" s="347"/>
      <c r="HM249" s="347"/>
      <c r="HN249" s="347"/>
      <c r="HO249" s="347"/>
      <c r="HP249" s="347"/>
      <c r="HQ249" s="347"/>
      <c r="HR249" s="347"/>
      <c r="HS249" s="347"/>
      <c r="HT249" s="347"/>
      <c r="HU249" s="347"/>
      <c r="HV249" s="347"/>
      <c r="HW249" s="347"/>
      <c r="HX249" s="347"/>
      <c r="HY249" s="347"/>
      <c r="HZ249" s="347"/>
      <c r="IA249" s="347"/>
      <c r="IB249" s="347"/>
      <c r="IC249" s="347"/>
      <c r="ID249" s="347"/>
      <c r="IE249" s="347"/>
      <c r="IF249" s="347"/>
      <c r="IG249" s="347"/>
      <c r="IH249" s="347"/>
      <c r="II249" s="347"/>
      <c r="IJ249" s="347"/>
      <c r="IK249" s="347"/>
      <c r="IL249" s="347"/>
      <c r="IM249" s="347"/>
      <c r="IN249" s="347"/>
      <c r="IO249" s="347"/>
      <c r="IP249" s="347"/>
      <c r="IQ249" s="347"/>
      <c r="IR249" s="347"/>
      <c r="IS249" s="347"/>
      <c r="IT249" s="347"/>
      <c r="IU249" s="347"/>
      <c r="IV249" s="347"/>
      <c r="IW249" s="347"/>
    </row>
    <row r="250" customFormat="false" ht="13.15" hidden="true" customHeight="true" outlineLevel="0" collapsed="false">
      <c r="A250" s="418"/>
      <c r="B250" s="419" t="n">
        <v>6148</v>
      </c>
      <c r="C250" s="335"/>
      <c r="D250" s="75" t="s">
        <v>346</v>
      </c>
      <c r="E250" s="419"/>
      <c r="G250" s="181" t="n">
        <f aca="false">VLOOKUP($B250,BTU,2,FALSE())/1000</f>
        <v>1.01098407</v>
      </c>
      <c r="H250" s="182" t="str">
        <f aca="false">VLOOKUP($B250,spotdata,3,FALSE())</f>
        <v>    </v>
      </c>
      <c r="I250" s="204" t="n">
        <f aca="false">IF(VLOOKUP($B250,errordata,3,FALSE())="UNAV",J250*POLLHOURSFLOWED,IF(LEFT(B250,1)="1",VLOOKUP($B250,totalvolume,2,FALSE())*G250/1000,VLOOKUP($B250,totalvolume,2,FALSE())*G250/1000*-1))</f>
        <v>-13.6675933253593</v>
      </c>
      <c r="J250" s="420" t="n">
        <f aca="false">IF(LEFT(B250,1)="1",VLOOKUP(B250,Cigsch,2,FALSE())/1000,VLOOKUP(B250,Cigsch,2,FALSE())/1000*-1)*POLLHOURSFLOWED</f>
        <v>-35.4722222222222</v>
      </c>
      <c r="K250" s="420"/>
      <c r="L250" s="420"/>
      <c r="M250" s="420"/>
      <c r="N250" s="420"/>
      <c r="O250" s="420"/>
      <c r="P250" s="420"/>
      <c r="Q250" s="420"/>
      <c r="R250" s="344"/>
      <c r="S250" s="420"/>
      <c r="T250" s="420"/>
      <c r="U250" s="420"/>
      <c r="V250" s="420"/>
      <c r="W250" s="420"/>
      <c r="X250" s="421"/>
      <c r="Y250" s="421"/>
      <c r="Z250" s="347"/>
      <c r="AA250" s="347"/>
      <c r="AB250" s="348"/>
      <c r="AC250" s="348"/>
      <c r="AD250" s="347"/>
      <c r="AE250" s="347"/>
      <c r="AF250" s="347"/>
      <c r="AG250" s="347"/>
      <c r="AH250" s="347"/>
      <c r="AI250" s="347"/>
      <c r="AJ250" s="347"/>
      <c r="AK250" s="347"/>
      <c r="AL250" s="347"/>
      <c r="AM250" s="347"/>
      <c r="AN250" s="347"/>
      <c r="AO250" s="347"/>
      <c r="AP250" s="347"/>
      <c r="AQ250" s="347"/>
      <c r="AR250" s="347"/>
      <c r="AS250" s="347"/>
      <c r="AT250" s="347"/>
      <c r="AU250" s="347"/>
      <c r="AV250" s="347"/>
      <c r="AW250" s="347"/>
      <c r="AX250" s="347"/>
      <c r="AY250" s="347"/>
      <c r="AZ250" s="347"/>
      <c r="BA250" s="347"/>
      <c r="BB250" s="347"/>
      <c r="BC250" s="347"/>
      <c r="BD250" s="347"/>
      <c r="BE250" s="347"/>
      <c r="BF250" s="347"/>
      <c r="BG250" s="347"/>
      <c r="BH250" s="347"/>
      <c r="BI250" s="347"/>
      <c r="BJ250" s="347"/>
      <c r="BK250" s="347"/>
      <c r="BL250" s="347"/>
      <c r="BM250" s="347"/>
      <c r="BN250" s="347"/>
      <c r="BO250" s="347"/>
      <c r="BP250" s="347"/>
      <c r="BQ250" s="347"/>
      <c r="BR250" s="347"/>
      <c r="BS250" s="347"/>
      <c r="BT250" s="347"/>
      <c r="BU250" s="347"/>
      <c r="BV250" s="347"/>
      <c r="BW250" s="347"/>
      <c r="BX250" s="347"/>
      <c r="BY250" s="347"/>
      <c r="BZ250" s="347"/>
      <c r="CA250" s="347"/>
      <c r="CB250" s="347"/>
      <c r="CC250" s="347"/>
      <c r="CD250" s="347"/>
      <c r="CE250" s="347"/>
      <c r="CF250" s="347"/>
      <c r="CG250" s="347"/>
      <c r="CH250" s="347"/>
      <c r="CI250" s="347"/>
      <c r="CJ250" s="347"/>
      <c r="CK250" s="347"/>
      <c r="CL250" s="347"/>
      <c r="CM250" s="347"/>
      <c r="CN250" s="347"/>
      <c r="CO250" s="347"/>
      <c r="CP250" s="347"/>
      <c r="CQ250" s="347"/>
      <c r="CR250" s="347"/>
      <c r="CS250" s="347"/>
      <c r="CT250" s="347"/>
      <c r="CU250" s="347"/>
      <c r="CV250" s="347"/>
      <c r="CW250" s="347"/>
      <c r="CX250" s="347"/>
      <c r="CY250" s="347"/>
      <c r="CZ250" s="347"/>
      <c r="DA250" s="347"/>
      <c r="DB250" s="347"/>
      <c r="DC250" s="347"/>
      <c r="DD250" s="347"/>
      <c r="DE250" s="347"/>
      <c r="DF250" s="347"/>
      <c r="DG250" s="347"/>
      <c r="DH250" s="347"/>
      <c r="DI250" s="347"/>
      <c r="DJ250" s="347"/>
      <c r="DK250" s="347"/>
      <c r="DL250" s="347"/>
      <c r="DM250" s="347"/>
      <c r="DN250" s="347"/>
      <c r="DO250" s="347"/>
      <c r="DP250" s="347"/>
      <c r="DQ250" s="347"/>
      <c r="DR250" s="347"/>
      <c r="DS250" s="347"/>
      <c r="DT250" s="347"/>
      <c r="DU250" s="347"/>
      <c r="DV250" s="347"/>
      <c r="DW250" s="347"/>
      <c r="DX250" s="347"/>
      <c r="DY250" s="347"/>
      <c r="DZ250" s="347"/>
      <c r="EA250" s="347"/>
      <c r="EB250" s="347"/>
      <c r="EC250" s="347"/>
      <c r="ED250" s="347"/>
      <c r="EE250" s="347"/>
      <c r="EF250" s="347"/>
      <c r="EG250" s="347"/>
      <c r="EH250" s="347"/>
      <c r="EI250" s="347"/>
      <c r="EJ250" s="347"/>
      <c r="EK250" s="347"/>
      <c r="EL250" s="347"/>
      <c r="EM250" s="347"/>
      <c r="EN250" s="347"/>
      <c r="EO250" s="347"/>
      <c r="EP250" s="347"/>
      <c r="EQ250" s="347"/>
      <c r="ER250" s="347"/>
      <c r="ES250" s="347"/>
      <c r="ET250" s="347"/>
      <c r="EU250" s="347"/>
      <c r="EV250" s="347"/>
      <c r="EW250" s="347"/>
      <c r="EX250" s="347"/>
      <c r="EY250" s="347"/>
      <c r="EZ250" s="347"/>
      <c r="FA250" s="347"/>
      <c r="FB250" s="347"/>
      <c r="FC250" s="347"/>
      <c r="FD250" s="347"/>
      <c r="FE250" s="347"/>
      <c r="FF250" s="347"/>
      <c r="FG250" s="347"/>
      <c r="FH250" s="347"/>
      <c r="FI250" s="347"/>
      <c r="FJ250" s="347"/>
      <c r="FK250" s="347"/>
      <c r="FL250" s="347"/>
      <c r="FM250" s="347"/>
      <c r="FN250" s="347"/>
      <c r="FO250" s="347"/>
      <c r="FP250" s="347"/>
      <c r="FQ250" s="347"/>
      <c r="FR250" s="347"/>
      <c r="FS250" s="347"/>
      <c r="FT250" s="347"/>
      <c r="FU250" s="347"/>
      <c r="FV250" s="347"/>
      <c r="FW250" s="347"/>
      <c r="FX250" s="347"/>
      <c r="FY250" s="347"/>
      <c r="FZ250" s="347"/>
      <c r="GA250" s="347"/>
      <c r="GB250" s="347"/>
      <c r="GC250" s="347"/>
      <c r="GD250" s="347"/>
      <c r="GE250" s="347"/>
      <c r="GF250" s="347"/>
      <c r="GG250" s="347"/>
      <c r="GH250" s="347"/>
      <c r="GI250" s="347"/>
      <c r="GJ250" s="347"/>
      <c r="GK250" s="347"/>
      <c r="GL250" s="347"/>
      <c r="GM250" s="347"/>
      <c r="GN250" s="347"/>
      <c r="GO250" s="347"/>
      <c r="GP250" s="347"/>
      <c r="GQ250" s="347"/>
      <c r="GR250" s="347"/>
      <c r="GS250" s="347"/>
      <c r="GT250" s="347"/>
      <c r="GU250" s="347"/>
      <c r="GV250" s="347"/>
      <c r="GW250" s="347"/>
      <c r="GX250" s="347"/>
      <c r="GY250" s="347"/>
      <c r="GZ250" s="347"/>
      <c r="HA250" s="347"/>
      <c r="HB250" s="347"/>
      <c r="HC250" s="347"/>
      <c r="HD250" s="347"/>
      <c r="HE250" s="347"/>
      <c r="HF250" s="347"/>
      <c r="HG250" s="347"/>
      <c r="HH250" s="347"/>
      <c r="HI250" s="347"/>
      <c r="HJ250" s="347"/>
      <c r="HK250" s="347"/>
      <c r="HL250" s="347"/>
      <c r="HM250" s="347"/>
      <c r="HN250" s="347"/>
      <c r="HO250" s="347"/>
      <c r="HP250" s="347"/>
      <c r="HQ250" s="347"/>
      <c r="HR250" s="347"/>
      <c r="HS250" s="347"/>
      <c r="HT250" s="347"/>
      <c r="HU250" s="347"/>
      <c r="HV250" s="347"/>
      <c r="HW250" s="347"/>
      <c r="HX250" s="347"/>
      <c r="HY250" s="347"/>
      <c r="HZ250" s="347"/>
      <c r="IA250" s="347"/>
      <c r="IB250" s="347"/>
      <c r="IC250" s="347"/>
      <c r="ID250" s="347"/>
      <c r="IE250" s="347"/>
      <c r="IF250" s="347"/>
      <c r="IG250" s="347"/>
      <c r="IH250" s="347"/>
      <c r="II250" s="347"/>
      <c r="IJ250" s="347"/>
      <c r="IK250" s="347"/>
      <c r="IL250" s="347"/>
      <c r="IM250" s="347"/>
      <c r="IN250" s="347"/>
      <c r="IO250" s="347"/>
      <c r="IP250" s="347"/>
      <c r="IQ250" s="347"/>
      <c r="IR250" s="347"/>
      <c r="IS250" s="347"/>
      <c r="IT250" s="347"/>
      <c r="IU250" s="347"/>
      <c r="IV250" s="347"/>
      <c r="IW250" s="347"/>
    </row>
    <row r="251" customFormat="false" ht="12" hidden="true" customHeight="true" outlineLevel="0" collapsed="false">
      <c r="A251" s="418"/>
      <c r="B251" s="419" t="n">
        <v>11159</v>
      </c>
      <c r="C251" s="335"/>
      <c r="D251" s="75" t="s">
        <v>347</v>
      </c>
      <c r="E251" s="419"/>
      <c r="G251" s="181" t="n">
        <f aca="false">VLOOKUP($B251,BTU,2,FALSE())/1000</f>
        <v>1.018</v>
      </c>
      <c r="H251" s="182" t="str">
        <f aca="false">VLOOKUP($B251,spotdata,3,FALSE())</f>
        <v>    </v>
      </c>
      <c r="I251" s="215" t="n">
        <f aca="false">IF(VLOOKUP($B251,errordata,3,FALSE())="UNAV",J251*POLLHOURSFLOWED,IF(LEFT(B251,1)="1",VLOOKUP($B251,totalvolume,2,FALSE())*G251/1000,VLOOKUP($B251,totalvolume,2,FALSE())*G251/1000*-1))*-1</f>
        <v>-0</v>
      </c>
      <c r="J251" s="422" t="n">
        <f aca="false">VLOOKUP(26194,Cigsch,2,FALSE())/-1000*POLLHOURSFLOWED</f>
        <v>-0</v>
      </c>
      <c r="K251" s="420"/>
      <c r="L251" s="420"/>
      <c r="M251" s="420"/>
      <c r="N251" s="420"/>
      <c r="O251" s="420"/>
      <c r="P251" s="420"/>
      <c r="Q251" s="420"/>
      <c r="R251" s="344"/>
      <c r="S251" s="420"/>
      <c r="T251" s="420"/>
      <c r="U251" s="420"/>
      <c r="V251" s="420"/>
      <c r="W251" s="420"/>
      <c r="X251" s="421"/>
      <c r="Y251" s="421"/>
      <c r="Z251" s="347"/>
      <c r="AA251" s="347"/>
      <c r="AB251" s="348"/>
      <c r="AC251" s="348"/>
      <c r="AD251" s="347"/>
      <c r="AE251" s="347"/>
      <c r="AF251" s="347"/>
      <c r="AG251" s="347"/>
      <c r="AH251" s="347"/>
      <c r="AI251" s="347"/>
      <c r="AJ251" s="347"/>
      <c r="AK251" s="347"/>
      <c r="AL251" s="347"/>
      <c r="AM251" s="347"/>
      <c r="AN251" s="347"/>
      <c r="AO251" s="347"/>
      <c r="AP251" s="347"/>
      <c r="AQ251" s="347"/>
      <c r="AR251" s="347"/>
      <c r="AS251" s="347"/>
      <c r="AT251" s="347"/>
      <c r="AU251" s="347"/>
      <c r="AV251" s="347"/>
      <c r="AW251" s="347"/>
      <c r="AX251" s="347"/>
      <c r="AY251" s="347"/>
      <c r="AZ251" s="347"/>
      <c r="BA251" s="347"/>
      <c r="BB251" s="347"/>
      <c r="BC251" s="347"/>
      <c r="BD251" s="347"/>
      <c r="BE251" s="347"/>
      <c r="BF251" s="347"/>
      <c r="BG251" s="347"/>
      <c r="BH251" s="347"/>
      <c r="BI251" s="347"/>
      <c r="BJ251" s="347"/>
      <c r="BK251" s="347"/>
      <c r="BL251" s="347"/>
      <c r="BM251" s="347"/>
      <c r="BN251" s="347"/>
      <c r="BO251" s="347"/>
      <c r="BP251" s="347"/>
      <c r="BQ251" s="347"/>
      <c r="BR251" s="347"/>
      <c r="BS251" s="347"/>
      <c r="BT251" s="347"/>
      <c r="BU251" s="347"/>
      <c r="BV251" s="347"/>
      <c r="BW251" s="347"/>
      <c r="BX251" s="347"/>
      <c r="BY251" s="347"/>
      <c r="BZ251" s="347"/>
      <c r="CA251" s="347"/>
      <c r="CB251" s="347"/>
      <c r="CC251" s="347"/>
      <c r="CD251" s="347"/>
      <c r="CE251" s="347"/>
      <c r="CF251" s="347"/>
      <c r="CG251" s="347"/>
      <c r="CH251" s="347"/>
      <c r="CI251" s="347"/>
      <c r="CJ251" s="347"/>
      <c r="CK251" s="347"/>
      <c r="CL251" s="347"/>
      <c r="CM251" s="347"/>
      <c r="CN251" s="347"/>
      <c r="CO251" s="347"/>
      <c r="CP251" s="347"/>
      <c r="CQ251" s="347"/>
      <c r="CR251" s="347"/>
      <c r="CS251" s="347"/>
      <c r="CT251" s="347"/>
      <c r="CU251" s="347"/>
      <c r="CV251" s="347"/>
      <c r="CW251" s="347"/>
      <c r="CX251" s="347"/>
      <c r="CY251" s="347"/>
      <c r="CZ251" s="347"/>
      <c r="DA251" s="347"/>
      <c r="DB251" s="347"/>
      <c r="DC251" s="347"/>
      <c r="DD251" s="347"/>
      <c r="DE251" s="347"/>
      <c r="DF251" s="347"/>
      <c r="DG251" s="347"/>
      <c r="DH251" s="347"/>
      <c r="DI251" s="347"/>
      <c r="DJ251" s="347"/>
      <c r="DK251" s="347"/>
      <c r="DL251" s="347"/>
      <c r="DM251" s="347"/>
      <c r="DN251" s="347"/>
      <c r="DO251" s="347"/>
      <c r="DP251" s="347"/>
      <c r="DQ251" s="347"/>
      <c r="DR251" s="347"/>
      <c r="DS251" s="347"/>
      <c r="DT251" s="347"/>
      <c r="DU251" s="347"/>
      <c r="DV251" s="347"/>
      <c r="DW251" s="347"/>
      <c r="DX251" s="347"/>
      <c r="DY251" s="347"/>
      <c r="DZ251" s="347"/>
      <c r="EA251" s="347"/>
      <c r="EB251" s="347"/>
      <c r="EC251" s="347"/>
      <c r="ED251" s="347"/>
      <c r="EE251" s="347"/>
      <c r="EF251" s="347"/>
      <c r="EG251" s="347"/>
      <c r="EH251" s="347"/>
      <c r="EI251" s="347"/>
      <c r="EJ251" s="347"/>
      <c r="EK251" s="347"/>
      <c r="EL251" s="347"/>
      <c r="EM251" s="347"/>
      <c r="EN251" s="347"/>
      <c r="EO251" s="347"/>
      <c r="EP251" s="347"/>
      <c r="EQ251" s="347"/>
      <c r="ER251" s="347"/>
      <c r="ES251" s="347"/>
      <c r="ET251" s="347"/>
      <c r="EU251" s="347"/>
      <c r="EV251" s="347"/>
      <c r="EW251" s="347"/>
      <c r="EX251" s="347"/>
      <c r="EY251" s="347"/>
      <c r="EZ251" s="347"/>
      <c r="FA251" s="347"/>
      <c r="FB251" s="347"/>
      <c r="FC251" s="347"/>
      <c r="FD251" s="347"/>
      <c r="FE251" s="347"/>
      <c r="FF251" s="347"/>
      <c r="FG251" s="347"/>
      <c r="FH251" s="347"/>
      <c r="FI251" s="347"/>
      <c r="FJ251" s="347"/>
      <c r="FK251" s="347"/>
      <c r="FL251" s="347"/>
      <c r="FM251" s="347"/>
      <c r="FN251" s="347"/>
      <c r="FO251" s="347"/>
      <c r="FP251" s="347"/>
      <c r="FQ251" s="347"/>
      <c r="FR251" s="347"/>
      <c r="FS251" s="347"/>
      <c r="FT251" s="347"/>
      <c r="FU251" s="347"/>
      <c r="FV251" s="347"/>
      <c r="FW251" s="347"/>
      <c r="FX251" s="347"/>
      <c r="FY251" s="347"/>
      <c r="FZ251" s="347"/>
      <c r="GA251" s="347"/>
      <c r="GB251" s="347"/>
      <c r="GC251" s="347"/>
      <c r="GD251" s="347"/>
      <c r="GE251" s="347"/>
      <c r="GF251" s="347"/>
      <c r="GG251" s="347"/>
      <c r="GH251" s="347"/>
      <c r="GI251" s="347"/>
      <c r="GJ251" s="347"/>
      <c r="GK251" s="347"/>
      <c r="GL251" s="347"/>
      <c r="GM251" s="347"/>
      <c r="GN251" s="347"/>
      <c r="GO251" s="347"/>
      <c r="GP251" s="347"/>
      <c r="GQ251" s="347"/>
      <c r="GR251" s="347"/>
      <c r="GS251" s="347"/>
      <c r="GT251" s="347"/>
      <c r="GU251" s="347"/>
      <c r="GV251" s="347"/>
      <c r="GW251" s="347"/>
      <c r="GX251" s="347"/>
      <c r="GY251" s="347"/>
      <c r="GZ251" s="347"/>
      <c r="HA251" s="347"/>
      <c r="HB251" s="347"/>
      <c r="HC251" s="347"/>
      <c r="HD251" s="347"/>
      <c r="HE251" s="347"/>
      <c r="HF251" s="347"/>
      <c r="HG251" s="347"/>
      <c r="HH251" s="347"/>
      <c r="HI251" s="347"/>
      <c r="HJ251" s="347"/>
      <c r="HK251" s="347"/>
      <c r="HL251" s="347"/>
      <c r="HM251" s="347"/>
      <c r="HN251" s="347"/>
      <c r="HO251" s="347"/>
      <c r="HP251" s="347"/>
      <c r="HQ251" s="347"/>
      <c r="HR251" s="347"/>
      <c r="HS251" s="347"/>
      <c r="HT251" s="347"/>
      <c r="HU251" s="347"/>
      <c r="HV251" s="347"/>
      <c r="HW251" s="347"/>
      <c r="HX251" s="347"/>
      <c r="HY251" s="347"/>
      <c r="HZ251" s="347"/>
      <c r="IA251" s="347"/>
      <c r="IB251" s="347"/>
      <c r="IC251" s="347"/>
      <c r="ID251" s="347"/>
      <c r="IE251" s="347"/>
      <c r="IF251" s="347"/>
      <c r="IG251" s="347"/>
      <c r="IH251" s="347"/>
      <c r="II251" s="347"/>
      <c r="IJ251" s="347"/>
      <c r="IK251" s="347"/>
      <c r="IL251" s="347"/>
      <c r="IM251" s="347"/>
      <c r="IN251" s="347"/>
      <c r="IO251" s="347"/>
      <c r="IP251" s="347"/>
      <c r="IQ251" s="347"/>
      <c r="IR251" s="347"/>
      <c r="IS251" s="347"/>
      <c r="IT251" s="347"/>
      <c r="IU251" s="347"/>
      <c r="IV251" s="347"/>
      <c r="IW251" s="347"/>
    </row>
    <row r="252" customFormat="false" ht="12" hidden="true" customHeight="true" outlineLevel="0" collapsed="false">
      <c r="A252" s="418"/>
      <c r="B252" s="419" t="n">
        <v>16338</v>
      </c>
      <c r="C252" s="335"/>
      <c r="D252" s="75" t="s">
        <v>348</v>
      </c>
      <c r="E252" s="419"/>
      <c r="G252" s="181" t="n">
        <f aca="false">VLOOKUP($B252,BTU,2,FALSE())/1000</f>
        <v>0.991</v>
      </c>
      <c r="H252" s="182" t="str">
        <f aca="false">VLOOKUP($B252,spotdata,3,FALSE())</f>
        <v>    </v>
      </c>
      <c r="I252" s="204" t="n">
        <f aca="false">IF(VLOOKUP($B252,errordata,3,FALSE())="UNAV",J252*POLLHOURSFLOWED,IF(LEFT(B252,1)="1",VLOOKUP($B252,totalvolume,2,FALSE())*G252/1000,VLOOKUP($B252,totalvolume,2,FALSE())*G252/1000*-1))</f>
        <v>14.2784750644</v>
      </c>
      <c r="J252" s="420" t="n">
        <f aca="false">IF(LEFT(B252,1)="1",VLOOKUP(B252,Cigsch,2,FALSE())/1000,VLOOKUP(B252,Cigsch,2,FALSE())/1000*-1)*POLLHOURSFLOWED</f>
        <v>0</v>
      </c>
      <c r="K252" s="420"/>
      <c r="L252" s="420"/>
      <c r="M252" s="420"/>
      <c r="N252" s="420"/>
      <c r="O252" s="420"/>
      <c r="P252" s="420"/>
      <c r="Q252" s="420"/>
      <c r="R252" s="344"/>
      <c r="S252" s="420"/>
      <c r="T252" s="420"/>
      <c r="U252" s="420"/>
      <c r="V252" s="420"/>
      <c r="W252" s="420"/>
      <c r="X252" s="421"/>
      <c r="Y252" s="421"/>
      <c r="Z252" s="347"/>
      <c r="AA252" s="347"/>
      <c r="AB252" s="348"/>
      <c r="AC252" s="348"/>
      <c r="AD252" s="347"/>
      <c r="AE252" s="347"/>
      <c r="AF252" s="347"/>
      <c r="AG252" s="347"/>
      <c r="AH252" s="347"/>
      <c r="AI252" s="347"/>
      <c r="AJ252" s="347"/>
      <c r="AK252" s="347"/>
      <c r="AL252" s="347"/>
      <c r="AM252" s="347"/>
      <c r="AN252" s="347"/>
      <c r="AO252" s="347"/>
      <c r="AP252" s="347"/>
      <c r="AQ252" s="347"/>
      <c r="AR252" s="347"/>
      <c r="AS252" s="347"/>
      <c r="AT252" s="347"/>
      <c r="AU252" s="347"/>
      <c r="AV252" s="347"/>
      <c r="AW252" s="347"/>
      <c r="AX252" s="347"/>
      <c r="AY252" s="347"/>
      <c r="AZ252" s="347"/>
      <c r="BA252" s="347"/>
      <c r="BB252" s="347"/>
      <c r="BC252" s="347"/>
      <c r="BD252" s="347"/>
      <c r="BE252" s="347"/>
      <c r="BF252" s="347"/>
      <c r="BG252" s="347"/>
      <c r="BH252" s="347"/>
      <c r="BI252" s="347"/>
      <c r="BJ252" s="347"/>
      <c r="BK252" s="347"/>
      <c r="BL252" s="347"/>
      <c r="BM252" s="347"/>
      <c r="BN252" s="347"/>
      <c r="BO252" s="347"/>
      <c r="BP252" s="347"/>
      <c r="BQ252" s="347"/>
      <c r="BR252" s="347"/>
      <c r="BS252" s="347"/>
      <c r="BT252" s="347"/>
      <c r="BU252" s="347"/>
      <c r="BV252" s="347"/>
      <c r="BW252" s="347"/>
      <c r="BX252" s="347"/>
      <c r="BY252" s="347"/>
      <c r="BZ252" s="347"/>
      <c r="CA252" s="347"/>
      <c r="CB252" s="347"/>
      <c r="CC252" s="347"/>
      <c r="CD252" s="347"/>
      <c r="CE252" s="347"/>
      <c r="CF252" s="347"/>
      <c r="CG252" s="347"/>
      <c r="CH252" s="347"/>
      <c r="CI252" s="347"/>
      <c r="CJ252" s="347"/>
      <c r="CK252" s="347"/>
      <c r="CL252" s="347"/>
      <c r="CM252" s="347"/>
      <c r="CN252" s="347"/>
      <c r="CO252" s="347"/>
      <c r="CP252" s="347"/>
      <c r="CQ252" s="347"/>
      <c r="CR252" s="347"/>
      <c r="CS252" s="347"/>
      <c r="CT252" s="347"/>
      <c r="CU252" s="347"/>
      <c r="CV252" s="347"/>
      <c r="CW252" s="347"/>
      <c r="CX252" s="347"/>
      <c r="CY252" s="347"/>
      <c r="CZ252" s="347"/>
      <c r="DA252" s="347"/>
      <c r="DB252" s="347"/>
      <c r="DC252" s="347"/>
      <c r="DD252" s="347"/>
      <c r="DE252" s="347"/>
      <c r="DF252" s="347"/>
      <c r="DG252" s="347"/>
      <c r="DH252" s="347"/>
      <c r="DI252" s="347"/>
      <c r="DJ252" s="347"/>
      <c r="DK252" s="347"/>
      <c r="DL252" s="347"/>
      <c r="DM252" s="347"/>
      <c r="DN252" s="347"/>
      <c r="DO252" s="347"/>
      <c r="DP252" s="347"/>
      <c r="DQ252" s="347"/>
      <c r="DR252" s="347"/>
      <c r="DS252" s="347"/>
      <c r="DT252" s="347"/>
      <c r="DU252" s="347"/>
      <c r="DV252" s="347"/>
      <c r="DW252" s="347"/>
      <c r="DX252" s="347"/>
      <c r="DY252" s="347"/>
      <c r="DZ252" s="347"/>
      <c r="EA252" s="347"/>
      <c r="EB252" s="347"/>
      <c r="EC252" s="347"/>
      <c r="ED252" s="347"/>
      <c r="EE252" s="347"/>
      <c r="EF252" s="347"/>
      <c r="EG252" s="347"/>
      <c r="EH252" s="347"/>
      <c r="EI252" s="347"/>
      <c r="EJ252" s="347"/>
      <c r="EK252" s="347"/>
      <c r="EL252" s="347"/>
      <c r="EM252" s="347"/>
      <c r="EN252" s="347"/>
      <c r="EO252" s="347"/>
      <c r="EP252" s="347"/>
      <c r="EQ252" s="347"/>
      <c r="ER252" s="347"/>
      <c r="ES252" s="347"/>
      <c r="ET252" s="347"/>
      <c r="EU252" s="347"/>
      <c r="EV252" s="347"/>
      <c r="EW252" s="347"/>
      <c r="EX252" s="347"/>
      <c r="EY252" s="347"/>
      <c r="EZ252" s="347"/>
      <c r="FA252" s="347"/>
      <c r="FB252" s="347"/>
      <c r="FC252" s="347"/>
      <c r="FD252" s="347"/>
      <c r="FE252" s="347"/>
      <c r="FF252" s="347"/>
      <c r="FG252" s="347"/>
      <c r="FH252" s="347"/>
      <c r="FI252" s="347"/>
      <c r="FJ252" s="347"/>
      <c r="FK252" s="347"/>
      <c r="FL252" s="347"/>
      <c r="FM252" s="347"/>
      <c r="FN252" s="347"/>
      <c r="FO252" s="347"/>
      <c r="FP252" s="347"/>
      <c r="FQ252" s="347"/>
      <c r="FR252" s="347"/>
      <c r="FS252" s="347"/>
      <c r="FT252" s="347"/>
      <c r="FU252" s="347"/>
      <c r="FV252" s="347"/>
      <c r="FW252" s="347"/>
      <c r="FX252" s="347"/>
      <c r="FY252" s="347"/>
      <c r="FZ252" s="347"/>
      <c r="GA252" s="347"/>
      <c r="GB252" s="347"/>
      <c r="GC252" s="347"/>
      <c r="GD252" s="347"/>
      <c r="GE252" s="347"/>
      <c r="GF252" s="347"/>
      <c r="GG252" s="347"/>
      <c r="GH252" s="347"/>
      <c r="GI252" s="347"/>
      <c r="GJ252" s="347"/>
      <c r="GK252" s="347"/>
      <c r="GL252" s="347"/>
      <c r="GM252" s="347"/>
      <c r="GN252" s="347"/>
      <c r="GO252" s="347"/>
      <c r="GP252" s="347"/>
      <c r="GQ252" s="347"/>
      <c r="GR252" s="347"/>
      <c r="GS252" s="347"/>
      <c r="GT252" s="347"/>
      <c r="GU252" s="347"/>
      <c r="GV252" s="347"/>
      <c r="GW252" s="347"/>
      <c r="GX252" s="347"/>
      <c r="GY252" s="347"/>
      <c r="GZ252" s="347"/>
      <c r="HA252" s="347"/>
      <c r="HB252" s="347"/>
      <c r="HC252" s="347"/>
      <c r="HD252" s="347"/>
      <c r="HE252" s="347"/>
      <c r="HF252" s="347"/>
      <c r="HG252" s="347"/>
      <c r="HH252" s="347"/>
      <c r="HI252" s="347"/>
      <c r="HJ252" s="347"/>
      <c r="HK252" s="347"/>
      <c r="HL252" s="347"/>
      <c r="HM252" s="347"/>
      <c r="HN252" s="347"/>
      <c r="HO252" s="347"/>
      <c r="HP252" s="347"/>
      <c r="HQ252" s="347"/>
      <c r="HR252" s="347"/>
      <c r="HS252" s="347"/>
      <c r="HT252" s="347"/>
      <c r="HU252" s="347"/>
      <c r="HV252" s="347"/>
      <c r="HW252" s="347"/>
      <c r="HX252" s="347"/>
      <c r="HY252" s="347"/>
      <c r="HZ252" s="347"/>
      <c r="IA252" s="347"/>
      <c r="IB252" s="347"/>
      <c r="IC252" s="347"/>
      <c r="ID252" s="347"/>
      <c r="IE252" s="347"/>
      <c r="IF252" s="347"/>
      <c r="IG252" s="347"/>
      <c r="IH252" s="347"/>
      <c r="II252" s="347"/>
      <c r="IJ252" s="347"/>
      <c r="IK252" s="347"/>
      <c r="IL252" s="347"/>
      <c r="IM252" s="347"/>
      <c r="IN252" s="347"/>
      <c r="IO252" s="347"/>
      <c r="IP252" s="347"/>
      <c r="IQ252" s="347"/>
      <c r="IR252" s="347"/>
      <c r="IS252" s="347"/>
      <c r="IT252" s="347"/>
      <c r="IU252" s="347"/>
      <c r="IV252" s="347"/>
      <c r="IW252" s="347"/>
    </row>
    <row r="253" customFormat="false" ht="12" hidden="true" customHeight="true" outlineLevel="0" collapsed="false">
      <c r="A253" s="418"/>
      <c r="B253" s="419" t="n">
        <v>56015</v>
      </c>
      <c r="C253" s="335"/>
      <c r="D253" s="75" t="s">
        <v>349</v>
      </c>
      <c r="E253" s="419"/>
      <c r="G253" s="181" t="n">
        <f aca="false">VLOOKUP($B253,BTU,2,FALSE())/1000</f>
        <v>1.01098407</v>
      </c>
      <c r="H253" s="182" t="str">
        <f aca="false">VLOOKUP($B253,spotdata,3,FALSE())</f>
        <v>    </v>
      </c>
      <c r="I253" s="204" t="n">
        <f aca="false">IF(VLOOKUP($B253,errordata,3,FALSE())="UNAV",J253*POLLHOURSFLOWED,IF(LEFT(B253,1)="1",VLOOKUP($B253,totalvolume,2,FALSE())*G253/1000,VLOOKUP($B253,totalvolume,2,FALSE())*G253/1000*-1))</f>
        <v>-13.7757222166805</v>
      </c>
      <c r="J253" s="420"/>
      <c r="K253" s="420"/>
      <c r="L253" s="420"/>
      <c r="M253" s="420"/>
      <c r="N253" s="420"/>
      <c r="O253" s="420"/>
      <c r="P253" s="420"/>
      <c r="Q253" s="420"/>
      <c r="R253" s="344"/>
      <c r="S253" s="420"/>
      <c r="T253" s="420"/>
      <c r="U253" s="420"/>
      <c r="V253" s="420"/>
      <c r="W253" s="420"/>
      <c r="X253" s="421"/>
      <c r="Y253" s="421"/>
      <c r="Z253" s="347"/>
      <c r="AA253" s="347"/>
      <c r="AB253" s="348"/>
      <c r="AC253" s="348"/>
      <c r="AD253" s="347"/>
      <c r="AE253" s="347"/>
      <c r="AF253" s="347"/>
      <c r="AG253" s="347"/>
      <c r="AH253" s="347"/>
      <c r="AI253" s="347"/>
      <c r="AJ253" s="347"/>
      <c r="AK253" s="347"/>
      <c r="AL253" s="347"/>
      <c r="AM253" s="347"/>
      <c r="AN253" s="347"/>
      <c r="AO253" s="347"/>
      <c r="AP253" s="347"/>
      <c r="AQ253" s="347"/>
      <c r="AR253" s="347"/>
      <c r="AS253" s="347"/>
      <c r="AT253" s="347"/>
      <c r="AU253" s="347"/>
      <c r="AV253" s="347"/>
      <c r="AW253" s="347"/>
      <c r="AX253" s="347"/>
      <c r="AY253" s="347"/>
      <c r="AZ253" s="347"/>
      <c r="BA253" s="347"/>
      <c r="BB253" s="347"/>
      <c r="BC253" s="347"/>
      <c r="BD253" s="347"/>
      <c r="BE253" s="347"/>
      <c r="BF253" s="347"/>
      <c r="BG253" s="347"/>
      <c r="BH253" s="347"/>
      <c r="BI253" s="347"/>
      <c r="BJ253" s="347"/>
      <c r="BK253" s="347"/>
      <c r="BL253" s="347"/>
      <c r="BM253" s="347"/>
      <c r="BN253" s="347"/>
      <c r="BO253" s="347"/>
      <c r="BP253" s="347"/>
      <c r="BQ253" s="347"/>
      <c r="BR253" s="347"/>
      <c r="BS253" s="347"/>
      <c r="BT253" s="347"/>
      <c r="BU253" s="347"/>
      <c r="BV253" s="347"/>
      <c r="BW253" s="347"/>
      <c r="BX253" s="347"/>
      <c r="BY253" s="347"/>
      <c r="BZ253" s="347"/>
      <c r="CA253" s="347"/>
      <c r="CB253" s="347"/>
      <c r="CC253" s="347"/>
      <c r="CD253" s="347"/>
      <c r="CE253" s="347"/>
      <c r="CF253" s="347"/>
      <c r="CG253" s="347"/>
      <c r="CH253" s="347"/>
      <c r="CI253" s="347"/>
      <c r="CJ253" s="347"/>
      <c r="CK253" s="347"/>
      <c r="CL253" s="347"/>
      <c r="CM253" s="347"/>
      <c r="CN253" s="347"/>
      <c r="CO253" s="347"/>
      <c r="CP253" s="347"/>
      <c r="CQ253" s="347"/>
      <c r="CR253" s="347"/>
      <c r="CS253" s="347"/>
      <c r="CT253" s="347"/>
      <c r="CU253" s="347"/>
      <c r="CV253" s="347"/>
      <c r="CW253" s="347"/>
      <c r="CX253" s="347"/>
      <c r="CY253" s="347"/>
      <c r="CZ253" s="347"/>
      <c r="DA253" s="347"/>
      <c r="DB253" s="347"/>
      <c r="DC253" s="347"/>
      <c r="DD253" s="347"/>
      <c r="DE253" s="347"/>
      <c r="DF253" s="347"/>
      <c r="DG253" s="347"/>
      <c r="DH253" s="347"/>
      <c r="DI253" s="347"/>
      <c r="DJ253" s="347"/>
      <c r="DK253" s="347"/>
      <c r="DL253" s="347"/>
      <c r="DM253" s="347"/>
      <c r="DN253" s="347"/>
      <c r="DO253" s="347"/>
      <c r="DP253" s="347"/>
      <c r="DQ253" s="347"/>
      <c r="DR253" s="347"/>
      <c r="DS253" s="347"/>
      <c r="DT253" s="347"/>
      <c r="DU253" s="347"/>
      <c r="DV253" s="347"/>
      <c r="DW253" s="347"/>
      <c r="DX253" s="347"/>
      <c r="DY253" s="347"/>
      <c r="DZ253" s="347"/>
      <c r="EA253" s="347"/>
      <c r="EB253" s="347"/>
      <c r="EC253" s="347"/>
      <c r="ED253" s="347"/>
      <c r="EE253" s="347"/>
      <c r="EF253" s="347"/>
      <c r="EG253" s="347"/>
      <c r="EH253" s="347"/>
      <c r="EI253" s="347"/>
      <c r="EJ253" s="347"/>
      <c r="EK253" s="347"/>
      <c r="EL253" s="347"/>
      <c r="EM253" s="347"/>
      <c r="EN253" s="347"/>
      <c r="EO253" s="347"/>
      <c r="EP253" s="347"/>
      <c r="EQ253" s="347"/>
      <c r="ER253" s="347"/>
      <c r="ES253" s="347"/>
      <c r="ET253" s="347"/>
      <c r="EU253" s="347"/>
      <c r="EV253" s="347"/>
      <c r="EW253" s="347"/>
      <c r="EX253" s="347"/>
      <c r="EY253" s="347"/>
      <c r="EZ253" s="347"/>
      <c r="FA253" s="347"/>
      <c r="FB253" s="347"/>
      <c r="FC253" s="347"/>
      <c r="FD253" s="347"/>
      <c r="FE253" s="347"/>
      <c r="FF253" s="347"/>
      <c r="FG253" s="347"/>
      <c r="FH253" s="347"/>
      <c r="FI253" s="347"/>
      <c r="FJ253" s="347"/>
      <c r="FK253" s="347"/>
      <c r="FL253" s="347"/>
      <c r="FM253" s="347"/>
      <c r="FN253" s="347"/>
      <c r="FO253" s="347"/>
      <c r="FP253" s="347"/>
      <c r="FQ253" s="347"/>
      <c r="FR253" s="347"/>
      <c r="FS253" s="347"/>
      <c r="FT253" s="347"/>
      <c r="FU253" s="347"/>
      <c r="FV253" s="347"/>
      <c r="FW253" s="347"/>
      <c r="FX253" s="347"/>
      <c r="FY253" s="347"/>
      <c r="FZ253" s="347"/>
      <c r="GA253" s="347"/>
      <c r="GB253" s="347"/>
      <c r="GC253" s="347"/>
      <c r="GD253" s="347"/>
      <c r="GE253" s="347"/>
      <c r="GF253" s="347"/>
      <c r="GG253" s="347"/>
      <c r="GH253" s="347"/>
      <c r="GI253" s="347"/>
      <c r="GJ253" s="347"/>
      <c r="GK253" s="347"/>
      <c r="GL253" s="347"/>
      <c r="GM253" s="347"/>
      <c r="GN253" s="347"/>
      <c r="GO253" s="347"/>
      <c r="GP253" s="347"/>
      <c r="GQ253" s="347"/>
      <c r="GR253" s="347"/>
      <c r="GS253" s="347"/>
      <c r="GT253" s="347"/>
      <c r="GU253" s="347"/>
      <c r="GV253" s="347"/>
      <c r="GW253" s="347"/>
      <c r="GX253" s="347"/>
      <c r="GY253" s="347"/>
      <c r="GZ253" s="347"/>
      <c r="HA253" s="347"/>
      <c r="HB253" s="347"/>
      <c r="HC253" s="347"/>
      <c r="HD253" s="347"/>
      <c r="HE253" s="347"/>
      <c r="HF253" s="347"/>
      <c r="HG253" s="347"/>
      <c r="HH253" s="347"/>
      <c r="HI253" s="347"/>
      <c r="HJ253" s="347"/>
      <c r="HK253" s="347"/>
      <c r="HL253" s="347"/>
      <c r="HM253" s="347"/>
      <c r="HN253" s="347"/>
      <c r="HO253" s="347"/>
      <c r="HP253" s="347"/>
      <c r="HQ253" s="347"/>
      <c r="HR253" s="347"/>
      <c r="HS253" s="347"/>
      <c r="HT253" s="347"/>
      <c r="HU253" s="347"/>
      <c r="HV253" s="347"/>
      <c r="HW253" s="347"/>
      <c r="HX253" s="347"/>
      <c r="HY253" s="347"/>
      <c r="HZ253" s="347"/>
      <c r="IA253" s="347"/>
      <c r="IB253" s="347"/>
      <c r="IC253" s="347"/>
      <c r="ID253" s="347"/>
      <c r="IE253" s="347"/>
      <c r="IF253" s="347"/>
      <c r="IG253" s="347"/>
      <c r="IH253" s="347"/>
      <c r="II253" s="347"/>
      <c r="IJ253" s="347"/>
      <c r="IK253" s="347"/>
      <c r="IL253" s="347"/>
      <c r="IM253" s="347"/>
      <c r="IN253" s="347"/>
      <c r="IO253" s="347"/>
      <c r="IP253" s="347"/>
      <c r="IQ253" s="347"/>
      <c r="IR253" s="347"/>
      <c r="IS253" s="347"/>
      <c r="IT253" s="347"/>
      <c r="IU253" s="347"/>
      <c r="IV253" s="347"/>
      <c r="IW253" s="347"/>
    </row>
    <row r="254" customFormat="false" ht="12" hidden="true" customHeight="true" outlineLevel="0" collapsed="false">
      <c r="A254" s="418"/>
      <c r="B254" s="419" t="n">
        <v>56032</v>
      </c>
      <c r="C254" s="335"/>
      <c r="D254" s="75" t="s">
        <v>350</v>
      </c>
      <c r="E254" s="419"/>
      <c r="G254" s="181" t="n">
        <f aca="false">VLOOKUP($B254,BTU,2,FALSE())/1000</f>
        <v>1.018</v>
      </c>
      <c r="H254" s="182" t="str">
        <f aca="false">VLOOKUP($B254,spotdata,3,FALSE())</f>
        <v>    </v>
      </c>
      <c r="I254" s="215" t="n">
        <f aca="false">IF(VLOOKUP($B254,errordata,3,FALSE())="UNAV",J254*POLLHOURSFLOWED,IF(LEFT(B254,1)="1",VLOOKUP($B254,totalvolume,2,FALSE())*G254/1000,VLOOKUP($B254,totalvolume,2,FALSE())*G254/1000))</f>
        <v>46.263817274</v>
      </c>
      <c r="J254" s="420"/>
      <c r="K254" s="420"/>
      <c r="L254" s="420"/>
      <c r="M254" s="420"/>
      <c r="N254" s="420"/>
      <c r="O254" s="420"/>
      <c r="P254" s="420"/>
      <c r="Q254" s="420"/>
      <c r="R254" s="344"/>
      <c r="S254" s="420"/>
      <c r="T254" s="420"/>
      <c r="U254" s="420"/>
      <c r="V254" s="420"/>
      <c r="W254" s="420"/>
      <c r="X254" s="421"/>
      <c r="Y254" s="421"/>
      <c r="Z254" s="347"/>
      <c r="AA254" s="347"/>
      <c r="AB254" s="348"/>
      <c r="AC254" s="348"/>
      <c r="AD254" s="347"/>
      <c r="AE254" s="347"/>
      <c r="AF254" s="347"/>
      <c r="AG254" s="347"/>
      <c r="AH254" s="347"/>
      <c r="AI254" s="347"/>
      <c r="AJ254" s="347"/>
      <c r="AK254" s="347"/>
      <c r="AL254" s="347"/>
      <c r="AM254" s="347"/>
      <c r="AN254" s="347"/>
      <c r="AO254" s="347"/>
      <c r="AP254" s="347"/>
      <c r="AQ254" s="347"/>
      <c r="AR254" s="347"/>
      <c r="AS254" s="347"/>
      <c r="AT254" s="347"/>
      <c r="AU254" s="347"/>
      <c r="AV254" s="347"/>
      <c r="AW254" s="347"/>
      <c r="AX254" s="347"/>
      <c r="AY254" s="347"/>
      <c r="AZ254" s="347"/>
      <c r="BA254" s="347"/>
      <c r="BB254" s="347"/>
      <c r="BC254" s="347"/>
      <c r="BD254" s="347"/>
      <c r="BE254" s="347"/>
      <c r="BF254" s="347"/>
      <c r="BG254" s="347"/>
      <c r="BH254" s="347"/>
      <c r="BI254" s="347"/>
      <c r="BJ254" s="347"/>
      <c r="BK254" s="347"/>
      <c r="BL254" s="347"/>
      <c r="BM254" s="347"/>
      <c r="BN254" s="347"/>
      <c r="BO254" s="347"/>
      <c r="BP254" s="347"/>
      <c r="BQ254" s="347"/>
      <c r="BR254" s="347"/>
      <c r="BS254" s="347"/>
      <c r="BT254" s="347"/>
      <c r="BU254" s="347"/>
      <c r="BV254" s="347"/>
      <c r="BW254" s="347"/>
      <c r="BX254" s="347"/>
      <c r="BY254" s="347"/>
      <c r="BZ254" s="347"/>
      <c r="CA254" s="347"/>
      <c r="CB254" s="347"/>
      <c r="CC254" s="347"/>
      <c r="CD254" s="347"/>
      <c r="CE254" s="347"/>
      <c r="CF254" s="347"/>
      <c r="CG254" s="347"/>
      <c r="CH254" s="347"/>
      <c r="CI254" s="347"/>
      <c r="CJ254" s="347"/>
      <c r="CK254" s="347"/>
      <c r="CL254" s="347"/>
      <c r="CM254" s="347"/>
      <c r="CN254" s="347"/>
      <c r="CO254" s="347"/>
      <c r="CP254" s="347"/>
      <c r="CQ254" s="347"/>
      <c r="CR254" s="347"/>
      <c r="CS254" s="347"/>
      <c r="CT254" s="347"/>
      <c r="CU254" s="347"/>
      <c r="CV254" s="347"/>
      <c r="CW254" s="347"/>
      <c r="CX254" s="347"/>
      <c r="CY254" s="347"/>
      <c r="CZ254" s="347"/>
      <c r="DA254" s="347"/>
      <c r="DB254" s="347"/>
      <c r="DC254" s="347"/>
      <c r="DD254" s="347"/>
      <c r="DE254" s="347"/>
      <c r="DF254" s="347"/>
      <c r="DG254" s="347"/>
      <c r="DH254" s="347"/>
      <c r="DI254" s="347"/>
      <c r="DJ254" s="347"/>
      <c r="DK254" s="347"/>
      <c r="DL254" s="347"/>
      <c r="DM254" s="347"/>
      <c r="DN254" s="347"/>
      <c r="DO254" s="347"/>
      <c r="DP254" s="347"/>
      <c r="DQ254" s="347"/>
      <c r="DR254" s="347"/>
      <c r="DS254" s="347"/>
      <c r="DT254" s="347"/>
      <c r="DU254" s="347"/>
      <c r="DV254" s="347"/>
      <c r="DW254" s="347"/>
      <c r="DX254" s="347"/>
      <c r="DY254" s="347"/>
      <c r="DZ254" s="347"/>
      <c r="EA254" s="347"/>
      <c r="EB254" s="347"/>
      <c r="EC254" s="347"/>
      <c r="ED254" s="347"/>
      <c r="EE254" s="347"/>
      <c r="EF254" s="347"/>
      <c r="EG254" s="347"/>
      <c r="EH254" s="347"/>
      <c r="EI254" s="347"/>
      <c r="EJ254" s="347"/>
      <c r="EK254" s="347"/>
      <c r="EL254" s="347"/>
      <c r="EM254" s="347"/>
      <c r="EN254" s="347"/>
      <c r="EO254" s="347"/>
      <c r="EP254" s="347"/>
      <c r="EQ254" s="347"/>
      <c r="ER254" s="347"/>
      <c r="ES254" s="347"/>
      <c r="ET254" s="347"/>
      <c r="EU254" s="347"/>
      <c r="EV254" s="347"/>
      <c r="EW254" s="347"/>
      <c r="EX254" s="347"/>
      <c r="EY254" s="347"/>
      <c r="EZ254" s="347"/>
      <c r="FA254" s="347"/>
      <c r="FB254" s="347"/>
      <c r="FC254" s="347"/>
      <c r="FD254" s="347"/>
      <c r="FE254" s="347"/>
      <c r="FF254" s="347"/>
      <c r="FG254" s="347"/>
      <c r="FH254" s="347"/>
      <c r="FI254" s="347"/>
      <c r="FJ254" s="347"/>
      <c r="FK254" s="347"/>
      <c r="FL254" s="347"/>
      <c r="FM254" s="347"/>
      <c r="FN254" s="347"/>
      <c r="FO254" s="347"/>
      <c r="FP254" s="347"/>
      <c r="FQ254" s="347"/>
      <c r="FR254" s="347"/>
      <c r="FS254" s="347"/>
      <c r="FT254" s="347"/>
      <c r="FU254" s="347"/>
      <c r="FV254" s="347"/>
      <c r="FW254" s="347"/>
      <c r="FX254" s="347"/>
      <c r="FY254" s="347"/>
      <c r="FZ254" s="347"/>
      <c r="GA254" s="347"/>
      <c r="GB254" s="347"/>
      <c r="GC254" s="347"/>
      <c r="GD254" s="347"/>
      <c r="GE254" s="347"/>
      <c r="GF254" s="347"/>
      <c r="GG254" s="347"/>
      <c r="GH254" s="347"/>
      <c r="GI254" s="347"/>
      <c r="GJ254" s="347"/>
      <c r="GK254" s="347"/>
      <c r="GL254" s="347"/>
      <c r="GM254" s="347"/>
      <c r="GN254" s="347"/>
      <c r="GO254" s="347"/>
      <c r="GP254" s="347"/>
      <c r="GQ254" s="347"/>
      <c r="GR254" s="347"/>
      <c r="GS254" s="347"/>
      <c r="GT254" s="347"/>
      <c r="GU254" s="347"/>
      <c r="GV254" s="347"/>
      <c r="GW254" s="347"/>
      <c r="GX254" s="347"/>
      <c r="GY254" s="347"/>
      <c r="GZ254" s="347"/>
      <c r="HA254" s="347"/>
      <c r="HB254" s="347"/>
      <c r="HC254" s="347"/>
      <c r="HD254" s="347"/>
      <c r="HE254" s="347"/>
      <c r="HF254" s="347"/>
      <c r="HG254" s="347"/>
      <c r="HH254" s="347"/>
      <c r="HI254" s="347"/>
      <c r="HJ254" s="347"/>
      <c r="HK254" s="347"/>
      <c r="HL254" s="347"/>
      <c r="HM254" s="347"/>
      <c r="HN254" s="347"/>
      <c r="HO254" s="347"/>
      <c r="HP254" s="347"/>
      <c r="HQ254" s="347"/>
      <c r="HR254" s="347"/>
      <c r="HS254" s="347"/>
      <c r="HT254" s="347"/>
      <c r="HU254" s="347"/>
      <c r="HV254" s="347"/>
      <c r="HW254" s="347"/>
      <c r="HX254" s="347"/>
      <c r="HY254" s="347"/>
      <c r="HZ254" s="347"/>
      <c r="IA254" s="347"/>
      <c r="IB254" s="347"/>
      <c r="IC254" s="347"/>
      <c r="ID254" s="347"/>
      <c r="IE254" s="347"/>
      <c r="IF254" s="347"/>
      <c r="IG254" s="347"/>
      <c r="IH254" s="347"/>
      <c r="II254" s="347"/>
      <c r="IJ254" s="347"/>
      <c r="IK254" s="347"/>
      <c r="IL254" s="347"/>
      <c r="IM254" s="347"/>
      <c r="IN254" s="347"/>
      <c r="IO254" s="347"/>
      <c r="IP254" s="347"/>
      <c r="IQ254" s="347"/>
      <c r="IR254" s="347"/>
      <c r="IS254" s="347"/>
      <c r="IT254" s="347"/>
      <c r="IU254" s="347"/>
      <c r="IV254" s="347"/>
      <c r="IW254" s="347"/>
    </row>
    <row r="255" customFormat="false" ht="12" hidden="true" customHeight="true" outlineLevel="0" collapsed="false">
      <c r="A255" s="418"/>
      <c r="B255" s="419" t="n">
        <v>626083</v>
      </c>
      <c r="C255" s="335"/>
      <c r="D255" s="75" t="s">
        <v>351</v>
      </c>
      <c r="E255" s="419"/>
      <c r="G255" s="181"/>
      <c r="H255" s="335"/>
      <c r="I255" s="423" t="n">
        <f aca="false">VLOOKUP(" 26083-GT  ",misc,2,FALSE())</f>
        <v>79.712677</v>
      </c>
      <c r="J255" s="420"/>
      <c r="K255" s="420"/>
      <c r="L255" s="420"/>
      <c r="M255" s="420"/>
      <c r="N255" s="420"/>
      <c r="O255" s="420"/>
      <c r="P255" s="420"/>
      <c r="Q255" s="420"/>
      <c r="R255" s="344"/>
      <c r="S255" s="420"/>
      <c r="T255" s="420"/>
      <c r="U255" s="420"/>
      <c r="V255" s="420"/>
      <c r="W255" s="420"/>
      <c r="X255" s="421"/>
      <c r="Y255" s="421"/>
      <c r="Z255" s="347"/>
      <c r="AA255" s="347"/>
      <c r="AB255" s="348"/>
      <c r="AC255" s="348"/>
      <c r="AD255" s="347"/>
      <c r="AE255" s="347"/>
      <c r="AF255" s="347"/>
      <c r="AG255" s="347"/>
      <c r="AH255" s="347"/>
      <c r="AI255" s="347"/>
      <c r="AJ255" s="347"/>
      <c r="AK255" s="347"/>
      <c r="AL255" s="347"/>
      <c r="AM255" s="347"/>
      <c r="AN255" s="347"/>
      <c r="AO255" s="347"/>
      <c r="AP255" s="347"/>
      <c r="AQ255" s="347"/>
      <c r="AR255" s="347"/>
      <c r="AS255" s="347"/>
      <c r="AT255" s="347"/>
      <c r="AU255" s="347"/>
      <c r="AV255" s="347"/>
      <c r="AW255" s="347"/>
      <c r="AX255" s="347"/>
      <c r="AY255" s="347"/>
      <c r="AZ255" s="347"/>
      <c r="BA255" s="347"/>
      <c r="BB255" s="347"/>
      <c r="BC255" s="347"/>
      <c r="BD255" s="347"/>
      <c r="BE255" s="347"/>
      <c r="BF255" s="347"/>
      <c r="BG255" s="347"/>
      <c r="BH255" s="347"/>
      <c r="BI255" s="347"/>
      <c r="BJ255" s="347"/>
      <c r="BK255" s="347"/>
      <c r="BL255" s="347"/>
      <c r="BM255" s="347"/>
      <c r="BN255" s="347"/>
      <c r="BO255" s="347"/>
      <c r="BP255" s="347"/>
      <c r="BQ255" s="347"/>
      <c r="BR255" s="347"/>
      <c r="BS255" s="347"/>
      <c r="BT255" s="347"/>
      <c r="BU255" s="347"/>
      <c r="BV255" s="347"/>
      <c r="BW255" s="347"/>
      <c r="BX255" s="347"/>
      <c r="BY255" s="347"/>
      <c r="BZ255" s="347"/>
      <c r="CA255" s="347"/>
      <c r="CB255" s="347"/>
      <c r="CC255" s="347"/>
      <c r="CD255" s="347"/>
      <c r="CE255" s="347"/>
      <c r="CF255" s="347"/>
      <c r="CG255" s="347"/>
      <c r="CH255" s="347"/>
      <c r="CI255" s="347"/>
      <c r="CJ255" s="347"/>
      <c r="CK255" s="347"/>
      <c r="CL255" s="347"/>
      <c r="CM255" s="347"/>
      <c r="CN255" s="347"/>
      <c r="CO255" s="347"/>
      <c r="CP255" s="347"/>
      <c r="CQ255" s="347"/>
      <c r="CR255" s="347"/>
      <c r="CS255" s="347"/>
      <c r="CT255" s="347"/>
      <c r="CU255" s="347"/>
      <c r="CV255" s="347"/>
      <c r="CW255" s="347"/>
      <c r="CX255" s="347"/>
      <c r="CY255" s="347"/>
      <c r="CZ255" s="347"/>
      <c r="DA255" s="347"/>
      <c r="DB255" s="347"/>
      <c r="DC255" s="347"/>
      <c r="DD255" s="347"/>
      <c r="DE255" s="347"/>
      <c r="DF255" s="347"/>
      <c r="DG255" s="347"/>
      <c r="DH255" s="347"/>
      <c r="DI255" s="347"/>
      <c r="DJ255" s="347"/>
      <c r="DK255" s="347"/>
      <c r="DL255" s="347"/>
      <c r="DM255" s="347"/>
      <c r="DN255" s="347"/>
      <c r="DO255" s="347"/>
      <c r="DP255" s="347"/>
      <c r="DQ255" s="347"/>
      <c r="DR255" s="347"/>
      <c r="DS255" s="347"/>
      <c r="DT255" s="347"/>
      <c r="DU255" s="347"/>
      <c r="DV255" s="347"/>
      <c r="DW255" s="347"/>
      <c r="DX255" s="347"/>
      <c r="DY255" s="347"/>
      <c r="DZ255" s="347"/>
      <c r="EA255" s="347"/>
      <c r="EB255" s="347"/>
      <c r="EC255" s="347"/>
      <c r="ED255" s="347"/>
      <c r="EE255" s="347"/>
      <c r="EF255" s="347"/>
      <c r="EG255" s="347"/>
      <c r="EH255" s="347"/>
      <c r="EI255" s="347"/>
      <c r="EJ255" s="347"/>
      <c r="EK255" s="347"/>
      <c r="EL255" s="347"/>
      <c r="EM255" s="347"/>
      <c r="EN255" s="347"/>
      <c r="EO255" s="347"/>
      <c r="EP255" s="347"/>
      <c r="EQ255" s="347"/>
      <c r="ER255" s="347"/>
      <c r="ES255" s="347"/>
      <c r="ET255" s="347"/>
      <c r="EU255" s="347"/>
      <c r="EV255" s="347"/>
      <c r="EW255" s="347"/>
      <c r="EX255" s="347"/>
      <c r="EY255" s="347"/>
      <c r="EZ255" s="347"/>
      <c r="FA255" s="347"/>
      <c r="FB255" s="347"/>
      <c r="FC255" s="347"/>
      <c r="FD255" s="347"/>
      <c r="FE255" s="347"/>
      <c r="FF255" s="347"/>
      <c r="FG255" s="347"/>
      <c r="FH255" s="347"/>
      <c r="FI255" s="347"/>
      <c r="FJ255" s="347"/>
      <c r="FK255" s="347"/>
      <c r="FL255" s="347"/>
      <c r="FM255" s="347"/>
      <c r="FN255" s="347"/>
      <c r="FO255" s="347"/>
      <c r="FP255" s="347"/>
      <c r="FQ255" s="347"/>
      <c r="FR255" s="347"/>
      <c r="FS255" s="347"/>
      <c r="FT255" s="347"/>
      <c r="FU255" s="347"/>
      <c r="FV255" s="347"/>
      <c r="FW255" s="347"/>
      <c r="FX255" s="347"/>
      <c r="FY255" s="347"/>
      <c r="FZ255" s="347"/>
      <c r="GA255" s="347"/>
      <c r="GB255" s="347"/>
      <c r="GC255" s="347"/>
      <c r="GD255" s="347"/>
      <c r="GE255" s="347"/>
      <c r="GF255" s="347"/>
      <c r="GG255" s="347"/>
      <c r="GH255" s="347"/>
      <c r="GI255" s="347"/>
      <c r="GJ255" s="347"/>
      <c r="GK255" s="347"/>
      <c r="GL255" s="347"/>
      <c r="GM255" s="347"/>
      <c r="GN255" s="347"/>
      <c r="GO255" s="347"/>
      <c r="GP255" s="347"/>
      <c r="GQ255" s="347"/>
      <c r="GR255" s="347"/>
      <c r="GS255" s="347"/>
      <c r="GT255" s="347"/>
      <c r="GU255" s="347"/>
      <c r="GV255" s="347"/>
      <c r="GW255" s="347"/>
      <c r="GX255" s="347"/>
      <c r="GY255" s="347"/>
      <c r="GZ255" s="347"/>
      <c r="HA255" s="347"/>
      <c r="HB255" s="347"/>
      <c r="HC255" s="347"/>
      <c r="HD255" s="347"/>
      <c r="HE255" s="347"/>
      <c r="HF255" s="347"/>
      <c r="HG255" s="347"/>
      <c r="HH255" s="347"/>
      <c r="HI255" s="347"/>
      <c r="HJ255" s="347"/>
      <c r="HK255" s="347"/>
      <c r="HL255" s="347"/>
      <c r="HM255" s="347"/>
      <c r="HN255" s="347"/>
      <c r="HO255" s="347"/>
      <c r="HP255" s="347"/>
      <c r="HQ255" s="347"/>
      <c r="HR255" s="347"/>
      <c r="HS255" s="347"/>
      <c r="HT255" s="347"/>
      <c r="HU255" s="347"/>
      <c r="HV255" s="347"/>
      <c r="HW255" s="347"/>
      <c r="HX255" s="347"/>
      <c r="HY255" s="347"/>
      <c r="HZ255" s="347"/>
      <c r="IA255" s="347"/>
      <c r="IB255" s="347"/>
      <c r="IC255" s="347"/>
      <c r="ID255" s="347"/>
      <c r="IE255" s="347"/>
      <c r="IF255" s="347"/>
      <c r="IG255" s="347"/>
      <c r="IH255" s="347"/>
      <c r="II255" s="347"/>
      <c r="IJ255" s="347"/>
      <c r="IK255" s="347"/>
      <c r="IL255" s="347"/>
      <c r="IM255" s="347"/>
      <c r="IN255" s="347"/>
      <c r="IO255" s="347"/>
      <c r="IP255" s="347"/>
      <c r="IQ255" s="347"/>
      <c r="IR255" s="347"/>
      <c r="IS255" s="347"/>
      <c r="IT255" s="347"/>
      <c r="IU255" s="347"/>
      <c r="IV255" s="347"/>
      <c r="IW255" s="347"/>
    </row>
    <row r="256" customFormat="false" ht="12" hidden="true" customHeight="true" outlineLevel="0" collapsed="false">
      <c r="A256" s="418"/>
      <c r="B256" s="419" t="n">
        <v>616340</v>
      </c>
      <c r="C256" s="335"/>
      <c r="D256" s="75" t="s">
        <v>352</v>
      </c>
      <c r="E256" s="419"/>
      <c r="G256" s="181"/>
      <c r="H256" s="335"/>
      <c r="I256" s="423" t="n">
        <f aca="false">VLOOKUP(" 16340-GT  ",misc,2,FALSE())</f>
        <v>0</v>
      </c>
      <c r="J256" s="420"/>
      <c r="K256" s="420"/>
      <c r="L256" s="420"/>
      <c r="M256" s="420"/>
      <c r="N256" s="420"/>
      <c r="O256" s="420"/>
      <c r="P256" s="420"/>
      <c r="Q256" s="420"/>
      <c r="R256" s="344"/>
      <c r="S256" s="420"/>
      <c r="T256" s="420"/>
      <c r="U256" s="420"/>
      <c r="V256" s="420"/>
      <c r="W256" s="420"/>
      <c r="X256" s="421"/>
      <c r="Y256" s="421"/>
      <c r="Z256" s="347"/>
      <c r="AA256" s="347"/>
      <c r="AB256" s="348"/>
      <c r="AC256" s="348"/>
      <c r="AD256" s="347"/>
      <c r="AE256" s="347"/>
      <c r="AF256" s="347"/>
      <c r="AG256" s="347"/>
      <c r="AH256" s="347"/>
      <c r="AI256" s="347"/>
      <c r="AJ256" s="347"/>
      <c r="AK256" s="347"/>
      <c r="AL256" s="347"/>
      <c r="AM256" s="347"/>
      <c r="AN256" s="347"/>
      <c r="AO256" s="347"/>
      <c r="AP256" s="347"/>
      <c r="AQ256" s="347"/>
      <c r="AR256" s="347"/>
      <c r="AS256" s="347"/>
      <c r="AT256" s="347"/>
      <c r="AU256" s="347"/>
      <c r="AV256" s="347"/>
      <c r="AW256" s="347"/>
      <c r="AX256" s="347"/>
      <c r="AY256" s="347"/>
      <c r="AZ256" s="347"/>
      <c r="BA256" s="347"/>
      <c r="BB256" s="347"/>
      <c r="BC256" s="347"/>
      <c r="BD256" s="347"/>
      <c r="BE256" s="347"/>
      <c r="BF256" s="347"/>
      <c r="BG256" s="347"/>
      <c r="BH256" s="347"/>
      <c r="BI256" s="347"/>
      <c r="BJ256" s="347"/>
      <c r="BK256" s="347"/>
      <c r="BL256" s="347"/>
      <c r="BM256" s="347"/>
      <c r="BN256" s="347"/>
      <c r="BO256" s="347"/>
      <c r="BP256" s="347"/>
      <c r="BQ256" s="347"/>
      <c r="BR256" s="347"/>
      <c r="BS256" s="347"/>
      <c r="BT256" s="347"/>
      <c r="BU256" s="347"/>
      <c r="BV256" s="347"/>
      <c r="BW256" s="347"/>
      <c r="BX256" s="347"/>
      <c r="BY256" s="347"/>
      <c r="BZ256" s="347"/>
      <c r="CA256" s="347"/>
      <c r="CB256" s="347"/>
      <c r="CC256" s="347"/>
      <c r="CD256" s="347"/>
      <c r="CE256" s="347"/>
      <c r="CF256" s="347"/>
      <c r="CG256" s="347"/>
      <c r="CH256" s="347"/>
      <c r="CI256" s="347"/>
      <c r="CJ256" s="347"/>
      <c r="CK256" s="347"/>
      <c r="CL256" s="347"/>
      <c r="CM256" s="347"/>
      <c r="CN256" s="347"/>
      <c r="CO256" s="347"/>
      <c r="CP256" s="347"/>
      <c r="CQ256" s="347"/>
      <c r="CR256" s="347"/>
      <c r="CS256" s="347"/>
      <c r="CT256" s="347"/>
      <c r="CU256" s="347"/>
      <c r="CV256" s="347"/>
      <c r="CW256" s="347"/>
      <c r="CX256" s="347"/>
      <c r="CY256" s="347"/>
      <c r="CZ256" s="347"/>
      <c r="DA256" s="347"/>
      <c r="DB256" s="347"/>
      <c r="DC256" s="347"/>
      <c r="DD256" s="347"/>
      <c r="DE256" s="347"/>
      <c r="DF256" s="347"/>
      <c r="DG256" s="347"/>
      <c r="DH256" s="347"/>
      <c r="DI256" s="347"/>
      <c r="DJ256" s="347"/>
      <c r="DK256" s="347"/>
      <c r="DL256" s="347"/>
      <c r="DM256" s="347"/>
      <c r="DN256" s="347"/>
      <c r="DO256" s="347"/>
      <c r="DP256" s="347"/>
      <c r="DQ256" s="347"/>
      <c r="DR256" s="347"/>
      <c r="DS256" s="347"/>
      <c r="DT256" s="347"/>
      <c r="DU256" s="347"/>
      <c r="DV256" s="347"/>
      <c r="DW256" s="347"/>
      <c r="DX256" s="347"/>
      <c r="DY256" s="347"/>
      <c r="DZ256" s="347"/>
      <c r="EA256" s="347"/>
      <c r="EB256" s="347"/>
      <c r="EC256" s="347"/>
      <c r="ED256" s="347"/>
      <c r="EE256" s="347"/>
      <c r="EF256" s="347"/>
      <c r="EG256" s="347"/>
      <c r="EH256" s="347"/>
      <c r="EI256" s="347"/>
      <c r="EJ256" s="347"/>
      <c r="EK256" s="347"/>
      <c r="EL256" s="347"/>
      <c r="EM256" s="347"/>
      <c r="EN256" s="347"/>
      <c r="EO256" s="347"/>
      <c r="EP256" s="347"/>
      <c r="EQ256" s="347"/>
      <c r="ER256" s="347"/>
      <c r="ES256" s="347"/>
      <c r="ET256" s="347"/>
      <c r="EU256" s="347"/>
      <c r="EV256" s="347"/>
      <c r="EW256" s="347"/>
      <c r="EX256" s="347"/>
      <c r="EY256" s="347"/>
      <c r="EZ256" s="347"/>
      <c r="FA256" s="347"/>
      <c r="FB256" s="347"/>
      <c r="FC256" s="347"/>
      <c r="FD256" s="347"/>
      <c r="FE256" s="347"/>
      <c r="FF256" s="347"/>
      <c r="FG256" s="347"/>
      <c r="FH256" s="347"/>
      <c r="FI256" s="347"/>
      <c r="FJ256" s="347"/>
      <c r="FK256" s="347"/>
      <c r="FL256" s="347"/>
      <c r="FM256" s="347"/>
      <c r="FN256" s="347"/>
      <c r="FO256" s="347"/>
      <c r="FP256" s="347"/>
      <c r="FQ256" s="347"/>
      <c r="FR256" s="347"/>
      <c r="FS256" s="347"/>
      <c r="FT256" s="347"/>
      <c r="FU256" s="347"/>
      <c r="FV256" s="347"/>
      <c r="FW256" s="347"/>
      <c r="FX256" s="347"/>
      <c r="FY256" s="347"/>
      <c r="FZ256" s="347"/>
      <c r="GA256" s="347"/>
      <c r="GB256" s="347"/>
      <c r="GC256" s="347"/>
      <c r="GD256" s="347"/>
      <c r="GE256" s="347"/>
      <c r="GF256" s="347"/>
      <c r="GG256" s="347"/>
      <c r="GH256" s="347"/>
      <c r="GI256" s="347"/>
      <c r="GJ256" s="347"/>
      <c r="GK256" s="347"/>
      <c r="GL256" s="347"/>
      <c r="GM256" s="347"/>
      <c r="GN256" s="347"/>
      <c r="GO256" s="347"/>
      <c r="GP256" s="347"/>
      <c r="GQ256" s="347"/>
      <c r="GR256" s="347"/>
      <c r="GS256" s="347"/>
      <c r="GT256" s="347"/>
      <c r="GU256" s="347"/>
      <c r="GV256" s="347"/>
      <c r="GW256" s="347"/>
      <c r="GX256" s="347"/>
      <c r="GY256" s="347"/>
      <c r="GZ256" s="347"/>
      <c r="HA256" s="347"/>
      <c r="HB256" s="347"/>
      <c r="HC256" s="347"/>
      <c r="HD256" s="347"/>
      <c r="HE256" s="347"/>
      <c r="HF256" s="347"/>
      <c r="HG256" s="347"/>
      <c r="HH256" s="347"/>
      <c r="HI256" s="347"/>
      <c r="HJ256" s="347"/>
      <c r="HK256" s="347"/>
      <c r="HL256" s="347"/>
      <c r="HM256" s="347"/>
      <c r="HN256" s="347"/>
      <c r="HO256" s="347"/>
      <c r="HP256" s="347"/>
      <c r="HQ256" s="347"/>
      <c r="HR256" s="347"/>
      <c r="HS256" s="347"/>
      <c r="HT256" s="347"/>
      <c r="HU256" s="347"/>
      <c r="HV256" s="347"/>
      <c r="HW256" s="347"/>
      <c r="HX256" s="347"/>
      <c r="HY256" s="347"/>
      <c r="HZ256" s="347"/>
      <c r="IA256" s="347"/>
      <c r="IB256" s="347"/>
      <c r="IC256" s="347"/>
      <c r="ID256" s="347"/>
      <c r="IE256" s="347"/>
      <c r="IF256" s="347"/>
      <c r="IG256" s="347"/>
      <c r="IH256" s="347"/>
      <c r="II256" s="347"/>
      <c r="IJ256" s="347"/>
      <c r="IK256" s="347"/>
      <c r="IL256" s="347"/>
      <c r="IM256" s="347"/>
      <c r="IN256" s="347"/>
      <c r="IO256" s="347"/>
      <c r="IP256" s="347"/>
      <c r="IQ256" s="347"/>
      <c r="IR256" s="347"/>
      <c r="IS256" s="347"/>
      <c r="IT256" s="347"/>
      <c r="IU256" s="347"/>
      <c r="IV256" s="347"/>
      <c r="IW256" s="347"/>
    </row>
    <row r="257" customFormat="false" ht="12" hidden="true" customHeight="true" outlineLevel="0" collapsed="false">
      <c r="A257" s="418"/>
      <c r="B257" s="419" t="n">
        <v>608042</v>
      </c>
      <c r="C257" s="335"/>
      <c r="D257" s="75" t="s">
        <v>353</v>
      </c>
      <c r="E257" s="419"/>
      <c r="G257" s="181"/>
      <c r="H257" s="335"/>
      <c r="I257" s="423" t="n">
        <f aca="false">VLOOKUP(" 804-DT    ",misc,2,FALSE())</f>
        <v>-5.8000002</v>
      </c>
      <c r="J257" s="420"/>
      <c r="K257" s="420"/>
      <c r="L257" s="420"/>
      <c r="M257" s="420"/>
      <c r="N257" s="420"/>
      <c r="O257" s="420"/>
      <c r="P257" s="420"/>
      <c r="Q257" s="420"/>
      <c r="R257" s="344"/>
      <c r="S257" s="420"/>
      <c r="T257" s="420"/>
      <c r="U257" s="420"/>
      <c r="V257" s="420"/>
      <c r="W257" s="420"/>
      <c r="X257" s="421"/>
      <c r="Y257" s="421"/>
      <c r="Z257" s="347"/>
      <c r="AA257" s="347"/>
      <c r="AB257" s="348"/>
      <c r="AC257" s="348"/>
      <c r="AD257" s="347"/>
      <c r="AE257" s="347"/>
      <c r="AF257" s="347"/>
      <c r="AG257" s="347"/>
      <c r="AH257" s="347"/>
      <c r="AI257" s="347"/>
      <c r="AJ257" s="347"/>
      <c r="AK257" s="347"/>
      <c r="AL257" s="347"/>
      <c r="AM257" s="347"/>
      <c r="AN257" s="347"/>
      <c r="AO257" s="347"/>
      <c r="AP257" s="347"/>
      <c r="AQ257" s="347"/>
      <c r="AR257" s="347"/>
      <c r="AS257" s="347"/>
      <c r="AT257" s="347"/>
      <c r="AU257" s="347"/>
      <c r="AV257" s="347"/>
      <c r="AW257" s="347"/>
      <c r="AX257" s="347"/>
      <c r="AY257" s="347"/>
      <c r="AZ257" s="347"/>
      <c r="BA257" s="347"/>
      <c r="BB257" s="347"/>
      <c r="BC257" s="347"/>
      <c r="BD257" s="347"/>
      <c r="BE257" s="347"/>
      <c r="BF257" s="347"/>
      <c r="BG257" s="347"/>
      <c r="BH257" s="347"/>
      <c r="BI257" s="347"/>
      <c r="BJ257" s="347"/>
      <c r="BK257" s="347"/>
      <c r="BL257" s="347"/>
      <c r="BM257" s="347"/>
      <c r="BN257" s="347"/>
      <c r="BO257" s="347"/>
      <c r="BP257" s="347"/>
      <c r="BQ257" s="347"/>
      <c r="BR257" s="347"/>
      <c r="BS257" s="347"/>
      <c r="BT257" s="347"/>
      <c r="BU257" s="347"/>
      <c r="BV257" s="347"/>
      <c r="BW257" s="347"/>
      <c r="BX257" s="347"/>
      <c r="BY257" s="347"/>
      <c r="BZ257" s="347"/>
      <c r="CA257" s="347"/>
      <c r="CB257" s="347"/>
      <c r="CC257" s="347"/>
      <c r="CD257" s="347"/>
      <c r="CE257" s="347"/>
      <c r="CF257" s="347"/>
      <c r="CG257" s="347"/>
      <c r="CH257" s="347"/>
      <c r="CI257" s="347"/>
      <c r="CJ257" s="347"/>
      <c r="CK257" s="347"/>
      <c r="CL257" s="347"/>
      <c r="CM257" s="347"/>
      <c r="CN257" s="347"/>
      <c r="CO257" s="347"/>
      <c r="CP257" s="347"/>
      <c r="CQ257" s="347"/>
      <c r="CR257" s="347"/>
      <c r="CS257" s="347"/>
      <c r="CT257" s="347"/>
      <c r="CU257" s="347"/>
      <c r="CV257" s="347"/>
      <c r="CW257" s="347"/>
      <c r="CX257" s="347"/>
      <c r="CY257" s="347"/>
      <c r="CZ257" s="347"/>
      <c r="DA257" s="347"/>
      <c r="DB257" s="347"/>
      <c r="DC257" s="347"/>
      <c r="DD257" s="347"/>
      <c r="DE257" s="347"/>
      <c r="DF257" s="347"/>
      <c r="DG257" s="347"/>
      <c r="DH257" s="347"/>
      <c r="DI257" s="347"/>
      <c r="DJ257" s="347"/>
      <c r="DK257" s="347"/>
      <c r="DL257" s="347"/>
      <c r="DM257" s="347"/>
      <c r="DN257" s="347"/>
      <c r="DO257" s="347"/>
      <c r="DP257" s="347"/>
      <c r="DQ257" s="347"/>
      <c r="DR257" s="347"/>
      <c r="DS257" s="347"/>
      <c r="DT257" s="347"/>
      <c r="DU257" s="347"/>
      <c r="DV257" s="347"/>
      <c r="DW257" s="347"/>
      <c r="DX257" s="347"/>
      <c r="DY257" s="347"/>
      <c r="DZ257" s="347"/>
      <c r="EA257" s="347"/>
      <c r="EB257" s="347"/>
      <c r="EC257" s="347"/>
      <c r="ED257" s="347"/>
      <c r="EE257" s="347"/>
      <c r="EF257" s="347"/>
      <c r="EG257" s="347"/>
      <c r="EH257" s="347"/>
      <c r="EI257" s="347"/>
      <c r="EJ257" s="347"/>
      <c r="EK257" s="347"/>
      <c r="EL257" s="347"/>
      <c r="EM257" s="347"/>
      <c r="EN257" s="347"/>
      <c r="EO257" s="347"/>
      <c r="EP257" s="347"/>
      <c r="EQ257" s="347"/>
      <c r="ER257" s="347"/>
      <c r="ES257" s="347"/>
      <c r="ET257" s="347"/>
      <c r="EU257" s="347"/>
      <c r="EV257" s="347"/>
      <c r="EW257" s="347"/>
      <c r="EX257" s="347"/>
      <c r="EY257" s="347"/>
      <c r="EZ257" s="347"/>
      <c r="FA257" s="347"/>
      <c r="FB257" s="347"/>
      <c r="FC257" s="347"/>
      <c r="FD257" s="347"/>
      <c r="FE257" s="347"/>
      <c r="FF257" s="347"/>
      <c r="FG257" s="347"/>
      <c r="FH257" s="347"/>
      <c r="FI257" s="347"/>
      <c r="FJ257" s="347"/>
      <c r="FK257" s="347"/>
      <c r="FL257" s="347"/>
      <c r="FM257" s="347"/>
      <c r="FN257" s="347"/>
      <c r="FO257" s="347"/>
      <c r="FP257" s="347"/>
      <c r="FQ257" s="347"/>
      <c r="FR257" s="347"/>
      <c r="FS257" s="347"/>
      <c r="FT257" s="347"/>
      <c r="FU257" s="347"/>
      <c r="FV257" s="347"/>
      <c r="FW257" s="347"/>
      <c r="FX257" s="347"/>
      <c r="FY257" s="347"/>
      <c r="FZ257" s="347"/>
      <c r="GA257" s="347"/>
      <c r="GB257" s="347"/>
      <c r="GC257" s="347"/>
      <c r="GD257" s="347"/>
      <c r="GE257" s="347"/>
      <c r="GF257" s="347"/>
      <c r="GG257" s="347"/>
      <c r="GH257" s="347"/>
      <c r="GI257" s="347"/>
      <c r="GJ257" s="347"/>
      <c r="GK257" s="347"/>
      <c r="GL257" s="347"/>
      <c r="GM257" s="347"/>
      <c r="GN257" s="347"/>
      <c r="GO257" s="347"/>
      <c r="GP257" s="347"/>
      <c r="GQ257" s="347"/>
      <c r="GR257" s="347"/>
      <c r="GS257" s="347"/>
      <c r="GT257" s="347"/>
      <c r="GU257" s="347"/>
      <c r="GV257" s="347"/>
      <c r="GW257" s="347"/>
      <c r="GX257" s="347"/>
      <c r="GY257" s="347"/>
      <c r="GZ257" s="347"/>
      <c r="HA257" s="347"/>
      <c r="HB257" s="347"/>
      <c r="HC257" s="347"/>
      <c r="HD257" s="347"/>
      <c r="HE257" s="347"/>
      <c r="HF257" s="347"/>
      <c r="HG257" s="347"/>
      <c r="HH257" s="347"/>
      <c r="HI257" s="347"/>
      <c r="HJ257" s="347"/>
      <c r="HK257" s="347"/>
      <c r="HL257" s="347"/>
      <c r="HM257" s="347"/>
      <c r="HN257" s="347"/>
      <c r="HO257" s="347"/>
      <c r="HP257" s="347"/>
      <c r="HQ257" s="347"/>
      <c r="HR257" s="347"/>
      <c r="HS257" s="347"/>
      <c r="HT257" s="347"/>
      <c r="HU257" s="347"/>
      <c r="HV257" s="347"/>
      <c r="HW257" s="347"/>
      <c r="HX257" s="347"/>
      <c r="HY257" s="347"/>
      <c r="HZ257" s="347"/>
      <c r="IA257" s="347"/>
      <c r="IB257" s="347"/>
      <c r="IC257" s="347"/>
      <c r="ID257" s="347"/>
      <c r="IE257" s="347"/>
      <c r="IF257" s="347"/>
      <c r="IG257" s="347"/>
      <c r="IH257" s="347"/>
      <c r="II257" s="347"/>
      <c r="IJ257" s="347"/>
      <c r="IK257" s="347"/>
      <c r="IL257" s="347"/>
      <c r="IM257" s="347"/>
      <c r="IN257" s="347"/>
      <c r="IO257" s="347"/>
      <c r="IP257" s="347"/>
      <c r="IQ257" s="347"/>
      <c r="IR257" s="347"/>
      <c r="IS257" s="347"/>
      <c r="IT257" s="347"/>
      <c r="IU257" s="347"/>
      <c r="IV257" s="347"/>
      <c r="IW257" s="347"/>
    </row>
    <row r="258" customFormat="false" ht="12" hidden="true" customHeight="true" outlineLevel="0" collapsed="false">
      <c r="A258" s="418"/>
      <c r="B258" s="419" t="n">
        <v>608061</v>
      </c>
      <c r="C258" s="335"/>
      <c r="D258" s="75" t="s">
        <v>354</v>
      </c>
      <c r="E258" s="419"/>
      <c r="G258" s="181"/>
      <c r="H258" s="335"/>
      <c r="I258" s="423" t="n">
        <f aca="false">VLOOKUP("CIG806_ST_MLSUCT_TEMP",rngPomsData,2,FALSE())</f>
        <v>82.4879</v>
      </c>
      <c r="J258" s="420"/>
      <c r="K258" s="420"/>
      <c r="L258" s="420"/>
      <c r="M258" s="420"/>
      <c r="N258" s="420"/>
      <c r="O258" s="420"/>
      <c r="P258" s="420"/>
      <c r="Q258" s="420"/>
      <c r="R258" s="344"/>
      <c r="S258" s="420"/>
      <c r="T258" s="420"/>
      <c r="U258" s="420"/>
      <c r="V258" s="420"/>
      <c r="W258" s="420"/>
      <c r="X258" s="421"/>
      <c r="Y258" s="421"/>
      <c r="Z258" s="347"/>
      <c r="AA258" s="347"/>
      <c r="AB258" s="348"/>
      <c r="AC258" s="348"/>
      <c r="AD258" s="347"/>
      <c r="AE258" s="347"/>
      <c r="AF258" s="347"/>
      <c r="AG258" s="347"/>
      <c r="AH258" s="347"/>
      <c r="AI258" s="347"/>
      <c r="AJ258" s="347"/>
      <c r="AK258" s="347"/>
      <c r="AL258" s="347"/>
      <c r="AM258" s="347"/>
      <c r="AN258" s="347"/>
      <c r="AO258" s="347"/>
      <c r="AP258" s="347"/>
      <c r="AQ258" s="347"/>
      <c r="AR258" s="347"/>
      <c r="AS258" s="347"/>
      <c r="AT258" s="347"/>
      <c r="AU258" s="347"/>
      <c r="AV258" s="347"/>
      <c r="AW258" s="347"/>
      <c r="AX258" s="347"/>
      <c r="AY258" s="347"/>
      <c r="AZ258" s="347"/>
      <c r="BA258" s="347"/>
      <c r="BB258" s="347"/>
      <c r="BC258" s="347"/>
      <c r="BD258" s="347"/>
      <c r="BE258" s="347"/>
      <c r="BF258" s="347"/>
      <c r="BG258" s="347"/>
      <c r="BH258" s="347"/>
      <c r="BI258" s="347"/>
      <c r="BJ258" s="347"/>
      <c r="BK258" s="347"/>
      <c r="BL258" s="347"/>
      <c r="BM258" s="347"/>
      <c r="BN258" s="347"/>
      <c r="BO258" s="347"/>
      <c r="BP258" s="347"/>
      <c r="BQ258" s="347"/>
      <c r="BR258" s="347"/>
      <c r="BS258" s="347"/>
      <c r="BT258" s="347"/>
      <c r="BU258" s="347"/>
      <c r="BV258" s="347"/>
      <c r="BW258" s="347"/>
      <c r="BX258" s="347"/>
      <c r="BY258" s="347"/>
      <c r="BZ258" s="347"/>
      <c r="CA258" s="347"/>
      <c r="CB258" s="347"/>
      <c r="CC258" s="347"/>
      <c r="CD258" s="347"/>
      <c r="CE258" s="347"/>
      <c r="CF258" s="347"/>
      <c r="CG258" s="347"/>
      <c r="CH258" s="347"/>
      <c r="CI258" s="347"/>
      <c r="CJ258" s="347"/>
      <c r="CK258" s="347"/>
      <c r="CL258" s="347"/>
      <c r="CM258" s="347"/>
      <c r="CN258" s="347"/>
      <c r="CO258" s="347"/>
      <c r="CP258" s="347"/>
      <c r="CQ258" s="347"/>
      <c r="CR258" s="347"/>
      <c r="CS258" s="347"/>
      <c r="CT258" s="347"/>
      <c r="CU258" s="347"/>
      <c r="CV258" s="347"/>
      <c r="CW258" s="347"/>
      <c r="CX258" s="347"/>
      <c r="CY258" s="347"/>
      <c r="CZ258" s="347"/>
      <c r="DA258" s="347"/>
      <c r="DB258" s="347"/>
      <c r="DC258" s="347"/>
      <c r="DD258" s="347"/>
      <c r="DE258" s="347"/>
      <c r="DF258" s="347"/>
      <c r="DG258" s="347"/>
      <c r="DH258" s="347"/>
      <c r="DI258" s="347"/>
      <c r="DJ258" s="347"/>
      <c r="DK258" s="347"/>
      <c r="DL258" s="347"/>
      <c r="DM258" s="347"/>
      <c r="DN258" s="347"/>
      <c r="DO258" s="347"/>
      <c r="DP258" s="347"/>
      <c r="DQ258" s="347"/>
      <c r="DR258" s="347"/>
      <c r="DS258" s="347"/>
      <c r="DT258" s="347"/>
      <c r="DU258" s="347"/>
      <c r="DV258" s="347"/>
      <c r="DW258" s="347"/>
      <c r="DX258" s="347"/>
      <c r="DY258" s="347"/>
      <c r="DZ258" s="347"/>
      <c r="EA258" s="347"/>
      <c r="EB258" s="347"/>
      <c r="EC258" s="347"/>
      <c r="ED258" s="347"/>
      <c r="EE258" s="347"/>
      <c r="EF258" s="347"/>
      <c r="EG258" s="347"/>
      <c r="EH258" s="347"/>
      <c r="EI258" s="347"/>
      <c r="EJ258" s="347"/>
      <c r="EK258" s="347"/>
      <c r="EL258" s="347"/>
      <c r="EM258" s="347"/>
      <c r="EN258" s="347"/>
      <c r="EO258" s="347"/>
      <c r="EP258" s="347"/>
      <c r="EQ258" s="347"/>
      <c r="ER258" s="347"/>
      <c r="ES258" s="347"/>
      <c r="ET258" s="347"/>
      <c r="EU258" s="347"/>
      <c r="EV258" s="347"/>
      <c r="EW258" s="347"/>
      <c r="EX258" s="347"/>
      <c r="EY258" s="347"/>
      <c r="EZ258" s="347"/>
      <c r="FA258" s="347"/>
      <c r="FB258" s="347"/>
      <c r="FC258" s="347"/>
      <c r="FD258" s="347"/>
      <c r="FE258" s="347"/>
      <c r="FF258" s="347"/>
      <c r="FG258" s="347"/>
      <c r="FH258" s="347"/>
      <c r="FI258" s="347"/>
      <c r="FJ258" s="347"/>
      <c r="FK258" s="347"/>
      <c r="FL258" s="347"/>
      <c r="FM258" s="347"/>
      <c r="FN258" s="347"/>
      <c r="FO258" s="347"/>
      <c r="FP258" s="347"/>
      <c r="FQ258" s="347"/>
      <c r="FR258" s="347"/>
      <c r="FS258" s="347"/>
      <c r="FT258" s="347"/>
      <c r="FU258" s="347"/>
      <c r="FV258" s="347"/>
      <c r="FW258" s="347"/>
      <c r="FX258" s="347"/>
      <c r="FY258" s="347"/>
      <c r="FZ258" s="347"/>
      <c r="GA258" s="347"/>
      <c r="GB258" s="347"/>
      <c r="GC258" s="347"/>
      <c r="GD258" s="347"/>
      <c r="GE258" s="347"/>
      <c r="GF258" s="347"/>
      <c r="GG258" s="347"/>
      <c r="GH258" s="347"/>
      <c r="GI258" s="347"/>
      <c r="GJ258" s="347"/>
      <c r="GK258" s="347"/>
      <c r="GL258" s="347"/>
      <c r="GM258" s="347"/>
      <c r="GN258" s="347"/>
      <c r="GO258" s="347"/>
      <c r="GP258" s="347"/>
      <c r="GQ258" s="347"/>
      <c r="GR258" s="347"/>
      <c r="GS258" s="347"/>
      <c r="GT258" s="347"/>
      <c r="GU258" s="347"/>
      <c r="GV258" s="347"/>
      <c r="GW258" s="347"/>
      <c r="GX258" s="347"/>
      <c r="GY258" s="347"/>
      <c r="GZ258" s="347"/>
      <c r="HA258" s="347"/>
      <c r="HB258" s="347"/>
      <c r="HC258" s="347"/>
      <c r="HD258" s="347"/>
      <c r="HE258" s="347"/>
      <c r="HF258" s="347"/>
      <c r="HG258" s="347"/>
      <c r="HH258" s="347"/>
      <c r="HI258" s="347"/>
      <c r="HJ258" s="347"/>
      <c r="HK258" s="347"/>
      <c r="HL258" s="347"/>
      <c r="HM258" s="347"/>
      <c r="HN258" s="347"/>
      <c r="HO258" s="347"/>
      <c r="HP258" s="347"/>
      <c r="HQ258" s="347"/>
      <c r="HR258" s="347"/>
      <c r="HS258" s="347"/>
      <c r="HT258" s="347"/>
      <c r="HU258" s="347"/>
      <c r="HV258" s="347"/>
      <c r="HW258" s="347"/>
      <c r="HX258" s="347"/>
      <c r="HY258" s="347"/>
      <c r="HZ258" s="347"/>
      <c r="IA258" s="347"/>
      <c r="IB258" s="347"/>
      <c r="IC258" s="347"/>
      <c r="ID258" s="347"/>
      <c r="IE258" s="347"/>
      <c r="IF258" s="347"/>
      <c r="IG258" s="347"/>
      <c r="IH258" s="347"/>
      <c r="II258" s="347"/>
      <c r="IJ258" s="347"/>
      <c r="IK258" s="347"/>
      <c r="IL258" s="347"/>
      <c r="IM258" s="347"/>
      <c r="IN258" s="347"/>
      <c r="IO258" s="347"/>
      <c r="IP258" s="347"/>
      <c r="IQ258" s="347"/>
      <c r="IR258" s="347"/>
      <c r="IS258" s="347"/>
      <c r="IT258" s="347"/>
      <c r="IU258" s="347"/>
      <c r="IV258" s="347"/>
      <c r="IW258" s="347"/>
    </row>
    <row r="259" customFormat="false" ht="12" hidden="true" customHeight="true" outlineLevel="0" collapsed="false">
      <c r="A259" s="418"/>
      <c r="B259" s="419" t="n">
        <v>608062</v>
      </c>
      <c r="C259" s="335"/>
      <c r="D259" s="75" t="s">
        <v>355</v>
      </c>
      <c r="E259" s="419"/>
      <c r="G259" s="181"/>
      <c r="H259" s="335"/>
      <c r="I259" s="423" t="n">
        <f aca="false">VLOOKUP("CIG806_ST_MLDISCH_TEMP",rngPomsData,2,FALSE())</f>
        <v>117.204002</v>
      </c>
      <c r="J259" s="420"/>
      <c r="K259" s="420"/>
      <c r="L259" s="420"/>
      <c r="M259" s="420"/>
      <c r="N259" s="420"/>
      <c r="O259" s="420"/>
      <c r="P259" s="420"/>
      <c r="Q259" s="420"/>
      <c r="R259" s="344"/>
      <c r="S259" s="420"/>
      <c r="T259" s="420"/>
      <c r="U259" s="420"/>
      <c r="V259" s="420"/>
      <c r="W259" s="420"/>
      <c r="X259" s="421"/>
      <c r="Y259" s="421"/>
      <c r="Z259" s="347"/>
      <c r="AA259" s="347"/>
      <c r="AB259" s="348"/>
      <c r="AC259" s="348"/>
      <c r="AD259" s="347"/>
      <c r="AE259" s="347"/>
      <c r="AF259" s="347"/>
      <c r="AG259" s="347"/>
      <c r="AH259" s="347"/>
      <c r="AI259" s="347"/>
      <c r="AJ259" s="347"/>
      <c r="AK259" s="347"/>
      <c r="AL259" s="347"/>
      <c r="AM259" s="347"/>
      <c r="AN259" s="347"/>
      <c r="AO259" s="347"/>
      <c r="AP259" s="347"/>
      <c r="AQ259" s="347"/>
      <c r="AR259" s="347"/>
      <c r="AS259" s="347"/>
      <c r="AT259" s="347"/>
      <c r="AU259" s="347"/>
      <c r="AV259" s="347"/>
      <c r="AW259" s="347"/>
      <c r="AX259" s="347"/>
      <c r="AY259" s="347"/>
      <c r="AZ259" s="347"/>
      <c r="BA259" s="347"/>
      <c r="BB259" s="347"/>
      <c r="BC259" s="347"/>
      <c r="BD259" s="347"/>
      <c r="BE259" s="347"/>
      <c r="BF259" s="347"/>
      <c r="BG259" s="347"/>
      <c r="BH259" s="347"/>
      <c r="BI259" s="347"/>
      <c r="BJ259" s="347"/>
      <c r="BK259" s="347"/>
      <c r="BL259" s="347"/>
      <c r="BM259" s="347"/>
      <c r="BN259" s="347"/>
      <c r="BO259" s="347"/>
      <c r="BP259" s="347"/>
      <c r="BQ259" s="347"/>
      <c r="BR259" s="347"/>
      <c r="BS259" s="347"/>
      <c r="BT259" s="347"/>
      <c r="BU259" s="347"/>
      <c r="BV259" s="347"/>
      <c r="BW259" s="347"/>
      <c r="BX259" s="347"/>
      <c r="BY259" s="347"/>
      <c r="BZ259" s="347"/>
      <c r="CA259" s="347"/>
      <c r="CB259" s="347"/>
      <c r="CC259" s="347"/>
      <c r="CD259" s="347"/>
      <c r="CE259" s="347"/>
      <c r="CF259" s="347"/>
      <c r="CG259" s="347"/>
      <c r="CH259" s="347"/>
      <c r="CI259" s="347"/>
      <c r="CJ259" s="347"/>
      <c r="CK259" s="347"/>
      <c r="CL259" s="347"/>
      <c r="CM259" s="347"/>
      <c r="CN259" s="347"/>
      <c r="CO259" s="347"/>
      <c r="CP259" s="347"/>
      <c r="CQ259" s="347"/>
      <c r="CR259" s="347"/>
      <c r="CS259" s="347"/>
      <c r="CT259" s="347"/>
      <c r="CU259" s="347"/>
      <c r="CV259" s="347"/>
      <c r="CW259" s="347"/>
      <c r="CX259" s="347"/>
      <c r="CY259" s="347"/>
      <c r="CZ259" s="347"/>
      <c r="DA259" s="347"/>
      <c r="DB259" s="347"/>
      <c r="DC259" s="347"/>
      <c r="DD259" s="347"/>
      <c r="DE259" s="347"/>
      <c r="DF259" s="347"/>
      <c r="DG259" s="347"/>
      <c r="DH259" s="347"/>
      <c r="DI259" s="347"/>
      <c r="DJ259" s="347"/>
      <c r="DK259" s="347"/>
      <c r="DL259" s="347"/>
      <c r="DM259" s="347"/>
      <c r="DN259" s="347"/>
      <c r="DO259" s="347"/>
      <c r="DP259" s="347"/>
      <c r="DQ259" s="347"/>
      <c r="DR259" s="347"/>
      <c r="DS259" s="347"/>
      <c r="DT259" s="347"/>
      <c r="DU259" s="347"/>
      <c r="DV259" s="347"/>
      <c r="DW259" s="347"/>
      <c r="DX259" s="347"/>
      <c r="DY259" s="347"/>
      <c r="DZ259" s="347"/>
      <c r="EA259" s="347"/>
      <c r="EB259" s="347"/>
      <c r="EC259" s="347"/>
      <c r="ED259" s="347"/>
      <c r="EE259" s="347"/>
      <c r="EF259" s="347"/>
      <c r="EG259" s="347"/>
      <c r="EH259" s="347"/>
      <c r="EI259" s="347"/>
      <c r="EJ259" s="347"/>
      <c r="EK259" s="347"/>
      <c r="EL259" s="347"/>
      <c r="EM259" s="347"/>
      <c r="EN259" s="347"/>
      <c r="EO259" s="347"/>
      <c r="EP259" s="347"/>
      <c r="EQ259" s="347"/>
      <c r="ER259" s="347"/>
      <c r="ES259" s="347"/>
      <c r="ET259" s="347"/>
      <c r="EU259" s="347"/>
      <c r="EV259" s="347"/>
      <c r="EW259" s="347"/>
      <c r="EX259" s="347"/>
      <c r="EY259" s="347"/>
      <c r="EZ259" s="347"/>
      <c r="FA259" s="347"/>
      <c r="FB259" s="347"/>
      <c r="FC259" s="347"/>
      <c r="FD259" s="347"/>
      <c r="FE259" s="347"/>
      <c r="FF259" s="347"/>
      <c r="FG259" s="347"/>
      <c r="FH259" s="347"/>
      <c r="FI259" s="347"/>
      <c r="FJ259" s="347"/>
      <c r="FK259" s="347"/>
      <c r="FL259" s="347"/>
      <c r="FM259" s="347"/>
      <c r="FN259" s="347"/>
      <c r="FO259" s="347"/>
      <c r="FP259" s="347"/>
      <c r="FQ259" s="347"/>
      <c r="FR259" s="347"/>
      <c r="FS259" s="347"/>
      <c r="FT259" s="347"/>
      <c r="FU259" s="347"/>
      <c r="FV259" s="347"/>
      <c r="FW259" s="347"/>
      <c r="FX259" s="347"/>
      <c r="FY259" s="347"/>
      <c r="FZ259" s="347"/>
      <c r="GA259" s="347"/>
      <c r="GB259" s="347"/>
      <c r="GC259" s="347"/>
      <c r="GD259" s="347"/>
      <c r="GE259" s="347"/>
      <c r="GF259" s="347"/>
      <c r="GG259" s="347"/>
      <c r="GH259" s="347"/>
      <c r="GI259" s="347"/>
      <c r="GJ259" s="347"/>
      <c r="GK259" s="347"/>
      <c r="GL259" s="347"/>
      <c r="GM259" s="347"/>
      <c r="GN259" s="347"/>
      <c r="GO259" s="347"/>
      <c r="GP259" s="347"/>
      <c r="GQ259" s="347"/>
      <c r="GR259" s="347"/>
      <c r="GS259" s="347"/>
      <c r="GT259" s="347"/>
      <c r="GU259" s="347"/>
      <c r="GV259" s="347"/>
      <c r="GW259" s="347"/>
      <c r="GX259" s="347"/>
      <c r="GY259" s="347"/>
      <c r="GZ259" s="347"/>
      <c r="HA259" s="347"/>
      <c r="HB259" s="347"/>
      <c r="HC259" s="347"/>
      <c r="HD259" s="347"/>
      <c r="HE259" s="347"/>
      <c r="HF259" s="347"/>
      <c r="HG259" s="347"/>
      <c r="HH259" s="347"/>
      <c r="HI259" s="347"/>
      <c r="HJ259" s="347"/>
      <c r="HK259" s="347"/>
      <c r="HL259" s="347"/>
      <c r="HM259" s="347"/>
      <c r="HN259" s="347"/>
      <c r="HO259" s="347"/>
      <c r="HP259" s="347"/>
      <c r="HQ259" s="347"/>
      <c r="HR259" s="347"/>
      <c r="HS259" s="347"/>
      <c r="HT259" s="347"/>
      <c r="HU259" s="347"/>
      <c r="HV259" s="347"/>
      <c r="HW259" s="347"/>
      <c r="HX259" s="347"/>
      <c r="HY259" s="347"/>
      <c r="HZ259" s="347"/>
      <c r="IA259" s="347"/>
      <c r="IB259" s="347"/>
      <c r="IC259" s="347"/>
      <c r="ID259" s="347"/>
      <c r="IE259" s="347"/>
      <c r="IF259" s="347"/>
      <c r="IG259" s="347"/>
      <c r="IH259" s="347"/>
      <c r="II259" s="347"/>
      <c r="IJ259" s="347"/>
      <c r="IK259" s="347"/>
      <c r="IL259" s="347"/>
      <c r="IM259" s="347"/>
      <c r="IN259" s="347"/>
      <c r="IO259" s="347"/>
      <c r="IP259" s="347"/>
      <c r="IQ259" s="347"/>
      <c r="IR259" s="347"/>
      <c r="IS259" s="347"/>
      <c r="IT259" s="347"/>
      <c r="IU259" s="347"/>
      <c r="IV259" s="347"/>
      <c r="IW259" s="347"/>
    </row>
    <row r="260" customFormat="false" ht="12" hidden="true" customHeight="true" outlineLevel="0" collapsed="false">
      <c r="A260" s="418"/>
      <c r="B260" s="419" t="n">
        <v>608091</v>
      </c>
      <c r="C260" s="335"/>
      <c r="D260" s="75" t="s">
        <v>356</v>
      </c>
      <c r="E260" s="419"/>
      <c r="G260" s="181"/>
      <c r="H260" s="335"/>
      <c r="I260" s="423" t="n">
        <f aca="false">VLOOKUP("CIG809_ST_MLSUCT_TEMP",rngPomsData,2,FALSE())</f>
        <v>85.3629</v>
      </c>
      <c r="J260" s="420"/>
      <c r="K260" s="420"/>
      <c r="L260" s="420"/>
      <c r="M260" s="420"/>
      <c r="N260" s="420"/>
      <c r="O260" s="420"/>
      <c r="P260" s="420"/>
      <c r="Q260" s="420"/>
      <c r="R260" s="344"/>
      <c r="S260" s="420"/>
      <c r="T260" s="420"/>
      <c r="U260" s="420"/>
      <c r="V260" s="420"/>
      <c r="W260" s="420"/>
      <c r="X260" s="421"/>
      <c r="Y260" s="421"/>
      <c r="Z260" s="347"/>
      <c r="AA260" s="347"/>
      <c r="AB260" s="348"/>
      <c r="AC260" s="348"/>
      <c r="AD260" s="347"/>
      <c r="AE260" s="347"/>
      <c r="AF260" s="347"/>
      <c r="AG260" s="347"/>
      <c r="AH260" s="347"/>
      <c r="AI260" s="347"/>
      <c r="AJ260" s="347"/>
      <c r="AK260" s="347"/>
      <c r="AL260" s="347"/>
      <c r="AM260" s="347"/>
      <c r="AN260" s="347"/>
      <c r="AO260" s="347"/>
      <c r="AP260" s="347"/>
      <c r="AQ260" s="347"/>
      <c r="AR260" s="347"/>
      <c r="AS260" s="347"/>
      <c r="AT260" s="347"/>
      <c r="AU260" s="347"/>
      <c r="AV260" s="347"/>
      <c r="AW260" s="347"/>
      <c r="AX260" s="347"/>
      <c r="AY260" s="347"/>
      <c r="AZ260" s="347"/>
      <c r="BA260" s="347"/>
      <c r="BB260" s="347"/>
      <c r="BC260" s="347"/>
      <c r="BD260" s="347"/>
      <c r="BE260" s="347"/>
      <c r="BF260" s="347"/>
      <c r="BG260" s="347"/>
      <c r="BH260" s="347"/>
      <c r="BI260" s="347"/>
      <c r="BJ260" s="347"/>
      <c r="BK260" s="347"/>
      <c r="BL260" s="347"/>
      <c r="BM260" s="347"/>
      <c r="BN260" s="347"/>
      <c r="BO260" s="347"/>
      <c r="BP260" s="347"/>
      <c r="BQ260" s="347"/>
      <c r="BR260" s="347"/>
      <c r="BS260" s="347"/>
      <c r="BT260" s="347"/>
      <c r="BU260" s="347"/>
      <c r="BV260" s="347"/>
      <c r="BW260" s="347"/>
      <c r="BX260" s="347"/>
      <c r="BY260" s="347"/>
      <c r="BZ260" s="347"/>
      <c r="CA260" s="347"/>
      <c r="CB260" s="347"/>
      <c r="CC260" s="347"/>
      <c r="CD260" s="347"/>
      <c r="CE260" s="347"/>
      <c r="CF260" s="347"/>
      <c r="CG260" s="347"/>
      <c r="CH260" s="347"/>
      <c r="CI260" s="347"/>
      <c r="CJ260" s="347"/>
      <c r="CK260" s="347"/>
      <c r="CL260" s="347"/>
      <c r="CM260" s="347"/>
      <c r="CN260" s="347"/>
      <c r="CO260" s="347"/>
      <c r="CP260" s="347"/>
      <c r="CQ260" s="347"/>
      <c r="CR260" s="347"/>
      <c r="CS260" s="347"/>
      <c r="CT260" s="347"/>
      <c r="CU260" s="347"/>
      <c r="CV260" s="347"/>
      <c r="CW260" s="347"/>
      <c r="CX260" s="347"/>
      <c r="CY260" s="347"/>
      <c r="CZ260" s="347"/>
      <c r="DA260" s="347"/>
      <c r="DB260" s="347"/>
      <c r="DC260" s="347"/>
      <c r="DD260" s="347"/>
      <c r="DE260" s="347"/>
      <c r="DF260" s="347"/>
      <c r="DG260" s="347"/>
      <c r="DH260" s="347"/>
      <c r="DI260" s="347"/>
      <c r="DJ260" s="347"/>
      <c r="DK260" s="347"/>
      <c r="DL260" s="347"/>
      <c r="DM260" s="347"/>
      <c r="DN260" s="347"/>
      <c r="DO260" s="347"/>
      <c r="DP260" s="347"/>
      <c r="DQ260" s="347"/>
      <c r="DR260" s="347"/>
      <c r="DS260" s="347"/>
      <c r="DT260" s="347"/>
      <c r="DU260" s="347"/>
      <c r="DV260" s="347"/>
      <c r="DW260" s="347"/>
      <c r="DX260" s="347"/>
      <c r="DY260" s="347"/>
      <c r="DZ260" s="347"/>
      <c r="EA260" s="347"/>
      <c r="EB260" s="347"/>
      <c r="EC260" s="347"/>
      <c r="ED260" s="347"/>
      <c r="EE260" s="347"/>
      <c r="EF260" s="347"/>
      <c r="EG260" s="347"/>
      <c r="EH260" s="347"/>
      <c r="EI260" s="347"/>
      <c r="EJ260" s="347"/>
      <c r="EK260" s="347"/>
      <c r="EL260" s="347"/>
      <c r="EM260" s="347"/>
      <c r="EN260" s="347"/>
      <c r="EO260" s="347"/>
      <c r="EP260" s="347"/>
      <c r="EQ260" s="347"/>
      <c r="ER260" s="347"/>
      <c r="ES260" s="347"/>
      <c r="ET260" s="347"/>
      <c r="EU260" s="347"/>
      <c r="EV260" s="347"/>
      <c r="EW260" s="347"/>
      <c r="EX260" s="347"/>
      <c r="EY260" s="347"/>
      <c r="EZ260" s="347"/>
      <c r="FA260" s="347"/>
      <c r="FB260" s="347"/>
      <c r="FC260" s="347"/>
      <c r="FD260" s="347"/>
      <c r="FE260" s="347"/>
      <c r="FF260" s="347"/>
      <c r="FG260" s="347"/>
      <c r="FH260" s="347"/>
      <c r="FI260" s="347"/>
      <c r="FJ260" s="347"/>
      <c r="FK260" s="347"/>
      <c r="FL260" s="347"/>
      <c r="FM260" s="347"/>
      <c r="FN260" s="347"/>
      <c r="FO260" s="347"/>
      <c r="FP260" s="347"/>
      <c r="FQ260" s="347"/>
      <c r="FR260" s="347"/>
      <c r="FS260" s="347"/>
      <c r="FT260" s="347"/>
      <c r="FU260" s="347"/>
      <c r="FV260" s="347"/>
      <c r="FW260" s="347"/>
      <c r="FX260" s="347"/>
      <c r="FY260" s="347"/>
      <c r="FZ260" s="347"/>
      <c r="GA260" s="347"/>
      <c r="GB260" s="347"/>
      <c r="GC260" s="347"/>
      <c r="GD260" s="347"/>
      <c r="GE260" s="347"/>
      <c r="GF260" s="347"/>
      <c r="GG260" s="347"/>
      <c r="GH260" s="347"/>
      <c r="GI260" s="347"/>
      <c r="GJ260" s="347"/>
      <c r="GK260" s="347"/>
      <c r="GL260" s="347"/>
      <c r="GM260" s="347"/>
      <c r="GN260" s="347"/>
      <c r="GO260" s="347"/>
      <c r="GP260" s="347"/>
      <c r="GQ260" s="347"/>
      <c r="GR260" s="347"/>
      <c r="GS260" s="347"/>
      <c r="GT260" s="347"/>
      <c r="GU260" s="347"/>
      <c r="GV260" s="347"/>
      <c r="GW260" s="347"/>
      <c r="GX260" s="347"/>
      <c r="GY260" s="347"/>
      <c r="GZ260" s="347"/>
      <c r="HA260" s="347"/>
      <c r="HB260" s="347"/>
      <c r="HC260" s="347"/>
      <c r="HD260" s="347"/>
      <c r="HE260" s="347"/>
      <c r="HF260" s="347"/>
      <c r="HG260" s="347"/>
      <c r="HH260" s="347"/>
      <c r="HI260" s="347"/>
      <c r="HJ260" s="347"/>
      <c r="HK260" s="347"/>
      <c r="HL260" s="347"/>
      <c r="HM260" s="347"/>
      <c r="HN260" s="347"/>
      <c r="HO260" s="347"/>
      <c r="HP260" s="347"/>
      <c r="HQ260" s="347"/>
      <c r="HR260" s="347"/>
      <c r="HS260" s="347"/>
      <c r="HT260" s="347"/>
      <c r="HU260" s="347"/>
      <c r="HV260" s="347"/>
      <c r="HW260" s="347"/>
      <c r="HX260" s="347"/>
      <c r="HY260" s="347"/>
      <c r="HZ260" s="347"/>
      <c r="IA260" s="347"/>
      <c r="IB260" s="347"/>
      <c r="IC260" s="347"/>
      <c r="ID260" s="347"/>
      <c r="IE260" s="347"/>
      <c r="IF260" s="347"/>
      <c r="IG260" s="347"/>
      <c r="IH260" s="347"/>
      <c r="II260" s="347"/>
      <c r="IJ260" s="347"/>
      <c r="IK260" s="347"/>
      <c r="IL260" s="347"/>
      <c r="IM260" s="347"/>
      <c r="IN260" s="347"/>
      <c r="IO260" s="347"/>
      <c r="IP260" s="347"/>
      <c r="IQ260" s="347"/>
      <c r="IR260" s="347"/>
      <c r="IS260" s="347"/>
      <c r="IT260" s="347"/>
      <c r="IU260" s="347"/>
      <c r="IV260" s="347"/>
      <c r="IW260" s="347"/>
    </row>
    <row r="261" customFormat="false" ht="12" hidden="true" customHeight="true" outlineLevel="0" collapsed="false">
      <c r="A261" s="418"/>
      <c r="B261" s="419" t="n">
        <v>608092</v>
      </c>
      <c r="C261" s="335"/>
      <c r="D261" s="75" t="s">
        <v>357</v>
      </c>
      <c r="E261" s="419"/>
      <c r="G261" s="181"/>
      <c r="H261" s="335"/>
      <c r="I261" s="423" t="n">
        <f aca="false">VLOOKUP("CIG809_ST_MLDISCH_TEMP",rngPomsData,2,FALSE())</f>
        <v>84.8013</v>
      </c>
      <c r="J261" s="420"/>
      <c r="K261" s="420"/>
      <c r="L261" s="420"/>
      <c r="M261" s="420"/>
      <c r="N261" s="420"/>
      <c r="O261" s="420"/>
      <c r="P261" s="420"/>
      <c r="Q261" s="420"/>
      <c r="R261" s="344"/>
      <c r="S261" s="420"/>
      <c r="T261" s="420"/>
      <c r="U261" s="420"/>
      <c r="V261" s="420"/>
      <c r="W261" s="420"/>
      <c r="X261" s="421"/>
      <c r="Y261" s="421"/>
      <c r="Z261" s="347"/>
      <c r="AA261" s="347"/>
      <c r="AB261" s="348"/>
      <c r="AC261" s="348"/>
      <c r="AD261" s="347"/>
      <c r="AE261" s="347"/>
      <c r="AF261" s="347"/>
      <c r="AG261" s="347"/>
      <c r="AH261" s="347"/>
      <c r="AI261" s="347"/>
      <c r="AJ261" s="347"/>
      <c r="AK261" s="347"/>
      <c r="AL261" s="347"/>
      <c r="AM261" s="347"/>
      <c r="AN261" s="347"/>
      <c r="AO261" s="347"/>
      <c r="AP261" s="347"/>
      <c r="AQ261" s="347"/>
      <c r="AR261" s="347"/>
      <c r="AS261" s="347"/>
      <c r="AT261" s="347"/>
      <c r="AU261" s="347"/>
      <c r="AV261" s="347"/>
      <c r="AW261" s="347"/>
      <c r="AX261" s="347"/>
      <c r="AY261" s="347"/>
      <c r="AZ261" s="347"/>
      <c r="BA261" s="347"/>
      <c r="BB261" s="347"/>
      <c r="BC261" s="347"/>
      <c r="BD261" s="347"/>
      <c r="BE261" s="347"/>
      <c r="BF261" s="347"/>
      <c r="BG261" s="347"/>
      <c r="BH261" s="347"/>
      <c r="BI261" s="347"/>
      <c r="BJ261" s="347"/>
      <c r="BK261" s="347"/>
      <c r="BL261" s="347"/>
      <c r="BM261" s="347"/>
      <c r="BN261" s="347"/>
      <c r="BO261" s="347"/>
      <c r="BP261" s="347"/>
      <c r="BQ261" s="347"/>
      <c r="BR261" s="347"/>
      <c r="BS261" s="347"/>
      <c r="BT261" s="347"/>
      <c r="BU261" s="347"/>
      <c r="BV261" s="347"/>
      <c r="BW261" s="347"/>
      <c r="BX261" s="347"/>
      <c r="BY261" s="347"/>
      <c r="BZ261" s="347"/>
      <c r="CA261" s="347"/>
      <c r="CB261" s="347"/>
      <c r="CC261" s="347"/>
      <c r="CD261" s="347"/>
      <c r="CE261" s="347"/>
      <c r="CF261" s="347"/>
      <c r="CG261" s="347"/>
      <c r="CH261" s="347"/>
      <c r="CI261" s="347"/>
      <c r="CJ261" s="347"/>
      <c r="CK261" s="347"/>
      <c r="CL261" s="347"/>
      <c r="CM261" s="347"/>
      <c r="CN261" s="347"/>
      <c r="CO261" s="347"/>
      <c r="CP261" s="347"/>
      <c r="CQ261" s="347"/>
      <c r="CR261" s="347"/>
      <c r="CS261" s="347"/>
      <c r="CT261" s="347"/>
      <c r="CU261" s="347"/>
      <c r="CV261" s="347"/>
      <c r="CW261" s="347"/>
      <c r="CX261" s="347"/>
      <c r="CY261" s="347"/>
      <c r="CZ261" s="347"/>
      <c r="DA261" s="347"/>
      <c r="DB261" s="347"/>
      <c r="DC261" s="347"/>
      <c r="DD261" s="347"/>
      <c r="DE261" s="347"/>
      <c r="DF261" s="347"/>
      <c r="DG261" s="347"/>
      <c r="DH261" s="347"/>
      <c r="DI261" s="347"/>
      <c r="DJ261" s="347"/>
      <c r="DK261" s="347"/>
      <c r="DL261" s="347"/>
      <c r="DM261" s="347"/>
      <c r="DN261" s="347"/>
      <c r="DO261" s="347"/>
      <c r="DP261" s="347"/>
      <c r="DQ261" s="347"/>
      <c r="DR261" s="347"/>
      <c r="DS261" s="347"/>
      <c r="DT261" s="347"/>
      <c r="DU261" s="347"/>
      <c r="DV261" s="347"/>
      <c r="DW261" s="347"/>
      <c r="DX261" s="347"/>
      <c r="DY261" s="347"/>
      <c r="DZ261" s="347"/>
      <c r="EA261" s="347"/>
      <c r="EB261" s="347"/>
      <c r="EC261" s="347"/>
      <c r="ED261" s="347"/>
      <c r="EE261" s="347"/>
      <c r="EF261" s="347"/>
      <c r="EG261" s="347"/>
      <c r="EH261" s="347"/>
      <c r="EI261" s="347"/>
      <c r="EJ261" s="347"/>
      <c r="EK261" s="347"/>
      <c r="EL261" s="347"/>
      <c r="EM261" s="347"/>
      <c r="EN261" s="347"/>
      <c r="EO261" s="347"/>
      <c r="EP261" s="347"/>
      <c r="EQ261" s="347"/>
      <c r="ER261" s="347"/>
      <c r="ES261" s="347"/>
      <c r="ET261" s="347"/>
      <c r="EU261" s="347"/>
      <c r="EV261" s="347"/>
      <c r="EW261" s="347"/>
      <c r="EX261" s="347"/>
      <c r="EY261" s="347"/>
      <c r="EZ261" s="347"/>
      <c r="FA261" s="347"/>
      <c r="FB261" s="347"/>
      <c r="FC261" s="347"/>
      <c r="FD261" s="347"/>
      <c r="FE261" s="347"/>
      <c r="FF261" s="347"/>
      <c r="FG261" s="347"/>
      <c r="FH261" s="347"/>
      <c r="FI261" s="347"/>
      <c r="FJ261" s="347"/>
      <c r="FK261" s="347"/>
      <c r="FL261" s="347"/>
      <c r="FM261" s="347"/>
      <c r="FN261" s="347"/>
      <c r="FO261" s="347"/>
      <c r="FP261" s="347"/>
      <c r="FQ261" s="347"/>
      <c r="FR261" s="347"/>
      <c r="FS261" s="347"/>
      <c r="FT261" s="347"/>
      <c r="FU261" s="347"/>
      <c r="FV261" s="347"/>
      <c r="FW261" s="347"/>
      <c r="FX261" s="347"/>
      <c r="FY261" s="347"/>
      <c r="FZ261" s="347"/>
      <c r="GA261" s="347"/>
      <c r="GB261" s="347"/>
      <c r="GC261" s="347"/>
      <c r="GD261" s="347"/>
      <c r="GE261" s="347"/>
      <c r="GF261" s="347"/>
      <c r="GG261" s="347"/>
      <c r="GH261" s="347"/>
      <c r="GI261" s="347"/>
      <c r="GJ261" s="347"/>
      <c r="GK261" s="347"/>
      <c r="GL261" s="347"/>
      <c r="GM261" s="347"/>
      <c r="GN261" s="347"/>
      <c r="GO261" s="347"/>
      <c r="GP261" s="347"/>
      <c r="GQ261" s="347"/>
      <c r="GR261" s="347"/>
      <c r="GS261" s="347"/>
      <c r="GT261" s="347"/>
      <c r="GU261" s="347"/>
      <c r="GV261" s="347"/>
      <c r="GW261" s="347"/>
      <c r="GX261" s="347"/>
      <c r="GY261" s="347"/>
      <c r="GZ261" s="347"/>
      <c r="HA261" s="347"/>
      <c r="HB261" s="347"/>
      <c r="HC261" s="347"/>
      <c r="HD261" s="347"/>
      <c r="HE261" s="347"/>
      <c r="HF261" s="347"/>
      <c r="HG261" s="347"/>
      <c r="HH261" s="347"/>
      <c r="HI261" s="347"/>
      <c r="HJ261" s="347"/>
      <c r="HK261" s="347"/>
      <c r="HL261" s="347"/>
      <c r="HM261" s="347"/>
      <c r="HN261" s="347"/>
      <c r="HO261" s="347"/>
      <c r="HP261" s="347"/>
      <c r="HQ261" s="347"/>
      <c r="HR261" s="347"/>
      <c r="HS261" s="347"/>
      <c r="HT261" s="347"/>
      <c r="HU261" s="347"/>
      <c r="HV261" s="347"/>
      <c r="HW261" s="347"/>
      <c r="HX261" s="347"/>
      <c r="HY261" s="347"/>
      <c r="HZ261" s="347"/>
      <c r="IA261" s="347"/>
      <c r="IB261" s="347"/>
      <c r="IC261" s="347"/>
      <c r="ID261" s="347"/>
      <c r="IE261" s="347"/>
      <c r="IF261" s="347"/>
      <c r="IG261" s="347"/>
      <c r="IH261" s="347"/>
      <c r="II261" s="347"/>
      <c r="IJ261" s="347"/>
      <c r="IK261" s="347"/>
      <c r="IL261" s="347"/>
      <c r="IM261" s="347"/>
      <c r="IN261" s="347"/>
      <c r="IO261" s="347"/>
      <c r="IP261" s="347"/>
      <c r="IQ261" s="347"/>
      <c r="IR261" s="347"/>
      <c r="IS261" s="347"/>
      <c r="IT261" s="347"/>
      <c r="IU261" s="347"/>
      <c r="IV261" s="347"/>
      <c r="IW261" s="347"/>
    </row>
    <row r="262" customFormat="false" ht="12" hidden="true" customHeight="true" outlineLevel="0" collapsed="false">
      <c r="A262" s="418"/>
      <c r="B262" s="419" t="n">
        <v>616088</v>
      </c>
      <c r="C262" s="335"/>
      <c r="D262" s="75" t="s">
        <v>358</v>
      </c>
      <c r="E262" s="419"/>
      <c r="G262" s="181"/>
      <c r="H262" s="335"/>
      <c r="I262" s="423" t="n">
        <f aca="false">VLOOKUP(" 16088-GT  ",misc,2,FALSE())</f>
        <v>79.1621933</v>
      </c>
      <c r="J262" s="420"/>
      <c r="K262" s="420"/>
      <c r="L262" s="420"/>
      <c r="M262" s="420"/>
      <c r="N262" s="420"/>
      <c r="O262" s="420"/>
      <c r="P262" s="420"/>
      <c r="Q262" s="420"/>
      <c r="R262" s="344"/>
      <c r="S262" s="420"/>
      <c r="T262" s="420"/>
      <c r="U262" s="420"/>
      <c r="V262" s="420"/>
      <c r="W262" s="420"/>
      <c r="X262" s="421"/>
      <c r="Y262" s="421"/>
      <c r="Z262" s="347"/>
      <c r="AA262" s="347"/>
      <c r="AB262" s="348"/>
      <c r="AC262" s="348"/>
      <c r="AD262" s="347"/>
      <c r="AE262" s="347"/>
      <c r="AF262" s="347"/>
      <c r="AG262" s="347"/>
      <c r="AH262" s="347"/>
      <c r="AI262" s="347"/>
      <c r="AJ262" s="347"/>
      <c r="AK262" s="347"/>
      <c r="AL262" s="347"/>
      <c r="AM262" s="347"/>
      <c r="AN262" s="347"/>
      <c r="AO262" s="347"/>
      <c r="AP262" s="347"/>
      <c r="AQ262" s="347"/>
      <c r="AR262" s="347"/>
      <c r="AS262" s="347"/>
      <c r="AT262" s="347"/>
      <c r="AU262" s="347"/>
      <c r="AV262" s="347"/>
      <c r="AW262" s="347"/>
      <c r="AX262" s="347"/>
      <c r="AY262" s="347"/>
      <c r="AZ262" s="347"/>
      <c r="BA262" s="347"/>
      <c r="BB262" s="347"/>
      <c r="BC262" s="347"/>
      <c r="BD262" s="347"/>
      <c r="BE262" s="347"/>
      <c r="BF262" s="347"/>
      <c r="BG262" s="347"/>
      <c r="BH262" s="347"/>
      <c r="BI262" s="347"/>
      <c r="BJ262" s="347"/>
      <c r="BK262" s="347"/>
      <c r="BL262" s="347"/>
      <c r="BM262" s="347"/>
      <c r="BN262" s="347"/>
      <c r="BO262" s="347"/>
      <c r="BP262" s="347"/>
      <c r="BQ262" s="347"/>
      <c r="BR262" s="347"/>
      <c r="BS262" s="347"/>
      <c r="BT262" s="347"/>
      <c r="BU262" s="347"/>
      <c r="BV262" s="347"/>
      <c r="BW262" s="347"/>
      <c r="BX262" s="347"/>
      <c r="BY262" s="347"/>
      <c r="BZ262" s="347"/>
      <c r="CA262" s="347"/>
      <c r="CB262" s="347"/>
      <c r="CC262" s="347"/>
      <c r="CD262" s="347"/>
      <c r="CE262" s="347"/>
      <c r="CF262" s="347"/>
      <c r="CG262" s="347"/>
      <c r="CH262" s="347"/>
      <c r="CI262" s="347"/>
      <c r="CJ262" s="347"/>
      <c r="CK262" s="347"/>
      <c r="CL262" s="347"/>
      <c r="CM262" s="347"/>
      <c r="CN262" s="347"/>
      <c r="CO262" s="347"/>
      <c r="CP262" s="347"/>
      <c r="CQ262" s="347"/>
      <c r="CR262" s="347"/>
      <c r="CS262" s="347"/>
      <c r="CT262" s="347"/>
      <c r="CU262" s="347"/>
      <c r="CV262" s="347"/>
      <c r="CW262" s="347"/>
      <c r="CX262" s="347"/>
      <c r="CY262" s="347"/>
      <c r="CZ262" s="347"/>
      <c r="DA262" s="347"/>
      <c r="DB262" s="347"/>
      <c r="DC262" s="347"/>
      <c r="DD262" s="347"/>
      <c r="DE262" s="347"/>
      <c r="DF262" s="347"/>
      <c r="DG262" s="347"/>
      <c r="DH262" s="347"/>
      <c r="DI262" s="347"/>
      <c r="DJ262" s="347"/>
      <c r="DK262" s="347"/>
      <c r="DL262" s="347"/>
      <c r="DM262" s="347"/>
      <c r="DN262" s="347"/>
      <c r="DO262" s="347"/>
      <c r="DP262" s="347"/>
      <c r="DQ262" s="347"/>
      <c r="DR262" s="347"/>
      <c r="DS262" s="347"/>
      <c r="DT262" s="347"/>
      <c r="DU262" s="347"/>
      <c r="DV262" s="347"/>
      <c r="DW262" s="347"/>
      <c r="DX262" s="347"/>
      <c r="DY262" s="347"/>
      <c r="DZ262" s="347"/>
      <c r="EA262" s="347"/>
      <c r="EB262" s="347"/>
      <c r="EC262" s="347"/>
      <c r="ED262" s="347"/>
      <c r="EE262" s="347"/>
      <c r="EF262" s="347"/>
      <c r="EG262" s="347"/>
      <c r="EH262" s="347"/>
      <c r="EI262" s="347"/>
      <c r="EJ262" s="347"/>
      <c r="EK262" s="347"/>
      <c r="EL262" s="347"/>
      <c r="EM262" s="347"/>
      <c r="EN262" s="347"/>
      <c r="EO262" s="347"/>
      <c r="EP262" s="347"/>
      <c r="EQ262" s="347"/>
      <c r="ER262" s="347"/>
      <c r="ES262" s="347"/>
      <c r="ET262" s="347"/>
      <c r="EU262" s="347"/>
      <c r="EV262" s="347"/>
      <c r="EW262" s="347"/>
      <c r="EX262" s="347"/>
      <c r="EY262" s="347"/>
      <c r="EZ262" s="347"/>
      <c r="FA262" s="347"/>
      <c r="FB262" s="347"/>
      <c r="FC262" s="347"/>
      <c r="FD262" s="347"/>
      <c r="FE262" s="347"/>
      <c r="FF262" s="347"/>
      <c r="FG262" s="347"/>
      <c r="FH262" s="347"/>
      <c r="FI262" s="347"/>
      <c r="FJ262" s="347"/>
      <c r="FK262" s="347"/>
      <c r="FL262" s="347"/>
      <c r="FM262" s="347"/>
      <c r="FN262" s="347"/>
      <c r="FO262" s="347"/>
      <c r="FP262" s="347"/>
      <c r="FQ262" s="347"/>
      <c r="FR262" s="347"/>
      <c r="FS262" s="347"/>
      <c r="FT262" s="347"/>
      <c r="FU262" s="347"/>
      <c r="FV262" s="347"/>
      <c r="FW262" s="347"/>
      <c r="FX262" s="347"/>
      <c r="FY262" s="347"/>
      <c r="FZ262" s="347"/>
      <c r="GA262" s="347"/>
      <c r="GB262" s="347"/>
      <c r="GC262" s="347"/>
      <c r="GD262" s="347"/>
      <c r="GE262" s="347"/>
      <c r="GF262" s="347"/>
      <c r="GG262" s="347"/>
      <c r="GH262" s="347"/>
      <c r="GI262" s="347"/>
      <c r="GJ262" s="347"/>
      <c r="GK262" s="347"/>
      <c r="GL262" s="347"/>
      <c r="GM262" s="347"/>
      <c r="GN262" s="347"/>
      <c r="GO262" s="347"/>
      <c r="GP262" s="347"/>
      <c r="GQ262" s="347"/>
      <c r="GR262" s="347"/>
      <c r="GS262" s="347"/>
      <c r="GT262" s="347"/>
      <c r="GU262" s="347"/>
      <c r="GV262" s="347"/>
      <c r="GW262" s="347"/>
      <c r="GX262" s="347"/>
      <c r="GY262" s="347"/>
      <c r="GZ262" s="347"/>
      <c r="HA262" s="347"/>
      <c r="HB262" s="347"/>
      <c r="HC262" s="347"/>
      <c r="HD262" s="347"/>
      <c r="HE262" s="347"/>
      <c r="HF262" s="347"/>
      <c r="HG262" s="347"/>
      <c r="HH262" s="347"/>
      <c r="HI262" s="347"/>
      <c r="HJ262" s="347"/>
      <c r="HK262" s="347"/>
      <c r="HL262" s="347"/>
      <c r="HM262" s="347"/>
      <c r="HN262" s="347"/>
      <c r="HO262" s="347"/>
      <c r="HP262" s="347"/>
      <c r="HQ262" s="347"/>
      <c r="HR262" s="347"/>
      <c r="HS262" s="347"/>
      <c r="HT262" s="347"/>
      <c r="HU262" s="347"/>
      <c r="HV262" s="347"/>
      <c r="HW262" s="347"/>
      <c r="HX262" s="347"/>
      <c r="HY262" s="347"/>
      <c r="HZ262" s="347"/>
      <c r="IA262" s="347"/>
      <c r="IB262" s="347"/>
      <c r="IC262" s="347"/>
      <c r="ID262" s="347"/>
      <c r="IE262" s="347"/>
      <c r="IF262" s="347"/>
      <c r="IG262" s="347"/>
      <c r="IH262" s="347"/>
      <c r="II262" s="347"/>
      <c r="IJ262" s="347"/>
      <c r="IK262" s="347"/>
      <c r="IL262" s="347"/>
      <c r="IM262" s="347"/>
      <c r="IN262" s="347"/>
      <c r="IO262" s="347"/>
      <c r="IP262" s="347"/>
      <c r="IQ262" s="347"/>
      <c r="IR262" s="347"/>
      <c r="IS262" s="347"/>
      <c r="IT262" s="347"/>
      <c r="IU262" s="347"/>
      <c r="IV262" s="347"/>
      <c r="IW262" s="347"/>
    </row>
    <row r="263" customFormat="false" ht="12" hidden="true" customHeight="true" outlineLevel="0" collapsed="false">
      <c r="A263" s="418"/>
      <c r="B263" s="419" t="n">
        <v>626006</v>
      </c>
      <c r="C263" s="335"/>
      <c r="D263" s="75" t="s">
        <v>359</v>
      </c>
      <c r="E263" s="419"/>
      <c r="G263" s="181"/>
      <c r="H263" s="335"/>
      <c r="I263" s="423" t="n">
        <f aca="false">VLOOKUP(" 26006-GT  ",misc,2,FALSE())</f>
        <v>78.262619</v>
      </c>
      <c r="J263" s="420"/>
      <c r="K263" s="420"/>
      <c r="L263" s="420"/>
      <c r="M263" s="420"/>
      <c r="N263" s="420"/>
      <c r="O263" s="420"/>
      <c r="P263" s="420"/>
      <c r="Q263" s="420"/>
      <c r="R263" s="344"/>
      <c r="S263" s="420"/>
      <c r="T263" s="420"/>
      <c r="U263" s="420"/>
      <c r="V263" s="420"/>
      <c r="W263" s="420"/>
      <c r="X263" s="421"/>
      <c r="Y263" s="421"/>
      <c r="Z263" s="347"/>
      <c r="AA263" s="347"/>
      <c r="AB263" s="348"/>
      <c r="AC263" s="348"/>
      <c r="AD263" s="347"/>
      <c r="AE263" s="347"/>
      <c r="AF263" s="347"/>
      <c r="AG263" s="347"/>
      <c r="AH263" s="347"/>
      <c r="AI263" s="347"/>
      <c r="AJ263" s="347"/>
      <c r="AK263" s="347"/>
      <c r="AL263" s="347"/>
      <c r="AM263" s="347"/>
      <c r="AN263" s="347"/>
      <c r="AO263" s="347"/>
      <c r="AP263" s="347"/>
      <c r="AQ263" s="347"/>
      <c r="AR263" s="347"/>
      <c r="AS263" s="347"/>
      <c r="AT263" s="347"/>
      <c r="AU263" s="347"/>
      <c r="AV263" s="347"/>
      <c r="AW263" s="347"/>
      <c r="AX263" s="347"/>
      <c r="AY263" s="347"/>
      <c r="AZ263" s="347"/>
      <c r="BA263" s="347"/>
      <c r="BB263" s="347"/>
      <c r="BC263" s="347"/>
      <c r="BD263" s="347"/>
      <c r="BE263" s="347"/>
      <c r="BF263" s="347"/>
      <c r="BG263" s="347"/>
      <c r="BH263" s="347"/>
      <c r="BI263" s="347"/>
      <c r="BJ263" s="347"/>
      <c r="BK263" s="347"/>
      <c r="BL263" s="347"/>
      <c r="BM263" s="347"/>
      <c r="BN263" s="347"/>
      <c r="BO263" s="347"/>
      <c r="BP263" s="347"/>
      <c r="BQ263" s="347"/>
      <c r="BR263" s="347"/>
      <c r="BS263" s="347"/>
      <c r="BT263" s="347"/>
      <c r="BU263" s="347"/>
      <c r="BV263" s="347"/>
      <c r="BW263" s="347"/>
      <c r="BX263" s="347"/>
      <c r="BY263" s="347"/>
      <c r="BZ263" s="347"/>
      <c r="CA263" s="347"/>
      <c r="CB263" s="347"/>
      <c r="CC263" s="347"/>
      <c r="CD263" s="347"/>
      <c r="CE263" s="347"/>
      <c r="CF263" s="347"/>
      <c r="CG263" s="347"/>
      <c r="CH263" s="347"/>
      <c r="CI263" s="347"/>
      <c r="CJ263" s="347"/>
      <c r="CK263" s="347"/>
      <c r="CL263" s="347"/>
      <c r="CM263" s="347"/>
      <c r="CN263" s="347"/>
      <c r="CO263" s="347"/>
      <c r="CP263" s="347"/>
      <c r="CQ263" s="347"/>
      <c r="CR263" s="347"/>
      <c r="CS263" s="347"/>
      <c r="CT263" s="347"/>
      <c r="CU263" s="347"/>
      <c r="CV263" s="347"/>
      <c r="CW263" s="347"/>
      <c r="CX263" s="347"/>
      <c r="CY263" s="347"/>
      <c r="CZ263" s="347"/>
      <c r="DA263" s="347"/>
      <c r="DB263" s="347"/>
      <c r="DC263" s="347"/>
      <c r="DD263" s="347"/>
      <c r="DE263" s="347"/>
      <c r="DF263" s="347"/>
      <c r="DG263" s="347"/>
      <c r="DH263" s="347"/>
      <c r="DI263" s="347"/>
      <c r="DJ263" s="347"/>
      <c r="DK263" s="347"/>
      <c r="DL263" s="347"/>
      <c r="DM263" s="347"/>
      <c r="DN263" s="347"/>
      <c r="DO263" s="347"/>
      <c r="DP263" s="347"/>
      <c r="DQ263" s="347"/>
      <c r="DR263" s="347"/>
      <c r="DS263" s="347"/>
      <c r="DT263" s="347"/>
      <c r="DU263" s="347"/>
      <c r="DV263" s="347"/>
      <c r="DW263" s="347"/>
      <c r="DX263" s="347"/>
      <c r="DY263" s="347"/>
      <c r="DZ263" s="347"/>
      <c r="EA263" s="347"/>
      <c r="EB263" s="347"/>
      <c r="EC263" s="347"/>
      <c r="ED263" s="347"/>
      <c r="EE263" s="347"/>
      <c r="EF263" s="347"/>
      <c r="EG263" s="347"/>
      <c r="EH263" s="347"/>
      <c r="EI263" s="347"/>
      <c r="EJ263" s="347"/>
      <c r="EK263" s="347"/>
      <c r="EL263" s="347"/>
      <c r="EM263" s="347"/>
      <c r="EN263" s="347"/>
      <c r="EO263" s="347"/>
      <c r="EP263" s="347"/>
      <c r="EQ263" s="347"/>
      <c r="ER263" s="347"/>
      <c r="ES263" s="347"/>
      <c r="ET263" s="347"/>
      <c r="EU263" s="347"/>
      <c r="EV263" s="347"/>
      <c r="EW263" s="347"/>
      <c r="EX263" s="347"/>
      <c r="EY263" s="347"/>
      <c r="EZ263" s="347"/>
      <c r="FA263" s="347"/>
      <c r="FB263" s="347"/>
      <c r="FC263" s="347"/>
      <c r="FD263" s="347"/>
      <c r="FE263" s="347"/>
      <c r="FF263" s="347"/>
      <c r="FG263" s="347"/>
      <c r="FH263" s="347"/>
      <c r="FI263" s="347"/>
      <c r="FJ263" s="347"/>
      <c r="FK263" s="347"/>
      <c r="FL263" s="347"/>
      <c r="FM263" s="347"/>
      <c r="FN263" s="347"/>
      <c r="FO263" s="347"/>
      <c r="FP263" s="347"/>
      <c r="FQ263" s="347"/>
      <c r="FR263" s="347"/>
      <c r="FS263" s="347"/>
      <c r="FT263" s="347"/>
      <c r="FU263" s="347"/>
      <c r="FV263" s="347"/>
      <c r="FW263" s="347"/>
      <c r="FX263" s="347"/>
      <c r="FY263" s="347"/>
      <c r="FZ263" s="347"/>
      <c r="GA263" s="347"/>
      <c r="GB263" s="347"/>
      <c r="GC263" s="347"/>
      <c r="GD263" s="347"/>
      <c r="GE263" s="347"/>
      <c r="GF263" s="347"/>
      <c r="GG263" s="347"/>
      <c r="GH263" s="347"/>
      <c r="GI263" s="347"/>
      <c r="GJ263" s="347"/>
      <c r="GK263" s="347"/>
      <c r="GL263" s="347"/>
      <c r="GM263" s="347"/>
      <c r="GN263" s="347"/>
      <c r="GO263" s="347"/>
      <c r="GP263" s="347"/>
      <c r="GQ263" s="347"/>
      <c r="GR263" s="347"/>
      <c r="GS263" s="347"/>
      <c r="GT263" s="347"/>
      <c r="GU263" s="347"/>
      <c r="GV263" s="347"/>
      <c r="GW263" s="347"/>
      <c r="GX263" s="347"/>
      <c r="GY263" s="347"/>
      <c r="GZ263" s="347"/>
      <c r="HA263" s="347"/>
      <c r="HB263" s="347"/>
      <c r="HC263" s="347"/>
      <c r="HD263" s="347"/>
      <c r="HE263" s="347"/>
      <c r="HF263" s="347"/>
      <c r="HG263" s="347"/>
      <c r="HH263" s="347"/>
      <c r="HI263" s="347"/>
      <c r="HJ263" s="347"/>
      <c r="HK263" s="347"/>
      <c r="HL263" s="347"/>
      <c r="HM263" s="347"/>
      <c r="HN263" s="347"/>
      <c r="HO263" s="347"/>
      <c r="HP263" s="347"/>
      <c r="HQ263" s="347"/>
      <c r="HR263" s="347"/>
      <c r="HS263" s="347"/>
      <c r="HT263" s="347"/>
      <c r="HU263" s="347"/>
      <c r="HV263" s="347"/>
      <c r="HW263" s="347"/>
      <c r="HX263" s="347"/>
      <c r="HY263" s="347"/>
      <c r="HZ263" s="347"/>
      <c r="IA263" s="347"/>
      <c r="IB263" s="347"/>
      <c r="IC263" s="347"/>
      <c r="ID263" s="347"/>
      <c r="IE263" s="347"/>
      <c r="IF263" s="347"/>
      <c r="IG263" s="347"/>
      <c r="IH263" s="347"/>
      <c r="II263" s="347"/>
      <c r="IJ263" s="347"/>
      <c r="IK263" s="347"/>
      <c r="IL263" s="347"/>
      <c r="IM263" s="347"/>
      <c r="IN263" s="347"/>
      <c r="IO263" s="347"/>
      <c r="IP263" s="347"/>
      <c r="IQ263" s="347"/>
      <c r="IR263" s="347"/>
      <c r="IS263" s="347"/>
      <c r="IT263" s="347"/>
      <c r="IU263" s="347"/>
      <c r="IV263" s="347"/>
      <c r="IW263" s="347"/>
    </row>
    <row r="264" customFormat="false" ht="12" hidden="true" customHeight="true" outlineLevel="0" collapsed="false">
      <c r="A264" s="418"/>
      <c r="B264" s="419" t="n">
        <v>626157</v>
      </c>
      <c r="C264" s="335"/>
      <c r="D264" s="75" t="s">
        <v>360</v>
      </c>
      <c r="E264" s="419"/>
      <c r="G264" s="181"/>
      <c r="H264" s="335"/>
      <c r="I264" s="423" t="n">
        <f aca="false">VLOOKUP(" 26157-GT  ",misc,2,FALSE())</f>
        <v>74.5435028</v>
      </c>
      <c r="J264" s="420"/>
      <c r="K264" s="420"/>
      <c r="L264" s="420"/>
      <c r="M264" s="420"/>
      <c r="N264" s="420"/>
      <c r="O264" s="420"/>
      <c r="P264" s="420"/>
      <c r="Q264" s="420"/>
      <c r="R264" s="344"/>
      <c r="S264" s="420"/>
      <c r="T264" s="420"/>
      <c r="U264" s="420"/>
      <c r="V264" s="420"/>
      <c r="W264" s="420"/>
      <c r="X264" s="421"/>
      <c r="Y264" s="421"/>
      <c r="Z264" s="347"/>
      <c r="AA264" s="347"/>
      <c r="AB264" s="348"/>
      <c r="AC264" s="348"/>
      <c r="AD264" s="347"/>
      <c r="AE264" s="347"/>
      <c r="AF264" s="347"/>
      <c r="AG264" s="347"/>
      <c r="AH264" s="347"/>
      <c r="AI264" s="347"/>
      <c r="AJ264" s="347"/>
      <c r="AK264" s="347"/>
      <c r="AL264" s="347"/>
      <c r="AM264" s="347"/>
      <c r="AN264" s="347"/>
      <c r="AO264" s="347"/>
      <c r="AP264" s="347"/>
      <c r="AQ264" s="347"/>
      <c r="AR264" s="347"/>
      <c r="AS264" s="347"/>
      <c r="AT264" s="347"/>
      <c r="AU264" s="347"/>
      <c r="AV264" s="347"/>
      <c r="AW264" s="347"/>
      <c r="AX264" s="347"/>
      <c r="AY264" s="347"/>
      <c r="AZ264" s="347"/>
      <c r="BA264" s="347"/>
      <c r="BB264" s="347"/>
      <c r="BC264" s="347"/>
      <c r="BD264" s="347"/>
      <c r="BE264" s="347"/>
      <c r="BF264" s="347"/>
      <c r="BG264" s="347"/>
      <c r="BH264" s="347"/>
      <c r="BI264" s="347"/>
      <c r="BJ264" s="347"/>
      <c r="BK264" s="347"/>
      <c r="BL264" s="347"/>
      <c r="BM264" s="347"/>
      <c r="BN264" s="347"/>
      <c r="BO264" s="347"/>
      <c r="BP264" s="347"/>
      <c r="BQ264" s="347"/>
      <c r="BR264" s="347"/>
      <c r="BS264" s="347"/>
      <c r="BT264" s="347"/>
      <c r="BU264" s="347"/>
      <c r="BV264" s="347"/>
      <c r="BW264" s="347"/>
      <c r="BX264" s="347"/>
      <c r="BY264" s="347"/>
      <c r="BZ264" s="347"/>
      <c r="CA264" s="347"/>
      <c r="CB264" s="347"/>
      <c r="CC264" s="347"/>
      <c r="CD264" s="347"/>
      <c r="CE264" s="347"/>
      <c r="CF264" s="347"/>
      <c r="CG264" s="347"/>
      <c r="CH264" s="347"/>
      <c r="CI264" s="347"/>
      <c r="CJ264" s="347"/>
      <c r="CK264" s="347"/>
      <c r="CL264" s="347"/>
      <c r="CM264" s="347"/>
      <c r="CN264" s="347"/>
      <c r="CO264" s="347"/>
      <c r="CP264" s="347"/>
      <c r="CQ264" s="347"/>
      <c r="CR264" s="347"/>
      <c r="CS264" s="347"/>
      <c r="CT264" s="347"/>
      <c r="CU264" s="347"/>
      <c r="CV264" s="347"/>
      <c r="CW264" s="347"/>
      <c r="CX264" s="347"/>
      <c r="CY264" s="347"/>
      <c r="CZ264" s="347"/>
      <c r="DA264" s="347"/>
      <c r="DB264" s="347"/>
      <c r="DC264" s="347"/>
      <c r="DD264" s="347"/>
      <c r="DE264" s="347"/>
      <c r="DF264" s="347"/>
      <c r="DG264" s="347"/>
      <c r="DH264" s="347"/>
      <c r="DI264" s="347"/>
      <c r="DJ264" s="347"/>
      <c r="DK264" s="347"/>
      <c r="DL264" s="347"/>
      <c r="DM264" s="347"/>
      <c r="DN264" s="347"/>
      <c r="DO264" s="347"/>
      <c r="DP264" s="347"/>
      <c r="DQ264" s="347"/>
      <c r="DR264" s="347"/>
      <c r="DS264" s="347"/>
      <c r="DT264" s="347"/>
      <c r="DU264" s="347"/>
      <c r="DV264" s="347"/>
      <c r="DW264" s="347"/>
      <c r="DX264" s="347"/>
      <c r="DY264" s="347"/>
      <c r="DZ264" s="347"/>
      <c r="EA264" s="347"/>
      <c r="EB264" s="347"/>
      <c r="EC264" s="347"/>
      <c r="ED264" s="347"/>
      <c r="EE264" s="347"/>
      <c r="EF264" s="347"/>
      <c r="EG264" s="347"/>
      <c r="EH264" s="347"/>
      <c r="EI264" s="347"/>
      <c r="EJ264" s="347"/>
      <c r="EK264" s="347"/>
      <c r="EL264" s="347"/>
      <c r="EM264" s="347"/>
      <c r="EN264" s="347"/>
      <c r="EO264" s="347"/>
      <c r="EP264" s="347"/>
      <c r="EQ264" s="347"/>
      <c r="ER264" s="347"/>
      <c r="ES264" s="347"/>
      <c r="ET264" s="347"/>
      <c r="EU264" s="347"/>
      <c r="EV264" s="347"/>
      <c r="EW264" s="347"/>
      <c r="EX264" s="347"/>
      <c r="EY264" s="347"/>
      <c r="EZ264" s="347"/>
      <c r="FA264" s="347"/>
      <c r="FB264" s="347"/>
      <c r="FC264" s="347"/>
      <c r="FD264" s="347"/>
      <c r="FE264" s="347"/>
      <c r="FF264" s="347"/>
      <c r="FG264" s="347"/>
      <c r="FH264" s="347"/>
      <c r="FI264" s="347"/>
      <c r="FJ264" s="347"/>
      <c r="FK264" s="347"/>
      <c r="FL264" s="347"/>
      <c r="FM264" s="347"/>
      <c r="FN264" s="347"/>
      <c r="FO264" s="347"/>
      <c r="FP264" s="347"/>
      <c r="FQ264" s="347"/>
      <c r="FR264" s="347"/>
      <c r="FS264" s="347"/>
      <c r="FT264" s="347"/>
      <c r="FU264" s="347"/>
      <c r="FV264" s="347"/>
      <c r="FW264" s="347"/>
      <c r="FX264" s="347"/>
      <c r="FY264" s="347"/>
      <c r="FZ264" s="347"/>
      <c r="GA264" s="347"/>
      <c r="GB264" s="347"/>
      <c r="GC264" s="347"/>
      <c r="GD264" s="347"/>
      <c r="GE264" s="347"/>
      <c r="GF264" s="347"/>
      <c r="GG264" s="347"/>
      <c r="GH264" s="347"/>
      <c r="GI264" s="347"/>
      <c r="GJ264" s="347"/>
      <c r="GK264" s="347"/>
      <c r="GL264" s="347"/>
      <c r="GM264" s="347"/>
      <c r="GN264" s="347"/>
      <c r="GO264" s="347"/>
      <c r="GP264" s="347"/>
      <c r="GQ264" s="347"/>
      <c r="GR264" s="347"/>
      <c r="GS264" s="347"/>
      <c r="GT264" s="347"/>
      <c r="GU264" s="347"/>
      <c r="GV264" s="347"/>
      <c r="GW264" s="347"/>
      <c r="GX264" s="347"/>
      <c r="GY264" s="347"/>
      <c r="GZ264" s="347"/>
      <c r="HA264" s="347"/>
      <c r="HB264" s="347"/>
      <c r="HC264" s="347"/>
      <c r="HD264" s="347"/>
      <c r="HE264" s="347"/>
      <c r="HF264" s="347"/>
      <c r="HG264" s="347"/>
      <c r="HH264" s="347"/>
      <c r="HI264" s="347"/>
      <c r="HJ264" s="347"/>
      <c r="HK264" s="347"/>
      <c r="HL264" s="347"/>
      <c r="HM264" s="347"/>
      <c r="HN264" s="347"/>
      <c r="HO264" s="347"/>
      <c r="HP264" s="347"/>
      <c r="HQ264" s="347"/>
      <c r="HR264" s="347"/>
      <c r="HS264" s="347"/>
      <c r="HT264" s="347"/>
      <c r="HU264" s="347"/>
      <c r="HV264" s="347"/>
      <c r="HW264" s="347"/>
      <c r="HX264" s="347"/>
      <c r="HY264" s="347"/>
      <c r="HZ264" s="347"/>
      <c r="IA264" s="347"/>
      <c r="IB264" s="347"/>
      <c r="IC264" s="347"/>
      <c r="ID264" s="347"/>
      <c r="IE264" s="347"/>
      <c r="IF264" s="347"/>
      <c r="IG264" s="347"/>
      <c r="IH264" s="347"/>
      <c r="II264" s="347"/>
      <c r="IJ264" s="347"/>
      <c r="IK264" s="347"/>
      <c r="IL264" s="347"/>
      <c r="IM264" s="347"/>
      <c r="IN264" s="347"/>
      <c r="IO264" s="347"/>
      <c r="IP264" s="347"/>
      <c r="IQ264" s="347"/>
      <c r="IR264" s="347"/>
      <c r="IS264" s="347"/>
      <c r="IT264" s="347"/>
      <c r="IU264" s="347"/>
      <c r="IV264" s="347"/>
      <c r="IW264" s="347"/>
    </row>
    <row r="265" customFormat="false" ht="12" hidden="true" customHeight="true" outlineLevel="0" collapsed="false">
      <c r="A265" s="418"/>
      <c r="B265" s="419" t="n">
        <v>616179</v>
      </c>
      <c r="C265" s="335"/>
      <c r="D265" s="75" t="s">
        <v>361</v>
      </c>
      <c r="E265" s="419"/>
      <c r="G265" s="181"/>
      <c r="H265" s="335"/>
      <c r="I265" s="423" t="n">
        <f aca="false">VLOOKUP(" 16179-GT  ",misc,2,FALSE())</f>
        <v>51.9871101</v>
      </c>
      <c r="J265" s="420"/>
      <c r="K265" s="420"/>
      <c r="L265" s="420"/>
      <c r="M265" s="420"/>
      <c r="N265" s="420"/>
      <c r="O265" s="420"/>
      <c r="P265" s="420"/>
      <c r="Q265" s="420"/>
      <c r="R265" s="344"/>
      <c r="S265" s="420"/>
      <c r="T265" s="420"/>
      <c r="U265" s="420"/>
      <c r="V265" s="420"/>
      <c r="W265" s="420"/>
      <c r="X265" s="421"/>
      <c r="Y265" s="421"/>
      <c r="Z265" s="347"/>
      <c r="AA265" s="347"/>
      <c r="AB265" s="348"/>
      <c r="AC265" s="348"/>
      <c r="AD265" s="347"/>
      <c r="AE265" s="347"/>
      <c r="AF265" s="347"/>
      <c r="AG265" s="347"/>
      <c r="AH265" s="347"/>
      <c r="AI265" s="347"/>
      <c r="AJ265" s="347"/>
      <c r="AK265" s="347"/>
      <c r="AL265" s="347"/>
      <c r="AM265" s="347"/>
      <c r="AN265" s="347"/>
      <c r="AO265" s="347"/>
      <c r="AP265" s="347"/>
      <c r="AQ265" s="347"/>
      <c r="AR265" s="347"/>
      <c r="AS265" s="347"/>
      <c r="AT265" s="347"/>
      <c r="AU265" s="347"/>
      <c r="AV265" s="347"/>
      <c r="AW265" s="347"/>
      <c r="AX265" s="347"/>
      <c r="AY265" s="347"/>
      <c r="AZ265" s="347"/>
      <c r="BA265" s="347"/>
      <c r="BB265" s="347"/>
      <c r="BC265" s="347"/>
      <c r="BD265" s="347"/>
      <c r="BE265" s="347"/>
      <c r="BF265" s="347"/>
      <c r="BG265" s="347"/>
      <c r="BH265" s="347"/>
      <c r="BI265" s="347"/>
      <c r="BJ265" s="347"/>
      <c r="BK265" s="347"/>
      <c r="BL265" s="347"/>
      <c r="BM265" s="347"/>
      <c r="BN265" s="347"/>
      <c r="BO265" s="347"/>
      <c r="BP265" s="347"/>
      <c r="BQ265" s="347"/>
      <c r="BR265" s="347"/>
      <c r="BS265" s="347"/>
      <c r="BT265" s="347"/>
      <c r="BU265" s="347"/>
      <c r="BV265" s="347"/>
      <c r="BW265" s="347"/>
      <c r="BX265" s="347"/>
      <c r="BY265" s="347"/>
      <c r="BZ265" s="347"/>
      <c r="CA265" s="347"/>
      <c r="CB265" s="347"/>
      <c r="CC265" s="347"/>
      <c r="CD265" s="347"/>
      <c r="CE265" s="347"/>
      <c r="CF265" s="347"/>
      <c r="CG265" s="347"/>
      <c r="CH265" s="347"/>
      <c r="CI265" s="347"/>
      <c r="CJ265" s="347"/>
      <c r="CK265" s="347"/>
      <c r="CL265" s="347"/>
      <c r="CM265" s="347"/>
      <c r="CN265" s="347"/>
      <c r="CO265" s="347"/>
      <c r="CP265" s="347"/>
      <c r="CQ265" s="347"/>
      <c r="CR265" s="347"/>
      <c r="CS265" s="347"/>
      <c r="CT265" s="347"/>
      <c r="CU265" s="347"/>
      <c r="CV265" s="347"/>
      <c r="CW265" s="347"/>
      <c r="CX265" s="347"/>
      <c r="CY265" s="347"/>
      <c r="CZ265" s="347"/>
      <c r="DA265" s="347"/>
      <c r="DB265" s="347"/>
      <c r="DC265" s="347"/>
      <c r="DD265" s="347"/>
      <c r="DE265" s="347"/>
      <c r="DF265" s="347"/>
      <c r="DG265" s="347"/>
      <c r="DH265" s="347"/>
      <c r="DI265" s="347"/>
      <c r="DJ265" s="347"/>
      <c r="DK265" s="347"/>
      <c r="DL265" s="347"/>
      <c r="DM265" s="347"/>
      <c r="DN265" s="347"/>
      <c r="DO265" s="347"/>
      <c r="DP265" s="347"/>
      <c r="DQ265" s="347"/>
      <c r="DR265" s="347"/>
      <c r="DS265" s="347"/>
      <c r="DT265" s="347"/>
      <c r="DU265" s="347"/>
      <c r="DV265" s="347"/>
      <c r="DW265" s="347"/>
      <c r="DX265" s="347"/>
      <c r="DY265" s="347"/>
      <c r="DZ265" s="347"/>
      <c r="EA265" s="347"/>
      <c r="EB265" s="347"/>
      <c r="EC265" s="347"/>
      <c r="ED265" s="347"/>
      <c r="EE265" s="347"/>
      <c r="EF265" s="347"/>
      <c r="EG265" s="347"/>
      <c r="EH265" s="347"/>
      <c r="EI265" s="347"/>
      <c r="EJ265" s="347"/>
      <c r="EK265" s="347"/>
      <c r="EL265" s="347"/>
      <c r="EM265" s="347"/>
      <c r="EN265" s="347"/>
      <c r="EO265" s="347"/>
      <c r="EP265" s="347"/>
      <c r="EQ265" s="347"/>
      <c r="ER265" s="347"/>
      <c r="ES265" s="347"/>
      <c r="ET265" s="347"/>
      <c r="EU265" s="347"/>
      <c r="EV265" s="347"/>
      <c r="EW265" s="347"/>
      <c r="EX265" s="347"/>
      <c r="EY265" s="347"/>
      <c r="EZ265" s="347"/>
      <c r="FA265" s="347"/>
      <c r="FB265" s="347"/>
      <c r="FC265" s="347"/>
      <c r="FD265" s="347"/>
      <c r="FE265" s="347"/>
      <c r="FF265" s="347"/>
      <c r="FG265" s="347"/>
      <c r="FH265" s="347"/>
      <c r="FI265" s="347"/>
      <c r="FJ265" s="347"/>
      <c r="FK265" s="347"/>
      <c r="FL265" s="347"/>
      <c r="FM265" s="347"/>
      <c r="FN265" s="347"/>
      <c r="FO265" s="347"/>
      <c r="FP265" s="347"/>
      <c r="FQ265" s="347"/>
      <c r="FR265" s="347"/>
      <c r="FS265" s="347"/>
      <c r="FT265" s="347"/>
      <c r="FU265" s="347"/>
      <c r="FV265" s="347"/>
      <c r="FW265" s="347"/>
      <c r="FX265" s="347"/>
      <c r="FY265" s="347"/>
      <c r="FZ265" s="347"/>
      <c r="GA265" s="347"/>
      <c r="GB265" s="347"/>
      <c r="GC265" s="347"/>
      <c r="GD265" s="347"/>
      <c r="GE265" s="347"/>
      <c r="GF265" s="347"/>
      <c r="GG265" s="347"/>
      <c r="GH265" s="347"/>
      <c r="GI265" s="347"/>
      <c r="GJ265" s="347"/>
      <c r="GK265" s="347"/>
      <c r="GL265" s="347"/>
      <c r="GM265" s="347"/>
      <c r="GN265" s="347"/>
      <c r="GO265" s="347"/>
      <c r="GP265" s="347"/>
      <c r="GQ265" s="347"/>
      <c r="GR265" s="347"/>
      <c r="GS265" s="347"/>
      <c r="GT265" s="347"/>
      <c r="GU265" s="347"/>
      <c r="GV265" s="347"/>
      <c r="GW265" s="347"/>
      <c r="GX265" s="347"/>
      <c r="GY265" s="347"/>
      <c r="GZ265" s="347"/>
      <c r="HA265" s="347"/>
      <c r="HB265" s="347"/>
      <c r="HC265" s="347"/>
      <c r="HD265" s="347"/>
      <c r="HE265" s="347"/>
      <c r="HF265" s="347"/>
      <c r="HG265" s="347"/>
      <c r="HH265" s="347"/>
      <c r="HI265" s="347"/>
      <c r="HJ265" s="347"/>
      <c r="HK265" s="347"/>
      <c r="HL265" s="347"/>
      <c r="HM265" s="347"/>
      <c r="HN265" s="347"/>
      <c r="HO265" s="347"/>
      <c r="HP265" s="347"/>
      <c r="HQ265" s="347"/>
      <c r="HR265" s="347"/>
      <c r="HS265" s="347"/>
      <c r="HT265" s="347"/>
      <c r="HU265" s="347"/>
      <c r="HV265" s="347"/>
      <c r="HW265" s="347"/>
      <c r="HX265" s="347"/>
      <c r="HY265" s="347"/>
      <c r="HZ265" s="347"/>
      <c r="IA265" s="347"/>
      <c r="IB265" s="347"/>
      <c r="IC265" s="347"/>
      <c r="ID265" s="347"/>
      <c r="IE265" s="347"/>
      <c r="IF265" s="347"/>
      <c r="IG265" s="347"/>
      <c r="IH265" s="347"/>
      <c r="II265" s="347"/>
      <c r="IJ265" s="347"/>
      <c r="IK265" s="347"/>
      <c r="IL265" s="347"/>
      <c r="IM265" s="347"/>
      <c r="IN265" s="347"/>
      <c r="IO265" s="347"/>
      <c r="IP265" s="347"/>
      <c r="IQ265" s="347"/>
      <c r="IR265" s="347"/>
      <c r="IS265" s="347"/>
      <c r="IT265" s="347"/>
      <c r="IU265" s="347"/>
      <c r="IV265" s="347"/>
      <c r="IW265" s="347"/>
    </row>
    <row r="266" customFormat="false" ht="12" hidden="true" customHeight="true" outlineLevel="0" collapsed="false">
      <c r="A266" s="418"/>
      <c r="B266" s="419" t="n">
        <v>8162971</v>
      </c>
      <c r="C266" s="335"/>
      <c r="D266" s="424" t="s">
        <v>362</v>
      </c>
      <c r="E266" s="419"/>
      <c r="H266" s="335"/>
      <c r="I266" s="423" t="n">
        <f aca="false">VLOOKUP(" 16297-PR  ",misc,2,FALSE())</f>
        <v>702.470459</v>
      </c>
      <c r="J266" s="420"/>
      <c r="K266" s="420"/>
      <c r="L266" s="420"/>
      <c r="M266" s="420"/>
      <c r="N266" s="420"/>
      <c r="O266" s="420"/>
      <c r="P266" s="420"/>
      <c r="Q266" s="420"/>
      <c r="R266" s="425"/>
      <c r="S266" s="420"/>
      <c r="T266" s="420"/>
      <c r="U266" s="420"/>
      <c r="V266" s="420"/>
      <c r="W266" s="420"/>
      <c r="X266" s="421"/>
      <c r="Y266" s="421"/>
      <c r="Z266" s="347"/>
      <c r="AA266" s="347"/>
      <c r="AB266" s="348"/>
      <c r="AC266" s="348"/>
      <c r="AD266" s="347"/>
      <c r="AE266" s="347"/>
      <c r="AF266" s="347"/>
      <c r="AG266" s="347"/>
      <c r="AH266" s="347"/>
      <c r="AI266" s="347"/>
      <c r="AJ266" s="347"/>
      <c r="AK266" s="347"/>
      <c r="AL266" s="347"/>
      <c r="AM266" s="347"/>
      <c r="AN266" s="347"/>
      <c r="AO266" s="347"/>
      <c r="AP266" s="347"/>
      <c r="AQ266" s="347"/>
      <c r="AR266" s="347"/>
      <c r="AS266" s="347"/>
      <c r="AT266" s="347"/>
      <c r="AU266" s="347"/>
      <c r="AV266" s="347"/>
      <c r="AW266" s="347"/>
      <c r="AX266" s="347"/>
      <c r="AY266" s="347"/>
      <c r="AZ266" s="347"/>
      <c r="BA266" s="347"/>
      <c r="BB266" s="347"/>
      <c r="BC266" s="347"/>
      <c r="BD266" s="347"/>
      <c r="BE266" s="347"/>
      <c r="BF266" s="347"/>
      <c r="BG266" s="347"/>
      <c r="BH266" s="347"/>
      <c r="BI266" s="347"/>
      <c r="BJ266" s="347"/>
      <c r="BK266" s="347"/>
      <c r="BL266" s="347"/>
      <c r="BM266" s="347"/>
      <c r="BN266" s="347"/>
      <c r="BO266" s="347"/>
      <c r="BP266" s="347"/>
      <c r="BQ266" s="347"/>
      <c r="BR266" s="347"/>
      <c r="BS266" s="347"/>
      <c r="BT266" s="347"/>
      <c r="BU266" s="347"/>
      <c r="BV266" s="347"/>
      <c r="BW266" s="347"/>
      <c r="BX266" s="347"/>
      <c r="BY266" s="347"/>
      <c r="BZ266" s="347"/>
      <c r="CA266" s="347"/>
      <c r="CB266" s="347"/>
      <c r="CC266" s="347"/>
      <c r="CD266" s="347"/>
      <c r="CE266" s="347"/>
      <c r="CF266" s="347"/>
      <c r="CG266" s="347"/>
      <c r="CH266" s="347"/>
      <c r="CI266" s="347"/>
      <c r="CJ266" s="347"/>
      <c r="CK266" s="347"/>
      <c r="CL266" s="347"/>
      <c r="CM266" s="347"/>
      <c r="CN266" s="347"/>
      <c r="CO266" s="347"/>
      <c r="CP266" s="347"/>
      <c r="CQ266" s="347"/>
      <c r="CR266" s="347"/>
      <c r="CS266" s="347"/>
      <c r="CT266" s="347"/>
      <c r="CU266" s="347"/>
      <c r="CV266" s="347"/>
      <c r="CW266" s="347"/>
      <c r="CX266" s="347"/>
      <c r="CY266" s="347"/>
      <c r="CZ266" s="347"/>
      <c r="DA266" s="347"/>
      <c r="DB266" s="347"/>
      <c r="DC266" s="347"/>
      <c r="DD266" s="347"/>
      <c r="DE266" s="347"/>
      <c r="DF266" s="347"/>
      <c r="DG266" s="347"/>
      <c r="DH266" s="347"/>
      <c r="DI266" s="347"/>
      <c r="DJ266" s="347"/>
      <c r="DK266" s="347"/>
      <c r="DL266" s="347"/>
      <c r="DM266" s="347"/>
      <c r="DN266" s="347"/>
      <c r="DO266" s="347"/>
      <c r="DP266" s="347"/>
      <c r="DQ266" s="347"/>
      <c r="DR266" s="347"/>
      <c r="DS266" s="347"/>
      <c r="DT266" s="347"/>
      <c r="DU266" s="347"/>
      <c r="DV266" s="347"/>
      <c r="DW266" s="347"/>
      <c r="DX266" s="347"/>
      <c r="DY266" s="347"/>
      <c r="DZ266" s="347"/>
      <c r="EA266" s="347"/>
      <c r="EB266" s="347"/>
      <c r="EC266" s="347"/>
      <c r="ED266" s="347"/>
      <c r="EE266" s="347"/>
      <c r="EF266" s="347"/>
      <c r="EG266" s="347"/>
      <c r="EH266" s="347"/>
      <c r="EI266" s="347"/>
      <c r="EJ266" s="347"/>
      <c r="EK266" s="347"/>
      <c r="EL266" s="347"/>
      <c r="EM266" s="347"/>
      <c r="EN266" s="347"/>
      <c r="EO266" s="347"/>
      <c r="EP266" s="347"/>
      <c r="EQ266" s="347"/>
      <c r="ER266" s="347"/>
      <c r="ES266" s="347"/>
      <c r="ET266" s="347"/>
      <c r="EU266" s="347"/>
      <c r="EV266" s="347"/>
      <c r="EW266" s="347"/>
      <c r="EX266" s="347"/>
      <c r="EY266" s="347"/>
      <c r="EZ266" s="347"/>
      <c r="FA266" s="347"/>
      <c r="FB266" s="347"/>
      <c r="FC266" s="347"/>
      <c r="FD266" s="347"/>
      <c r="FE266" s="347"/>
      <c r="FF266" s="347"/>
      <c r="FG266" s="347"/>
      <c r="FH266" s="347"/>
      <c r="FI266" s="347"/>
      <c r="FJ266" s="347"/>
      <c r="FK266" s="347"/>
      <c r="FL266" s="347"/>
      <c r="FM266" s="347"/>
      <c r="FN266" s="347"/>
      <c r="FO266" s="347"/>
      <c r="FP266" s="347"/>
      <c r="FQ266" s="347"/>
      <c r="FR266" s="347"/>
      <c r="FS266" s="347"/>
      <c r="FT266" s="347"/>
      <c r="FU266" s="347"/>
      <c r="FV266" s="347"/>
      <c r="FW266" s="347"/>
      <c r="FX266" s="347"/>
      <c r="FY266" s="347"/>
      <c r="FZ266" s="347"/>
      <c r="GA266" s="347"/>
      <c r="GB266" s="347"/>
      <c r="GC266" s="347"/>
      <c r="GD266" s="347"/>
      <c r="GE266" s="347"/>
      <c r="GF266" s="347"/>
      <c r="GG266" s="347"/>
      <c r="GH266" s="347"/>
      <c r="GI266" s="347"/>
      <c r="GJ266" s="347"/>
      <c r="GK266" s="347"/>
      <c r="GL266" s="347"/>
      <c r="GM266" s="347"/>
      <c r="GN266" s="347"/>
      <c r="GO266" s="347"/>
      <c r="GP266" s="347"/>
      <c r="GQ266" s="347"/>
      <c r="GR266" s="347"/>
      <c r="GS266" s="347"/>
      <c r="GT266" s="347"/>
      <c r="GU266" s="347"/>
      <c r="GV266" s="347"/>
      <c r="GW266" s="347"/>
      <c r="GX266" s="347"/>
      <c r="GY266" s="347"/>
      <c r="GZ266" s="347"/>
      <c r="HA266" s="347"/>
      <c r="HB266" s="347"/>
      <c r="HC266" s="347"/>
      <c r="HD266" s="347"/>
      <c r="HE266" s="347"/>
      <c r="HF266" s="347"/>
      <c r="HG266" s="347"/>
      <c r="HH266" s="347"/>
      <c r="HI266" s="347"/>
      <c r="HJ266" s="347"/>
      <c r="HK266" s="347"/>
      <c r="HL266" s="347"/>
      <c r="HM266" s="347"/>
      <c r="HN266" s="347"/>
      <c r="HO266" s="347"/>
      <c r="HP266" s="347"/>
      <c r="HQ266" s="347"/>
      <c r="HR266" s="347"/>
      <c r="HS266" s="347"/>
      <c r="HT266" s="347"/>
      <c r="HU266" s="347"/>
      <c r="HV266" s="347"/>
      <c r="HW266" s="347"/>
      <c r="HX266" s="347"/>
      <c r="HY266" s="347"/>
      <c r="HZ266" s="347"/>
      <c r="IA266" s="347"/>
      <c r="IB266" s="347"/>
      <c r="IC266" s="347"/>
      <c r="ID266" s="347"/>
      <c r="IE266" s="347"/>
      <c r="IF266" s="347"/>
      <c r="IG266" s="347"/>
      <c r="IH266" s="347"/>
      <c r="II266" s="347"/>
      <c r="IJ266" s="347"/>
      <c r="IK266" s="347"/>
      <c r="IL266" s="347"/>
      <c r="IM266" s="347"/>
      <c r="IN266" s="347"/>
      <c r="IO266" s="347"/>
      <c r="IP266" s="347"/>
      <c r="IQ266" s="347"/>
      <c r="IR266" s="347"/>
      <c r="IS266" s="347"/>
      <c r="IT266" s="347"/>
      <c r="IU266" s="347"/>
      <c r="IV266" s="347"/>
      <c r="IW266" s="347"/>
    </row>
    <row r="267" customFormat="false" ht="15.75" hidden="true" customHeight="false" outlineLevel="0" collapsed="false">
      <c r="A267" s="418"/>
      <c r="B267" s="125" t="n">
        <v>8163541</v>
      </c>
      <c r="D267" s="424" t="s">
        <v>363</v>
      </c>
      <c r="H267" s="126"/>
      <c r="I267" s="423" t="n">
        <f aca="false">VLOOKUP(" 16354-CPR ",misc,2,FALSE())</f>
        <v>846.401672</v>
      </c>
      <c r="X267" s="1"/>
      <c r="Y267" s="1"/>
      <c r="AB267" s="194"/>
      <c r="AC267" s="194"/>
    </row>
    <row r="268" customFormat="false" ht="12.75" hidden="true" customHeight="false" outlineLevel="0" collapsed="false">
      <c r="B268" s="125" t="n">
        <v>8163542</v>
      </c>
      <c r="D268" s="424" t="s">
        <v>364</v>
      </c>
      <c r="H268" s="126"/>
      <c r="I268" s="423" t="n">
        <f aca="false">VLOOKUP(" 16354-PR  ",misc,2,FALSE())</f>
        <v>843.254578</v>
      </c>
      <c r="AB268" s="194"/>
      <c r="AC268" s="194"/>
    </row>
    <row r="269" customFormat="false" ht="12.75" hidden="true" customHeight="false" outlineLevel="0" collapsed="false">
      <c r="B269" s="125" t="n">
        <v>8260812</v>
      </c>
      <c r="D269" s="424" t="s">
        <v>365</v>
      </c>
      <c r="H269" s="126"/>
      <c r="I269" s="423" t="n">
        <f aca="false">VLOOKUP(" 26081-PR  ",misc,2,FALSE())</f>
        <v>823.845337</v>
      </c>
      <c r="AB269" s="194"/>
      <c r="AC269" s="194"/>
    </row>
    <row r="270" customFormat="false" ht="12.75" hidden="true" customHeight="false" outlineLevel="0" collapsed="false">
      <c r="B270" s="125" t="n">
        <v>8261142</v>
      </c>
      <c r="D270" s="211" t="s">
        <v>366</v>
      </c>
      <c r="H270" s="126"/>
      <c r="I270" s="423" t="n">
        <f aca="false">VLOOKUP(" 26114-PR  ",misc,2,FALSE())</f>
        <v>595.4375</v>
      </c>
      <c r="AB270" s="194"/>
      <c r="AC270" s="194"/>
    </row>
    <row r="271" customFormat="false" ht="12.75" hidden="true" customHeight="false" outlineLevel="0" collapsed="false">
      <c r="B271" s="125" t="n">
        <v>8261532</v>
      </c>
      <c r="D271" s="424" t="s">
        <v>367</v>
      </c>
      <c r="H271" s="126"/>
      <c r="I271" s="423" t="n">
        <f aca="false">VLOOKUP(" 26153-PR  ",misc,2,FALSE())</f>
        <v>598.281433</v>
      </c>
      <c r="AB271" s="194"/>
      <c r="AC271" s="194"/>
    </row>
    <row r="272" customFormat="false" ht="12.75" hidden="true" customHeight="false" outlineLevel="0" collapsed="false">
      <c r="B272" s="125" t="n">
        <v>8261642</v>
      </c>
      <c r="D272" s="424" t="s">
        <v>368</v>
      </c>
      <c r="H272" s="126"/>
      <c r="I272" s="423" t="n">
        <f aca="false">VLOOKUP(" 26164-PR  ",misc,2,FALSE())</f>
        <v>702.470459</v>
      </c>
      <c r="AB272" s="194"/>
      <c r="AC272" s="194"/>
    </row>
    <row r="273" customFormat="false" ht="12.75" hidden="true" customHeight="false" outlineLevel="0" collapsed="false">
      <c r="B273" s="125" t="n">
        <v>8261672</v>
      </c>
      <c r="D273" s="179" t="s">
        <v>369</v>
      </c>
      <c r="H273" s="126"/>
      <c r="I273" s="423" t="n">
        <f aca="false">VLOOKUP(" 26167-PR  ",misc,2,FALSE())</f>
        <v>634.80127</v>
      </c>
      <c r="AB273" s="194"/>
      <c r="AC273" s="194"/>
    </row>
    <row r="274" customFormat="false" ht="12.75" hidden="true" customHeight="false" outlineLevel="0" collapsed="false">
      <c r="B274" s="125" t="n">
        <v>8261572</v>
      </c>
      <c r="D274" s="179" t="s">
        <v>370</v>
      </c>
      <c r="H274" s="126"/>
      <c r="I274" s="423" t="n">
        <f aca="false">VLOOKUP(" 26157-PR  ",misc,2,FALSE())</f>
        <v>632.653076</v>
      </c>
      <c r="AB274" s="194"/>
      <c r="AC274" s="194"/>
    </row>
    <row r="275" customFormat="false" ht="12.75" hidden="true" customHeight="false" outlineLevel="0" collapsed="false">
      <c r="B275" s="125" t="n">
        <v>8261562</v>
      </c>
      <c r="D275" s="179" t="s">
        <v>371</v>
      </c>
      <c r="H275" s="126"/>
      <c r="I275" s="423" t="n">
        <f aca="false">VLOOKUP(" 26156-PR  ",misc,2,FALSE())</f>
        <v>876.476868</v>
      </c>
      <c r="AB275" s="194"/>
      <c r="AC275" s="194"/>
    </row>
    <row r="276" customFormat="false" ht="12.75" hidden="true" customHeight="false" outlineLevel="0" collapsed="false">
      <c r="B276" s="125" t="n">
        <v>8006148</v>
      </c>
      <c r="D276" s="179" t="s">
        <v>372</v>
      </c>
      <c r="H276" s="126"/>
      <c r="I276" s="423" t="n">
        <f aca="false">VLOOKUP(" 06148-PR  ",misc,2,FALSE())</f>
        <v>464.285706</v>
      </c>
      <c r="AB276" s="194"/>
      <c r="AC276" s="194"/>
    </row>
    <row r="277" customFormat="false" ht="12.75" hidden="true" customHeight="false" outlineLevel="0" collapsed="false">
      <c r="B277" s="125" t="n">
        <v>8056015</v>
      </c>
      <c r="D277" s="179" t="s">
        <v>373</v>
      </c>
      <c r="H277" s="126"/>
      <c r="I277" s="423" t="n">
        <f aca="false">VLOOKUP(" 56015-CPR ",misc,2,FALSE())</f>
        <v>482.27713</v>
      </c>
      <c r="AB277" s="194"/>
      <c r="AC277" s="194"/>
    </row>
    <row r="278" customFormat="false" ht="12.75" hidden="true" customHeight="false" outlineLevel="0" collapsed="false">
      <c r="B278" s="125" t="n">
        <v>8008001</v>
      </c>
      <c r="D278" s="424" t="s">
        <v>374</v>
      </c>
      <c r="H278" s="126"/>
      <c r="I278" s="423" t="n">
        <f aca="false">VLOOKUP(" 56006-PR  ",misc,2,FALSE())</f>
        <v>824.650879</v>
      </c>
      <c r="AB278" s="194"/>
      <c r="AC278" s="194"/>
    </row>
    <row r="279" customFormat="false" ht="12.75" hidden="true" customHeight="false" outlineLevel="0" collapsed="false">
      <c r="B279" s="125" t="n">
        <v>8008021</v>
      </c>
      <c r="D279" s="424" t="s">
        <v>375</v>
      </c>
      <c r="H279" s="126"/>
      <c r="I279" s="423" t="n">
        <f aca="false">VLOOKUP(" 802-UP    ",misc,2,FALSE())</f>
        <v>786.788391</v>
      </c>
      <c r="AB279" s="194"/>
      <c r="AC279" s="194"/>
    </row>
    <row r="280" customFormat="false" ht="12.75" hidden="true" customHeight="false" outlineLevel="0" collapsed="false">
      <c r="B280" s="125" t="n">
        <v>8008022</v>
      </c>
      <c r="D280" s="424" t="s">
        <v>376</v>
      </c>
      <c r="H280" s="126"/>
      <c r="I280" s="423" t="n">
        <f aca="false">VLOOKUP(" 802-DN    ",misc,2,FALSE())</f>
        <v>787.056946</v>
      </c>
      <c r="AB280" s="194"/>
      <c r="AC280" s="194"/>
    </row>
    <row r="281" customFormat="false" ht="12.75" hidden="true" customHeight="false" outlineLevel="0" collapsed="false">
      <c r="B281" s="125" t="n">
        <v>8008041</v>
      </c>
      <c r="D281" s="424" t="s">
        <v>377</v>
      </c>
      <c r="H281" s="126"/>
      <c r="I281" s="423" t="n">
        <f aca="false">VLOOKUP(" 804-S     ",misc,2,FALSE())</f>
        <v>738</v>
      </c>
      <c r="AB281" s="194"/>
      <c r="AC281" s="194"/>
    </row>
    <row r="282" customFormat="false" ht="12.75" hidden="true" customHeight="false" outlineLevel="0" collapsed="false">
      <c r="B282" s="125" t="n">
        <v>8008042</v>
      </c>
      <c r="D282" s="424" t="s">
        <v>378</v>
      </c>
      <c r="H282" s="126"/>
      <c r="I282" s="423" t="n">
        <f aca="false">VLOOKUP(" 804-D     ",misc,2,FALSE())</f>
        <v>736</v>
      </c>
      <c r="AB282" s="194"/>
      <c r="AC282" s="194"/>
    </row>
    <row r="283" customFormat="false" ht="12.75" hidden="true" customHeight="false" outlineLevel="0" collapsed="false">
      <c r="B283" s="125" t="n">
        <v>8008061</v>
      </c>
      <c r="D283" s="426" t="s">
        <v>379</v>
      </c>
      <c r="H283" s="126"/>
      <c r="I283" s="423" t="n">
        <f aca="false">VLOOKUP("CIG806_ST_MLSUCT_PRESS",rngPomsData,2,FALSE())</f>
        <v>699.994019</v>
      </c>
      <c r="AB283" s="194"/>
      <c r="AC283" s="194"/>
    </row>
    <row r="284" customFormat="false" ht="12.75" hidden="true" customHeight="false" outlineLevel="0" collapsed="false">
      <c r="B284" s="125" t="n">
        <v>8008062</v>
      </c>
      <c r="D284" s="426" t="s">
        <v>380</v>
      </c>
      <c r="H284" s="126"/>
      <c r="I284" s="423" t="n">
        <f aca="false">VLOOKUP("CIG806_ST_MLDISCH_PRESS",rngPomsData,2,FALSE())</f>
        <v>888.786987</v>
      </c>
      <c r="AB284" s="194"/>
      <c r="AC284" s="194"/>
    </row>
    <row r="285" customFormat="false" ht="12.75" hidden="true" customHeight="false" outlineLevel="0" collapsed="false">
      <c r="B285" s="125" t="n">
        <v>8008091</v>
      </c>
      <c r="D285" s="426" t="s">
        <v>381</v>
      </c>
      <c r="H285" s="126"/>
      <c r="I285" s="423" t="n">
        <f aca="false">VLOOKUP("CIG809_ST_MLSUCT_PRESS",rngPomsData,2,FALSE())</f>
        <v>806.078979</v>
      </c>
      <c r="J285" s="423"/>
      <c r="AB285" s="194"/>
      <c r="AC285" s="194"/>
    </row>
    <row r="286" customFormat="false" ht="12.75" hidden="true" customHeight="false" outlineLevel="0" collapsed="false">
      <c r="B286" s="125" t="n">
        <v>8008092</v>
      </c>
      <c r="D286" s="426" t="s">
        <v>382</v>
      </c>
      <c r="H286" s="126"/>
      <c r="I286" s="423" t="n">
        <f aca="false">VLOOKUP("CIG809_ST_MLDISCH_PRESS",rngPomsData,2,FALSE())</f>
        <v>803.942993</v>
      </c>
      <c r="J286" s="423"/>
      <c r="AB286" s="194"/>
      <c r="AC286" s="194"/>
    </row>
    <row r="287" customFormat="false" ht="12.75" hidden="true" customHeight="false" outlineLevel="0" collapsed="false">
      <c r="B287" s="125" t="n">
        <v>8008121</v>
      </c>
      <c r="D287" s="426" t="s">
        <v>383</v>
      </c>
      <c r="H287" s="126"/>
      <c r="I287" s="423" t="n">
        <f aca="false">VLOOKUP(" 812-S     ",misc,2,FALSE())</f>
        <v>724.221313</v>
      </c>
      <c r="AB287" s="194"/>
      <c r="AC287" s="194"/>
    </row>
    <row r="288" customFormat="false" ht="12.75" hidden="true" customHeight="false" outlineLevel="0" collapsed="false">
      <c r="B288" s="125" t="n">
        <v>8008122</v>
      </c>
      <c r="D288" s="426" t="s">
        <v>384</v>
      </c>
      <c r="H288" s="126"/>
      <c r="I288" s="423" t="n">
        <f aca="false">VLOOKUP(" 812-D     ",misc,2,FALSE())</f>
        <v>719.119263</v>
      </c>
      <c r="AB288" s="194"/>
      <c r="AC288" s="194"/>
    </row>
    <row r="289" customFormat="false" ht="12.75" hidden="true" customHeight="false" outlineLevel="0" collapsed="false">
      <c r="B289" s="125" t="n">
        <v>8008132</v>
      </c>
      <c r="D289" s="426" t="s">
        <v>385</v>
      </c>
      <c r="H289" s="126"/>
      <c r="I289" s="423" t="n">
        <f aca="false">VLOOKUP(" 813-PR    ",misc,2,FALSE())</f>
        <v>703.544556</v>
      </c>
      <c r="AB289" s="194"/>
      <c r="AC289" s="194"/>
    </row>
    <row r="290" customFormat="false" ht="12.75" hidden="true" customHeight="false" outlineLevel="0" collapsed="false">
      <c r="B290" s="125" t="n">
        <v>8081211</v>
      </c>
      <c r="D290" s="426" t="s">
        <v>386</v>
      </c>
      <c r="H290" s="126"/>
      <c r="I290" s="423" t="n">
        <f aca="false">VLOOKUP(" 812-1A-UP ",misc,2,FALSE())</f>
        <v>729.591858</v>
      </c>
      <c r="AB290" s="194"/>
      <c r="AC290" s="194"/>
    </row>
    <row r="291" customFormat="false" ht="12.75" hidden="true" customHeight="false" outlineLevel="0" collapsed="false">
      <c r="B291" s="125" t="n">
        <v>8081212</v>
      </c>
      <c r="D291" s="426" t="s">
        <v>387</v>
      </c>
      <c r="H291" s="126"/>
      <c r="I291" s="423" t="n">
        <f aca="false">VLOOKUP(" 812-1A-DN ",misc,2,FALSE())</f>
        <v>722.072998</v>
      </c>
      <c r="AB291" s="194"/>
      <c r="AC291" s="194"/>
    </row>
    <row r="292" customFormat="false" ht="12.75" hidden="true" customHeight="false" outlineLevel="0" collapsed="false">
      <c r="B292" s="125" t="n">
        <v>8560012</v>
      </c>
      <c r="D292" s="426" t="s">
        <v>388</v>
      </c>
      <c r="H292" s="126"/>
      <c r="I292" s="423" t="n">
        <f aca="false">VLOOKUP(" 56001-PR  ",misc,2,FALSE())</f>
        <v>632.787354</v>
      </c>
      <c r="AB292" s="194"/>
      <c r="AC292" s="194"/>
    </row>
    <row r="293" customFormat="false" ht="12.75" hidden="true" customHeight="false" outlineLevel="0" collapsed="false">
      <c r="B293" s="125" t="n">
        <v>740211</v>
      </c>
      <c r="D293" s="426" t="s">
        <v>389</v>
      </c>
      <c r="H293" s="126"/>
      <c r="I293" s="423" t="n">
        <f aca="false">IF(ISNA(VLOOKUP(D293,misc,2,FALSE()))=TRUE(),0,VLOOKUP(D293,misc,2,FALSE()))</f>
        <v>0</v>
      </c>
      <c r="AB293" s="194"/>
      <c r="AC293" s="194"/>
    </row>
    <row r="294" customFormat="false" ht="12.75" hidden="true" customHeight="false" outlineLevel="0" collapsed="false">
      <c r="B294" s="125" t="n">
        <v>740212</v>
      </c>
      <c r="D294" s="426" t="s">
        <v>390</v>
      </c>
      <c r="H294" s="126"/>
      <c r="I294" s="423" t="n">
        <f aca="false">IF(ISNA(VLOOKUP(D294,misc,2,FALSE()))=TRUE(),0,VLOOKUP(D294,misc,2,FALSE()))</f>
        <v>1</v>
      </c>
      <c r="AB294" s="194"/>
      <c r="AC294" s="194"/>
    </row>
    <row r="295" customFormat="false" ht="12.75" hidden="true" customHeight="false" outlineLevel="0" collapsed="false">
      <c r="B295" s="125" t="n">
        <v>740221</v>
      </c>
      <c r="D295" s="426" t="s">
        <v>391</v>
      </c>
      <c r="H295" s="126"/>
      <c r="I295" s="423" t="n">
        <f aca="false">IF(ISNA(VLOOKUP(D295,misc,2,FALSE()))=TRUE(),0,VLOOKUP(D295,misc,2,FALSE()))</f>
        <v>0</v>
      </c>
      <c r="AB295" s="194"/>
      <c r="AC295" s="194"/>
    </row>
    <row r="296" customFormat="false" ht="12.75" hidden="true" customHeight="false" outlineLevel="0" collapsed="false">
      <c r="B296" s="125" t="n">
        <v>740222</v>
      </c>
      <c r="D296" s="426" t="s">
        <v>392</v>
      </c>
      <c r="H296" s="126"/>
      <c r="I296" s="423" t="n">
        <f aca="false">IF(ISNA(VLOOKUP(D296,misc,2,FALSE()))=TRUE(),0,VLOOKUP(D296,misc,2,FALSE()))</f>
        <v>1</v>
      </c>
      <c r="AB296" s="194"/>
      <c r="AC296" s="194"/>
    </row>
    <row r="297" customFormat="false" ht="12.75" hidden="true" customHeight="false" outlineLevel="0" collapsed="false">
      <c r="B297" s="125" t="n">
        <v>780411</v>
      </c>
      <c r="D297" s="426" t="s">
        <v>393</v>
      </c>
      <c r="H297" s="126"/>
      <c r="I297" s="423" t="n">
        <f aca="false">IF(ISNA(VLOOKUP(D297,misc,2,FALSE()))=TRUE(),0,VLOOKUP(D297,misc,2,FALSE()))</f>
        <v>0</v>
      </c>
      <c r="AB297" s="194"/>
      <c r="AC297" s="194"/>
    </row>
    <row r="298" customFormat="false" ht="12.75" hidden="true" customHeight="false" outlineLevel="0" collapsed="false">
      <c r="B298" s="125" t="n">
        <v>780412</v>
      </c>
      <c r="D298" s="426" t="s">
        <v>394</v>
      </c>
      <c r="H298" s="126"/>
      <c r="I298" s="423" t="n">
        <f aca="false">IF(ISNA(VLOOKUP(D298,misc,2,FALSE()))=TRUE(),0,VLOOKUP(D298,misc,2,FALSE()))</f>
        <v>1</v>
      </c>
      <c r="AB298" s="194"/>
      <c r="AC298" s="194"/>
    </row>
    <row r="299" customFormat="false" ht="12.75" hidden="true" customHeight="false" outlineLevel="0" collapsed="false">
      <c r="B299" s="125" t="n">
        <v>780421</v>
      </c>
      <c r="D299" s="426" t="s">
        <v>395</v>
      </c>
      <c r="H299" s="126"/>
      <c r="I299" s="423" t="n">
        <f aca="false">IF(ISNA(VLOOKUP(D299,misc,2,FALSE()))=TRUE(),0,VLOOKUP(D299,misc,2,FALSE()))</f>
        <v>0</v>
      </c>
      <c r="AB299" s="194"/>
      <c r="AC299" s="194"/>
    </row>
    <row r="300" customFormat="false" ht="12.75" hidden="true" customHeight="false" outlineLevel="0" collapsed="false">
      <c r="B300" s="125" t="n">
        <v>780422</v>
      </c>
      <c r="D300" s="426" t="s">
        <v>396</v>
      </c>
      <c r="H300" s="126"/>
      <c r="I300" s="423" t="n">
        <f aca="false">IF(ISNA(VLOOKUP(D300,misc,2,FALSE()))=TRUE(),0,VLOOKUP(D300,misc,2,FALSE()))</f>
        <v>1</v>
      </c>
      <c r="AB300" s="194"/>
      <c r="AC300" s="194"/>
    </row>
    <row r="301" customFormat="false" ht="12.75" hidden="true" customHeight="false" outlineLevel="0" collapsed="false">
      <c r="B301" s="125" t="n">
        <v>780611</v>
      </c>
      <c r="D301" s="426" t="s">
        <v>397</v>
      </c>
      <c r="H301" s="126"/>
      <c r="I301" s="423" t="n">
        <f aca="false">IF(VLOOKUP("CIG806_1A_UNIT_STATUS",rngPomsData,2,FALSE())=5,1,0)</f>
        <v>1</v>
      </c>
      <c r="AB301" s="194"/>
      <c r="AC301" s="194"/>
    </row>
    <row r="302" customFormat="false" ht="12.75" hidden="true" customHeight="false" outlineLevel="0" collapsed="false">
      <c r="B302" s="125" t="n">
        <v>780612</v>
      </c>
      <c r="D302" s="426" t="s">
        <v>398</v>
      </c>
      <c r="H302" s="126"/>
      <c r="I302" s="423" t="n">
        <f aca="false">IF(VLOOKUP("CIG806_1A_UNIT_STATUS",rngPomsData,2,FALSE())=0,0,IF(VLOOKUP("CIG806_1A_UNIT_STATUS",rngPomsData,2,FALSE())=1,0,1))</f>
        <v>1</v>
      </c>
      <c r="AB302" s="194"/>
      <c r="AC302" s="194"/>
    </row>
    <row r="303" customFormat="false" ht="12.75" hidden="true" customHeight="false" outlineLevel="0" collapsed="false">
      <c r="B303" s="125" t="n">
        <v>780621</v>
      </c>
      <c r="D303" s="426" t="s">
        <v>399</v>
      </c>
      <c r="H303" s="126"/>
      <c r="I303" s="423" t="n">
        <f aca="false">IF(VLOOKUP("CIG806_2A_UNIT_STATUS",rngPomsData,2,FALSE())=5,1,0)</f>
        <v>1</v>
      </c>
      <c r="AB303" s="194"/>
      <c r="AC303" s="194"/>
    </row>
    <row r="304" customFormat="false" ht="12.75" hidden="true" customHeight="false" outlineLevel="0" collapsed="false">
      <c r="B304" s="125" t="n">
        <v>780622</v>
      </c>
      <c r="D304" s="426" t="s">
        <v>400</v>
      </c>
      <c r="H304" s="126"/>
      <c r="I304" s="423" t="n">
        <f aca="false">IF(VLOOKUP("CIG806_2A_UNIT_STATUS",rngPomsData,2,FALSE())=0,0,IF(VLOOKUP("CIG806_2A_UNIT_STATUS",rngPomsData,2,FALSE())=1,0,1))</f>
        <v>1</v>
      </c>
      <c r="AB304" s="194"/>
      <c r="AC304" s="194"/>
    </row>
    <row r="305" customFormat="false" ht="12.75" hidden="true" customHeight="false" outlineLevel="0" collapsed="false">
      <c r="B305" s="125" t="n">
        <v>780631</v>
      </c>
      <c r="D305" s="426" t="s">
        <v>401</v>
      </c>
      <c r="H305" s="126"/>
      <c r="I305" s="423" t="n">
        <f aca="false">IF(VLOOKUP("CIG806_3A_UNIT_STATUS",rngPomsData,2,FALSE())=5,1,0)</f>
        <v>0</v>
      </c>
      <c r="AB305" s="194"/>
      <c r="AC305" s="194"/>
    </row>
    <row r="306" customFormat="false" ht="12.75" hidden="true" customHeight="false" outlineLevel="0" collapsed="false">
      <c r="B306" s="125" t="n">
        <v>780632</v>
      </c>
      <c r="D306" s="426" t="s">
        <v>402</v>
      </c>
      <c r="H306" s="126"/>
      <c r="I306" s="423" t="n">
        <f aca="false">IF(VLOOKUP("CIG806_3A_UNIT_STATUS",rngPomsData,2,FALSE())=0,0,IF(VLOOKUP("CIG806_3A_UNIT_STATUS",rngPomsData,2,FALSE())=1,0,1))</f>
        <v>0</v>
      </c>
      <c r="AB306" s="194"/>
      <c r="AC306" s="194"/>
    </row>
    <row r="307" customFormat="false" ht="12.75" hidden="true" customHeight="false" outlineLevel="0" collapsed="false">
      <c r="B307" s="125" t="n">
        <v>780921</v>
      </c>
      <c r="D307" s="426" t="s">
        <v>403</v>
      </c>
      <c r="H307" s="126"/>
      <c r="I307" s="423" t="n">
        <f aca="false">IF(VLOOKUP("CIG809_2A_UNIT_STATUS",rngPomsData,2,FALSE())=5,1,0)</f>
        <v>0</v>
      </c>
      <c r="AB307" s="194"/>
      <c r="AC307" s="194"/>
    </row>
    <row r="308" customFormat="false" ht="12.75" hidden="true" customHeight="false" outlineLevel="0" collapsed="false">
      <c r="B308" s="125" t="n">
        <v>780922</v>
      </c>
      <c r="D308" s="426" t="s">
        <v>404</v>
      </c>
      <c r="H308" s="126"/>
      <c r="I308" s="423" t="n">
        <f aca="false">IF(VLOOKUP("CIG809_2A_UNIT_STATUS",rngPomsData,2,FALSE())=0,0,IF(VLOOKUP("CIG809_2A_UNIT_STATUS",rngPomsData,2,FALSE())=1,0,1))</f>
        <v>1</v>
      </c>
      <c r="AB308" s="194"/>
      <c r="AC308" s="194"/>
    </row>
    <row r="309" customFormat="false" ht="12.75" hidden="true" customHeight="false" outlineLevel="0" collapsed="false">
      <c r="B309" s="125" t="n">
        <v>780931</v>
      </c>
      <c r="D309" s="426" t="s">
        <v>405</v>
      </c>
      <c r="H309" s="126"/>
      <c r="I309" s="423" t="n">
        <f aca="false">IF(VLOOKUP("CIG809_3A_UNIT_STATUS",rngPomsData,2,FALSE())=5,1,0)</f>
        <v>0</v>
      </c>
      <c r="AB309" s="194"/>
      <c r="AC309" s="194"/>
    </row>
    <row r="310" customFormat="false" ht="12.75" hidden="true" customHeight="false" outlineLevel="0" collapsed="false">
      <c r="B310" s="125" t="n">
        <v>780932</v>
      </c>
      <c r="D310" s="426" t="s">
        <v>406</v>
      </c>
      <c r="H310" s="126"/>
      <c r="I310" s="423" t="n">
        <f aca="false">IF(VLOOKUP("CIG809_3A_UNIT_STATUS",rngPomsData,2,FALSE())=0,0,IF(VLOOKUP("CIG809_3A_UNIT_STATUS",rngPomsData,2,FALSE())=1,0,1))</f>
        <v>1</v>
      </c>
      <c r="AB310" s="194"/>
      <c r="AC310" s="194"/>
    </row>
    <row r="311" customFormat="false" ht="12.75" hidden="true" customHeight="false" outlineLevel="0" collapsed="false">
      <c r="B311" s="125" t="n">
        <v>780941</v>
      </c>
      <c r="D311" s="426" t="s">
        <v>407</v>
      </c>
      <c r="H311" s="126"/>
      <c r="I311" s="423" t="n">
        <f aca="false">IF(VLOOKUP("CIG809_1B_UNIT_STATUS",rngPomsData,2,FALSE())=5,1,0)</f>
        <v>0</v>
      </c>
      <c r="AB311" s="194"/>
      <c r="AC311" s="194"/>
    </row>
    <row r="312" customFormat="false" ht="12.75" hidden="true" customHeight="false" outlineLevel="0" collapsed="false">
      <c r="B312" s="125" t="n">
        <v>780942</v>
      </c>
      <c r="D312" s="426" t="s">
        <v>408</v>
      </c>
      <c r="H312" s="126"/>
      <c r="I312" s="423" t="n">
        <f aca="false">IF(VLOOKUP("CIG809_1B_UNIT_STATUS",rngPomsData,2,FALSE())=0,0,IF(VLOOKUP("CIG809_1B_UNIT_STATUS",rngPomsData,2,FALSE())=1,0,1))</f>
        <v>1</v>
      </c>
      <c r="AB312" s="194"/>
      <c r="AC312" s="194"/>
    </row>
    <row r="313" customFormat="false" ht="12.75" hidden="true" customHeight="false" outlineLevel="0" collapsed="false">
      <c r="B313" s="125" t="n">
        <v>781211</v>
      </c>
      <c r="D313" s="426" t="s">
        <v>409</v>
      </c>
      <c r="H313" s="126"/>
      <c r="I313" s="423" t="n">
        <f aca="false">IF(ISNA(VLOOKUP(D313,misc,2,FALSE()))=TRUE(),0,VLOOKUP(D313,misc,2,FALSE()))</f>
        <v>0</v>
      </c>
      <c r="AB313" s="194"/>
      <c r="AC313" s="194"/>
    </row>
    <row r="314" customFormat="false" ht="12.75" hidden="true" customHeight="false" outlineLevel="0" collapsed="false">
      <c r="B314" s="125" t="n">
        <v>781212</v>
      </c>
      <c r="D314" s="426" t="s">
        <v>410</v>
      </c>
      <c r="H314" s="126"/>
      <c r="I314" s="423" t="n">
        <f aca="false">IF(ISNA(VLOOKUP(D314,misc,2,FALSE()))=TRUE(),0,VLOOKUP(D314,misc,2,FALSE()))</f>
        <v>1</v>
      </c>
      <c r="AB314" s="194"/>
      <c r="AC314" s="194"/>
    </row>
    <row r="315" customFormat="false" ht="12.75" hidden="true" customHeight="false" outlineLevel="0" collapsed="false">
      <c r="B315" s="125" t="n">
        <v>781221</v>
      </c>
      <c r="D315" s="426" t="s">
        <v>411</v>
      </c>
      <c r="H315" s="126"/>
      <c r="I315" s="423" t="n">
        <f aca="false">IF(ISNA(VLOOKUP(D315,misc,2,FALSE()))=TRUE(),0,VLOOKUP(D315,misc,2,FALSE()))</f>
        <v>0</v>
      </c>
      <c r="AB315" s="194"/>
      <c r="AC315" s="194"/>
    </row>
    <row r="316" customFormat="false" ht="12.75" hidden="true" customHeight="false" outlineLevel="0" collapsed="false">
      <c r="B316" s="125" t="n">
        <v>781222</v>
      </c>
      <c r="D316" s="426" t="s">
        <v>412</v>
      </c>
      <c r="H316" s="126"/>
      <c r="I316" s="423" t="n">
        <f aca="false">IF(ISNA(VLOOKUP(D316,misc,2,FALSE()))=TRUE(),0,VLOOKUP(D316,misc,2,FALSE()))</f>
        <v>1</v>
      </c>
      <c r="AB316" s="194"/>
      <c r="AC316" s="194"/>
    </row>
    <row r="317" customFormat="false" ht="12.75" hidden="true" customHeight="false" outlineLevel="0" collapsed="false">
      <c r="B317" s="125" t="n">
        <v>781231</v>
      </c>
      <c r="D317" s="426" t="s">
        <v>413</v>
      </c>
      <c r="H317" s="126"/>
      <c r="I317" s="423" t="n">
        <f aca="false">IF(ISNA(VLOOKUP(D317,misc,2,FALSE()))=TRUE(),0,VLOOKUP(D317,misc,2,FALSE()))</f>
        <v>0</v>
      </c>
      <c r="AB317" s="194"/>
      <c r="AC317" s="194"/>
    </row>
    <row r="318" customFormat="false" ht="12.75" hidden="true" customHeight="false" outlineLevel="0" collapsed="false">
      <c r="B318" s="125" t="n">
        <v>781232</v>
      </c>
      <c r="D318" s="426" t="s">
        <v>414</v>
      </c>
      <c r="H318" s="126"/>
      <c r="I318" s="423" t="n">
        <f aca="false">IF(ISNA(VLOOKUP(D318,misc,2,FALSE()))=TRUE(),0,VLOOKUP(D318,misc,2,FALSE()))</f>
        <v>1</v>
      </c>
      <c r="AB318" s="194"/>
      <c r="AC318" s="194"/>
    </row>
    <row r="319" customFormat="false" ht="12.75" hidden="false" customHeight="false" outlineLevel="0" collapsed="false">
      <c r="X319" s="427" t="s">
        <v>415</v>
      </c>
      <c r="Y319" s="129" t="n">
        <f aca="false">Y225+Y228</f>
        <v>-17.9180419417021</v>
      </c>
      <c r="AB319" s="194"/>
      <c r="AC319" s="194"/>
    </row>
    <row r="320" customFormat="false" ht="12.75" hidden="false" customHeight="false" outlineLevel="0" collapsed="false">
      <c r="AB320" s="194"/>
      <c r="AC320" s="194"/>
    </row>
    <row r="321" customFormat="false" ht="12.75" hidden="false" customHeight="false" outlineLevel="0" collapsed="false">
      <c r="AB321" s="194"/>
      <c r="AC321" s="194"/>
    </row>
    <row r="322" customFormat="false" ht="12.75" hidden="false" customHeight="false" outlineLevel="0" collapsed="false">
      <c r="AB322" s="194"/>
      <c r="AC322" s="194"/>
    </row>
    <row r="323" customFormat="false" ht="12.75" hidden="false" customHeight="false" outlineLevel="0" collapsed="false">
      <c r="AB323" s="194"/>
      <c r="AC323" s="194"/>
    </row>
    <row r="324" customFormat="false" ht="12.75" hidden="false" customHeight="false" outlineLevel="0" collapsed="false">
      <c r="AB324" s="194"/>
      <c r="AC324" s="194"/>
    </row>
    <row r="325" customFormat="false" ht="12.75" hidden="false" customHeight="false" outlineLevel="0" collapsed="false">
      <c r="AB325" s="194"/>
      <c r="AC325" s="194"/>
    </row>
    <row r="326" customFormat="false" ht="12.75" hidden="false" customHeight="false" outlineLevel="0" collapsed="false">
      <c r="AB326" s="194"/>
      <c r="AC326" s="194"/>
    </row>
    <row r="327" customFormat="false" ht="12.75" hidden="false" customHeight="false" outlineLevel="0" collapsed="false">
      <c r="AB327" s="194"/>
      <c r="AC327" s="194"/>
    </row>
    <row r="328" customFormat="false" ht="12.75" hidden="false" customHeight="false" outlineLevel="0" collapsed="false">
      <c r="AB328" s="194"/>
      <c r="AC328" s="194"/>
    </row>
    <row r="329" customFormat="false" ht="12.75" hidden="false" customHeight="false" outlineLevel="0" collapsed="false">
      <c r="AB329" s="194"/>
      <c r="AC329" s="194"/>
    </row>
    <row r="330" customFormat="false" ht="12.75" hidden="false" customHeight="false" outlineLevel="0" collapsed="false">
      <c r="AB330" s="194"/>
      <c r="AC330" s="194"/>
    </row>
    <row r="331" customFormat="false" ht="12.75" hidden="false" customHeight="false" outlineLevel="0" collapsed="false">
      <c r="AB331" s="194"/>
      <c r="AC331" s="194"/>
    </row>
    <row r="332" customFormat="false" ht="12.75" hidden="false" customHeight="false" outlineLevel="0" collapsed="false">
      <c r="AB332" s="194"/>
      <c r="AC332" s="194"/>
    </row>
    <row r="333" customFormat="false" ht="12.75" hidden="false" customHeight="false" outlineLevel="0" collapsed="false">
      <c r="AB333" s="194"/>
      <c r="AC333" s="194"/>
    </row>
    <row r="334" customFormat="false" ht="12.75" hidden="false" customHeight="false" outlineLevel="0" collapsed="false">
      <c r="AB334" s="194"/>
      <c r="AC334" s="194"/>
    </row>
    <row r="335" customFormat="false" ht="12.75" hidden="false" customHeight="false" outlineLevel="0" collapsed="false">
      <c r="AB335" s="194"/>
      <c r="AC335" s="194"/>
    </row>
    <row r="336" customFormat="false" ht="12.75" hidden="false" customHeight="false" outlineLevel="0" collapsed="false">
      <c r="AB336" s="194"/>
      <c r="AC336" s="194"/>
    </row>
    <row r="337" customFormat="false" ht="12.75" hidden="false" customHeight="false" outlineLevel="0" collapsed="false">
      <c r="AB337" s="194"/>
      <c r="AC337" s="194"/>
    </row>
    <row r="338" customFormat="false" ht="12.75" hidden="false" customHeight="false" outlineLevel="0" collapsed="false">
      <c r="AB338" s="194"/>
      <c r="AC338" s="194"/>
    </row>
    <row r="339" customFormat="false" ht="12.75" hidden="false" customHeight="false" outlineLevel="0" collapsed="false">
      <c r="AB339" s="194"/>
      <c r="AC339" s="194"/>
    </row>
    <row r="340" customFormat="false" ht="12.75" hidden="false" customHeight="false" outlineLevel="0" collapsed="false">
      <c r="AB340" s="194"/>
      <c r="AC340" s="194"/>
    </row>
    <row r="341" customFormat="false" ht="12.75" hidden="false" customHeight="false" outlineLevel="0" collapsed="false">
      <c r="AB341" s="194"/>
      <c r="AC341" s="194"/>
    </row>
    <row r="342" customFormat="false" ht="12.75" hidden="false" customHeight="false" outlineLevel="0" collapsed="false">
      <c r="AB342" s="194"/>
      <c r="AC342" s="194"/>
    </row>
    <row r="343" customFormat="false" ht="12.75" hidden="false" customHeight="false" outlineLevel="0" collapsed="false">
      <c r="AB343" s="194"/>
      <c r="AC343" s="194"/>
    </row>
    <row r="344" customFormat="false" ht="12.75" hidden="false" customHeight="false" outlineLevel="0" collapsed="false">
      <c r="AB344" s="194"/>
      <c r="AC344" s="194"/>
    </row>
    <row r="345" customFormat="false" ht="12.75" hidden="false" customHeight="false" outlineLevel="0" collapsed="false">
      <c r="AB345" s="194"/>
      <c r="AC345" s="194"/>
    </row>
    <row r="346" customFormat="false" ht="12.75" hidden="false" customHeight="false" outlineLevel="0" collapsed="false">
      <c r="AB346" s="194"/>
      <c r="AC346" s="194"/>
    </row>
    <row r="347" customFormat="false" ht="12.75" hidden="false" customHeight="false" outlineLevel="0" collapsed="false">
      <c r="AB347" s="194"/>
      <c r="AC347" s="194"/>
    </row>
    <row r="348" customFormat="false" ht="12.75" hidden="false" customHeight="false" outlineLevel="0" collapsed="false">
      <c r="AB348" s="194"/>
      <c r="AC348" s="194"/>
    </row>
    <row r="349" customFormat="false" ht="12.75" hidden="false" customHeight="false" outlineLevel="0" collapsed="false">
      <c r="AB349" s="194"/>
      <c r="AC349" s="194"/>
    </row>
    <row r="350" customFormat="false" ht="12.75" hidden="false" customHeight="false" outlineLevel="0" collapsed="false">
      <c r="AB350" s="194"/>
      <c r="AC350" s="194"/>
    </row>
    <row r="351" customFormat="false" ht="12.75" hidden="false" customHeight="false" outlineLevel="0" collapsed="false">
      <c r="AB351" s="194"/>
      <c r="AC351" s="194"/>
    </row>
    <row r="352" customFormat="false" ht="12.75" hidden="false" customHeight="false" outlineLevel="0" collapsed="false">
      <c r="AB352" s="194"/>
      <c r="AC352" s="194"/>
    </row>
    <row r="353" customFormat="false" ht="12.75" hidden="false" customHeight="false" outlineLevel="0" collapsed="false">
      <c r="AB353" s="194"/>
      <c r="AC353" s="194"/>
    </row>
    <row r="354" customFormat="false" ht="12.75" hidden="false" customHeight="false" outlineLevel="0" collapsed="false">
      <c r="AB354" s="194"/>
      <c r="AC354" s="194"/>
    </row>
    <row r="355" customFormat="false" ht="12.75" hidden="false" customHeight="false" outlineLevel="0" collapsed="false">
      <c r="AB355" s="194"/>
      <c r="AC355" s="194"/>
    </row>
    <row r="356" customFormat="false" ht="12.75" hidden="false" customHeight="false" outlineLevel="0" collapsed="false">
      <c r="AB356" s="194"/>
      <c r="AC356" s="194"/>
    </row>
    <row r="357" customFormat="false" ht="12.75" hidden="false" customHeight="false" outlineLevel="0" collapsed="false">
      <c r="AB357" s="194"/>
      <c r="AC357" s="194"/>
    </row>
    <row r="358" customFormat="false" ht="12.75" hidden="false" customHeight="false" outlineLevel="0" collapsed="false">
      <c r="AB358" s="194"/>
      <c r="AC358" s="194"/>
    </row>
    <row r="359" customFormat="false" ht="12.75" hidden="false" customHeight="false" outlineLevel="0" collapsed="false">
      <c r="AB359" s="194"/>
      <c r="AC359" s="194"/>
    </row>
    <row r="360" customFormat="false" ht="12.75" hidden="false" customHeight="false" outlineLevel="0" collapsed="false">
      <c r="AB360" s="194"/>
      <c r="AC360" s="194"/>
    </row>
    <row r="361" customFormat="false" ht="12.75" hidden="false" customHeight="false" outlineLevel="0" collapsed="false">
      <c r="AB361" s="194"/>
      <c r="AC361" s="194"/>
    </row>
    <row r="362" customFormat="false" ht="12.75" hidden="false" customHeight="false" outlineLevel="0" collapsed="false">
      <c r="AB362" s="194"/>
      <c r="AC362" s="194"/>
    </row>
    <row r="363" customFormat="false" ht="12.75" hidden="false" customHeight="false" outlineLevel="0" collapsed="false">
      <c r="AB363" s="194"/>
      <c r="AC363" s="194"/>
    </row>
    <row r="364" customFormat="false" ht="12.75" hidden="false" customHeight="false" outlineLevel="0" collapsed="false">
      <c r="AB364" s="194"/>
      <c r="AC364" s="194"/>
    </row>
    <row r="365" customFormat="false" ht="12.75" hidden="false" customHeight="false" outlineLevel="0" collapsed="false">
      <c r="AB365" s="194"/>
      <c r="AC365" s="194"/>
    </row>
    <row r="366" customFormat="false" ht="12.75" hidden="false" customHeight="false" outlineLevel="0" collapsed="false">
      <c r="AB366" s="194"/>
      <c r="AC366" s="194"/>
    </row>
    <row r="367" customFormat="false" ht="12.75" hidden="false" customHeight="false" outlineLevel="0" collapsed="false">
      <c r="AB367" s="194"/>
      <c r="AC367" s="194"/>
    </row>
    <row r="368" customFormat="false" ht="12.75" hidden="false" customHeight="false" outlineLevel="0" collapsed="false">
      <c r="AB368" s="194"/>
      <c r="AC368" s="194"/>
    </row>
    <row r="369" customFormat="false" ht="12.75" hidden="false" customHeight="false" outlineLevel="0" collapsed="false">
      <c r="AB369" s="194"/>
      <c r="AC369" s="194"/>
    </row>
    <row r="370" customFormat="false" ht="12.75" hidden="false" customHeight="false" outlineLevel="0" collapsed="false">
      <c r="AB370" s="194"/>
      <c r="AC370" s="194"/>
    </row>
    <row r="371" customFormat="false" ht="12.75" hidden="false" customHeight="false" outlineLevel="0" collapsed="false">
      <c r="AB371" s="194"/>
      <c r="AC371" s="194"/>
    </row>
    <row r="372" customFormat="false" ht="12.75" hidden="false" customHeight="false" outlineLevel="0" collapsed="false">
      <c r="AB372" s="194"/>
      <c r="AC372" s="194"/>
    </row>
    <row r="373" customFormat="false" ht="12.75" hidden="false" customHeight="false" outlineLevel="0" collapsed="false">
      <c r="AB373" s="194"/>
      <c r="AC373" s="194"/>
    </row>
    <row r="374" customFormat="false" ht="12.75" hidden="false" customHeight="false" outlineLevel="0" collapsed="false">
      <c r="AB374" s="194"/>
      <c r="AC374" s="194"/>
    </row>
    <row r="375" customFormat="false" ht="12.75" hidden="false" customHeight="false" outlineLevel="0" collapsed="false">
      <c r="AB375" s="194"/>
      <c r="AC375" s="194"/>
    </row>
    <row r="376" customFormat="false" ht="12.75" hidden="false" customHeight="false" outlineLevel="0" collapsed="false">
      <c r="AB376" s="194"/>
      <c r="AC376" s="194"/>
    </row>
    <row r="377" customFormat="false" ht="12.75" hidden="false" customHeight="false" outlineLevel="0" collapsed="false">
      <c r="AB377" s="194"/>
      <c r="AC377" s="194"/>
    </row>
    <row r="378" customFormat="false" ht="12.75" hidden="false" customHeight="false" outlineLevel="0" collapsed="false">
      <c r="AB378" s="194"/>
      <c r="AC378" s="194"/>
    </row>
    <row r="379" customFormat="false" ht="12.75" hidden="false" customHeight="false" outlineLevel="0" collapsed="false">
      <c r="AB379" s="194"/>
      <c r="AC379" s="194"/>
    </row>
    <row r="380" customFormat="false" ht="12.75" hidden="false" customHeight="false" outlineLevel="0" collapsed="false">
      <c r="AB380" s="194"/>
      <c r="AC380" s="194"/>
    </row>
    <row r="381" customFormat="false" ht="12.75" hidden="false" customHeight="false" outlineLevel="0" collapsed="false">
      <c r="AB381" s="194"/>
      <c r="AC381" s="194"/>
    </row>
    <row r="382" customFormat="false" ht="12.75" hidden="false" customHeight="false" outlineLevel="0" collapsed="false">
      <c r="AB382" s="194"/>
      <c r="AC382" s="194"/>
    </row>
    <row r="383" customFormat="false" ht="12.75" hidden="false" customHeight="false" outlineLevel="0" collapsed="false">
      <c r="AB383" s="194"/>
      <c r="AC383" s="194"/>
    </row>
  </sheetData>
  <sheetProtection sheet="true" password="c0e5" objects="true" scenarios="true"/>
  <mergeCells count="1">
    <mergeCell ref="I3:M3"/>
  </mergeCells>
  <conditionalFormatting sqref="G269:G288 G5:G26 G28:G249">
    <cfRule type="cellIs" priority="2" operator="equal" aboveAverage="0" equalAverage="0" bottom="0" percent="0" rank="0" text="" dxfId="0">
      <formula>1.025</formula>
    </cfRule>
  </conditionalFormatting>
  <conditionalFormatting sqref="Y261:Y268">
    <cfRule type="cellIs" priority="3" operator="greaterThan" aboveAverage="0" equalAverage="0" bottom="0" percent="0" rank="0" text="" dxfId="1">
      <formula>0</formula>
    </cfRule>
    <cfRule type="cellIs" priority="4" operator="lessThan" aboveAverage="0" equalAverage="0" bottom="0" percent="0" rank="0" text="" dxfId="2">
      <formula>0</formula>
    </cfRule>
  </conditionalFormatting>
  <printOptions headings="false" gridLines="false" gridLinesSet="true" horizontalCentered="false" verticalCentered="false"/>
  <pageMargins left="0.2" right="0.65" top="0.2" bottom="0.480555555555556" header="0.511811023622047" footer="0.240277777777778"/>
  <pageSetup paperSize="1" scale="60" fitToWidth="1" fitToHeight="1" pageOrder="downThenOver" orientation="landscape" blackAndWhite="false" draft="false" cellComments="none" horizontalDpi="300" verticalDpi="300" copies="1"/>
  <headerFooter differentFirst="false" differentOddEven="false">
    <oddHeader/>
    <oddFooter>&amp;L&amp;D&amp;CPage &amp;P&amp;R&amp;"Times New Roman,Bold Italic"&amp;14OPERATIONS PLANNING</oddFooter>
  </headerFooter>
  <rowBreaks count="3" manualBreakCount="3">
    <brk id="64" man="true" max="16383" min="0"/>
    <brk id="126" man="true" max="16383" min="0"/>
    <brk id="178" man="true" max="16383" min="0"/>
  </rowBreaks>
  <drawing r:id="rId2"/>
  <legacyDrawing r:id="rId3"/>
  <mc:AlternateContent xmlns:mc="http://schemas.openxmlformats.org/markup-compatibility/2006">
    <mc:Choice Requires="x14">
      <controls>
        <mc:AlternateContent xmlns:mc="http://schemas.openxmlformats.org/markup-compatibility/2006">
          <mc:Choice Requires="x14">
            <control shapeId="1001" r:id="rId4" name="Print on Updates">
              <controlPr defaultSize="0" locked="1" autoFill="0" autoLine="0" autoPict="0" print="false" altText="Check Box 49">
                <anchor moveWithCells="true" sizeWithCells="false">
                  <from>
                    <xdr:col>3</xdr:col>
                    <xdr:colOff>1566360</xdr:colOff>
                    <xdr:row>0</xdr:row>
                    <xdr:rowOff>85680</xdr:rowOff>
                  </from>
                  <to>
                    <xdr:col>6</xdr:col>
                    <xdr:colOff>116280</xdr:colOff>
                    <xdr:row>1</xdr:row>
                    <xdr:rowOff>-133200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2000-09-27T08:56:49Z</dcterms:created>
  <dc:creator>EPFS</dc:creator>
  <dc:description/>
  <dc:language>en-US</dc:language>
  <cp:lastModifiedBy>EPFS</cp:lastModifiedBy>
  <cp:revision>0</cp:revision>
  <dc:subject/>
  <dc:title/>
</cp:coreProperties>
</file>