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ROJECTCONFIGURATION" sheetId="2" state="visible" r:id="rId4"/>
    <sheet name="OPERATIONAL CHARACTERISTICS" sheetId="3" state="visible" r:id="rId5"/>
    <sheet name="EPC DETAIL X 2 LM 6000" sheetId="4" state="visible" r:id="rId6"/>
    <sheet name="FINANCE" sheetId="5" state="visible" r:id="rId7"/>
    <sheet name="TURBINE AVAILABILITY" sheetId="6" state="visible" r:id="rId8"/>
    <sheet name="SOURCEDATA" sheetId="7" state="visible" r:id="rId9"/>
    <sheet name="CLARIFICATIONS" sheetId="8" state="visible" r:id="rId10"/>
  </sheets>
  <definedNames>
    <definedName function="false" hidden="false" localSheetId="3" name="_xlnm.Print_Area" vbProcedure="false">'EPC DETAIL X 2 LM 6000'!$B$2:$D$93</definedName>
    <definedName function="false" hidden="false" localSheetId="4" name="_xlnm.Print_Area" vbProcedure="false">FINANCE!$B$2:$N$45</definedName>
    <definedName function="false" hidden="false" localSheetId="2" name="_xlnm.Print_Area" vbProcedure="false">'OPERATIONAL CHARACTERISTICS'!$B$2:$H$36</definedName>
    <definedName function="false" hidden="false" localSheetId="1" name="_xlnm.Print_Area" vbProcedure="false">PROJECTCONFIGURATION!$A$1:$K$37</definedName>
    <definedName function="false" hidden="false" localSheetId="6" name="_xlnm.Print_Area" vbProcedure="false">SOURCEDATA!$A$1:$P$53</definedName>
    <definedName function="false" hidden="false" localSheetId="0" name="_xlnm.Print_Area" vbProcedure="false">SUMMARY!$B$1:$J$32</definedName>
    <definedName function="false" hidden="false" localSheetId="5" name="_xlnm.Print_Area" vbProcedure="false">'TURBINE AVAILABILITY'!$B$2:$E$17</definedName>
    <definedName function="false" hidden="false" name="chillers" vbProcedure="false">PROJECTCONFIGURATION!$M$65</definedName>
    <definedName function="false" hidden="false" name="iso" vbProcedure="false">PROJECTCONFIGURATION!$A$1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<sst xmlns="http://schemas.openxmlformats.org/spreadsheetml/2006/main" count="508" uniqueCount="357">
  <si>
    <t xml:space="preserve">PROJECT SUMMARY</t>
  </si>
  <si>
    <t xml:space="preserve">  VALUATION BASIS</t>
  </si>
  <si>
    <t xml:space="preserve">VARIABLE O&amp;M</t>
  </si>
  <si>
    <t xml:space="preserve">EXPECTED RUN HOURS</t>
  </si>
  <si>
    <t xml:space="preserve">  Per Year</t>
  </si>
  <si>
    <t xml:space="preserve">MAJOR MAINT ACCRUAL</t>
  </si>
  <si>
    <t xml:space="preserve">$/TURBINE HOUR</t>
  </si>
  <si>
    <t xml:space="preserve">see calc in SOURCEDATA</t>
  </si>
  <si>
    <t xml:space="preserve">VALUATION CAPACITY</t>
  </si>
  <si>
    <t xml:space="preserve">Temp.</t>
  </si>
  <si>
    <t xml:space="preserve">OTHER MAINTENANCE</t>
  </si>
  <si>
    <t xml:space="preserve">NET PLANT CAPACITY</t>
  </si>
  <si>
    <t xml:space="preserve">  MW</t>
  </si>
  <si>
    <t xml:space="preserve">WATER</t>
  </si>
  <si>
    <t xml:space="preserve">$/MWh</t>
  </si>
  <si>
    <t xml:space="preserve">NET PLANT HEAT RATE</t>
  </si>
  <si>
    <t xml:space="preserve">  Btu/kWh</t>
  </si>
  <si>
    <t xml:space="preserve">TOTAL VARIABLE O&amp;M</t>
  </si>
  <si>
    <t xml:space="preserve">  USES OF FUNDS</t>
  </si>
  <si>
    <t xml:space="preserve">FIXED O&amp;M</t>
  </si>
  <si>
    <t xml:space="preserve">TOTAL EPC PROJECT COST</t>
  </si>
  <si>
    <t xml:space="preserve">  '$(000)</t>
  </si>
  <si>
    <t xml:space="preserve"> </t>
  </si>
  <si>
    <t xml:space="preserve">Direct Labor &amp; Burden</t>
  </si>
  <si>
    <t xml:space="preserve">$1000/yr</t>
  </si>
  <si>
    <t xml:space="preserve">cost scale factor</t>
  </si>
  <si>
    <t xml:space="preserve">CONSTRUCTION PERIOD</t>
  </si>
  <si>
    <t xml:space="preserve">  MONTHS</t>
  </si>
  <si>
    <t xml:space="preserve">Admin</t>
  </si>
  <si>
    <t xml:space="preserve">INTEREST DURING CONSTRUCTION</t>
  </si>
  <si>
    <t xml:space="preserve">Routine Maintenance</t>
  </si>
  <si>
    <t xml:space="preserve">BOND FEES %</t>
  </si>
  <si>
    <t xml:space="preserve">  %</t>
  </si>
  <si>
    <t xml:space="preserve">Misc Tools &amp; Supplies</t>
  </si>
  <si>
    <t xml:space="preserve">BOND ISSUANCE CHARGE</t>
  </si>
  <si>
    <t xml:space="preserve">SCR</t>
  </si>
  <si>
    <t xml:space="preserve">not turned on yet</t>
  </si>
  <si>
    <t xml:space="preserve">TOTAL USE OF FUNDS</t>
  </si>
  <si>
    <t xml:space="preserve">LM6000 lease program</t>
  </si>
  <si>
    <t xml:space="preserve">Subcontracts</t>
  </si>
  <si>
    <t xml:space="preserve">  SOURCES OF FUNDS</t>
  </si>
  <si>
    <t xml:space="preserve">TOTAL FIXED O&amp;M</t>
  </si>
  <si>
    <t xml:space="preserve">$-kW month</t>
  </si>
  <si>
    <t xml:space="preserve">EQUITY</t>
  </si>
  <si>
    <t xml:space="preserve">BRUCE, HEATHER HAS AN OEC ESTIMATE THAT ADDS UP TO 56¢ PER KW-MONTH</t>
  </si>
  <si>
    <t xml:space="preserve">EQUITY CONTRIBUTION</t>
  </si>
  <si>
    <t xml:space="preserve">TOTAL OPERATING COST</t>
  </si>
  <si>
    <t xml:space="preserve">DEBT ISSUANCE</t>
  </si>
  <si>
    <t xml:space="preserve">TERM</t>
  </si>
  <si>
    <t xml:space="preserve">  Years</t>
  </si>
  <si>
    <t xml:space="preserve">INTEREST RATE - MO. COMP.</t>
  </si>
  <si>
    <t xml:space="preserve">ANNUAL DEBT SERVICE</t>
  </si>
  <si>
    <t xml:space="preserve">  Kw-month</t>
  </si>
  <si>
    <t xml:space="preserve">  RETURN ON EQUITY </t>
  </si>
  <si>
    <t xml:space="preserve">TOTAL FIXED CHARGES (FOM &amp; DEBT SRVC)</t>
  </si>
  <si>
    <t xml:space="preserve">PROPOSED CAPACITY PAYMENT</t>
  </si>
  <si>
    <t xml:space="preserve">SALVAGE VALUE</t>
  </si>
  <si>
    <t xml:space="preserve">PROJECT CONFIGURATION AT </t>
  </si>
  <si>
    <t xml:space="preserve">QTY</t>
  </si>
  <si>
    <t xml:space="preserve">EACH</t>
  </si>
  <si>
    <t xml:space="preserve">ADJ.</t>
  </si>
  <si>
    <t xml:space="preserve">TOTAL</t>
  </si>
  <si>
    <t xml:space="preserve">$/KW</t>
  </si>
  <si>
    <t xml:space="preserve">TURBINE</t>
  </si>
  <si>
    <t xml:space="preserve">UNION ?</t>
  </si>
  <si>
    <t xml:space="preserve">BOP</t>
  </si>
  <si>
    <t xml:space="preserve">MILES</t>
  </si>
  <si>
    <t xml:space="preserve">SIZE (IN.)</t>
  </si>
  <si>
    <t xml:space="preserve">PIPELINE</t>
  </si>
  <si>
    <t xml:space="preserve">YES</t>
  </si>
  <si>
    <t xml:space="preserve">KV</t>
  </si>
  <si>
    <t xml:space="preserve">POWER INTERCONNECTION</t>
  </si>
  <si>
    <t xml:space="preserve">DUAL FUEL</t>
  </si>
  <si>
    <t xml:space="preserve">BLACK START</t>
  </si>
  <si>
    <t xml:space="preserve">FOR 1 TURBINE</t>
  </si>
  <si>
    <t xml:space="preserve">AVAILABLE PSIG</t>
  </si>
  <si>
    <t xml:space="preserve">GAS COMPRESSION to 700 PSI</t>
  </si>
  <si>
    <t xml:space="preserve">DEMINERALIZED WATER FACILITY (need 75gpm/turbine)</t>
  </si>
  <si>
    <t xml:space="preserve">CHILLERS</t>
  </si>
  <si>
    <t xml:space="preserve">SPARE PARTS</t>
  </si>
  <si>
    <t xml:space="preserve">TOTAL ENGINEERING, PROCUREMENT AND CONSTRUCTION</t>
  </si>
  <si>
    <t xml:space="preserve">$000</t>
  </si>
  <si>
    <t xml:space="preserve">COMPRESSION</t>
  </si>
  <si>
    <t xml:space="preserve">DEMIN</t>
  </si>
  <si>
    <t xml:space="preserve">SPARE</t>
  </si>
  <si>
    <t xml:space="preserve">QTY TURBINES</t>
  </si>
  <si>
    <t xml:space="preserve">SIZE</t>
  </si>
  <si>
    <t xml:space="preserve">INTERCONNECT</t>
  </si>
  <si>
    <t xml:space="preserve">PARTS</t>
  </si>
  <si>
    <t xml:space="preserve">6</t>
  </si>
  <si>
    <t xml:space="preserve">0</t>
  </si>
  <si>
    <t xml:space="preserve">16</t>
  </si>
  <si>
    <t xml:space="preserve">230</t>
  </si>
  <si>
    <t xml:space="preserve">OPERATIONAL CHARACTERISTICS</t>
  </si>
  <si>
    <t xml:space="preserve">CAPACITY AND HEAT RATE</t>
  </si>
  <si>
    <t xml:space="preserve">ISO  </t>
  </si>
  <si>
    <t xml:space="preserve">95*  </t>
  </si>
  <si>
    <t xml:space="preserve">with chilling</t>
  </si>
  <si>
    <t xml:space="preserve">no chilling</t>
  </si>
  <si>
    <t xml:space="preserve">GROSS UNIT CAPACITY MW</t>
  </si>
  <si>
    <t xml:space="preserve">UNIT AUXILIARY POWER (MW)</t>
  </si>
  <si>
    <t xml:space="preserve">MAIN POWER TRANSFORMER (MW)</t>
  </si>
  <si>
    <t xml:space="preserve">GAS COMPRESSION (MW)</t>
  </si>
  <si>
    <t xml:space="preserve">this should be changed to incorporate real comprssion loads</t>
  </si>
  <si>
    <t xml:space="preserve">CHILLER LOAD</t>
  </si>
  <si>
    <r>
      <rPr>
        <sz val="10"/>
        <rFont val="Arial"/>
        <family val="0"/>
      </rPr>
      <t xml:space="preserve">          </t>
    </r>
    <r>
      <rPr>
        <sz val="10"/>
        <color rgb="FFFF0000"/>
        <rFont val="Arial"/>
        <family val="2"/>
      </rPr>
      <t xml:space="preserve">NOTE: These are New and Clean data</t>
    </r>
  </si>
  <si>
    <t xml:space="preserve">HEAT RATE - PLANT NET OF GSU AND AUXILIARY (HHV)</t>
  </si>
  <si>
    <t xml:space="preserve">this also includes 3% GE/S&amp;S margin</t>
  </si>
  <si>
    <t xml:space="preserve">RAMP UP/DOWN TIME</t>
  </si>
  <si>
    <t xml:space="preserve">RAMP UP TIME</t>
  </si>
  <si>
    <t xml:space="preserve">Minutes</t>
  </si>
  <si>
    <t xml:space="preserve">this matches S&amp;S claim - reality is more like 16 minutes for typical push button to full load</t>
  </si>
  <si>
    <t xml:space="preserve">RAMP DOWN TIME</t>
  </si>
  <si>
    <t xml:space="preserve">TIME BEFORE RESTART</t>
  </si>
  <si>
    <t xml:space="preserve">RELIABILITY</t>
  </si>
  <si>
    <t xml:space="preserve">AVAILABILITY</t>
  </si>
  <si>
    <t xml:space="preserve">Annually</t>
  </si>
  <si>
    <t xml:space="preserve">ENGINE LEASE PROGRAM - WITHIN 72 HOURS</t>
  </si>
  <si>
    <t xml:space="preserve">$000 / Year</t>
  </si>
  <si>
    <t xml:space="preserve">MAJOR MAINTENANCE SCHEDULE</t>
  </si>
  <si>
    <t xml:space="preserve">COST</t>
  </si>
  <si>
    <t xml:space="preserve">TIME</t>
  </si>
  <si>
    <t xml:space="preserve">  5,000 HOURS</t>
  </si>
  <si>
    <t xml:space="preserve">  3 WEEKS</t>
  </si>
  <si>
    <t xml:space="preserve">10,000 HOURS</t>
  </si>
  <si>
    <t xml:space="preserve">  5 WEEKS</t>
  </si>
  <si>
    <t xml:space="preserve">15,000 HOURS</t>
  </si>
  <si>
    <t xml:space="preserve">20,000 HOURS</t>
  </si>
  <si>
    <t xml:space="preserve">25,000 HOURS</t>
  </si>
  <si>
    <t xml:space="preserve">10 WEEKS</t>
  </si>
  <si>
    <t xml:space="preserve">CURRENT GE MARKET PRICE AND AVAILABILITY</t>
  </si>
  <si>
    <t xml:space="preserve">BASE TURBINE</t>
  </si>
  <si>
    <t xml:space="preserve">SPRINT PACKAGE</t>
  </si>
  <si>
    <t xml:space="preserve">FIN FAN COOLER</t>
  </si>
  <si>
    <t xml:space="preserve">TOTAL TURBINE COST</t>
  </si>
  <si>
    <t xml:space="preserve">DELIVERY</t>
  </si>
  <si>
    <t xml:space="preserve">Q3 2001</t>
  </si>
  <si>
    <t xml:space="preserve">EPC DETAIL</t>
  </si>
  <si>
    <t xml:space="preserve">PROJECT:     </t>
  </si>
  <si>
    <t xml:space="preserve">LM 6000</t>
  </si>
  <si>
    <t xml:space="preserve">2 TURBINES IN</t>
  </si>
  <si>
    <t xml:space="preserve">4 TURBINES IN</t>
  </si>
  <si>
    <t xml:space="preserve">LOCATION:     </t>
  </si>
  <si>
    <t xml:space="preserve">ROCKY MOUNT, NORTH CAROLINA</t>
  </si>
  <si>
    <t xml:space="preserve">SIMPLE CYCLE</t>
  </si>
  <si>
    <t xml:space="preserve">base configuration</t>
  </si>
  <si>
    <t xml:space="preserve">DESCRIPTION OF ITEM</t>
  </si>
  <si>
    <t xml:space="preserve">number of CTG's</t>
  </si>
  <si>
    <t xml:space="preserve">ENGINEERING</t>
  </si>
  <si>
    <t xml:space="preserve">NEPCO ENGINEERING </t>
  </si>
  <si>
    <t xml:space="preserve">ENGINEERED EQUIPMENT</t>
  </si>
  <si>
    <t xml:space="preserve">ELECTRICAL EQUIP</t>
  </si>
  <si>
    <t xml:space="preserve">DCS,CEMS,INST,VLVS</t>
  </si>
  <si>
    <t xml:space="preserve">HRSG</t>
  </si>
  <si>
    <t xml:space="preserve">GTG LM-6000</t>
  </si>
  <si>
    <t xml:space="preserve">STG</t>
  </si>
  <si>
    <t xml:space="preserve">GAS COMPRESSORS</t>
  </si>
  <si>
    <t xml:space="preserve">FUEL GAS HEATERS</t>
  </si>
  <si>
    <t xml:space="preserve">FUEL GAS FILTERS</t>
  </si>
  <si>
    <t xml:space="preserve">ODORANT SKID</t>
  </si>
  <si>
    <t xml:space="preserve">PUMPS/MOTORS</t>
  </si>
  <si>
    <t xml:space="preserve">TANKS/VESSELS</t>
  </si>
  <si>
    <t xml:space="preserve">CHEMICAL FEEDS SKID</t>
  </si>
  <si>
    <t xml:space="preserve">AIR COMPRESSOR SKID</t>
  </si>
  <si>
    <t xml:space="preserve">STACK</t>
  </si>
  <si>
    <t xml:space="preserve">DIESEL GENERATOR -250KW</t>
  </si>
  <si>
    <t xml:space="preserve">this was a mistake - Nepco adjusted GC elsewhere</t>
  </si>
  <si>
    <t xml:space="preserve">CTG TDI</t>
  </si>
  <si>
    <t xml:space="preserve">FREIGHT &amp; HEAVY HAUL</t>
  </si>
  <si>
    <t xml:space="preserve">TOTAL ENGINEERED EQUIPMENT</t>
  </si>
  <si>
    <t xml:space="preserve">CONSTRUCTION</t>
  </si>
  <si>
    <t xml:space="preserve">DIRECT COSTS</t>
  </si>
  <si>
    <t xml:space="preserve">SITE WORK</t>
  </si>
  <si>
    <t xml:space="preserve">U/G ELECTRICAL</t>
  </si>
  <si>
    <t xml:space="preserve">U/G PIPING</t>
  </si>
  <si>
    <t xml:space="preserve">CONCRETE &amp; GROUT</t>
  </si>
  <si>
    <t xml:space="preserve">STRUCTURAL STEEL</t>
  </si>
  <si>
    <t xml:space="preserve">ARCHITECTURAL</t>
  </si>
  <si>
    <t xml:space="preserve">BUILDINGS</t>
  </si>
  <si>
    <t xml:space="preserve">A/G PIPING</t>
  </si>
  <si>
    <t xml:space="preserve">A/G ELECTRICAL</t>
  </si>
  <si>
    <t xml:space="preserve">INSTRUMENTATION</t>
  </si>
  <si>
    <t xml:space="preserve">INSULATION - MECH</t>
  </si>
  <si>
    <t xml:space="preserve">PAINTING</t>
  </si>
  <si>
    <t xml:space="preserve">GTG</t>
  </si>
  <si>
    <t xml:space="preserve">OTHER EQUIPMENT</t>
  </si>
  <si>
    <t xml:space="preserve">PRODUCTIVITY LOSS</t>
  </si>
  <si>
    <t xml:space="preserve">PER DIEM</t>
  </si>
  <si>
    <t xml:space="preserve">CONSTR BURDENS</t>
  </si>
  <si>
    <t xml:space="preserve">TOTAL DIRECT COSTS</t>
  </si>
  <si>
    <t xml:space="preserve">INDIRECT COSTS</t>
  </si>
  <si>
    <t xml:space="preserve">PROJECT STAFF</t>
  </si>
  <si>
    <t xml:space="preserve">CONSTR EQUIPMENT</t>
  </si>
  <si>
    <t xml:space="preserve">SM TOOLS/CONSUM</t>
  </si>
  <si>
    <t xml:space="preserve">GEN'L COND - OTHER</t>
  </si>
  <si>
    <t xml:space="preserve">INDIRECT LABOR</t>
  </si>
  <si>
    <t xml:space="preserve">TOTAL INDIRECT COSTS</t>
  </si>
  <si>
    <t xml:space="preserve">TOTAL CONSTRUCTION</t>
  </si>
  <si>
    <t xml:space="preserve">START UP</t>
  </si>
  <si>
    <t xml:space="preserve">MANUALS &amp; TRAINING</t>
  </si>
  <si>
    <t xml:space="preserve">TOTAL START UP</t>
  </si>
  <si>
    <t xml:space="preserve">OTHER COSTS</t>
  </si>
  <si>
    <t xml:space="preserve">HOME OFFICE</t>
  </si>
  <si>
    <t xml:space="preserve">WARRANTY</t>
  </si>
  <si>
    <t xml:space="preserve">OVERHEAD</t>
  </si>
  <si>
    <t xml:space="preserve">TOTAL OTHER COSTS</t>
  </si>
  <si>
    <t xml:space="preserve">TOTAL PROJECT COST</t>
  </si>
  <si>
    <t xml:space="preserve">MARGIN</t>
  </si>
  <si>
    <t xml:space="preserve">CONTINGENCY</t>
  </si>
  <si>
    <t xml:space="preserve">FIXED G&amp;A</t>
  </si>
  <si>
    <t xml:space="preserve">PROFIT</t>
  </si>
  <si>
    <t xml:space="preserve">NO margin/Contingency</t>
  </si>
  <si>
    <t xml:space="preserve">TOTAL MARGIN</t>
  </si>
  <si>
    <t xml:space="preserve">LM6000's</t>
  </si>
  <si>
    <t xml:space="preserve">chillers</t>
  </si>
  <si>
    <t xml:space="preserve">dual fuel</t>
  </si>
  <si>
    <t xml:space="preserve">NEPCO TOTAL PROJECT COST WITH MARGIN</t>
  </si>
  <si>
    <t xml:space="preserve">CHILLED</t>
  </si>
  <si>
    <t xml:space="preserve">UN-CHILLED</t>
  </si>
  <si>
    <t xml:space="preserve">ISO</t>
  </si>
  <si>
    <t xml:space="preserve">CTG only at ISO</t>
  </si>
  <si>
    <t xml:space="preserve">CTG only at 95F</t>
  </si>
  <si>
    <t xml:space="preserve">MOBILIZATION (no spare parts)</t>
  </si>
  <si>
    <t xml:space="preserve">DEVELOPMENT COSTS</t>
  </si>
  <si>
    <t xml:space="preserve">INSURANCE/SITE/MISC OTHER OWNER COSTS</t>
  </si>
  <si>
    <t xml:space="preserve">SUBTOTAL OWNER COST </t>
  </si>
  <si>
    <t xml:space="preserve">TOTAL OWNER COST</t>
  </si>
  <si>
    <t xml:space="preserve">FINANCE</t>
  </si>
  <si>
    <t xml:space="preserve">BREAK-EVEN ANALYSIS</t>
  </si>
  <si>
    <t xml:space="preserve">DEBT SERVICE AMORTIZATION</t>
  </si>
  <si>
    <t xml:space="preserve">EQUITY RETURNS</t>
  </si>
  <si>
    <t xml:space="preserve">GENERATION COST AT</t>
  </si>
  <si>
    <t xml:space="preserve">/ MMBTU IS</t>
  </si>
  <si>
    <t xml:space="preserve">MONTH</t>
  </si>
  <si>
    <t xml:space="preserve">IPMT</t>
  </si>
  <si>
    <t xml:space="preserve">PPMT</t>
  </si>
  <si>
    <t xml:space="preserve">DEBT SRV.</t>
  </si>
  <si>
    <t xml:space="preserve">YEAR</t>
  </si>
  <si>
    <t xml:space="preserve">FIXED PMT</t>
  </si>
  <si>
    <t xml:space="preserve">CAP PMT</t>
  </si>
  <si>
    <t xml:space="preserve">IRR</t>
  </si>
  <si>
    <t xml:space="preserve">RUN</t>
  </si>
  <si>
    <t xml:space="preserve">FIXED</t>
  </si>
  <si>
    <t xml:space="preserve">HOURS</t>
  </si>
  <si>
    <t xml:space="preserve">GEN. COST</t>
  </si>
  <si>
    <t xml:space="preserve">/ YEAR</t>
  </si>
  <si>
    <t xml:space="preserve">$ / MWH</t>
  </si>
  <si>
    <t xml:space="preserve">TURBINE DELIVERY SCHEDULE</t>
  </si>
  <si>
    <t xml:space="preserve">UNIT</t>
  </si>
  <si>
    <t xml:space="preserve">TURBINES</t>
  </si>
  <si>
    <t xml:space="preserve">LD'S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</si>
  <si>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</si>
  <si>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</si>
  <si>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</si>
  <si>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</si>
  <si>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</si>
  <si>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</si>
  <si>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</si>
  <si>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</si>
  <si>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</si>
  <si>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</si>
  <si>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</si>
  <si>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</si>
  <si>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</si>
  <si>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</si>
  <si>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SPRINT OPTION</t>
  </si>
  <si>
    <t xml:space="preserve">FIN FAN COOLERS</t>
  </si>
  <si>
    <t xml:space="preserve">TOTAL PRICE</t>
  </si>
  <si>
    <t xml:space="preserve">SOURCE DATA</t>
  </si>
  <si>
    <t xml:space="preserve">base $13800, $450Sprint, $62finfan</t>
  </si>
  <si>
    <t xml:space="preserve">unit portion</t>
  </si>
  <si>
    <t xml:space="preserve">took out HV breakers/switches</t>
  </si>
  <si>
    <t xml:space="preserve">PIPELINE $/MILE</t>
  </si>
  <si>
    <t xml:space="preserve">base cost &gt;&gt;</t>
  </si>
  <si>
    <t xml:space="preserve">base 69 kV - $50-building, $30-UPS/batt, $120-metering,$30-base site/fence</t>
  </si>
  <si>
    <t xml:space="preserve">per bkr/Dend</t>
  </si>
  <si>
    <t xml:space="preserve">138 kV breaker $$50K, 1 switch at $25k@, tubular buss 3 X 50' at $30/ft or $$5k, instrumentation $30k, deadend structure at $100k, construction at $40</t>
  </si>
  <si>
    <t xml:space="preserve">per breaker&gt;</t>
  </si>
  <si>
    <t xml:space="preserve">assumes 1 breaker per CTG plus 1 breaker as outgoing and one breaker position at far end</t>
  </si>
  <si>
    <t xml:space="preserve">table assumes paired units for ties to grid</t>
  </si>
  <si>
    <t xml:space="preserve">138 kV breaker $$50K, 1 switch at $25k@, tubular buss 3 X 200' at $30/ft or $$18k, instrumentation $10k, construction at $47</t>
  </si>
  <si>
    <t xml:space="preserve">230 kV breaker $$70K, 1 switch at $35k@, tubular buss 3 X 200' at $40/ft or $$24k, instrumentation $10k, construction at $60</t>
  </si>
  <si>
    <t xml:space="preserve">assume $280/CTG + fuel tank increase + filter - should add centrifuge if long downtimes or poor fuel</t>
  </si>
  <si>
    <t xml:space="preserve">UNION PREMIUM</t>
  </si>
  <si>
    <t xml:space="preserve">suction press.</t>
  </si>
  <si>
    <t xml:space="preserve">psig</t>
  </si>
  <si>
    <t xml:space="preserve">INCREASE</t>
  </si>
  <si>
    <t xml:space="preserve">discharge press.</t>
  </si>
  <si>
    <t xml:space="preserve">suction temp.</t>
  </si>
  <si>
    <t xml:space="preserve">F</t>
  </si>
  <si>
    <t xml:space="preserve">compressor efficiency</t>
  </si>
  <si>
    <t xml:space="preserve">%</t>
  </si>
  <si>
    <t xml:space="preserve">design gas flow</t>
  </si>
  <si>
    <t xml:space="preserve">MMscfd</t>
  </si>
  <si>
    <t xml:space="preserve">gas compressibility</t>
  </si>
  <si>
    <t xml:space="preserve">compression ratio</t>
  </si>
  <si>
    <t xml:space="preserve">compression power</t>
  </si>
  <si>
    <t xml:space="preserve">kW</t>
  </si>
  <si>
    <t xml:space="preserve">compression ratio factor</t>
  </si>
  <si>
    <t xml:space="preserve">DEMIN WATER</t>
  </si>
  <si>
    <t xml:space="preserve">assumes 2X100% based on my catalog data</t>
  </si>
  <si>
    <t xml:space="preserve">assumes at three CTG's goes to plant config</t>
  </si>
  <si>
    <t xml:space="preserve">DEMIN WATER CONSUMPTION</t>
  </si>
  <si>
    <t xml:space="preserve">gal/MWhr</t>
  </si>
  <si>
    <t xml:space="preserve">cost</t>
  </si>
  <si>
    <t xml:space="preserve">US$/1000gal</t>
  </si>
  <si>
    <t xml:space="preserve">US$/MWhr</t>
  </si>
  <si>
    <t xml:space="preserve">RAW WATER CONSUMPTION</t>
  </si>
  <si>
    <t xml:space="preserve">total water consumption</t>
  </si>
  <si>
    <t xml:space="preserve">Estimated CTG accural</t>
  </si>
  <si>
    <t xml:space="preserve">US$/CTGyr</t>
  </si>
  <si>
    <t xml:space="preserve">includes gas compression/chillers</t>
  </si>
  <si>
    <t xml:space="preserve">Estimated operating hours</t>
  </si>
  <si>
    <t xml:space="preserve">hr/yr</t>
  </si>
  <si>
    <t xml:space="preserve">US$/CTGhr</t>
  </si>
  <si>
    <t xml:space="preserve">Clarifications</t>
  </si>
  <si>
    <t xml:space="preserve">site assumed to be provided cleared and grubbed (usually Owner can get to clear and grub for the value of the lumber/pulpwood he gets)</t>
  </si>
  <si>
    <t xml:space="preserve">based on use of spread footings on a site that has a soil bearing pressure of 3000 psf at 3 feet </t>
  </si>
  <si>
    <t xml:space="preserve">soil from excavations on site is assumed to be suitable for backfill </t>
  </si>
  <si>
    <t xml:space="preserve">spoils will be stockpiled at site</t>
  </si>
  <si>
    <t xml:space="preserve">EPC includes initial fill of lubricants in equipment but does not include filling bulk storage tanks</t>
  </si>
  <si>
    <t xml:space="preserve">temporary utilities provided by others at site boundary including the following:</t>
  </si>
  <si>
    <t xml:space="preserve">construction power - nominally 480V 3 phase 500 kVA</t>
  </si>
  <si>
    <t xml:space="preserve">municipal or potable treated water - nominally 50 gpm at 50 psig</t>
  </si>
  <si>
    <t xml:space="preserve">telephone service - ten lines</t>
  </si>
  <si>
    <t xml:space="preserve">all offsites not specifically included per the selection sheet will be provided by others including but not limited to the following:</t>
  </si>
  <si>
    <t xml:space="preserve">all-weather hard surface access road from local highway (suitable for transport of the major components)</t>
  </si>
  <si>
    <t xml:space="preserve">stormwater and treated wastewater drainage from the site boundary to the designated receiving stream or waters</t>
  </si>
  <si>
    <t xml:space="preserve">temporary construction laydown, fabrication, equipment storage, … area</t>
  </si>
  <si>
    <t xml:space="preserve">construction craft/equipment technician parking area</t>
  </si>
  <si>
    <t xml:space="preserve">all underground piping assumed to be installed with excavated materials from site (no imported fill)</t>
  </si>
  <si>
    <t xml:space="preserve">noise will be manufacturer standard - expect nominally 65 dBA at 400 feet from unit for single unit plant</t>
  </si>
  <si>
    <t xml:space="preserve">Exclusions</t>
  </si>
  <si>
    <t xml:space="preserve">Permits and permit fees. EPC Cost includes supply of normal technical data in support of the Owner permit applications. </t>
  </si>
  <si>
    <t xml:space="preserve">Payment and Performance Bonds</t>
  </si>
  <si>
    <t xml:space="preserve">All Risk Insurance</t>
  </si>
  <si>
    <t xml:space="preserve">Sales and Use Taxes</t>
  </si>
  <si>
    <t xml:space="preserve">Extended Waranties beyond manufacturer standard 12 months.</t>
  </si>
  <si>
    <t xml:space="preserve">Spare parts except those required for plant startup</t>
  </si>
  <si>
    <t xml:space="preserve">Utility charges after initial synchronization to grid including backfeed through switchyard for startup.</t>
  </si>
  <si>
    <t xml:space="preserve">Utilities including water, sewer and fuel required for plant operation after Mechanical/Substantial Completion.</t>
  </si>
  <si>
    <t xml:space="preserve">Personnel for plant startup</t>
  </si>
  <si>
    <t xml:space="preserve">Disposal, handling or treatment of any existing hazardous materials.</t>
  </si>
  <si>
    <t xml:space="preserve">Demolition and removal of any existing structures or equipment, if required.</t>
  </si>
  <si>
    <t xml:space="preserve">Blasting or rock removal, per a comprehensive soils study</t>
  </si>
  <si>
    <t xml:space="preserve">Dewatering or well pointing beyond casual dewatering</t>
  </si>
  <si>
    <t xml:space="preserve">Caissons and/or piling.</t>
  </si>
  <si>
    <t xml:space="preserve">Tie-ins to municipal water and sewer</t>
  </si>
  <si>
    <t xml:space="preserve">Electrical transmission from power plant to untility substation and interconnection costs to local utility</t>
  </si>
  <si>
    <t xml:space="preserve">Cathodic protection.</t>
  </si>
  <si>
    <t xml:space="preserve">Mobil equipment</t>
  </si>
  <si>
    <t xml:space="preserve">monitoring wells</t>
  </si>
  <si>
    <t xml:space="preserve">machine shop equipment and tools</t>
  </si>
  <si>
    <t xml:space="preserve">Cancellation and accelerated equipment delivery costs</t>
  </si>
  <si>
    <t xml:space="preserve">furnishings for offices, buildings and laboratory</t>
  </si>
  <si>
    <t xml:space="preserve">Continuous Air Emission Monitoring System (CEMS)</t>
  </si>
  <si>
    <t xml:space="preserve">Administration building, shops, warehouse, laboratory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</si>
</sst>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#,##0"/>
    <numFmt numFmtId="169" formatCode="\$#,##0_);[RED]&quot;($&quot;#,##0\)"/>
    <numFmt numFmtId="170" formatCode="_(\$* #,##0_);_(\$* \(#,##0\);_(\$* \-??_);_(@_)"/>
    <numFmt numFmtId="171" formatCode="0%"/>
    <numFmt numFmtId="172" formatCode="0"/>
    <numFmt numFmtId="173" formatCode="0.00%"/>
    <numFmt numFmtId="174" formatCode="0.0%"/>
    <numFmt numFmtId="175" formatCode="0.00"/>
    <numFmt numFmtId="176" formatCode="[$-409]m/d/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80008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3366FF"/>
      <name val="Arial"/>
      <family val="2"/>
    </font>
    <font>
      <sz val="10.25"/>
      <color rgb="FF000000"/>
      <name val="Arial"/>
      <family val="2"/>
    </font>
    <font>
      <sz val="8.5"/>
      <color rgb="FF000000"/>
      <name val="Arial"/>
      <family val="2"/>
    </font>
    <font>
      <sz val="10"/>
      <color rgb="FF00FF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>
        <color rgb="FFC0C0C0"/>
      </top>
      <bottom style="thin"/>
      <diagonal/>
    </border>
    <border diagonalUp="false" diagonalDown="false">
      <left/>
      <right/>
      <top style="thin">
        <color rgb="FFC0C0C0"/>
      </top>
      <bottom style="thin"/>
      <diagonal/>
    </border>
    <border diagonalUp="false" diagonalDown="false">
      <left style="medium"/>
      <right style="medium"/>
      <top style="thin">
        <color rgb="FFC0C0C0"/>
      </top>
      <bottom style="thin"/>
      <diagonal/>
    </border>
    <border diagonalUp="false" diagonalDown="false">
      <left style="medium"/>
      <right/>
      <top/>
      <bottom style="thin">
        <color rgb="FFC0C0C0"/>
      </bottom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 style="medium"/>
      <right style="medium"/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medium"/>
      <right/>
      <top style="thin">
        <color rgb="FFC0C0C0"/>
      </top>
      <bottom/>
      <diagonal/>
    </border>
    <border diagonalUp="false" diagonalDown="false">
      <left/>
      <right/>
      <top style="thin">
        <color rgb="FFC0C0C0"/>
      </top>
      <bottom/>
      <diagonal/>
    </border>
    <border diagonalUp="false" diagonalDown="false">
      <left style="medium"/>
      <right style="medium"/>
      <top style="thin">
        <color rgb="FFC0C0C0"/>
      </top>
      <bottom/>
      <diagonal/>
    </border>
    <border diagonalUp="false" diagonalDown="false">
      <left style="medium"/>
      <right/>
      <top style="medium"/>
      <bottom style="thin">
        <color rgb="FFC0C0C0"/>
      </bottom>
      <diagonal/>
    </border>
    <border diagonalUp="false" diagonalDown="false">
      <left/>
      <right/>
      <top style="medium"/>
      <bottom style="thin">
        <color rgb="FFC0C0C0"/>
      </bottom>
      <diagonal/>
    </border>
    <border diagonalUp="false" diagonalDown="false">
      <left style="medium"/>
      <right style="medium"/>
      <top style="medium"/>
      <bottom style="thin">
        <color rgb="FFC0C0C0"/>
      </bottom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13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8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9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5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6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1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1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2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1" fillId="0" borderId="2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3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4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3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3" borderId="3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2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5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5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5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1190032208849"/>
          <c:y val="0.0522367324256738"/>
          <c:w val="0.976690964570266"/>
          <c:h val="0.947763267574326"/>
        </c:manualLayout>
      </c:layout>
      <c:areaChart>
        <c:grouping val="stacked"/>
        <c:ser>
          <c:idx val="0"/>
          <c:order val="0"/>
          <c:tx>
            <c:strRef>
              <c:f>"FIXED COSTS"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FINANCE!$C$13:$C$28</c:f>
              <c:strCach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1,000</c:v>
                </c:pt>
                <c:pt idx="6">
                  <c:v>1,100</c:v>
                </c:pt>
                <c:pt idx="7">
                  <c:v>1,200</c:v>
                </c:pt>
                <c:pt idx="8">
                  <c:v>1,300</c:v>
                </c:pt>
                <c:pt idx="9">
                  <c:v>1,400</c:v>
                </c:pt>
                <c:pt idx="10">
                  <c:v>1,500</c:v>
                </c:pt>
                <c:pt idx="11">
                  <c:v>2,000</c:v>
                </c:pt>
                <c:pt idx="12">
                  <c:v>2,500</c:v>
                </c:pt>
                <c:pt idx="13">
                  <c:v>3,000</c:v>
                </c:pt>
                <c:pt idx="14">
                  <c:v>3,500</c:v>
                </c:pt>
                <c:pt idx="15">
                  <c:v>4,000</c:v>
                </c:pt>
              </c:strCache>
            </c:strRef>
          </c:cat>
          <c:val>
            <c:numRef>
              <c:f>FINANCE!$D$13:$D$28</c:f>
              <c:numCache>
                <c:formatCode>#,##0</c:formatCode>
                <c:ptCount val="16"/>
                <c:pt idx="0">
                  <c:v>114.987962538741</c:v>
                </c:pt>
                <c:pt idx="1">
                  <c:v>95.8233021156176</c:v>
                </c:pt>
                <c:pt idx="2">
                  <c:v>82.1342589562437</c:v>
                </c:pt>
                <c:pt idx="3">
                  <c:v>71.8674765867132</c:v>
                </c:pt>
                <c:pt idx="4">
                  <c:v>63.8822014104117</c:v>
                </c:pt>
                <c:pt idx="5">
                  <c:v>57.4939812693706</c:v>
                </c:pt>
                <c:pt idx="6">
                  <c:v>52.2672556994278</c:v>
                </c:pt>
                <c:pt idx="7">
                  <c:v>47.9116510578088</c:v>
                </c:pt>
                <c:pt idx="8">
                  <c:v>44.2261394379774</c:v>
                </c:pt>
                <c:pt idx="9">
                  <c:v>41.0671294781218</c:v>
                </c:pt>
                <c:pt idx="10">
                  <c:v>38.329320846247</c:v>
                </c:pt>
                <c:pt idx="11">
                  <c:v>28.7469906346853</c:v>
                </c:pt>
                <c:pt idx="12">
                  <c:v>22.9975925077482</c:v>
                </c:pt>
                <c:pt idx="13">
                  <c:v>19.1646604231235</c:v>
                </c:pt>
                <c:pt idx="14">
                  <c:v>16.4268517912487</c:v>
                </c:pt>
                <c:pt idx="15">
                  <c:v>14.3734953173426</c:v>
                </c:pt>
              </c:numCache>
            </c:numRef>
          </c:val>
        </c:ser>
        <c:ser>
          <c:idx val="1"/>
          <c:order val="1"/>
          <c:tx>
            <c:strRef>
              <c:f>"VARIABLE COST"</c:f>
              <c:strCache>
                <c:ptCount val="1"/>
                <c:pt idx="0">
                  <c:v>VARIABLE COST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FINANCE!$C$13:$C$28</c:f>
              <c:strCach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1,000</c:v>
                </c:pt>
                <c:pt idx="6">
                  <c:v>1,100</c:v>
                </c:pt>
                <c:pt idx="7">
                  <c:v>1,200</c:v>
                </c:pt>
                <c:pt idx="8">
                  <c:v>1,300</c:v>
                </c:pt>
                <c:pt idx="9">
                  <c:v>1,400</c:v>
                </c:pt>
                <c:pt idx="10">
                  <c:v>1,500</c:v>
                </c:pt>
                <c:pt idx="11">
                  <c:v>2,000</c:v>
                </c:pt>
                <c:pt idx="12">
                  <c:v>2,500</c:v>
                </c:pt>
                <c:pt idx="13">
                  <c:v>3,000</c:v>
                </c:pt>
                <c:pt idx="14">
                  <c:v>3,500</c:v>
                </c:pt>
                <c:pt idx="15">
                  <c:v>4,000</c:v>
                </c:pt>
              </c:strCache>
            </c:strRef>
          </c:cat>
          <c:val>
            <c:numRef>
              <c:f>FINANCE!$F$13:$F$28</c:f>
              <c:numCache>
                <c:formatCode>_(* #,##0.00_);_(* \(#,##0.00\);_(* \-??_);_(@_)</c:formatCode>
                <c:ptCount val="16"/>
                <c:pt idx="0">
                  <c:v>23.7581581446994</c:v>
                </c:pt>
                <c:pt idx="1">
                  <c:v>23.7581581446994</c:v>
                </c:pt>
                <c:pt idx="2">
                  <c:v>23.7581581446994</c:v>
                </c:pt>
                <c:pt idx="3">
                  <c:v>23.7581581446994</c:v>
                </c:pt>
                <c:pt idx="4">
                  <c:v>23.7581581446994</c:v>
                </c:pt>
                <c:pt idx="5">
                  <c:v>23.7581581446994</c:v>
                </c:pt>
                <c:pt idx="6">
                  <c:v>23.7581581446994</c:v>
                </c:pt>
                <c:pt idx="7">
                  <c:v>23.7581581446994</c:v>
                </c:pt>
                <c:pt idx="8">
                  <c:v>23.7581581446994</c:v>
                </c:pt>
                <c:pt idx="9">
                  <c:v>23.7581581446994</c:v>
                </c:pt>
                <c:pt idx="10">
                  <c:v>23.7581581446994</c:v>
                </c:pt>
                <c:pt idx="11">
                  <c:v>23.7581581446994</c:v>
                </c:pt>
                <c:pt idx="12">
                  <c:v>23.7581581446994</c:v>
                </c:pt>
                <c:pt idx="13">
                  <c:v>23.7581581446994</c:v>
                </c:pt>
                <c:pt idx="14">
                  <c:v>23.7581581446994</c:v>
                </c:pt>
                <c:pt idx="15">
                  <c:v>23.7581581446994</c:v>
                </c:pt>
              </c:numCache>
            </c:numRef>
          </c:val>
        </c:ser>
        <c:axId val="27551004"/>
        <c:axId val="14567811"/>
      </c:areaChart>
      <c:catAx>
        <c:axId val="2755100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567811"/>
        <c:crossesAt val="0"/>
        <c:auto val="1"/>
        <c:lblAlgn val="ctr"/>
        <c:lblOffset val="100"/>
        <c:noMultiLvlLbl val="0"/>
      </c:catAx>
      <c:valAx>
        <c:axId val="145678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5100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82386845228005"/>
          <c:y val="0.21825507085301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10440</xdr:colOff>
      <xdr:row>28</xdr:row>
      <xdr:rowOff>0</xdr:rowOff>
    </xdr:from>
    <xdr:to>
      <xdr:col>5</xdr:col>
      <xdr:colOff>846000</xdr:colOff>
      <xdr:row>43</xdr:row>
      <xdr:rowOff>152640</xdr:rowOff>
    </xdr:to>
    <xdr:graphicFrame>
      <xdr:nvGraphicFramePr>
        <xdr:cNvPr id="0" name="Chart 1"/>
        <xdr:cNvGraphicFramePr/>
      </xdr:nvGraphicFramePr>
      <xdr:xfrm>
        <a:off x="291600" y="4714920"/>
        <a:ext cx="4246920" cy="2590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3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3.99"/>
    <col collapsed="false" customWidth="true" hidden="false" outlineLevel="0" max="3" min="3" style="0" width="41.85"/>
    <col collapsed="false" customWidth="true" hidden="false" outlineLevel="0" max="5" min="4" style="0" width="12.28"/>
    <col collapsed="false" customWidth="true" hidden="false" outlineLevel="0" max="6" min="6" style="0" width="7.14"/>
    <col collapsed="false" customWidth="true" hidden="false" outlineLevel="0" max="7" min="7" style="0" width="4.56"/>
    <col collapsed="false" customWidth="true" hidden="false" outlineLevel="0" max="8" min="8" style="0" width="29.41"/>
    <col collapsed="false" customWidth="true" hidden="false" outlineLevel="0" max="9" min="9" style="0" width="10.56"/>
    <col collapsed="false" customWidth="true" hidden="false" outlineLevel="0" max="10" min="10" style="0" width="24.56"/>
    <col collapsed="false" customWidth="true" hidden="false" outlineLevel="0" max="11" min="11" style="0" width="3.99"/>
    <col collapsed="false" customWidth="true" hidden="false" outlineLevel="0" max="12" min="12" style="0" width="14.28"/>
    <col collapsed="false" customWidth="true" hidden="false" outlineLevel="0" max="13" min="13" style="0" width="7.85"/>
    <col collapsed="false" customWidth="true" hidden="false" outlineLevel="0" max="14" min="14" style="0" width="10.28"/>
    <col collapsed="false" customWidth="true" hidden="false" outlineLevel="0" max="16" min="16" style="0" width="10.28"/>
    <col collapsed="false" customWidth="true" hidden="false" outlineLevel="0" max="55" min="55" style="0" width="14.85"/>
  </cols>
  <sheetData>
    <row r="1" customFormat="false" ht="29.25" hidden="false" customHeight="true" outlineLevel="0" collapsed="false">
      <c r="B1" s="1" t="s">
        <v>0</v>
      </c>
    </row>
    <row r="2" customFormat="false" ht="17.25" hidden="false" customHeight="true" outlineLevel="0" collapsed="false">
      <c r="D2" s="2"/>
      <c r="E2" s="2"/>
      <c r="F2" s="2"/>
      <c r="G2" s="2"/>
      <c r="H2" s="2"/>
      <c r="I2" s="2"/>
      <c r="J2" s="2"/>
      <c r="K2" s="2"/>
      <c r="L2" s="2"/>
    </row>
    <row r="3" customFormat="false" ht="17.25" hidden="false" customHeight="true" outlineLevel="0" collapsed="false">
      <c r="B3" s="3" t="s">
        <v>1</v>
      </c>
      <c r="C3" s="4"/>
      <c r="D3" s="5"/>
      <c r="E3" s="6"/>
      <c r="F3" s="2"/>
      <c r="G3" s="3" t="s">
        <v>2</v>
      </c>
      <c r="H3" s="4"/>
      <c r="I3" s="5"/>
      <c r="J3" s="6"/>
      <c r="K3" s="2"/>
      <c r="L3" s="2"/>
      <c r="AZ3" s="2"/>
    </row>
    <row r="4" customFormat="false" ht="17.25" hidden="false" customHeight="true" outlineLevel="0" collapsed="false">
      <c r="C4" s="7" t="s">
        <v>3</v>
      </c>
      <c r="D4" s="8" t="n">
        <v>1200</v>
      </c>
      <c r="E4" s="9" t="s">
        <v>4</v>
      </c>
      <c r="F4" s="2"/>
      <c r="H4" s="7" t="s">
        <v>5</v>
      </c>
      <c r="I4" s="10" t="n">
        <v>50</v>
      </c>
      <c r="J4" s="9" t="s">
        <v>6</v>
      </c>
      <c r="K4" s="2"/>
      <c r="L4" s="11" t="s">
        <v>7</v>
      </c>
      <c r="AZ4" s="2"/>
    </row>
    <row r="5" customFormat="false" ht="17.25" hidden="false" customHeight="true" outlineLevel="0" collapsed="false">
      <c r="C5" s="12" t="s">
        <v>8</v>
      </c>
      <c r="D5" s="13" t="str">
        <f aca="false">IF(PROJECTCONFIGURATION!A1,"ISO","95*")</f>
        <v>95*</v>
      </c>
      <c r="E5" s="14" t="s">
        <v>9</v>
      </c>
      <c r="F5" s="2"/>
      <c r="G5" s="15"/>
      <c r="H5" s="12" t="s">
        <v>10</v>
      </c>
      <c r="I5" s="16" t="n">
        <v>18</v>
      </c>
      <c r="J5" s="14" t="s">
        <v>6</v>
      </c>
      <c r="K5" s="2"/>
      <c r="L5" s="2"/>
    </row>
    <row r="6" customFormat="false" ht="17.25" hidden="false" customHeight="true" outlineLevel="0" collapsed="false">
      <c r="B6" s="15"/>
      <c r="C6" s="12" t="s">
        <v>11</v>
      </c>
      <c r="D6" s="17" t="n">
        <f aca="false">+IF(PROJECTCONFIGURATION!A1,'OPERATIONAL CHARACTERISTICS'!$E$12,'OPERATIONAL CHARACTERISTICS'!$F$12)*PROJECTCONFIGURATION!$B$65</f>
        <v>273.504</v>
      </c>
      <c r="E6" s="14" t="s">
        <v>12</v>
      </c>
      <c r="F6" s="2"/>
      <c r="G6" s="15"/>
      <c r="H6" s="12" t="s">
        <v>13</v>
      </c>
      <c r="I6" s="16" t="n">
        <f aca="false">SOURCEDATA!$D$72</f>
        <v>0.537702127659575</v>
      </c>
      <c r="J6" s="14" t="s">
        <v>14</v>
      </c>
      <c r="K6" s="2"/>
      <c r="L6" s="11" t="s">
        <v>7</v>
      </c>
    </row>
    <row r="7" customFormat="false" ht="17.25" hidden="false" customHeight="true" outlineLevel="0" collapsed="false">
      <c r="B7" s="15"/>
      <c r="C7" s="18" t="s">
        <v>15</v>
      </c>
      <c r="D7" s="19" t="n">
        <f aca="false">+IF(PROJECTCONFIGURATION!A1,'OPERATIONAL CHARACTERISTICS'!$E$14,'OPERATIONAL CHARACTERISTICS'!$F$14)</f>
        <v>9332.00245700246</v>
      </c>
      <c r="E7" s="20" t="s">
        <v>16</v>
      </c>
      <c r="F7" s="2"/>
      <c r="G7" s="15"/>
      <c r="H7" s="21" t="s">
        <v>17</v>
      </c>
      <c r="I7" s="22" t="n">
        <f aca="false">+I6+(I5/'OPERATIONAL CHARACTERISTICS'!$B$12)+(I4/'OPERATIONAL CHARACTERISTICS'!$B$12)</f>
        <v>2.02945361941107</v>
      </c>
      <c r="J7" s="20" t="s">
        <v>14</v>
      </c>
      <c r="K7" s="2"/>
      <c r="L7" s="2"/>
      <c r="BD7" s="2"/>
    </row>
    <row r="8" customFormat="false" ht="17.25" hidden="false" customHeight="true" outlineLevel="0" collapsed="false">
      <c r="B8" s="15"/>
      <c r="C8" s="2"/>
      <c r="E8" s="23"/>
      <c r="F8" s="2"/>
      <c r="G8" s="2"/>
      <c r="H8" s="2"/>
      <c r="I8" s="2"/>
      <c r="J8" s="24"/>
      <c r="K8" s="2"/>
      <c r="L8" s="2"/>
    </row>
    <row r="9" customFormat="false" ht="17.25" hidden="false" customHeight="true" outlineLevel="0" collapsed="false">
      <c r="B9" s="25" t="s">
        <v>18</v>
      </c>
      <c r="C9" s="5"/>
      <c r="D9" s="26"/>
      <c r="E9" s="27"/>
      <c r="F9" s="2"/>
      <c r="G9" s="25" t="s">
        <v>19</v>
      </c>
      <c r="H9" s="5"/>
      <c r="I9" s="26"/>
      <c r="J9" s="27"/>
      <c r="K9" s="2"/>
      <c r="L9" s="2"/>
    </row>
    <row r="10" customFormat="false" ht="17.25" hidden="false" customHeight="true" outlineLevel="0" collapsed="false">
      <c r="B10" s="28" t="b">
        <f aca="false">TRUE()</f>
        <v>1</v>
      </c>
      <c r="C10" s="7" t="s">
        <v>20</v>
      </c>
      <c r="D10" s="29" t="n">
        <f aca="false">+PROJECTCONFIGURATION!I37</f>
        <v>142330.972973696</v>
      </c>
      <c r="E10" s="30" t="s">
        <v>21</v>
      </c>
      <c r="F10" s="31" t="s">
        <v>22</v>
      </c>
      <c r="G10" s="28" t="b">
        <f aca="false">TRUE()</f>
        <v>1</v>
      </c>
      <c r="H10" s="32" t="s">
        <v>23</v>
      </c>
      <c r="I10" s="33" t="n">
        <f aca="false">570*($M$10/1.23)</f>
        <v>793.259203141083</v>
      </c>
      <c r="J10" s="34" t="s">
        <v>24</v>
      </c>
      <c r="K10" s="2"/>
      <c r="L10" s="11" t="s">
        <v>25</v>
      </c>
      <c r="M10" s="35" t="n">
        <f aca="false">PROJECTCONFIGURATION!$B$65^N10</f>
        <v>1.71176985940971</v>
      </c>
      <c r="N10" s="36" t="n">
        <v>0.3</v>
      </c>
    </row>
    <row r="11" customFormat="false" ht="17.25" hidden="false" customHeight="true" outlineLevel="0" collapsed="false">
      <c r="B11" s="28"/>
      <c r="C11" s="12" t="s">
        <v>26</v>
      </c>
      <c r="D11" s="37" t="n">
        <v>9</v>
      </c>
      <c r="E11" s="38" t="s">
        <v>27</v>
      </c>
      <c r="F11" s="2"/>
      <c r="G11" s="28"/>
      <c r="H11" s="39" t="s">
        <v>28</v>
      </c>
      <c r="I11" s="40" t="n">
        <f aca="false">(125+4+22+8+13+9+31)*($M$10/1.23)</f>
        <v>295.036756255982</v>
      </c>
      <c r="J11" s="41" t="s">
        <v>24</v>
      </c>
      <c r="K11" s="2"/>
      <c r="L11" s="11" t="s">
        <v>22</v>
      </c>
      <c r="M11" s="35" t="s">
        <v>22</v>
      </c>
      <c r="Q11" s="42"/>
    </row>
    <row r="12" customFormat="false" ht="17.25" hidden="false" customHeight="true" outlineLevel="0" collapsed="false">
      <c r="B12" s="28"/>
      <c r="C12" s="12" t="s">
        <v>29</v>
      </c>
      <c r="D12" s="43" t="n">
        <f aca="false">+D10*(D11/12)*D22*0.5*0.84*(1-D18)</f>
        <v>2510.718363256</v>
      </c>
      <c r="E12" s="44" t="s">
        <v>21</v>
      </c>
      <c r="F12" s="11" t="s">
        <v>22</v>
      </c>
      <c r="G12" s="28"/>
      <c r="H12" s="39" t="s">
        <v>30</v>
      </c>
      <c r="I12" s="40" t="n">
        <f aca="false">(14+120+30+23)/2*PROJECTCONFIGURATION!$B$65</f>
        <v>561</v>
      </c>
      <c r="J12" s="45" t="s">
        <v>24</v>
      </c>
      <c r="K12" s="2"/>
      <c r="L12" s="2"/>
      <c r="Q12" s="42"/>
    </row>
    <row r="13" customFormat="false" ht="17.25" hidden="false" customHeight="true" outlineLevel="0" collapsed="false">
      <c r="B13" s="28"/>
      <c r="C13" s="12" t="s">
        <v>31</v>
      </c>
      <c r="D13" s="46" t="n">
        <v>0</v>
      </c>
      <c r="E13" s="44" t="s">
        <v>32</v>
      </c>
      <c r="F13" s="2"/>
      <c r="G13" s="28"/>
      <c r="H13" s="39" t="s">
        <v>33</v>
      </c>
      <c r="I13" s="40" t="n">
        <f aca="false">(40+10+14+4+7+4)*($M$10/1.23)</f>
        <v>109.942942189729</v>
      </c>
      <c r="J13" s="45" t="s">
        <v>24</v>
      </c>
      <c r="K13" s="2"/>
      <c r="L13" s="2"/>
      <c r="Q13" s="42"/>
    </row>
    <row r="14" customFormat="false" ht="17.25" hidden="false" customHeight="true" outlineLevel="0" collapsed="false">
      <c r="B14" s="28" t="b">
        <f aca="false">TRUE()</f>
        <v>1</v>
      </c>
      <c r="C14" s="12" t="s">
        <v>34</v>
      </c>
      <c r="D14" s="47" t="n">
        <f aca="false">+D13*(D12+D10*(1-D18))</f>
        <v>0</v>
      </c>
      <c r="E14" s="44" t="s">
        <v>21</v>
      </c>
      <c r="F14" s="2"/>
      <c r="G14" s="28"/>
      <c r="H14" s="39" t="s">
        <v>35</v>
      </c>
      <c r="I14" s="40" t="n">
        <v>0</v>
      </c>
      <c r="J14" s="45" t="s">
        <v>24</v>
      </c>
      <c r="K14" s="2"/>
      <c r="L14" s="31" t="s">
        <v>36</v>
      </c>
      <c r="Q14" s="42"/>
    </row>
    <row r="15" customFormat="false" ht="17.25" hidden="false" customHeight="true" outlineLevel="0" collapsed="false">
      <c r="B15" s="48"/>
      <c r="C15" s="49" t="s">
        <v>37</v>
      </c>
      <c r="D15" s="50" t="n">
        <f aca="false">+D14+D12+D10</f>
        <v>144841.691336952</v>
      </c>
      <c r="E15" s="51" t="s">
        <v>21</v>
      </c>
      <c r="F15" s="2"/>
      <c r="G15" s="28"/>
      <c r="H15" s="39" t="s">
        <v>38</v>
      </c>
      <c r="I15" s="40" t="n">
        <f aca="false">197*PROJECTCONFIGURATION!$B$65*0</f>
        <v>0</v>
      </c>
      <c r="J15" s="45" t="s">
        <v>24</v>
      </c>
      <c r="K15" s="2"/>
      <c r="L15" s="31" t="s">
        <v>22</v>
      </c>
      <c r="Q15" s="42"/>
    </row>
    <row r="16" customFormat="false" ht="17.25" hidden="false" customHeight="true" outlineLevel="0" collapsed="false">
      <c r="B16" s="48"/>
      <c r="D16" s="52"/>
      <c r="E16" s="53"/>
      <c r="F16" s="2"/>
      <c r="G16" s="28" t="b">
        <f aca="false">TRUE()</f>
        <v>1</v>
      </c>
      <c r="H16" s="39" t="s">
        <v>39</v>
      </c>
      <c r="I16" s="40" t="n">
        <f aca="false">((24+112+6+30+4)*($M$10/1.23))</f>
        <v>244.936175004966</v>
      </c>
      <c r="J16" s="45" t="s">
        <v>24</v>
      </c>
      <c r="K16" s="2"/>
      <c r="L16" s="31" t="s">
        <v>22</v>
      </c>
      <c r="Q16" s="42"/>
    </row>
    <row r="17" customFormat="false" ht="17.25" hidden="false" customHeight="true" outlineLevel="0" collapsed="false">
      <c r="B17" s="3" t="s">
        <v>40</v>
      </c>
      <c r="C17" s="26"/>
      <c r="D17" s="26"/>
      <c r="E17" s="27"/>
      <c r="F17" s="2"/>
      <c r="G17" s="48"/>
      <c r="H17" s="49" t="s">
        <v>41</v>
      </c>
      <c r="I17" s="54" t="n">
        <f aca="false">SUM(I10:I16)/(D6*12)</f>
        <v>0.610647704296756</v>
      </c>
      <c r="J17" s="55" t="s">
        <v>42</v>
      </c>
      <c r="K17" s="2"/>
      <c r="L17" s="2"/>
      <c r="Q17" s="42"/>
    </row>
    <row r="18" customFormat="false" ht="17.25" hidden="false" customHeight="true" outlineLevel="0" collapsed="false">
      <c r="C18" s="7" t="s">
        <v>43</v>
      </c>
      <c r="D18" s="56" t="n">
        <v>0.3</v>
      </c>
      <c r="E18" s="30" t="s">
        <v>32</v>
      </c>
      <c r="F18" s="2"/>
      <c r="G18" s="2"/>
      <c r="H18" s="57"/>
      <c r="I18" s="58" t="s">
        <v>44</v>
      </c>
      <c r="J18" s="2"/>
      <c r="K18" s="2"/>
      <c r="L18" s="2"/>
      <c r="Q18" s="42"/>
    </row>
    <row r="19" customFormat="false" ht="17.25" hidden="false" customHeight="true" outlineLevel="0" collapsed="false">
      <c r="C19" s="12" t="s">
        <v>45</v>
      </c>
      <c r="D19" s="47" t="n">
        <f aca="false">+D15*D18</f>
        <v>43452.5074010856</v>
      </c>
      <c r="E19" s="44" t="s">
        <v>21</v>
      </c>
      <c r="F19" s="2"/>
      <c r="G19" s="25" t="s">
        <v>46</v>
      </c>
      <c r="H19" s="5"/>
      <c r="I19" s="26"/>
      <c r="J19" s="27"/>
      <c r="K19" s="2"/>
      <c r="L19" s="2"/>
      <c r="Q19" s="42"/>
    </row>
    <row r="20" customFormat="false" ht="17.25" hidden="false" customHeight="true" outlineLevel="0" collapsed="false">
      <c r="C20" s="12" t="s">
        <v>47</v>
      </c>
      <c r="D20" s="59" t="n">
        <f aca="false">+D15-D19</f>
        <v>101389.183935866</v>
      </c>
      <c r="E20" s="44" t="s">
        <v>21</v>
      </c>
      <c r="F20" s="2"/>
      <c r="G20" s="28" t="b">
        <f aca="false">TRUE()</f>
        <v>1</v>
      </c>
      <c r="H20" s="7"/>
      <c r="I20" s="29"/>
      <c r="J20" s="30"/>
      <c r="K20" s="2"/>
      <c r="L20" s="2"/>
      <c r="Q20" s="42"/>
    </row>
    <row r="21" customFormat="false" ht="17.25" hidden="false" customHeight="true" outlineLevel="0" collapsed="false">
      <c r="C21" s="12" t="s">
        <v>48</v>
      </c>
      <c r="D21" s="60" t="n">
        <v>20</v>
      </c>
      <c r="E21" s="38" t="s">
        <v>49</v>
      </c>
      <c r="F21" s="2"/>
      <c r="G21" s="28"/>
      <c r="H21" s="12"/>
      <c r="I21" s="37"/>
      <c r="J21" s="38"/>
      <c r="K21" s="2"/>
      <c r="L21" s="2"/>
      <c r="Q21" s="42"/>
    </row>
    <row r="22" customFormat="false" ht="17.25" hidden="false" customHeight="true" outlineLevel="0" collapsed="false">
      <c r="C22" s="12" t="s">
        <v>50</v>
      </c>
      <c r="D22" s="61" t="n">
        <v>0.08</v>
      </c>
      <c r="E22" s="38" t="s">
        <v>4</v>
      </c>
      <c r="F22" s="2"/>
      <c r="G22" s="28"/>
      <c r="H22" s="12"/>
      <c r="I22" s="62"/>
      <c r="J22" s="44"/>
      <c r="K22" s="2"/>
      <c r="L22" s="2"/>
      <c r="Q22" s="42"/>
    </row>
    <row r="23" customFormat="false" ht="17.25" hidden="false" customHeight="true" outlineLevel="0" collapsed="false">
      <c r="C23" s="12" t="s">
        <v>51</v>
      </c>
      <c r="D23" s="59" t="n">
        <f aca="false">-PMT($D$22/12,$D$21*12,$D$20)*12</f>
        <v>10176.7171207808</v>
      </c>
      <c r="E23" s="44" t="s">
        <v>21</v>
      </c>
      <c r="F23" s="2"/>
      <c r="G23" s="28"/>
      <c r="H23" s="12"/>
      <c r="I23" s="46"/>
      <c r="J23" s="44"/>
      <c r="K23" s="2"/>
      <c r="L23" s="2"/>
      <c r="Q23" s="42"/>
    </row>
    <row r="24" customFormat="false" ht="17.25" hidden="false" customHeight="true" outlineLevel="0" collapsed="false">
      <c r="C24" s="18" t="s">
        <v>51</v>
      </c>
      <c r="D24" s="63" t="n">
        <f aca="false">+D23/12/(IF(PROJECTCONFIGURATION!A1,'OPERATIONAL CHARACTERISTICS'!E12,'OPERATIONAL CHARACTERISTICS'!H12)*PROJECTCONFIGURATION!B65)</f>
        <v>4.18051740148412</v>
      </c>
      <c r="E24" s="64" t="s">
        <v>52</v>
      </c>
      <c r="F24" s="2"/>
      <c r="G24" s="28" t="b">
        <f aca="false">TRUE()</f>
        <v>1</v>
      </c>
      <c r="H24" s="12"/>
      <c r="I24" s="47"/>
      <c r="J24" s="44"/>
      <c r="K24" s="2"/>
      <c r="L24" s="2"/>
    </row>
    <row r="25" customFormat="false" ht="17.25" hidden="false" customHeight="true" outlineLevel="0" collapsed="false">
      <c r="F25" s="2"/>
      <c r="G25" s="48"/>
      <c r="H25" s="12"/>
      <c r="I25" s="47"/>
      <c r="J25" s="44"/>
      <c r="K25" s="2"/>
      <c r="L25" s="2"/>
    </row>
    <row r="26" customFormat="false" ht="17.25" hidden="false" customHeight="true" outlineLevel="0" collapsed="false">
      <c r="A26" s="65"/>
      <c r="B26" s="25" t="s">
        <v>53</v>
      </c>
      <c r="C26" s="5"/>
      <c r="D26" s="26"/>
      <c r="E26" s="27"/>
      <c r="F26" s="66"/>
      <c r="G26" s="2"/>
      <c r="H26" s="18"/>
      <c r="I26" s="19"/>
      <c r="J26" s="67"/>
      <c r="K26" s="2"/>
      <c r="L26" s="2"/>
    </row>
    <row r="27" customFormat="false" ht="17.25" hidden="false" customHeight="true" outlineLevel="0" collapsed="false">
      <c r="A27" s="65"/>
      <c r="B27" s="28"/>
      <c r="C27" s="12" t="s">
        <v>54</v>
      </c>
      <c r="D27" s="68" t="n">
        <f aca="false">+D24+I17</f>
        <v>4.79116510578088</v>
      </c>
      <c r="E27" s="69"/>
      <c r="F27" s="66"/>
      <c r="G27" s="2"/>
      <c r="H27" s="57"/>
      <c r="I27" s="2"/>
      <c r="J27" s="2"/>
      <c r="K27" s="2"/>
      <c r="L27" s="2"/>
    </row>
    <row r="28" customFormat="false" ht="17.25" hidden="false" customHeight="true" outlineLevel="0" collapsed="false">
      <c r="A28" s="65"/>
      <c r="B28" s="28"/>
      <c r="C28" s="12" t="s">
        <v>55</v>
      </c>
      <c r="D28" s="70" t="n">
        <v>6.41</v>
      </c>
      <c r="E28" s="44"/>
      <c r="F28" s="66"/>
      <c r="G28" s="2"/>
      <c r="H28" s="57"/>
      <c r="I28" s="2"/>
      <c r="J28" s="2"/>
      <c r="K28" s="2"/>
      <c r="L28" s="2"/>
    </row>
    <row r="29" customFormat="false" ht="17.25" hidden="false" customHeight="true" outlineLevel="0" collapsed="false">
      <c r="A29" s="65"/>
      <c r="B29" s="28"/>
      <c r="C29" s="12" t="s">
        <v>56</v>
      </c>
      <c r="D29" s="46" t="n">
        <v>0.25</v>
      </c>
      <c r="E29" s="38"/>
      <c r="F29" s="66"/>
      <c r="G29" s="2"/>
      <c r="H29" s="57"/>
      <c r="I29" s="2"/>
      <c r="J29" s="2"/>
      <c r="K29" s="2"/>
      <c r="L29" s="2"/>
    </row>
    <row r="30" customFormat="false" ht="17.25" hidden="false" customHeight="true" outlineLevel="0" collapsed="false">
      <c r="A30" s="65"/>
      <c r="B30" s="28"/>
      <c r="C30" s="12" t="str">
        <f aca="false">REPLACE("XX YEAR IRR",1,2,D21)</f>
        <v>20 YEAR IRR</v>
      </c>
      <c r="D30" s="71" t="n">
        <f aca="false">+IRR(FINANCE!S8:S38)</f>
        <v>0.119959364746891</v>
      </c>
      <c r="E30" s="44"/>
      <c r="F30" s="66"/>
      <c r="G30" s="2"/>
      <c r="H30" s="57"/>
      <c r="I30" s="2"/>
      <c r="J30" s="2"/>
      <c r="K30" s="2"/>
      <c r="L30" s="2"/>
    </row>
    <row r="31" customFormat="false" ht="17.25" hidden="false" customHeight="true" outlineLevel="0" collapsed="false">
      <c r="A31" s="65"/>
      <c r="B31" s="28"/>
      <c r="C31" s="12"/>
      <c r="D31" s="47"/>
      <c r="E31" s="44"/>
      <c r="F31" s="66"/>
      <c r="G31" s="2"/>
      <c r="H31" s="57"/>
      <c r="I31" s="2"/>
      <c r="J31" s="2"/>
      <c r="K31" s="2"/>
      <c r="L31" s="2"/>
    </row>
    <row r="32" customFormat="false" ht="17.25" hidden="false" customHeight="true" outlineLevel="0" collapsed="false">
      <c r="B32" s="48"/>
      <c r="C32" s="49"/>
      <c r="D32" s="50"/>
      <c r="E32" s="51"/>
      <c r="F32" s="2"/>
      <c r="G32" s="2"/>
      <c r="H32" s="57"/>
      <c r="I32" s="2"/>
      <c r="J32" s="2"/>
      <c r="K32" s="2"/>
      <c r="L32" s="2"/>
    </row>
    <row r="33" customFormat="false" ht="17.25" hidden="false" customHeight="true" outlineLevel="0" collapsed="false">
      <c r="C33" s="2"/>
      <c r="D33" s="2"/>
      <c r="E33" s="2"/>
      <c r="F33" s="2"/>
      <c r="G33" s="2"/>
      <c r="H33" s="57"/>
      <c r="I33" s="2"/>
      <c r="J33" s="2"/>
      <c r="K33" s="2"/>
      <c r="L33" s="2"/>
    </row>
    <row r="34" customFormat="false" ht="17.25" hidden="false" customHeight="true" outlineLevel="0" collapsed="false">
      <c r="C34" s="2"/>
      <c r="D34" s="2"/>
      <c r="E34" s="2"/>
      <c r="F34" s="2"/>
      <c r="G34" s="2"/>
      <c r="H34" s="57"/>
      <c r="I34" s="2"/>
      <c r="J34" s="2"/>
      <c r="K34" s="2"/>
      <c r="L34" s="2"/>
    </row>
    <row r="35" customFormat="false" ht="17.25" hidden="false" customHeight="true" outlineLevel="0" collapsed="false">
      <c r="C35" s="2"/>
      <c r="D35" s="2"/>
      <c r="E35" s="2"/>
      <c r="F35" s="2"/>
      <c r="G35" s="2"/>
      <c r="H35" s="57"/>
      <c r="I35" s="2"/>
      <c r="J35" s="2"/>
      <c r="K35" s="2"/>
      <c r="L35" s="2"/>
    </row>
    <row r="36" customFormat="false" ht="17.25" hidden="false" customHeight="true" outlineLevel="0" collapsed="false">
      <c r="C36" s="2"/>
      <c r="D36" s="2"/>
      <c r="E36" s="2"/>
      <c r="F36" s="2"/>
      <c r="G36" s="2"/>
      <c r="H36" s="57"/>
      <c r="I36" s="2"/>
      <c r="J36" s="2"/>
      <c r="K36" s="2"/>
      <c r="L36" s="2"/>
    </row>
    <row r="37" customFormat="false" ht="17.25" hidden="false" customHeight="true" outlineLevel="0" collapsed="false">
      <c r="C37" s="2"/>
      <c r="D37" s="2"/>
      <c r="E37" s="2"/>
      <c r="F37" s="2"/>
      <c r="G37" s="2"/>
      <c r="H37" s="57"/>
      <c r="I37" s="2"/>
      <c r="J37" s="2"/>
      <c r="K37" s="2"/>
      <c r="L37" s="2"/>
    </row>
    <row r="38" customFormat="false" ht="17.25" hidden="false" customHeight="true" outlineLevel="0" collapsed="false">
      <c r="C38" s="2"/>
      <c r="D38" s="2"/>
      <c r="E38" s="2"/>
      <c r="F38" s="2"/>
      <c r="G38" s="2"/>
      <c r="H38" s="57"/>
      <c r="I38" s="2"/>
      <c r="J38" s="2"/>
      <c r="K38" s="2"/>
      <c r="L38" s="2"/>
    </row>
    <row r="39" customFormat="false" ht="17.25" hidden="false" customHeight="true" outlineLevel="0" collapsed="false">
      <c r="C39" s="2"/>
      <c r="D39" s="2"/>
      <c r="E39" s="2"/>
      <c r="F39" s="2"/>
      <c r="G39" s="2"/>
      <c r="H39" s="57"/>
      <c r="I39" s="2"/>
      <c r="J39" s="2"/>
      <c r="K39" s="2"/>
      <c r="L39" s="2"/>
    </row>
    <row r="40" customFormat="false" ht="17.25" hidden="false" customHeight="true" outlineLevel="0" collapsed="false">
      <c r="C40" s="2"/>
      <c r="D40" s="2"/>
      <c r="E40" s="2"/>
      <c r="F40" s="2"/>
      <c r="G40" s="2"/>
      <c r="H40" s="57"/>
      <c r="I40" s="2"/>
      <c r="J40" s="2"/>
      <c r="K40" s="2"/>
      <c r="L40" s="2"/>
    </row>
    <row r="41" customFormat="false" ht="17.25" hidden="false" customHeight="true" outlineLevel="0" collapsed="false">
      <c r="C41" s="2"/>
      <c r="D41" s="2"/>
      <c r="E41" s="2"/>
      <c r="F41" s="2"/>
      <c r="G41" s="2"/>
      <c r="H41" s="57"/>
      <c r="I41" s="2"/>
      <c r="J41" s="2"/>
      <c r="K41" s="2"/>
      <c r="L41" s="2"/>
    </row>
    <row r="42" customFormat="false" ht="17.25" hidden="false" customHeight="true" outlineLevel="0" collapsed="false">
      <c r="C42" s="2"/>
      <c r="D42" s="2"/>
      <c r="E42" s="2"/>
      <c r="F42" s="2"/>
      <c r="G42" s="2"/>
      <c r="H42" s="57"/>
      <c r="I42" s="2"/>
      <c r="J42" s="2"/>
      <c r="K42" s="2"/>
      <c r="L42" s="2"/>
    </row>
    <row r="43" customFormat="false" ht="17.25" hidden="false" customHeight="true" outlineLevel="0" collapsed="false">
      <c r="G43" s="2"/>
      <c r="H43" s="57"/>
      <c r="I43" s="2"/>
      <c r="J43" s="2"/>
      <c r="K43" s="2"/>
      <c r="L43" s="2"/>
    </row>
    <row r="44" customFormat="false" ht="17.25" hidden="false" customHeight="true" outlineLevel="0" collapsed="false">
      <c r="G44" s="2"/>
      <c r="H44" s="57"/>
      <c r="I44" s="2"/>
      <c r="J44" s="2"/>
    </row>
    <row r="45" customFormat="false" ht="17.25" hidden="false" customHeight="true" outlineLevel="0" collapsed="false">
      <c r="G45" s="2"/>
      <c r="H45" s="57"/>
    </row>
    <row r="46" customFormat="false" ht="17.25" hidden="false" customHeight="true" outlineLevel="0" collapsed="false">
      <c r="G46" s="2"/>
      <c r="H46" s="57"/>
    </row>
    <row r="47" customFormat="false" ht="17.25" hidden="false" customHeight="true" outlineLevel="0" collapsed="false">
      <c r="G47" s="2"/>
      <c r="H47" s="57"/>
    </row>
    <row r="48" customFormat="false" ht="12.75" hidden="false" customHeight="false" outlineLevel="0" collapsed="false">
      <c r="G48" s="2"/>
      <c r="H48" s="57"/>
    </row>
    <row r="49" customFormat="false" ht="12.75" hidden="false" customHeight="false" outlineLevel="0" collapsed="false">
      <c r="G49" s="2"/>
      <c r="H49" s="57"/>
    </row>
    <row r="50" customFormat="false" ht="12.75" hidden="false" customHeight="false" outlineLevel="0" collapsed="false">
      <c r="G50" s="2"/>
      <c r="H50" s="57"/>
    </row>
    <row r="51" customFormat="false" ht="12.75" hidden="false" customHeight="false" outlineLevel="0" collapsed="false">
      <c r="G51" s="2"/>
      <c r="H51" s="57"/>
    </row>
    <row r="52" customFormat="false" ht="12.75" hidden="false" customHeight="false" outlineLevel="0" collapsed="false">
      <c r="G52" s="2"/>
      <c r="H52" s="57"/>
    </row>
    <row r="53" customFormat="false" ht="12.75" hidden="false" customHeight="false" outlineLevel="0" collapsed="false">
      <c r="G53" s="2"/>
      <c r="H53" s="57"/>
    </row>
    <row r="54" customFormat="false" ht="12.75" hidden="false" customHeight="false" outlineLevel="0" collapsed="false">
      <c r="G54" s="2"/>
      <c r="H54" s="57"/>
    </row>
    <row r="55" customFormat="false" ht="12.75" hidden="false" customHeight="false" outlineLevel="0" collapsed="false">
      <c r="G55" s="2"/>
      <c r="H55" s="57"/>
    </row>
    <row r="56" customFormat="false" ht="12.75" hidden="false" customHeight="false" outlineLevel="0" collapsed="false">
      <c r="G56" s="2"/>
      <c r="H56" s="57"/>
    </row>
    <row r="57" customFormat="false" ht="12.75" hidden="false" customHeight="false" outlineLevel="0" collapsed="false">
      <c r="G57" s="2"/>
      <c r="H57" s="57"/>
    </row>
    <row r="58" customFormat="false" ht="12.75" hidden="false" customHeight="false" outlineLevel="0" collapsed="false">
      <c r="G58" s="2"/>
      <c r="H58" s="57"/>
    </row>
    <row r="59" customFormat="false" ht="12.75" hidden="false" customHeight="false" outlineLevel="0" collapsed="false">
      <c r="G59" s="2"/>
      <c r="H59" s="57"/>
    </row>
    <row r="60" customFormat="false" ht="12.75" hidden="false" customHeight="false" outlineLevel="0" collapsed="false">
      <c r="G60" s="2"/>
      <c r="H60" s="57"/>
    </row>
    <row r="61" customFormat="false" ht="12.75" hidden="false" customHeight="false" outlineLevel="0" collapsed="false">
      <c r="G61" s="2"/>
      <c r="H61" s="57"/>
    </row>
    <row r="62" customFormat="false" ht="12.75" hidden="false" customHeight="false" outlineLevel="0" collapsed="false">
      <c r="G62" s="2"/>
      <c r="H62" s="57"/>
    </row>
    <row r="63" customFormat="false" ht="12.75" hidden="false" customHeight="false" outlineLevel="0" collapsed="false">
      <c r="G63" s="2"/>
      <c r="H63" s="57"/>
    </row>
    <row r="64" customFormat="false" ht="12.75" hidden="false" customHeight="false" outlineLevel="0" collapsed="false">
      <c r="G64" s="2"/>
      <c r="H64" s="57"/>
    </row>
    <row r="65" customFormat="false" ht="12.75" hidden="false" customHeight="false" outlineLevel="0" collapsed="false">
      <c r="G65" s="2"/>
      <c r="H65" s="57"/>
    </row>
    <row r="66" customFormat="false" ht="12.75" hidden="false" customHeight="false" outlineLevel="0" collapsed="false">
      <c r="G66" s="2"/>
      <c r="H66" s="57"/>
    </row>
    <row r="67" customFormat="false" ht="12.75" hidden="false" customHeight="false" outlineLevel="0" collapsed="false">
      <c r="G67" s="2"/>
      <c r="H67" s="57"/>
    </row>
    <row r="68" customFormat="false" ht="12.75" hidden="false" customHeight="false" outlineLevel="0" collapsed="false">
      <c r="G68" s="2"/>
      <c r="H68" s="57"/>
    </row>
    <row r="69" customFormat="false" ht="12.75" hidden="false" customHeight="false" outlineLevel="0" collapsed="false">
      <c r="G69" s="2"/>
      <c r="H69" s="57"/>
    </row>
    <row r="70" customFormat="false" ht="12.75" hidden="false" customHeight="false" outlineLevel="0" collapsed="false">
      <c r="G70" s="2"/>
      <c r="H70" s="57"/>
    </row>
    <row r="71" customFormat="false" ht="12.75" hidden="false" customHeight="false" outlineLevel="0" collapsed="false">
      <c r="G71" s="2"/>
      <c r="H71" s="57"/>
    </row>
    <row r="72" customFormat="false" ht="12.75" hidden="false" customHeight="false" outlineLevel="0" collapsed="false">
      <c r="G72" s="2"/>
      <c r="H72" s="57"/>
    </row>
    <row r="73" customFormat="false" ht="12.75" hidden="false" customHeight="false" outlineLevel="0" collapsed="false">
      <c r="G73" s="2"/>
      <c r="H73" s="57"/>
    </row>
    <row r="74" customFormat="false" ht="12.75" hidden="false" customHeight="false" outlineLevel="0" collapsed="false">
      <c r="G74" s="2"/>
      <c r="H74" s="57"/>
    </row>
    <row r="75" customFormat="false" ht="12.75" hidden="false" customHeight="false" outlineLevel="0" collapsed="false">
      <c r="G75" s="2"/>
      <c r="H75" s="57"/>
    </row>
    <row r="76" customFormat="false" ht="12.75" hidden="false" customHeight="false" outlineLevel="0" collapsed="false">
      <c r="G76" s="2"/>
      <c r="H76" s="57"/>
    </row>
    <row r="77" customFormat="false" ht="12.75" hidden="false" customHeight="false" outlineLevel="0" collapsed="false">
      <c r="G77" s="2"/>
      <c r="H77" s="57"/>
    </row>
    <row r="78" customFormat="false" ht="12.75" hidden="false" customHeight="false" outlineLevel="0" collapsed="false">
      <c r="G78" s="2"/>
      <c r="H78" s="57"/>
    </row>
    <row r="79" customFormat="false" ht="12.75" hidden="false" customHeight="false" outlineLevel="0" collapsed="false">
      <c r="G79" s="2"/>
      <c r="H79" s="57"/>
    </row>
    <row r="80" customFormat="false" ht="12.75" hidden="false" customHeight="false" outlineLevel="0" collapsed="false">
      <c r="G80" s="2"/>
      <c r="H80" s="57"/>
    </row>
    <row r="81" customFormat="false" ht="12.75" hidden="false" customHeight="false" outlineLevel="0" collapsed="false">
      <c r="G81" s="2"/>
      <c r="H81" s="57"/>
    </row>
    <row r="82" customFormat="false" ht="12.75" hidden="false" customHeight="false" outlineLevel="0" collapsed="false">
      <c r="G82" s="2"/>
      <c r="H82" s="57"/>
    </row>
    <row r="83" customFormat="false" ht="12.75" hidden="false" customHeight="false" outlineLevel="0" collapsed="false">
      <c r="G83" s="2"/>
      <c r="H83" s="57"/>
    </row>
    <row r="84" customFormat="false" ht="12.75" hidden="false" customHeight="false" outlineLevel="0" collapsed="false">
      <c r="G84" s="2"/>
      <c r="H84" s="57"/>
    </row>
    <row r="85" customFormat="false" ht="12.75" hidden="false" customHeight="false" outlineLevel="0" collapsed="false">
      <c r="G85" s="2"/>
      <c r="H85" s="57"/>
    </row>
    <row r="86" customFormat="false" ht="12.75" hidden="false" customHeight="false" outlineLevel="0" collapsed="false">
      <c r="G86" s="2"/>
      <c r="H86" s="57"/>
    </row>
    <row r="87" customFormat="false" ht="12.75" hidden="false" customHeight="false" outlineLevel="0" collapsed="false">
      <c r="G87" s="2"/>
      <c r="H87" s="57"/>
    </row>
    <row r="88" customFormat="false" ht="12.75" hidden="false" customHeight="false" outlineLevel="0" collapsed="false">
      <c r="G88" s="2"/>
      <c r="H88" s="57"/>
    </row>
    <row r="89" customFormat="false" ht="12.75" hidden="false" customHeight="false" outlineLevel="0" collapsed="false">
      <c r="G89" s="2"/>
      <c r="H89" s="57"/>
    </row>
    <row r="90" customFormat="false" ht="12.75" hidden="false" customHeight="false" outlineLevel="0" collapsed="false">
      <c r="G90" s="2"/>
      <c r="H90" s="57"/>
    </row>
    <row r="91" customFormat="false" ht="12.75" hidden="false" customHeight="false" outlineLevel="0" collapsed="false">
      <c r="G91" s="2"/>
      <c r="H91" s="57"/>
    </row>
    <row r="92" customFormat="false" ht="12.75" hidden="false" customHeight="false" outlineLevel="0" collapsed="false">
      <c r="G92" s="2"/>
      <c r="H92" s="57"/>
    </row>
    <row r="93" customFormat="false" ht="12.75" hidden="false" customHeight="false" outlineLevel="0" collapsed="false">
      <c r="G93" s="2"/>
      <c r="H93" s="57"/>
    </row>
    <row r="94" customFormat="false" ht="12.75" hidden="false" customHeight="false" outlineLevel="0" collapsed="false">
      <c r="G94" s="2"/>
      <c r="H94" s="57"/>
    </row>
    <row r="95" customFormat="false" ht="12.75" hidden="false" customHeight="false" outlineLevel="0" collapsed="false">
      <c r="G95" s="2"/>
      <c r="H95" s="57"/>
    </row>
    <row r="96" customFormat="false" ht="12.75" hidden="false" customHeight="false" outlineLevel="0" collapsed="false">
      <c r="G96" s="2"/>
      <c r="H96" s="57"/>
    </row>
    <row r="97" customFormat="false" ht="12.75" hidden="false" customHeight="false" outlineLevel="0" collapsed="false">
      <c r="G97" s="2"/>
      <c r="H97" s="57"/>
    </row>
    <row r="98" customFormat="false" ht="12.75" hidden="false" customHeight="false" outlineLevel="0" collapsed="false">
      <c r="G98" s="2"/>
      <c r="H98" s="57"/>
    </row>
    <row r="99" customFormat="false" ht="12.75" hidden="false" customHeight="false" outlineLevel="0" collapsed="false">
      <c r="G99" s="2"/>
      <c r="H99" s="57"/>
    </row>
    <row r="100" customFormat="false" ht="12.75" hidden="false" customHeight="false" outlineLevel="0" collapsed="false">
      <c r="G100" s="2"/>
      <c r="H100" s="57"/>
    </row>
    <row r="101" customFormat="false" ht="12.75" hidden="false" customHeight="false" outlineLevel="0" collapsed="false">
      <c r="G101" s="2"/>
      <c r="H101" s="57"/>
    </row>
    <row r="102" customFormat="false" ht="12.75" hidden="false" customHeight="false" outlineLevel="0" collapsed="false">
      <c r="G102" s="2"/>
      <c r="H102" s="57"/>
    </row>
    <row r="103" customFormat="false" ht="12.75" hidden="false" customHeight="false" outlineLevel="0" collapsed="false">
      <c r="G103" s="2"/>
      <c r="H103" s="57"/>
    </row>
    <row r="104" customFormat="false" ht="12.75" hidden="false" customHeight="false" outlineLevel="0" collapsed="false">
      <c r="G104" s="2"/>
      <c r="H104" s="57"/>
    </row>
    <row r="105" customFormat="false" ht="12.75" hidden="false" customHeight="false" outlineLevel="0" collapsed="false">
      <c r="G105" s="2"/>
      <c r="H105" s="57"/>
    </row>
    <row r="106" customFormat="false" ht="12.75" hidden="false" customHeight="false" outlineLevel="0" collapsed="false">
      <c r="G106" s="2"/>
      <c r="H106" s="57"/>
    </row>
    <row r="107" customFormat="false" ht="12.75" hidden="false" customHeight="false" outlineLevel="0" collapsed="false">
      <c r="G107" s="2"/>
      <c r="H107" s="57"/>
    </row>
    <row r="108" customFormat="false" ht="12.75" hidden="false" customHeight="false" outlineLevel="0" collapsed="false">
      <c r="G108" s="2"/>
      <c r="H108" s="57"/>
    </row>
    <row r="109" customFormat="false" ht="12.75" hidden="false" customHeight="false" outlineLevel="0" collapsed="false">
      <c r="G109" s="2"/>
      <c r="H109" s="57"/>
    </row>
    <row r="110" customFormat="false" ht="12.75" hidden="false" customHeight="false" outlineLevel="0" collapsed="false">
      <c r="G110" s="2"/>
      <c r="H110" s="57"/>
    </row>
    <row r="111" customFormat="false" ht="12.75" hidden="false" customHeight="false" outlineLevel="0" collapsed="false">
      <c r="G111" s="2"/>
      <c r="H111" s="57"/>
    </row>
    <row r="112" customFormat="false" ht="12.75" hidden="false" customHeight="false" outlineLevel="0" collapsed="false">
      <c r="G112" s="2"/>
      <c r="H112" s="57"/>
    </row>
    <row r="113" customFormat="false" ht="12.75" hidden="false" customHeight="false" outlineLevel="0" collapsed="false">
      <c r="G113" s="2"/>
      <c r="H113" s="57"/>
    </row>
    <row r="114" customFormat="false" ht="12.75" hidden="false" customHeight="false" outlineLevel="0" collapsed="false">
      <c r="G114" s="2"/>
      <c r="H114" s="57"/>
    </row>
    <row r="115" customFormat="false" ht="12.75" hidden="false" customHeight="false" outlineLevel="0" collapsed="false">
      <c r="G115" s="2"/>
      <c r="H115" s="57"/>
    </row>
    <row r="116" customFormat="false" ht="12.75" hidden="false" customHeight="false" outlineLevel="0" collapsed="false">
      <c r="G116" s="2"/>
      <c r="H116" s="57"/>
    </row>
    <row r="117" customFormat="false" ht="12.75" hidden="false" customHeight="false" outlineLevel="0" collapsed="false">
      <c r="G117" s="2"/>
      <c r="H117" s="57"/>
    </row>
    <row r="118" customFormat="false" ht="12.75" hidden="false" customHeight="false" outlineLevel="0" collapsed="false">
      <c r="G118" s="2"/>
      <c r="H118" s="57"/>
    </row>
    <row r="119" customFormat="false" ht="12.75" hidden="false" customHeight="false" outlineLevel="0" collapsed="false">
      <c r="G119" s="2"/>
      <c r="H119" s="57"/>
    </row>
    <row r="120" customFormat="false" ht="12.75" hidden="false" customHeight="false" outlineLevel="0" collapsed="false">
      <c r="G120" s="2"/>
      <c r="H120" s="57"/>
    </row>
    <row r="121" customFormat="false" ht="12.75" hidden="false" customHeight="false" outlineLevel="0" collapsed="false">
      <c r="G121" s="2"/>
      <c r="H121" s="57"/>
    </row>
    <row r="122" customFormat="false" ht="12.75" hidden="false" customHeight="false" outlineLevel="0" collapsed="false">
      <c r="G122" s="2"/>
      <c r="H122" s="57"/>
    </row>
    <row r="123" customFormat="false" ht="12.75" hidden="false" customHeight="false" outlineLevel="0" collapsed="false">
      <c r="G123" s="2"/>
      <c r="H123" s="57"/>
    </row>
    <row r="124" customFormat="false" ht="12.75" hidden="false" customHeight="false" outlineLevel="0" collapsed="false">
      <c r="G124" s="2"/>
      <c r="H124" s="57"/>
    </row>
    <row r="125" customFormat="false" ht="12.75" hidden="false" customHeight="false" outlineLevel="0" collapsed="false">
      <c r="G125" s="2"/>
      <c r="H125" s="57"/>
    </row>
    <row r="126" customFormat="false" ht="12.75" hidden="false" customHeight="false" outlineLevel="0" collapsed="false">
      <c r="G126" s="2"/>
      <c r="H126" s="57"/>
    </row>
    <row r="127" customFormat="false" ht="12.75" hidden="false" customHeight="false" outlineLevel="0" collapsed="false">
      <c r="G127" s="2"/>
      <c r="H127" s="57"/>
    </row>
    <row r="128" customFormat="false" ht="12.75" hidden="false" customHeight="false" outlineLevel="0" collapsed="false">
      <c r="G128" s="2"/>
      <c r="H128" s="57"/>
    </row>
    <row r="129" customFormat="false" ht="12.75" hidden="false" customHeight="false" outlineLevel="0" collapsed="false">
      <c r="G129" s="2"/>
      <c r="H129" s="57"/>
    </row>
    <row r="130" customFormat="false" ht="12.75" hidden="false" customHeight="false" outlineLevel="0" collapsed="false">
      <c r="G130" s="2"/>
      <c r="H130" s="57"/>
    </row>
    <row r="131" customFormat="false" ht="12.75" hidden="false" customHeight="false" outlineLevel="0" collapsed="false">
      <c r="G131" s="2"/>
      <c r="H131" s="57"/>
    </row>
    <row r="132" customFormat="false" ht="12.75" hidden="false" customHeight="false" outlineLevel="0" collapsed="false">
      <c r="G132" s="2"/>
      <c r="H132" s="57"/>
    </row>
    <row r="133" customFormat="false" ht="12.75" hidden="false" customHeight="false" outlineLevel="0" collapsed="false">
      <c r="G133" s="2"/>
      <c r="H133" s="57"/>
    </row>
    <row r="134" customFormat="false" ht="12.75" hidden="false" customHeight="false" outlineLevel="0" collapsed="false">
      <c r="G134" s="2"/>
      <c r="H134" s="57"/>
    </row>
    <row r="135" customFormat="false" ht="12.75" hidden="false" customHeight="false" outlineLevel="0" collapsed="false">
      <c r="G135" s="2"/>
      <c r="H135" s="57"/>
    </row>
    <row r="136" customFormat="false" ht="12.75" hidden="false" customHeight="false" outlineLevel="0" collapsed="false">
      <c r="G136" s="2"/>
      <c r="H136" s="57"/>
    </row>
    <row r="137" customFormat="false" ht="12.75" hidden="false" customHeight="false" outlineLevel="0" collapsed="false">
      <c r="G137" s="2"/>
      <c r="H137" s="57"/>
    </row>
    <row r="138" customFormat="false" ht="12.75" hidden="false" customHeight="false" outlineLevel="0" collapsed="false">
      <c r="G138" s="2"/>
      <c r="H138" s="57"/>
    </row>
    <row r="139" customFormat="false" ht="12.75" hidden="false" customHeight="false" outlineLevel="0" collapsed="false">
      <c r="G139" s="2"/>
      <c r="H139" s="57"/>
    </row>
    <row r="140" customFormat="false" ht="12.75" hidden="false" customHeight="false" outlineLevel="0" collapsed="false">
      <c r="G140" s="2"/>
      <c r="H140" s="57"/>
    </row>
    <row r="141" customFormat="false" ht="12.75" hidden="false" customHeight="false" outlineLevel="0" collapsed="false">
      <c r="G141" s="2"/>
      <c r="H141" s="57"/>
    </row>
    <row r="142" customFormat="false" ht="12.75" hidden="false" customHeight="false" outlineLevel="0" collapsed="false">
      <c r="G142" s="2"/>
      <c r="H142" s="57"/>
    </row>
    <row r="143" customFormat="false" ht="12.75" hidden="false" customHeight="false" outlineLevel="0" collapsed="false">
      <c r="G143" s="2"/>
      <c r="H143" s="57"/>
    </row>
    <row r="144" customFormat="false" ht="12.75" hidden="false" customHeight="false" outlineLevel="0" collapsed="false">
      <c r="G144" s="2"/>
      <c r="H144" s="57"/>
    </row>
    <row r="226" customFormat="false" ht="12.75" hidden="false" customHeight="false" outlineLevel="0" collapsed="false">
      <c r="Q226" s="42"/>
    </row>
    <row r="370" customFormat="false" ht="12.75" hidden="false" customHeight="false" outlineLevel="0" collapsed="false">
      <c r="BA370" s="72"/>
      <c r="BB370" s="72"/>
      <c r="BC370" s="72"/>
    </row>
    <row r="371" customFormat="false" ht="12.75" hidden="false" customHeight="false" outlineLevel="0" collapsed="false">
      <c r="BA371" s="72"/>
      <c r="BB371" s="72"/>
      <c r="BC371" s="72"/>
    </row>
    <row r="372" customFormat="false" ht="12.75" hidden="false" customHeight="false" outlineLevel="0" collapsed="false">
      <c r="BA372" s="72"/>
      <c r="BB372" s="72"/>
      <c r="BC372" s="72"/>
    </row>
    <row r="373" customFormat="false" ht="12.75" hidden="false" customHeight="false" outlineLevel="0" collapsed="false">
      <c r="BA373" s="72"/>
      <c r="BB373" s="72"/>
      <c r="BC373" s="72"/>
    </row>
    <row r="374" customFormat="false" ht="12.75" hidden="false" customHeight="false" outlineLevel="0" collapsed="false">
      <c r="BA374" s="72"/>
      <c r="BB374" s="72"/>
      <c r="BC374" s="72"/>
    </row>
    <row r="375" customFormat="false" ht="12.75" hidden="false" customHeight="false" outlineLevel="0" collapsed="false">
      <c r="BA375" s="72"/>
      <c r="BB375" s="72"/>
      <c r="BC375" s="72"/>
    </row>
    <row r="376" customFormat="false" ht="12.75" hidden="false" customHeight="false" outlineLevel="0" collapsed="false">
      <c r="BA376" s="72"/>
      <c r="BB376" s="72"/>
      <c r="BC376" s="72"/>
    </row>
    <row r="377" customFormat="false" ht="12.75" hidden="false" customHeight="false" outlineLevel="0" collapsed="false">
      <c r="BA377" s="72"/>
      <c r="BB377" s="72"/>
      <c r="BC377" s="72"/>
    </row>
    <row r="378" customFormat="false" ht="12.75" hidden="false" customHeight="false" outlineLevel="0" collapsed="false">
      <c r="BA378" s="72"/>
      <c r="BB378" s="72"/>
      <c r="BC378" s="72"/>
    </row>
    <row r="379" customFormat="false" ht="12.75" hidden="false" customHeight="false" outlineLevel="0" collapsed="false">
      <c r="BA379" s="72"/>
      <c r="BB379" s="72"/>
      <c r="BC379" s="72"/>
    </row>
    <row r="380" customFormat="false" ht="12.75" hidden="false" customHeight="false" outlineLevel="0" collapsed="false">
      <c r="BA380" s="72"/>
      <c r="BB380" s="72"/>
      <c r="BC380" s="72"/>
    </row>
    <row r="381" customFormat="false" ht="12.75" hidden="false" customHeight="false" outlineLevel="0" collapsed="false">
      <c r="BA381" s="72"/>
      <c r="BB381" s="72"/>
      <c r="BC381" s="72"/>
    </row>
    <row r="382" customFormat="false" ht="12.75" hidden="false" customHeight="false" outlineLevel="0" collapsed="false">
      <c r="BA382" s="72"/>
      <c r="BB382" s="72"/>
      <c r="BC382" s="72"/>
    </row>
    <row r="383" customFormat="false" ht="12.75" hidden="false" customHeight="false" outlineLevel="0" collapsed="false">
      <c r="BA383" s="72"/>
      <c r="BB383" s="72"/>
      <c r="BC383" s="72"/>
    </row>
    <row r="384" customFormat="false" ht="12.75" hidden="false" customHeight="false" outlineLevel="0" collapsed="false">
      <c r="BA384" s="72"/>
      <c r="BB384" s="72"/>
      <c r="BC384" s="72"/>
    </row>
    <row r="385" customFormat="false" ht="12.75" hidden="false" customHeight="false" outlineLevel="0" collapsed="false">
      <c r="BA385" s="72"/>
      <c r="BB385" s="72"/>
      <c r="BC385" s="72"/>
    </row>
    <row r="386" customFormat="false" ht="12.75" hidden="false" customHeight="false" outlineLevel="0" collapsed="false">
      <c r="BA386" s="72"/>
      <c r="BB386" s="72"/>
      <c r="BC386" s="72"/>
    </row>
    <row r="387" customFormat="false" ht="12.75" hidden="false" customHeight="false" outlineLevel="0" collapsed="false">
      <c r="BA387" s="72"/>
      <c r="BB387" s="72"/>
      <c r="BC387" s="72"/>
    </row>
    <row r="388" customFormat="false" ht="12.75" hidden="false" customHeight="false" outlineLevel="0" collapsed="false">
      <c r="BA388" s="72"/>
      <c r="BB388" s="72"/>
      <c r="BC388" s="72"/>
    </row>
    <row r="389" customFormat="false" ht="12.75" hidden="false" customHeight="false" outlineLevel="0" collapsed="false">
      <c r="BA389" s="72"/>
      <c r="BB389" s="72"/>
      <c r="BC389" s="72"/>
    </row>
    <row r="390" customFormat="false" ht="12.75" hidden="false" customHeight="false" outlineLevel="0" collapsed="false">
      <c r="BA390" s="72"/>
      <c r="BB390" s="72"/>
      <c r="BC390" s="72"/>
    </row>
    <row r="391" customFormat="false" ht="12.75" hidden="false" customHeight="false" outlineLevel="0" collapsed="false">
      <c r="BA391" s="72"/>
      <c r="BB391" s="72"/>
      <c r="BC391" s="72"/>
    </row>
    <row r="392" customFormat="false" ht="12.75" hidden="false" customHeight="false" outlineLevel="0" collapsed="false">
      <c r="BA392" s="72"/>
      <c r="BB392" s="72"/>
      <c r="BC392" s="72"/>
    </row>
    <row r="393" customFormat="false" ht="12.75" hidden="false" customHeight="false" outlineLevel="0" collapsed="false">
      <c r="BA393" s="72"/>
      <c r="BB393" s="72"/>
      <c r="BC393" s="72"/>
    </row>
    <row r="394" customFormat="false" ht="12.75" hidden="false" customHeight="false" outlineLevel="0" collapsed="false">
      <c r="BA394" s="72"/>
      <c r="BB394" s="72"/>
      <c r="BC394" s="72"/>
    </row>
    <row r="395" customFormat="false" ht="12.75" hidden="false" customHeight="false" outlineLevel="0" collapsed="false">
      <c r="BA395" s="72"/>
      <c r="BB395" s="72"/>
      <c r="BC395" s="72"/>
    </row>
    <row r="396" customFormat="false" ht="12.75" hidden="false" customHeight="false" outlineLevel="0" collapsed="false">
      <c r="BA396" s="72"/>
      <c r="BB396" s="72"/>
      <c r="BC396" s="72"/>
    </row>
    <row r="397" customFormat="false" ht="12.75" hidden="false" customHeight="false" outlineLevel="0" collapsed="false">
      <c r="BA397" s="72"/>
      <c r="BB397" s="72"/>
      <c r="BC397" s="72"/>
    </row>
    <row r="398" customFormat="false" ht="12.75" hidden="false" customHeight="false" outlineLevel="0" collapsed="false">
      <c r="BA398" s="72"/>
      <c r="BB398" s="72"/>
      <c r="BC398" s="72"/>
    </row>
    <row r="399" customFormat="false" ht="12.75" hidden="false" customHeight="false" outlineLevel="0" collapsed="false">
      <c r="BA399" s="72"/>
      <c r="BB399" s="72"/>
      <c r="BC399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4" activeCellId="0" sqref="I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3" width="3.7"/>
    <col collapsed="false" customWidth="true" hidden="false" outlineLevel="0" max="2" min="2" style="73" width="35.42"/>
    <col collapsed="false" customWidth="false" hidden="false" outlineLevel="0" max="4" min="3" style="73" width="9.14"/>
    <col collapsed="false" customWidth="true" hidden="false" outlineLevel="0" max="5" min="5" style="73" width="10.28"/>
    <col collapsed="false" customWidth="false" hidden="false" outlineLevel="0" max="6" min="6" style="73" width="9.14"/>
    <col collapsed="false" customWidth="true" hidden="false" outlineLevel="0" max="7" min="7" style="73" width="11.28"/>
    <col collapsed="false" customWidth="false" hidden="false" outlineLevel="0" max="8" min="8" style="73" width="9.14"/>
    <col collapsed="false" customWidth="true" hidden="false" outlineLevel="0" max="9" min="9" style="73" width="11.28"/>
    <col collapsed="false" customWidth="false" hidden="false" outlineLevel="0" max="257" min="10" style="73" width="9.14"/>
  </cols>
  <sheetData>
    <row r="1" customFormat="false" ht="36.75" hidden="false" customHeight="true" outlineLevel="0" collapsed="false">
      <c r="A1" s="74" t="b">
        <f aca="false">FALSE()</f>
        <v>0</v>
      </c>
      <c r="B1" s="3" t="s">
        <v>57</v>
      </c>
      <c r="C1" s="75"/>
      <c r="D1" s="75"/>
      <c r="E1" s="75"/>
      <c r="F1" s="75"/>
      <c r="G1" s="75"/>
      <c r="H1" s="75"/>
      <c r="I1" s="75"/>
      <c r="J1" s="75"/>
      <c r="K1" s="76"/>
    </row>
    <row r="2" customFormat="false" ht="11.25" hidden="false" customHeight="true" outlineLevel="0" collapsed="false">
      <c r="B2" s="77"/>
      <c r="C2" s="78"/>
      <c r="D2" s="78"/>
      <c r="E2" s="78"/>
      <c r="F2" s="78"/>
      <c r="G2" s="78"/>
      <c r="H2" s="78"/>
      <c r="I2" s="78"/>
      <c r="J2" s="78"/>
      <c r="K2" s="79"/>
    </row>
    <row r="3" customFormat="false" ht="17.25" hidden="false" customHeight="true" outlineLevel="0" collapsed="false">
      <c r="B3" s="80"/>
      <c r="C3" s="81" t="s">
        <v>58</v>
      </c>
      <c r="D3" s="82"/>
      <c r="E3" s="81" t="s">
        <v>59</v>
      </c>
      <c r="F3" s="81"/>
      <c r="G3" s="81" t="s">
        <v>60</v>
      </c>
      <c r="H3" s="82"/>
      <c r="I3" s="81" t="s">
        <v>61</v>
      </c>
      <c r="J3" s="83"/>
      <c r="K3" s="84" t="s">
        <v>62</v>
      </c>
    </row>
    <row r="4" customFormat="false" ht="17.25" hidden="false" customHeight="true" outlineLevel="0" collapsed="false">
      <c r="B4" s="85" t="s">
        <v>63</v>
      </c>
      <c r="C4" s="86"/>
      <c r="D4" s="86"/>
      <c r="E4" s="62" t="n">
        <f aca="false">IF(B65=0,0,HLOOKUP(B65,SOURCEDATA!B3:K4,2)/B65)</f>
        <v>14012</v>
      </c>
      <c r="F4" s="87"/>
      <c r="G4" s="88" t="n">
        <v>0</v>
      </c>
      <c r="H4" s="86"/>
      <c r="I4" s="62" t="n">
        <f aca="false">B65*E4+G4</f>
        <v>84072</v>
      </c>
      <c r="J4" s="89"/>
      <c r="K4" s="90" t="n">
        <f aca="false">+I4/($B$65*'OPERATIONAL CHARACTERISTICS'!$B$12)</f>
        <v>307.388557388557</v>
      </c>
      <c r="L4" s="73" t="s">
        <v>22</v>
      </c>
    </row>
    <row r="5" customFormat="false" ht="17.25" hidden="false" customHeight="true" outlineLevel="0" collapsed="false">
      <c r="B5" s="91"/>
      <c r="C5" s="92"/>
      <c r="D5" s="92"/>
      <c r="E5" s="93"/>
      <c r="F5" s="93"/>
      <c r="G5" s="93"/>
      <c r="H5" s="92"/>
      <c r="I5" s="93"/>
      <c r="J5" s="94"/>
      <c r="K5" s="95"/>
    </row>
    <row r="6" customFormat="false" ht="17.25" hidden="false" customHeight="true" outlineLevel="0" collapsed="false">
      <c r="B6" s="80"/>
      <c r="C6" s="81" t="s">
        <v>64</v>
      </c>
      <c r="D6" s="96"/>
      <c r="E6" s="81" t="s">
        <v>59</v>
      </c>
      <c r="F6" s="83"/>
      <c r="G6" s="81" t="s">
        <v>60</v>
      </c>
      <c r="H6" s="96"/>
      <c r="I6" s="81" t="s">
        <v>61</v>
      </c>
      <c r="J6" s="83"/>
      <c r="K6" s="84" t="s">
        <v>62</v>
      </c>
    </row>
    <row r="7" customFormat="false" ht="17.25" hidden="false" customHeight="true" outlineLevel="0" collapsed="false">
      <c r="B7" s="85" t="s">
        <v>65</v>
      </c>
      <c r="C7" s="97"/>
      <c r="D7" s="86"/>
      <c r="E7" s="62" t="n">
        <f aca="false">+I7/$B$65</f>
        <v>7840.11640769962</v>
      </c>
      <c r="F7" s="89"/>
      <c r="G7" s="98" t="n">
        <v>0</v>
      </c>
      <c r="H7" s="86"/>
      <c r="I7" s="62" t="n">
        <f aca="false">(1+IF(G65,SOURCEDATA!B36,0))*(IF(B65=0,0,HLOOKUP(B65,SOURCEDATA!B3:K6,4))+G7)</f>
        <v>47040.6984461977</v>
      </c>
      <c r="J7" s="89"/>
      <c r="K7" s="90" t="n">
        <f aca="false">+I7/($B$65*'OPERATIONAL CHARACTERISTICS'!$B$12)</f>
        <v>171.992725686636</v>
      </c>
    </row>
    <row r="8" customFormat="false" ht="6.75" hidden="false" customHeight="true" outlineLevel="0" collapsed="false">
      <c r="B8" s="91"/>
      <c r="C8" s="92"/>
      <c r="D8" s="92"/>
      <c r="E8" s="93"/>
      <c r="F8" s="93"/>
      <c r="G8" s="93"/>
      <c r="H8" s="92"/>
      <c r="I8" s="93"/>
      <c r="J8" s="94"/>
      <c r="K8" s="95"/>
    </row>
    <row r="9" customFormat="false" ht="17.25" hidden="false" customHeight="true" outlineLevel="0" collapsed="false">
      <c r="B9" s="99"/>
      <c r="C9" s="81" t="s">
        <v>66</v>
      </c>
      <c r="D9" s="96"/>
      <c r="E9" s="100" t="s">
        <v>67</v>
      </c>
      <c r="F9" s="100"/>
      <c r="G9" s="81" t="s">
        <v>60</v>
      </c>
      <c r="H9" s="96"/>
      <c r="I9" s="81" t="s">
        <v>61</v>
      </c>
      <c r="J9" s="83"/>
      <c r="K9" s="84" t="s">
        <v>62</v>
      </c>
    </row>
    <row r="10" customFormat="false" ht="17.25" hidden="false" customHeight="true" outlineLevel="0" collapsed="false">
      <c r="B10" s="85" t="s">
        <v>68</v>
      </c>
      <c r="C10" s="86"/>
      <c r="D10" s="86"/>
      <c r="E10" s="86"/>
      <c r="F10" s="86"/>
      <c r="G10" s="88" t="n">
        <v>0</v>
      </c>
      <c r="H10" s="86"/>
      <c r="I10" s="62" t="n">
        <f aca="false">IF(D65=0,0,PROJECTCONFIGURATION!$C$65*HLOOKUP(PROJECTCONFIGURATION!D65,SOURCEDATA!B8:E9,2))+G10</f>
        <v>0</v>
      </c>
      <c r="J10" s="89"/>
      <c r="K10" s="90" t="n">
        <f aca="false">+I10/($B$65*'OPERATIONAL CHARACTERISTICS'!$B$12)</f>
        <v>0</v>
      </c>
    </row>
    <row r="11" customFormat="false" ht="6" hidden="false" customHeight="true" outlineLevel="0" collapsed="false">
      <c r="B11" s="101"/>
      <c r="C11" s="92"/>
      <c r="D11" s="92"/>
      <c r="E11" s="92"/>
      <c r="F11" s="92"/>
      <c r="G11" s="92"/>
      <c r="H11" s="92"/>
      <c r="I11" s="92"/>
      <c r="J11" s="94"/>
      <c r="K11" s="95"/>
    </row>
    <row r="12" customFormat="false" ht="17.25" hidden="false" customHeight="true" outlineLevel="0" collapsed="false">
      <c r="B12" s="80"/>
      <c r="C12" s="81" t="s">
        <v>69</v>
      </c>
      <c r="D12" s="96"/>
      <c r="E12" s="81" t="s">
        <v>70</v>
      </c>
      <c r="F12" s="96"/>
      <c r="G12" s="81" t="s">
        <v>60</v>
      </c>
      <c r="H12" s="96"/>
      <c r="I12" s="81" t="s">
        <v>61</v>
      </c>
      <c r="J12" s="83"/>
      <c r="K12" s="84" t="s">
        <v>62</v>
      </c>
    </row>
    <row r="13" customFormat="false" ht="17.25" hidden="false" customHeight="true" outlineLevel="0" collapsed="false">
      <c r="B13" s="85" t="s">
        <v>71</v>
      </c>
      <c r="C13" s="86"/>
      <c r="D13" s="86"/>
      <c r="E13" s="86"/>
      <c r="F13" s="86"/>
      <c r="G13" s="88" t="n">
        <v>0</v>
      </c>
      <c r="H13" s="86"/>
      <c r="I13" s="62" t="n">
        <f aca="false">IF(E67,VLOOKUP(B65,SOURCEDATA!B12:H25,RANK(E66,E68:E74,1)),0)+G13</f>
        <v>0</v>
      </c>
      <c r="J13" s="89"/>
      <c r="K13" s="90" t="n">
        <f aca="false">+I13/($B$65*'OPERATIONAL CHARACTERISTICS'!$B$12)</f>
        <v>0</v>
      </c>
    </row>
    <row r="14" customFormat="false" ht="5.25" hidden="false" customHeight="true" outlineLevel="0" collapsed="false">
      <c r="B14" s="101"/>
      <c r="C14" s="92"/>
      <c r="D14" s="92"/>
      <c r="E14" s="92"/>
      <c r="F14" s="92"/>
      <c r="G14" s="92"/>
      <c r="H14" s="92"/>
      <c r="I14" s="92"/>
      <c r="J14" s="94"/>
      <c r="K14" s="95"/>
    </row>
    <row r="15" customFormat="false" ht="17.25" hidden="false" customHeight="true" outlineLevel="0" collapsed="false">
      <c r="B15" s="99"/>
      <c r="C15" s="81" t="s">
        <v>69</v>
      </c>
      <c r="D15" s="96"/>
      <c r="E15" s="81" t="s">
        <v>59</v>
      </c>
      <c r="F15" s="96"/>
      <c r="G15" s="81" t="s">
        <v>60</v>
      </c>
      <c r="H15" s="96"/>
      <c r="I15" s="81" t="s">
        <v>61</v>
      </c>
      <c r="J15" s="83"/>
      <c r="K15" s="84" t="s">
        <v>62</v>
      </c>
    </row>
    <row r="16" customFormat="false" ht="17.25" hidden="false" customHeight="true" outlineLevel="0" collapsed="false">
      <c r="B16" s="85" t="s">
        <v>35</v>
      </c>
      <c r="C16" s="97"/>
      <c r="D16" s="86"/>
      <c r="E16" s="62" t="n">
        <f aca="false">+I16/$B$65</f>
        <v>914.307826761828</v>
      </c>
      <c r="F16" s="102"/>
      <c r="G16" s="103" t="n">
        <v>0</v>
      </c>
      <c r="H16" s="86"/>
      <c r="I16" s="62" t="n">
        <f aca="false">+IF(F65,HLOOKUP(B65,SOURCEDATA!B30:K31,2),0)+G16</f>
        <v>5485.84696057097</v>
      </c>
      <c r="J16" s="89"/>
      <c r="K16" s="90" t="n">
        <f aca="false">+I16/($B$65*'OPERATIONAL CHARACTERISTICS'!$B$12)</f>
        <v>20.0576480072356</v>
      </c>
    </row>
    <row r="17" customFormat="false" ht="6" hidden="false" customHeight="true" outlineLevel="0" collapsed="false">
      <c r="B17" s="101"/>
      <c r="C17" s="92"/>
      <c r="D17" s="92"/>
      <c r="E17" s="92"/>
      <c r="F17" s="92"/>
      <c r="G17" s="92"/>
      <c r="H17" s="92"/>
      <c r="I17" s="92"/>
      <c r="J17" s="94"/>
      <c r="K17" s="95"/>
    </row>
    <row r="18" customFormat="false" ht="17.25" hidden="false" customHeight="true" outlineLevel="0" collapsed="false">
      <c r="B18" s="80"/>
      <c r="C18" s="81" t="s">
        <v>69</v>
      </c>
      <c r="D18" s="96"/>
      <c r="E18" s="81" t="s">
        <v>59</v>
      </c>
      <c r="F18" s="81"/>
      <c r="G18" s="81" t="s">
        <v>60</v>
      </c>
      <c r="H18" s="96"/>
      <c r="I18" s="81" t="s">
        <v>61</v>
      </c>
      <c r="J18" s="83"/>
      <c r="K18" s="84" t="s">
        <v>62</v>
      </c>
    </row>
    <row r="19" customFormat="false" ht="17.25" hidden="false" customHeight="true" outlineLevel="0" collapsed="false">
      <c r="B19" s="85" t="s">
        <v>72</v>
      </c>
      <c r="C19" s="86"/>
      <c r="D19" s="86"/>
      <c r="E19" s="62" t="n">
        <f aca="false">IF(H65=0,0,+I19/H66)</f>
        <v>0</v>
      </c>
      <c r="F19" s="87"/>
      <c r="G19" s="88" t="n">
        <v>0</v>
      </c>
      <c r="H19" s="86"/>
      <c r="I19" s="62" t="n">
        <f aca="false">IF(H65=0,0,HLOOKUP(H65,SOURCEDATA!B3:K34,32)+G19)</f>
        <v>0</v>
      </c>
      <c r="J19" s="89"/>
      <c r="K19" s="90" t="n">
        <f aca="false">+I19/($B$65*'OPERATIONAL CHARACTERISTICS'!$B$12)</f>
        <v>0</v>
      </c>
      <c r="M19" s="104"/>
    </row>
    <row r="20" customFormat="false" ht="9.75" hidden="false" customHeight="true" outlineLevel="0" collapsed="false">
      <c r="B20" s="91"/>
      <c r="C20" s="92"/>
      <c r="D20" s="92"/>
      <c r="E20" s="92"/>
      <c r="F20" s="92"/>
      <c r="G20" s="92"/>
      <c r="H20" s="92"/>
      <c r="I20" s="92"/>
      <c r="J20" s="94"/>
      <c r="K20" s="95"/>
    </row>
    <row r="21" customFormat="false" ht="17.25" hidden="false" customHeight="true" outlineLevel="0" collapsed="false">
      <c r="B21" s="80"/>
      <c r="C21" s="81" t="s">
        <v>69</v>
      </c>
      <c r="D21" s="96"/>
      <c r="E21" s="96"/>
      <c r="F21" s="96"/>
      <c r="G21" s="81" t="s">
        <v>60</v>
      </c>
      <c r="H21" s="96"/>
      <c r="I21" s="81" t="s">
        <v>61</v>
      </c>
      <c r="J21" s="83"/>
      <c r="K21" s="84" t="s">
        <v>62</v>
      </c>
    </row>
    <row r="22" customFormat="false" ht="17.25" hidden="false" customHeight="true" outlineLevel="0" collapsed="false">
      <c r="B22" s="85" t="s">
        <v>73</v>
      </c>
      <c r="C22" s="86"/>
      <c r="D22" s="86"/>
      <c r="E22" s="105" t="s">
        <v>74</v>
      </c>
      <c r="F22" s="86"/>
      <c r="G22" s="88" t="n">
        <v>0</v>
      </c>
      <c r="H22" s="86"/>
      <c r="I22" s="62" t="n">
        <f aca="false">G22+IF(I65,(SOURCEDATA!B38),0)</f>
        <v>0</v>
      </c>
      <c r="J22" s="89"/>
      <c r="K22" s="90" t="n">
        <f aca="false">+I22/($B$65*'OPERATIONAL CHARACTERISTICS'!$B$12)</f>
        <v>0</v>
      </c>
    </row>
    <row r="23" customFormat="false" ht="9" hidden="false" customHeight="true" outlineLevel="0" collapsed="false">
      <c r="B23" s="91"/>
      <c r="C23" s="92"/>
      <c r="D23" s="92"/>
      <c r="E23" s="92"/>
      <c r="F23" s="92"/>
      <c r="G23" s="92"/>
      <c r="H23" s="92"/>
      <c r="I23" s="92"/>
      <c r="J23" s="94"/>
      <c r="K23" s="95"/>
    </row>
    <row r="24" customFormat="false" ht="17.25" hidden="false" customHeight="true" outlineLevel="0" collapsed="false">
      <c r="B24" s="80"/>
      <c r="C24" s="81" t="s">
        <v>69</v>
      </c>
      <c r="D24" s="96"/>
      <c r="E24" s="106" t="s">
        <v>75</v>
      </c>
      <c r="F24" s="96"/>
      <c r="G24" s="81" t="s">
        <v>60</v>
      </c>
      <c r="H24" s="96"/>
      <c r="I24" s="81" t="s">
        <v>61</v>
      </c>
      <c r="J24" s="83"/>
      <c r="K24" s="84" t="s">
        <v>62</v>
      </c>
    </row>
    <row r="25" customFormat="false" ht="17.25" hidden="false" customHeight="true" outlineLevel="0" collapsed="false">
      <c r="B25" s="85" t="s">
        <v>76</v>
      </c>
      <c r="C25" s="83"/>
      <c r="D25" s="86"/>
      <c r="E25" s="107" t="n">
        <v>600</v>
      </c>
      <c r="F25" s="86"/>
      <c r="G25" s="88"/>
      <c r="H25" s="86"/>
      <c r="I25" s="62" t="n">
        <f aca="true">G25+IF(J65,OFFSET(SOURCEDATA!B40,(700-PROJECTCONFIGURATION!E25)/100,B65),0)</f>
        <v>0</v>
      </c>
      <c r="J25" s="89"/>
      <c r="K25" s="90" t="n">
        <f aca="false">+I25/($B$65*'OPERATIONAL CHARACTERISTICS'!$B$12)</f>
        <v>0</v>
      </c>
    </row>
    <row r="26" customFormat="false" ht="6.75" hidden="false" customHeight="true" outlineLevel="0" collapsed="false">
      <c r="B26" s="91"/>
      <c r="C26" s="92"/>
      <c r="D26" s="92"/>
      <c r="E26" s="92"/>
      <c r="F26" s="92"/>
      <c r="G26" s="92"/>
      <c r="H26" s="92"/>
      <c r="I26" s="92"/>
      <c r="J26" s="94"/>
      <c r="K26" s="95"/>
    </row>
    <row r="27" customFormat="false" ht="17.25" hidden="false" customHeight="true" outlineLevel="0" collapsed="false">
      <c r="B27" s="80"/>
      <c r="C27" s="83"/>
      <c r="D27" s="96"/>
      <c r="E27" s="81" t="s">
        <v>69</v>
      </c>
      <c r="F27" s="96"/>
      <c r="G27" s="81" t="s">
        <v>60</v>
      </c>
      <c r="H27" s="96"/>
      <c r="I27" s="81" t="s">
        <v>61</v>
      </c>
      <c r="J27" s="83"/>
      <c r="K27" s="84" t="s">
        <v>62</v>
      </c>
    </row>
    <row r="28" customFormat="false" ht="17.25" hidden="false" customHeight="true" outlineLevel="0" collapsed="false">
      <c r="B28" s="85" t="s">
        <v>77</v>
      </c>
      <c r="C28" s="86"/>
      <c r="D28" s="86"/>
      <c r="E28" s="86"/>
      <c r="F28" s="86"/>
      <c r="G28" s="88" t="n">
        <v>0</v>
      </c>
      <c r="H28" s="86"/>
      <c r="I28" s="62" t="n">
        <f aca="false">+G28+IF(K65,HLOOKUP(B65,SOURCEDATA!B53:K54,2),0)</f>
        <v>0</v>
      </c>
      <c r="J28" s="89"/>
      <c r="K28" s="90" t="n">
        <f aca="false">+I28/($B$65*'OPERATIONAL CHARACTERISTICS'!$B$12)</f>
        <v>0</v>
      </c>
    </row>
    <row r="29" customFormat="false" ht="6" hidden="false" customHeight="true" outlineLevel="0" collapsed="false">
      <c r="B29" s="91"/>
      <c r="C29" s="92"/>
      <c r="D29" s="92"/>
      <c r="E29" s="92"/>
      <c r="F29" s="92"/>
      <c r="G29" s="92"/>
      <c r="H29" s="92"/>
      <c r="I29" s="92"/>
      <c r="J29" s="94"/>
      <c r="K29" s="95"/>
    </row>
    <row r="30" customFormat="false" ht="17.25" hidden="false" customHeight="true" outlineLevel="0" collapsed="false">
      <c r="B30" s="80"/>
      <c r="C30" s="83"/>
      <c r="D30" s="96"/>
      <c r="E30" s="81" t="s">
        <v>69</v>
      </c>
      <c r="F30" s="96"/>
      <c r="G30" s="81"/>
      <c r="H30" s="96"/>
      <c r="I30" s="81" t="s">
        <v>61</v>
      </c>
      <c r="J30" s="83"/>
      <c r="K30" s="84" t="s">
        <v>62</v>
      </c>
    </row>
    <row r="31" customFormat="false" ht="17.25" hidden="false" customHeight="true" outlineLevel="0" collapsed="false">
      <c r="B31" s="85" t="s">
        <v>78</v>
      </c>
      <c r="C31" s="86"/>
      <c r="D31" s="86"/>
      <c r="E31" s="86"/>
      <c r="F31" s="86"/>
      <c r="G31" s="88" t="n">
        <v>0</v>
      </c>
      <c r="H31" s="86"/>
      <c r="I31" s="62" t="n">
        <f aca="false">+G31+IF(M66,HLOOKUP(PROJECTCONFIGURATION!B65,SOURCEDATA!B58:K59,2))</f>
        <v>5732.42756692725</v>
      </c>
      <c r="J31" s="89"/>
      <c r="K31" s="90" t="n">
        <f aca="false">+I31/($B$65*'OPERATIONAL CHARACTERISTICS'!$B$12)</f>
        <v>20.959209250787</v>
      </c>
    </row>
    <row r="32" customFormat="false" ht="8.25" hidden="false" customHeight="true" outlineLevel="0" collapsed="false">
      <c r="B32" s="91"/>
      <c r="C32" s="94"/>
      <c r="D32" s="94"/>
      <c r="E32" s="94"/>
      <c r="F32" s="94"/>
      <c r="G32" s="94"/>
      <c r="H32" s="94"/>
      <c r="I32" s="94"/>
      <c r="J32" s="94"/>
      <c r="K32" s="108"/>
    </row>
    <row r="33" customFormat="false" ht="17.25" hidden="false" customHeight="true" outlineLevel="0" collapsed="false">
      <c r="B33" s="99"/>
      <c r="C33" s="83"/>
      <c r="D33" s="83"/>
      <c r="E33" s="81" t="s">
        <v>69</v>
      </c>
      <c r="F33" s="83"/>
      <c r="G33" s="81" t="s">
        <v>60</v>
      </c>
      <c r="H33" s="96"/>
      <c r="I33" s="81" t="s">
        <v>61</v>
      </c>
      <c r="J33" s="83"/>
      <c r="K33" s="84" t="s">
        <v>62</v>
      </c>
    </row>
    <row r="34" customFormat="false" ht="17.25" hidden="false" customHeight="true" outlineLevel="0" collapsed="false">
      <c r="B34" s="109" t="s">
        <v>79</v>
      </c>
      <c r="C34" s="110"/>
      <c r="D34" s="110"/>
      <c r="E34" s="110"/>
      <c r="F34" s="110"/>
      <c r="G34" s="111" t="n">
        <v>0</v>
      </c>
      <c r="H34" s="112"/>
      <c r="I34" s="113" t="n">
        <f aca="false">G34+IF(L65,HLOOKUP(B65,SOURCEDATA!B56:K57,2),0)</f>
        <v>0</v>
      </c>
      <c r="J34" s="110"/>
      <c r="K34" s="114" t="n">
        <f aca="false">+I34/($B$65*'OPERATIONAL CHARACTERISTICS'!$B$12)</f>
        <v>0</v>
      </c>
      <c r="M34" s="73" t="n">
        <f aca="false">25/20</f>
        <v>1.25</v>
      </c>
    </row>
    <row r="35" customFormat="false" ht="17.25" hidden="false" customHeight="true" outlineLevel="0" collapsed="false">
      <c r="B35" s="115"/>
      <c r="M35" s="73" t="n">
        <f aca="false">25/4</f>
        <v>6.25</v>
      </c>
    </row>
    <row r="36" customFormat="false" ht="17.25" hidden="false" customHeight="true" outlineLevel="0" collapsed="false">
      <c r="B36" s="116" t="s">
        <v>80</v>
      </c>
      <c r="C36" s="116"/>
      <c r="D36" s="116"/>
      <c r="E36" s="116"/>
      <c r="F36" s="116"/>
      <c r="G36" s="116"/>
      <c r="H36" s="116"/>
      <c r="I36" s="117" t="s">
        <v>81</v>
      </c>
      <c r="J36" s="118"/>
      <c r="K36" s="119" t="s">
        <v>62</v>
      </c>
    </row>
    <row r="37" customFormat="false" ht="17.25" hidden="false" customHeight="true" outlineLevel="0" collapsed="false">
      <c r="B37" s="116"/>
      <c r="C37" s="116"/>
      <c r="D37" s="116"/>
      <c r="E37" s="116"/>
      <c r="F37" s="116"/>
      <c r="G37" s="116"/>
      <c r="H37" s="116"/>
      <c r="I37" s="120" t="n">
        <f aca="false">I34+I28+I25+I22+I19+I16+I13+I10+I7+I4+I31</f>
        <v>142330.972973696</v>
      </c>
      <c r="J37" s="110"/>
      <c r="K37" s="121" t="n">
        <f aca="false">K34+K28+K25+K22+K19+K16+K13+K10+K7+K4+K31</f>
        <v>520.398140333216</v>
      </c>
    </row>
    <row r="38" customFormat="false" ht="17.25" hidden="false" customHeight="true" outlineLevel="0" collapsed="false">
      <c r="B38" s="115"/>
    </row>
    <row r="39" customFormat="false" ht="17.25" hidden="false" customHeight="true" outlineLevel="0" collapsed="false">
      <c r="B39" s="115"/>
      <c r="I39" s="73" t="n">
        <f aca="false">+I37/5</f>
        <v>28466.1945947392</v>
      </c>
    </row>
    <row r="40" customFormat="false" ht="17.25" hidden="false" customHeight="true" outlineLevel="0" collapsed="false">
      <c r="B40" s="115"/>
    </row>
    <row r="41" customFormat="false" ht="17.25" hidden="false" customHeight="true" outlineLevel="0" collapsed="false"/>
    <row r="42" customFormat="false" ht="17.25" hidden="false" customHeight="true" outlineLevel="0" collapsed="false"/>
    <row r="43" customFormat="false" ht="17.25" hidden="false" customHeight="true" outlineLevel="0" collapsed="false"/>
    <row r="44" customFormat="false" ht="17.25" hidden="false" customHeight="true" outlineLevel="0" collapsed="false"/>
    <row r="45" customFormat="false" ht="17.25" hidden="false" customHeight="true" outlineLevel="0" collapsed="false"/>
    <row r="46" customFormat="false" ht="17.25" hidden="false" customHeight="true" outlineLevel="0" collapsed="false"/>
    <row r="47" customFormat="false" ht="17.25" hidden="false" customHeight="true" outlineLevel="0" collapsed="false"/>
    <row r="48" customFormat="false" ht="17.25" hidden="false" customHeight="true" outlineLevel="0" collapsed="false"/>
    <row r="49" customFormat="false" ht="17.25" hidden="false" customHeight="true" outlineLevel="0" collapsed="false"/>
    <row r="50" customFormat="false" ht="17.25" hidden="false" customHeight="true" outlineLevel="0" collapsed="false"/>
    <row r="51" customFormat="false" ht="17.25" hidden="false" customHeight="true" outlineLevel="0" collapsed="false"/>
    <row r="52" customFormat="false" ht="17.25" hidden="false" customHeight="true" outlineLevel="0" collapsed="false"/>
    <row r="53" customFormat="false" ht="17.25" hidden="false" customHeight="true" outlineLevel="0" collapsed="false"/>
    <row r="54" customFormat="false" ht="17.25" hidden="false" customHeight="true" outlineLevel="0" collapsed="false"/>
    <row r="62" customFormat="false" ht="408.75" hidden="false" customHeight="true" outlineLevel="0" collapsed="false"/>
    <row r="63" customFormat="false" ht="12.75" hidden="false" customHeight="false" outlineLevel="0" collapsed="false">
      <c r="B63" s="122"/>
      <c r="C63" s="122" t="s">
        <v>68</v>
      </c>
      <c r="D63" s="122"/>
      <c r="E63" s="122" t="s">
        <v>70</v>
      </c>
      <c r="F63" s="122"/>
      <c r="G63" s="122" t="s">
        <v>64</v>
      </c>
      <c r="H63" s="122" t="s">
        <v>72</v>
      </c>
      <c r="I63" s="122" t="s">
        <v>73</v>
      </c>
      <c r="J63" s="122" t="s">
        <v>82</v>
      </c>
      <c r="K63" s="122" t="s">
        <v>83</v>
      </c>
      <c r="L63" s="122" t="s">
        <v>84</v>
      </c>
      <c r="M63" s="122" t="s">
        <v>78</v>
      </c>
    </row>
    <row r="64" customFormat="false" ht="12.75" hidden="false" customHeight="false" outlineLevel="0" collapsed="false">
      <c r="B64" s="123" t="s">
        <v>85</v>
      </c>
      <c r="C64" s="123" t="s">
        <v>66</v>
      </c>
      <c r="D64" s="124" t="s">
        <v>86</v>
      </c>
      <c r="E64" s="123" t="s">
        <v>87</v>
      </c>
      <c r="F64" s="125" t="s">
        <v>35</v>
      </c>
      <c r="G64" s="125"/>
      <c r="H64" s="125"/>
      <c r="I64" s="125"/>
      <c r="J64" s="125"/>
      <c r="K64" s="125"/>
      <c r="L64" s="125" t="s">
        <v>88</v>
      </c>
      <c r="M64" s="125"/>
    </row>
    <row r="65" customFormat="false" ht="12.75" hidden="false" customHeight="false" outlineLevel="0" collapsed="false">
      <c r="B65" s="124" t="n">
        <f aca="false">+VALUE(B66)</f>
        <v>6</v>
      </c>
      <c r="C65" s="124" t="n">
        <f aca="false">+VALUE(C66)</f>
        <v>0</v>
      </c>
      <c r="D65" s="124" t="n">
        <f aca="false">+VALUE(D66)</f>
        <v>16</v>
      </c>
      <c r="E65" s="124" t="n">
        <f aca="false">+VALUE(E66)</f>
        <v>230</v>
      </c>
      <c r="F65" s="126" t="n">
        <f aca="false">+F66</f>
        <v>1</v>
      </c>
      <c r="G65" s="125" t="n">
        <f aca="false">+G66</f>
        <v>0</v>
      </c>
      <c r="H65" s="124" t="n">
        <f aca="false">+IF(H66,B65,0)</f>
        <v>0</v>
      </c>
      <c r="I65" s="124" t="n">
        <f aca="false">+I66</f>
        <v>0</v>
      </c>
      <c r="J65" s="125" t="n">
        <f aca="false">+J66</f>
        <v>0</v>
      </c>
      <c r="K65" s="125" t="n">
        <f aca="false">+K66</f>
        <v>0</v>
      </c>
      <c r="L65" s="125" t="n">
        <f aca="false">+L66</f>
        <v>0</v>
      </c>
      <c r="M65" s="125" t="n">
        <f aca="false">+M66</f>
        <v>1</v>
      </c>
    </row>
    <row r="66" customFormat="false" ht="12.75" hidden="false" customHeight="false" outlineLevel="0" collapsed="false">
      <c r="B66" s="127" t="s">
        <v>89</v>
      </c>
      <c r="C66" s="124" t="s">
        <v>90</v>
      </c>
      <c r="D66" s="124" t="s">
        <v>91</v>
      </c>
      <c r="E66" s="124" t="s">
        <v>92</v>
      </c>
      <c r="F66" s="128" t="b">
        <f aca="false">TRUE()</f>
        <v>1</v>
      </c>
      <c r="G66" s="125" t="b">
        <f aca="false">FALSE()</f>
        <v>0</v>
      </c>
      <c r="H66" s="129" t="b">
        <f aca="false">FALSE()</f>
        <v>0</v>
      </c>
      <c r="I66" s="125" t="b">
        <f aca="false">FALSE()</f>
        <v>0</v>
      </c>
      <c r="J66" s="125" t="b">
        <f aca="false">FALSE()</f>
        <v>0</v>
      </c>
      <c r="K66" s="125" t="b">
        <f aca="false">FALSE()</f>
        <v>0</v>
      </c>
      <c r="L66" s="125" t="b">
        <f aca="false">FALSE()</f>
        <v>0</v>
      </c>
      <c r="M66" s="125" t="b">
        <f aca="false">TRUE()</f>
        <v>1</v>
      </c>
    </row>
    <row r="67" customFormat="false" ht="12.75" hidden="false" customHeight="false" outlineLevel="0" collapsed="false">
      <c r="B67" s="130"/>
      <c r="C67" s="123"/>
      <c r="D67" s="123"/>
      <c r="E67" s="125" t="b">
        <f aca="false">FALSE()</f>
        <v>0</v>
      </c>
      <c r="F67" s="125" t="b">
        <f aca="false">TRUE()</f>
        <v>1</v>
      </c>
      <c r="G67" s="125"/>
      <c r="H67" s="125"/>
      <c r="I67" s="125"/>
      <c r="J67" s="125"/>
      <c r="K67" s="125"/>
      <c r="L67" s="125"/>
      <c r="M67" s="125"/>
    </row>
    <row r="68" customFormat="false" ht="12.75" hidden="false" customHeight="false" outlineLevel="0" collapsed="false">
      <c r="B68" s="131" t="n">
        <v>0</v>
      </c>
      <c r="C68" s="123" t="n">
        <v>0</v>
      </c>
      <c r="D68" s="123" t="n">
        <v>0</v>
      </c>
      <c r="E68" s="125" t="n">
        <v>0</v>
      </c>
      <c r="F68" s="125"/>
      <c r="G68" s="125"/>
      <c r="H68" s="125"/>
      <c r="I68" s="125"/>
      <c r="J68" s="125"/>
      <c r="K68" s="125"/>
      <c r="L68" s="125"/>
      <c r="M68" s="125"/>
    </row>
    <row r="69" customFormat="false" ht="12.75" hidden="false" customHeight="false" outlineLevel="0" collapsed="false">
      <c r="B69" s="131" t="n">
        <v>1</v>
      </c>
      <c r="C69" s="123" t="n">
        <v>1</v>
      </c>
      <c r="D69" s="123" t="n">
        <v>4</v>
      </c>
      <c r="E69" s="125" t="n">
        <v>69</v>
      </c>
      <c r="F69" s="125"/>
      <c r="G69" s="125"/>
      <c r="H69" s="125"/>
      <c r="I69" s="125"/>
      <c r="J69" s="125"/>
      <c r="K69" s="125"/>
      <c r="L69" s="125"/>
      <c r="M69" s="125"/>
    </row>
    <row r="70" customFormat="false" ht="12.75" hidden="false" customHeight="false" outlineLevel="0" collapsed="false">
      <c r="B70" s="131" t="n">
        <v>2</v>
      </c>
      <c r="C70" s="123" t="n">
        <v>2</v>
      </c>
      <c r="D70" s="123" t="n">
        <v>10</v>
      </c>
      <c r="E70" s="125" t="n">
        <v>138</v>
      </c>
      <c r="F70" s="125"/>
      <c r="G70" s="125"/>
      <c r="H70" s="125"/>
      <c r="I70" s="125"/>
      <c r="J70" s="125"/>
      <c r="K70" s="125"/>
      <c r="L70" s="125"/>
      <c r="M70" s="125"/>
    </row>
    <row r="71" customFormat="false" ht="12.75" hidden="false" customHeight="false" outlineLevel="0" collapsed="false">
      <c r="B71" s="131" t="n">
        <v>3</v>
      </c>
      <c r="C71" s="123" t="n">
        <v>3</v>
      </c>
      <c r="D71" s="123" t="n">
        <v>16</v>
      </c>
      <c r="E71" s="125" t="n">
        <v>230</v>
      </c>
      <c r="F71" s="125"/>
      <c r="G71" s="125"/>
      <c r="H71" s="125"/>
      <c r="I71" s="125"/>
      <c r="J71" s="125"/>
      <c r="K71" s="125"/>
      <c r="L71" s="125"/>
      <c r="M71" s="125"/>
    </row>
    <row r="72" customFormat="false" ht="12.75" hidden="false" customHeight="false" outlineLevel="0" collapsed="false">
      <c r="B72" s="131" t="n">
        <v>4</v>
      </c>
      <c r="C72" s="123" t="n">
        <v>4</v>
      </c>
      <c r="D72" s="123" t="n">
        <v>24</v>
      </c>
      <c r="E72" s="125" t="n">
        <v>345</v>
      </c>
      <c r="F72" s="125"/>
      <c r="G72" s="125"/>
      <c r="H72" s="125"/>
      <c r="I72" s="125"/>
      <c r="J72" s="125"/>
      <c r="K72" s="125"/>
      <c r="L72" s="125"/>
      <c r="M72" s="125"/>
    </row>
    <row r="73" customFormat="false" ht="12.75" hidden="false" customHeight="false" outlineLevel="0" collapsed="false">
      <c r="B73" s="131" t="n">
        <v>5</v>
      </c>
      <c r="C73" s="123" t="n">
        <v>5</v>
      </c>
      <c r="D73" s="123"/>
      <c r="E73" s="125" t="n">
        <v>500</v>
      </c>
      <c r="F73" s="125"/>
      <c r="G73" s="125"/>
      <c r="H73" s="125"/>
      <c r="I73" s="125"/>
      <c r="J73" s="125"/>
      <c r="K73" s="125"/>
      <c r="L73" s="125"/>
      <c r="M73" s="125"/>
    </row>
    <row r="74" customFormat="false" ht="12.75" hidden="false" customHeight="false" outlineLevel="0" collapsed="false">
      <c r="B74" s="131" t="n">
        <v>6</v>
      </c>
      <c r="C74" s="123" t="n">
        <v>6</v>
      </c>
      <c r="D74" s="123"/>
      <c r="E74" s="125" t="n">
        <v>745</v>
      </c>
      <c r="F74" s="125"/>
      <c r="G74" s="125"/>
      <c r="H74" s="125"/>
      <c r="I74" s="125"/>
      <c r="J74" s="125"/>
      <c r="K74" s="125"/>
      <c r="L74" s="125"/>
      <c r="M74" s="125"/>
    </row>
    <row r="75" customFormat="false" ht="12.75" hidden="false" customHeight="false" outlineLevel="0" collapsed="false">
      <c r="B75" s="131" t="n">
        <v>7</v>
      </c>
      <c r="C75" s="123" t="n">
        <v>7</v>
      </c>
      <c r="D75" s="123"/>
      <c r="E75" s="125"/>
      <c r="F75" s="125"/>
      <c r="G75" s="125"/>
      <c r="H75" s="125"/>
      <c r="I75" s="125"/>
      <c r="J75" s="125"/>
      <c r="K75" s="125"/>
      <c r="L75" s="125"/>
      <c r="M75" s="125"/>
    </row>
    <row r="76" customFormat="false" ht="12.75" hidden="false" customHeight="false" outlineLevel="0" collapsed="false">
      <c r="B76" s="131" t="n">
        <v>8</v>
      </c>
      <c r="C76" s="123" t="n">
        <v>8</v>
      </c>
      <c r="D76" s="123"/>
      <c r="E76" s="125"/>
      <c r="F76" s="125"/>
      <c r="G76" s="125"/>
      <c r="H76" s="125"/>
      <c r="I76" s="125"/>
      <c r="J76" s="125"/>
      <c r="K76" s="125"/>
      <c r="L76" s="125"/>
      <c r="M76" s="125"/>
    </row>
    <row r="77" customFormat="false" ht="12.75" hidden="false" customHeight="false" outlineLevel="0" collapsed="false">
      <c r="B77" s="131" t="n">
        <v>9</v>
      </c>
      <c r="C77" s="123" t="n">
        <v>9</v>
      </c>
      <c r="D77" s="123"/>
      <c r="E77" s="125"/>
      <c r="F77" s="125"/>
      <c r="G77" s="125"/>
      <c r="H77" s="125"/>
      <c r="I77" s="125"/>
      <c r="J77" s="125"/>
      <c r="K77" s="125"/>
      <c r="L77" s="125"/>
      <c r="M77" s="125"/>
    </row>
    <row r="78" customFormat="false" ht="12.75" hidden="false" customHeight="false" outlineLevel="0" collapsed="false">
      <c r="B78" s="132" t="n">
        <v>10</v>
      </c>
      <c r="C78" s="133" t="n">
        <v>10</v>
      </c>
      <c r="D78" s="133"/>
      <c r="E78" s="133"/>
      <c r="F78" s="133"/>
      <c r="G78" s="133"/>
      <c r="H78" s="133"/>
      <c r="I78" s="133"/>
      <c r="J78" s="133"/>
      <c r="K78" s="133"/>
      <c r="L78" s="133"/>
      <c r="M78" s="133"/>
    </row>
    <row r="82" customFormat="false" ht="12.75" hidden="false" customHeight="false" outlineLevel="0" collapsed="false">
      <c r="I82" s="134"/>
    </row>
  </sheetData>
  <mergeCells count="1">
    <mergeCell ref="B36:H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8.56"/>
    <col collapsed="false" customWidth="true" hidden="false" outlineLevel="0" max="3" min="3" style="0" width="45.42"/>
    <col collapsed="false" customWidth="true" hidden="false" outlineLevel="0" max="4" min="4" style="0" width="5.85"/>
    <col collapsed="false" customWidth="true" hidden="false" outlineLevel="0" max="5" min="5" style="0" width="13.99"/>
    <col collapsed="false" customWidth="true" hidden="false" outlineLevel="0" max="6" min="6" style="0" width="12.42"/>
    <col collapsed="false" customWidth="true" hidden="false" outlineLevel="0" max="7" min="7" style="0" width="9.56"/>
    <col collapsed="false" customWidth="true" hidden="false" outlineLevel="0" max="8" min="8" style="0" width="13.28"/>
    <col collapsed="false" customWidth="true" hidden="false" outlineLevel="0" max="11" min="11" style="0" width="3.14"/>
  </cols>
  <sheetData>
    <row r="2" customFormat="false" ht="20.25" hidden="false" customHeight="false" outlineLevel="0" collapsed="false">
      <c r="B2" s="1" t="s">
        <v>93</v>
      </c>
    </row>
    <row r="3" customFormat="false" ht="13.5" hidden="false" customHeight="false" outlineLevel="0" collapsed="false"/>
    <row r="4" customFormat="false" ht="13.5" hidden="false" customHeight="false" outlineLevel="0" collapsed="false">
      <c r="B4" s="135" t="s">
        <v>94</v>
      </c>
      <c r="C4" s="26"/>
      <c r="D4" s="26"/>
      <c r="E4" s="136" t="s">
        <v>95</v>
      </c>
      <c r="F4" s="136" t="s">
        <v>96</v>
      </c>
      <c r="G4" s="136" t="s">
        <v>95</v>
      </c>
      <c r="H4" s="136" t="s">
        <v>96</v>
      </c>
      <c r="I4" s="26"/>
      <c r="J4" s="137"/>
    </row>
    <row r="5" customFormat="false" ht="12.75" hidden="false" customHeight="false" outlineLevel="0" collapsed="false">
      <c r="C5" s="138"/>
      <c r="D5" s="139"/>
      <c r="E5" s="140"/>
      <c r="F5" s="140"/>
      <c r="G5" s="140"/>
      <c r="H5" s="140"/>
      <c r="I5" s="141"/>
      <c r="J5" s="142"/>
    </row>
    <row r="6" customFormat="false" ht="12.75" hidden="false" customHeight="false" outlineLevel="0" collapsed="false">
      <c r="C6" s="99"/>
      <c r="D6" s="143"/>
      <c r="E6" s="144" t="s">
        <v>97</v>
      </c>
      <c r="F6" s="144" t="s">
        <v>97</v>
      </c>
      <c r="G6" s="145" t="s">
        <v>98</v>
      </c>
      <c r="H6" s="145" t="s">
        <v>98</v>
      </c>
      <c r="I6" s="65"/>
      <c r="J6" s="146"/>
    </row>
    <row r="7" customFormat="false" ht="12.75" hidden="false" customHeight="false" outlineLevel="0" collapsed="false">
      <c r="C7" s="147" t="s">
        <v>99</v>
      </c>
      <c r="D7" s="148"/>
      <c r="E7" s="149" t="n">
        <v>48.3</v>
      </c>
      <c r="F7" s="149" t="n">
        <v>48.3</v>
      </c>
      <c r="G7" s="149" t="n">
        <v>45.5</v>
      </c>
      <c r="H7" s="149" t="n">
        <v>34.5</v>
      </c>
      <c r="I7" s="65"/>
      <c r="J7" s="146"/>
    </row>
    <row r="8" customFormat="false" ht="12.75" hidden="false" customHeight="false" outlineLevel="0" collapsed="false">
      <c r="C8" s="147" t="s">
        <v>100</v>
      </c>
      <c r="D8" s="150" t="n">
        <v>0.015</v>
      </c>
      <c r="E8" s="149" t="n">
        <f aca="false">-$E7*D8</f>
        <v>-0.7245</v>
      </c>
      <c r="F8" s="149" t="n">
        <f aca="false">-F$7*$D8</f>
        <v>-0.7245</v>
      </c>
      <c r="G8" s="149" t="n">
        <f aca="false">-G$7*$D8</f>
        <v>-0.6825</v>
      </c>
      <c r="H8" s="149" t="n">
        <f aca="false">-H$7*$D8</f>
        <v>-0.5175</v>
      </c>
      <c r="I8" s="65"/>
      <c r="J8" s="146"/>
    </row>
    <row r="9" customFormat="false" ht="12.75" hidden="false" customHeight="false" outlineLevel="0" collapsed="false">
      <c r="C9" s="147" t="s">
        <v>101</v>
      </c>
      <c r="D9" s="150" t="n">
        <v>0.005</v>
      </c>
      <c r="E9" s="149" t="n">
        <f aca="false">-$E7*D9</f>
        <v>-0.2415</v>
      </c>
      <c r="F9" s="149" t="n">
        <f aca="false">-F$7*$D9</f>
        <v>-0.2415</v>
      </c>
      <c r="G9" s="149" t="n">
        <f aca="false">-G$7*$D9</f>
        <v>-0.2275</v>
      </c>
      <c r="H9" s="149" t="n">
        <f aca="false">-H$7*$D9</f>
        <v>-0.1725</v>
      </c>
      <c r="I9" s="65"/>
      <c r="J9" s="146"/>
    </row>
    <row r="10" customFormat="false" ht="12.75" hidden="false" customHeight="false" outlineLevel="0" collapsed="false">
      <c r="C10" s="147" t="s">
        <v>102</v>
      </c>
      <c r="D10" s="148"/>
      <c r="E10" s="149" t="n">
        <f aca="false">IF(PROJECTCONFIGURATION!$J$65,-SOURCEDATA!$P$48/1000,0)</f>
        <v>0</v>
      </c>
      <c r="F10" s="149" t="n">
        <f aca="false">IF(PROJECTCONFIGURATION!$J$65,-SOURCEDATA!$P$48/1000,0)</f>
        <v>0</v>
      </c>
      <c r="G10" s="149" t="n">
        <f aca="false">IF(PROJECTCONFIGURATION!$J$65,-SOURCEDATA!$P$48/1000,0)</f>
        <v>0</v>
      </c>
      <c r="H10" s="149" t="n">
        <f aca="false">IF(PROJECTCONFIGURATION!$J$65,-SOURCEDATA!$P$48/1000,0)</f>
        <v>0</v>
      </c>
      <c r="I10" s="65"/>
      <c r="J10" s="146"/>
      <c r="L10" s="104" t="s">
        <v>103</v>
      </c>
    </row>
    <row r="11" customFormat="false" ht="12.75" hidden="false" customHeight="false" outlineLevel="0" collapsed="false">
      <c r="B11" s="151"/>
      <c r="C11" s="65" t="s">
        <v>104</v>
      </c>
      <c r="D11" s="148"/>
      <c r="E11" s="152" t="n">
        <v>-0.2</v>
      </c>
      <c r="F11" s="152" t="n">
        <v>-1.75</v>
      </c>
      <c r="G11" s="152" t="n">
        <v>0</v>
      </c>
      <c r="H11" s="152" t="n">
        <v>0</v>
      </c>
      <c r="I11" s="65"/>
      <c r="J11" s="146"/>
    </row>
    <row r="12" customFormat="false" ht="12.75" hidden="false" customHeight="false" outlineLevel="0" collapsed="false">
      <c r="B12" s="153" t="n">
        <f aca="false">+IF(AND(chillers,iso),E12,IF(iso,G12,IF(chillers,F12,H12)))</f>
        <v>45.584</v>
      </c>
      <c r="C12" s="65" t="s">
        <v>11</v>
      </c>
      <c r="D12" s="148"/>
      <c r="E12" s="149" t="n">
        <f aca="false">SUM(E7:E11)</f>
        <v>47.134</v>
      </c>
      <c r="F12" s="149" t="n">
        <f aca="false">SUM(F7:F11)</f>
        <v>45.584</v>
      </c>
      <c r="G12" s="149" t="n">
        <f aca="false">SUM(G7:G11)</f>
        <v>44.59</v>
      </c>
      <c r="H12" s="149" t="n">
        <f aca="false">SUM(H7:H11)</f>
        <v>33.81</v>
      </c>
      <c r="I12" s="65"/>
      <c r="J12" s="146"/>
    </row>
    <row r="13" customFormat="false" ht="12.75" hidden="false" customHeight="false" outlineLevel="0" collapsed="false">
      <c r="B13" s="151"/>
      <c r="C13" s="147" t="s">
        <v>105</v>
      </c>
      <c r="D13" s="148"/>
      <c r="E13" s="148"/>
      <c r="F13" s="148"/>
      <c r="G13" s="148"/>
      <c r="H13" s="148"/>
      <c r="I13" s="65"/>
      <c r="J13" s="146"/>
    </row>
    <row r="14" customFormat="false" ht="12.75" hidden="false" customHeight="false" outlineLevel="0" collapsed="false">
      <c r="B14" s="154" t="n">
        <f aca="false">+IF(AND(chillers,iso),E14,IF(iso,G14,IF(chillers,F14,H14)))</f>
        <v>9332.00245700246</v>
      </c>
      <c r="C14" s="147" t="s">
        <v>106</v>
      </c>
      <c r="D14" s="148"/>
      <c r="E14" s="155" t="n">
        <f aca="false">(413000*1.03)/E12</f>
        <v>9025.11987100607</v>
      </c>
      <c r="F14" s="155" t="n">
        <f aca="false">(413000*1.03)/F12</f>
        <v>9332.00245700246</v>
      </c>
      <c r="G14" s="155" t="n">
        <f aca="false">(392000*1.03)/G12</f>
        <v>9054.94505494505</v>
      </c>
      <c r="H14" s="155" t="n">
        <f aca="false">(317000*1.03)/H12</f>
        <v>9657.20201123928</v>
      </c>
      <c r="I14" s="65"/>
      <c r="J14" s="146"/>
    </row>
    <row r="15" customFormat="false" ht="13.5" hidden="false" customHeight="false" outlineLevel="0" collapsed="false">
      <c r="B15" s="151"/>
      <c r="C15" s="156" t="str">
        <f aca="false">C13</f>
        <v>          NOTE: These are New and Clean data</v>
      </c>
      <c r="D15" s="157" t="s">
        <v>107</v>
      </c>
      <c r="E15" s="158"/>
      <c r="F15" s="158"/>
      <c r="G15" s="158"/>
      <c r="H15" s="158"/>
      <c r="I15" s="158"/>
      <c r="J15" s="159"/>
    </row>
    <row r="16" customFormat="false" ht="13.5" hidden="false" customHeight="false" outlineLevel="0" collapsed="false"/>
    <row r="17" customFormat="false" ht="13.5" hidden="false" customHeight="false" outlineLevel="0" collapsed="false">
      <c r="B17" s="135" t="s">
        <v>108</v>
      </c>
      <c r="C17" s="26"/>
      <c r="D17" s="26"/>
      <c r="E17" s="136"/>
      <c r="F17" s="136"/>
      <c r="G17" s="26"/>
      <c r="H17" s="137"/>
    </row>
    <row r="18" customFormat="false" ht="12.75" hidden="false" customHeight="false" outlineLevel="0" collapsed="false">
      <c r="C18" s="138"/>
      <c r="D18" s="139"/>
      <c r="E18" s="140"/>
      <c r="F18" s="140"/>
      <c r="G18" s="141"/>
      <c r="H18" s="142"/>
    </row>
    <row r="19" customFormat="false" ht="12.75" hidden="false" customHeight="false" outlineLevel="0" collapsed="false">
      <c r="C19" s="147" t="s">
        <v>109</v>
      </c>
      <c r="D19" s="65"/>
      <c r="E19" s="160" t="n">
        <v>10</v>
      </c>
      <c r="F19" s="160" t="s">
        <v>110</v>
      </c>
      <c r="G19" s="65"/>
      <c r="H19" s="146"/>
      <c r="J19" s="104" t="s">
        <v>111</v>
      </c>
    </row>
    <row r="20" customFormat="false" ht="12.75" hidden="false" customHeight="false" outlineLevel="0" collapsed="false">
      <c r="C20" s="147" t="s">
        <v>112</v>
      </c>
      <c r="D20" s="65"/>
      <c r="E20" s="160" t="n">
        <v>5</v>
      </c>
      <c r="F20" s="160" t="s">
        <v>110</v>
      </c>
      <c r="G20" s="65"/>
      <c r="H20" s="146"/>
    </row>
    <row r="21" customFormat="false" ht="12.75" hidden="false" customHeight="false" outlineLevel="0" collapsed="false">
      <c r="C21" s="147" t="s">
        <v>113</v>
      </c>
      <c r="D21" s="65"/>
      <c r="E21" s="161" t="n">
        <v>30</v>
      </c>
      <c r="F21" s="160" t="s">
        <v>110</v>
      </c>
      <c r="G21" s="65"/>
      <c r="H21" s="146"/>
    </row>
    <row r="22" customFormat="false" ht="13.5" hidden="false" customHeight="false" outlineLevel="0" collapsed="false">
      <c r="C22" s="162"/>
      <c r="D22" s="158"/>
      <c r="E22" s="158"/>
      <c r="F22" s="158"/>
      <c r="G22" s="158"/>
      <c r="H22" s="159"/>
    </row>
    <row r="23" customFormat="false" ht="13.5" hidden="false" customHeight="false" outlineLevel="0" collapsed="false"/>
    <row r="24" customFormat="false" ht="13.5" hidden="false" customHeight="false" outlineLevel="0" collapsed="false">
      <c r="B24" s="135" t="s">
        <v>114</v>
      </c>
      <c r="C24" s="26"/>
      <c r="D24" s="26"/>
      <c r="E24" s="136"/>
      <c r="F24" s="136"/>
      <c r="G24" s="26"/>
      <c r="H24" s="137"/>
    </row>
    <row r="25" customFormat="false" ht="12.75" hidden="false" customHeight="false" outlineLevel="0" collapsed="false">
      <c r="C25" s="138"/>
      <c r="D25" s="139"/>
      <c r="E25" s="140"/>
      <c r="F25" s="140"/>
      <c r="G25" s="141"/>
      <c r="H25" s="142"/>
    </row>
    <row r="26" customFormat="false" ht="12.75" hidden="false" customHeight="false" outlineLevel="0" collapsed="false">
      <c r="C26" s="147" t="s">
        <v>115</v>
      </c>
      <c r="D26" s="65"/>
      <c r="E26" s="163" t="n">
        <v>0.95</v>
      </c>
      <c r="F26" s="160" t="s">
        <v>116</v>
      </c>
      <c r="G26" s="65"/>
      <c r="H26" s="146"/>
    </row>
    <row r="27" customFormat="false" ht="12.75" hidden="false" customHeight="false" outlineLevel="0" collapsed="false">
      <c r="C27" s="147" t="s">
        <v>117</v>
      </c>
      <c r="D27" s="65"/>
      <c r="E27" s="134" t="n">
        <v>800</v>
      </c>
      <c r="F27" s="160" t="s">
        <v>118</v>
      </c>
      <c r="G27" s="65"/>
      <c r="H27" s="146"/>
    </row>
    <row r="28" customFormat="false" ht="12.75" hidden="false" customHeight="false" outlineLevel="0" collapsed="false">
      <c r="C28" s="147"/>
      <c r="D28" s="65"/>
      <c r="E28" s="161"/>
      <c r="F28" s="160"/>
      <c r="G28" s="65"/>
      <c r="H28" s="146"/>
    </row>
    <row r="29" customFormat="false" ht="12.75" hidden="false" customHeight="false" outlineLevel="0" collapsed="false">
      <c r="C29" s="147" t="s">
        <v>119</v>
      </c>
      <c r="D29" s="65"/>
      <c r="E29" s="164" t="s">
        <v>120</v>
      </c>
      <c r="F29" s="165" t="s">
        <v>121</v>
      </c>
      <c r="G29" s="65"/>
      <c r="H29" s="146"/>
    </row>
    <row r="30" customFormat="false" ht="12.75" hidden="false" customHeight="false" outlineLevel="0" collapsed="false">
      <c r="C30" s="147" t="s">
        <v>122</v>
      </c>
      <c r="D30" s="65"/>
      <c r="E30" s="166" t="n">
        <v>250000</v>
      </c>
      <c r="F30" s="160" t="s">
        <v>123</v>
      </c>
      <c r="G30" s="65"/>
      <c r="H30" s="146"/>
    </row>
    <row r="31" customFormat="false" ht="12.75" hidden="false" customHeight="false" outlineLevel="0" collapsed="false">
      <c r="C31" s="147" t="s">
        <v>124</v>
      </c>
      <c r="D31" s="65"/>
      <c r="E31" s="166" t="n">
        <v>500000</v>
      </c>
      <c r="F31" s="160" t="s">
        <v>125</v>
      </c>
      <c r="G31" s="65"/>
      <c r="H31" s="146"/>
    </row>
    <row r="32" customFormat="false" ht="12.75" hidden="false" customHeight="false" outlineLevel="0" collapsed="false">
      <c r="C32" s="147" t="s">
        <v>126</v>
      </c>
      <c r="D32" s="65"/>
      <c r="E32" s="166" t="n">
        <v>250000</v>
      </c>
      <c r="F32" s="160" t="s">
        <v>123</v>
      </c>
      <c r="G32" s="65"/>
      <c r="H32" s="146"/>
    </row>
    <row r="33" customFormat="false" ht="12.75" hidden="false" customHeight="false" outlineLevel="0" collapsed="false">
      <c r="C33" s="147" t="s">
        <v>127</v>
      </c>
      <c r="D33" s="65"/>
      <c r="E33" s="166" t="n">
        <v>500000</v>
      </c>
      <c r="F33" s="160" t="s">
        <v>125</v>
      </c>
      <c r="G33" s="65"/>
      <c r="H33" s="146"/>
    </row>
    <row r="34" customFormat="false" ht="12.75" hidden="false" customHeight="false" outlineLevel="0" collapsed="false">
      <c r="C34" s="147" t="s">
        <v>128</v>
      </c>
      <c r="D34" s="65"/>
      <c r="E34" s="166" t="n">
        <v>1200000</v>
      </c>
      <c r="F34" s="160" t="s">
        <v>129</v>
      </c>
      <c r="G34" s="65"/>
      <c r="H34" s="146"/>
    </row>
    <row r="35" customFormat="false" ht="13.5" hidden="false" customHeight="false" outlineLevel="0" collapsed="false">
      <c r="C35" s="162"/>
      <c r="D35" s="158"/>
      <c r="E35" s="167"/>
      <c r="F35" s="168"/>
      <c r="G35" s="158"/>
      <c r="H35" s="159"/>
    </row>
    <row r="36" customFormat="false" ht="13.5" hidden="false" customHeight="false" outlineLevel="0" collapsed="false"/>
    <row r="37" customFormat="false" ht="13.5" hidden="false" customHeight="false" outlineLevel="0" collapsed="false">
      <c r="B37" s="135" t="s">
        <v>130</v>
      </c>
      <c r="C37" s="26"/>
      <c r="D37" s="26"/>
      <c r="E37" s="136"/>
      <c r="F37" s="136"/>
      <c r="G37" s="26"/>
      <c r="H37" s="137"/>
    </row>
    <row r="38" customFormat="false" ht="12.75" hidden="false" customHeight="false" outlineLevel="0" collapsed="false">
      <c r="C38" s="138"/>
      <c r="D38" s="139"/>
      <c r="E38" s="140"/>
      <c r="F38" s="140"/>
      <c r="G38" s="141"/>
      <c r="H38" s="142"/>
    </row>
    <row r="39" customFormat="false" ht="12.75" hidden="false" customHeight="false" outlineLevel="0" collapsed="false">
      <c r="C39" s="147" t="s">
        <v>131</v>
      </c>
      <c r="D39" s="65"/>
      <c r="E39" s="134" t="n">
        <v>14000000</v>
      </c>
      <c r="F39" s="160"/>
      <c r="G39" s="65"/>
      <c r="H39" s="146"/>
    </row>
    <row r="40" customFormat="false" ht="12.75" hidden="false" customHeight="false" outlineLevel="0" collapsed="false">
      <c r="C40" s="147" t="s">
        <v>132</v>
      </c>
      <c r="D40" s="65"/>
      <c r="E40" s="134" t="n">
        <v>500000</v>
      </c>
      <c r="F40" s="160"/>
      <c r="G40" s="65"/>
      <c r="H40" s="146"/>
    </row>
    <row r="41" customFormat="false" ht="13.5" hidden="false" customHeight="false" outlineLevel="0" collapsed="false">
      <c r="C41" s="162" t="s">
        <v>133</v>
      </c>
      <c r="D41" s="65"/>
      <c r="E41" s="169" t="n">
        <v>65000</v>
      </c>
      <c r="F41" s="160"/>
      <c r="G41" s="65"/>
      <c r="H41" s="146"/>
    </row>
    <row r="42" customFormat="false" ht="12.75" hidden="false" customHeight="false" outlineLevel="0" collapsed="false">
      <c r="C42" s="99" t="s">
        <v>134</v>
      </c>
      <c r="D42" s="65"/>
      <c r="E42" s="170" t="n">
        <f aca="false">SUM(E39:E41)</f>
        <v>14565000</v>
      </c>
      <c r="F42" s="65"/>
      <c r="G42" s="65"/>
      <c r="H42" s="146"/>
    </row>
    <row r="43" customFormat="false" ht="12.75" hidden="false" customHeight="false" outlineLevel="0" collapsed="false">
      <c r="C43" s="147"/>
      <c r="D43" s="65"/>
      <c r="E43" s="65"/>
      <c r="F43" s="65"/>
      <c r="G43" s="65"/>
      <c r="H43" s="146"/>
    </row>
    <row r="44" customFormat="false" ht="12.75" hidden="false" customHeight="false" outlineLevel="0" collapsed="false">
      <c r="C44" s="99" t="s">
        <v>135</v>
      </c>
      <c r="D44" s="65"/>
      <c r="E44" s="171" t="s">
        <v>136</v>
      </c>
      <c r="F44" s="65"/>
      <c r="G44" s="65"/>
      <c r="H44" s="146"/>
    </row>
    <row r="45" customFormat="false" ht="13.5" hidden="false" customHeight="false" outlineLevel="0" collapsed="false">
      <c r="C45" s="162"/>
      <c r="D45" s="158"/>
      <c r="E45" s="158"/>
      <c r="F45" s="158"/>
      <c r="G45" s="158"/>
      <c r="H45" s="1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IS45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25.28"/>
    <col collapsed="false" customWidth="true" hidden="false" outlineLevel="0" max="3" min="3" style="0" width="37.99"/>
    <col collapsed="false" customWidth="true" hidden="false" outlineLevel="0" max="4" min="4" style="0" width="21.84"/>
    <col collapsed="false" customWidth="true" hidden="true" outlineLevel="0" max="5" min="5" style="0" width="3.28"/>
    <col collapsed="false" customWidth="true" hidden="false" outlineLevel="0" max="6" min="6" style="0" width="21.84"/>
    <col collapsed="false" customWidth="true" hidden="true" outlineLevel="0" max="7" min="7" style="0" width="3.42"/>
    <col collapsed="false" customWidth="true" hidden="true" outlineLevel="0" max="8" min="8" style="0" width="4.85"/>
    <col collapsed="false" customWidth="true" hidden="false" outlineLevel="0" max="9" min="9" style="0" width="16.84"/>
    <col collapsed="false" customWidth="true" hidden="true" outlineLevel="0" max="10" min="10" style="0" width="3.14"/>
    <col collapsed="false" customWidth="true" hidden="false" outlineLevel="0" max="11" min="11" style="0" width="19.41"/>
    <col collapsed="false" customWidth="true" hidden="false" outlineLevel="0" max="13" min="12" style="0" width="18.14"/>
  </cols>
  <sheetData>
    <row r="2" customFormat="false" ht="20.25" hidden="false" customHeight="false" outlineLevel="0" collapsed="false">
      <c r="B2" s="1" t="s">
        <v>137</v>
      </c>
    </row>
    <row r="3" customFormat="false" ht="12.75" hidden="false" customHeight="false" outlineLevel="0" collapsed="false">
      <c r="E3" s="172"/>
    </row>
    <row r="4" customFormat="false" ht="13.5" hidden="false" customHeight="false" outlineLevel="0" collapsed="false">
      <c r="E4" s="172"/>
    </row>
    <row r="5" customFormat="false" ht="12.75" hidden="false" customHeight="false" outlineLevel="0" collapsed="false">
      <c r="B5" s="173"/>
      <c r="C5" s="174"/>
      <c r="D5" s="175"/>
      <c r="E5" s="176"/>
      <c r="F5" s="175"/>
      <c r="G5" s="176"/>
      <c r="H5" s="177"/>
      <c r="I5" s="175"/>
      <c r="J5" s="141"/>
      <c r="K5" s="175"/>
    </row>
    <row r="6" customFormat="false" ht="12.75" hidden="false" customHeight="false" outlineLevel="0" collapsed="false">
      <c r="B6" s="178" t="s">
        <v>138</v>
      </c>
      <c r="C6" s="179" t="s">
        <v>139</v>
      </c>
      <c r="D6" s="180" t="s">
        <v>140</v>
      </c>
      <c r="E6" s="181"/>
      <c r="F6" s="180" t="s">
        <v>140</v>
      </c>
      <c r="G6" s="181"/>
      <c r="H6" s="182"/>
      <c r="I6" s="180" t="s">
        <v>141</v>
      </c>
      <c r="J6" s="65"/>
      <c r="K6" s="180" t="s">
        <v>141</v>
      </c>
    </row>
    <row r="7" customFormat="false" ht="12.75" hidden="false" customHeight="false" outlineLevel="0" collapsed="false">
      <c r="B7" s="178" t="s">
        <v>142</v>
      </c>
      <c r="C7" s="179" t="s">
        <v>143</v>
      </c>
      <c r="D7" s="180" t="s">
        <v>144</v>
      </c>
      <c r="E7" s="181"/>
      <c r="F7" s="180" t="s">
        <v>144</v>
      </c>
      <c r="G7" s="181"/>
      <c r="H7" s="182"/>
      <c r="I7" s="180" t="s">
        <v>144</v>
      </c>
      <c r="J7" s="65"/>
      <c r="K7" s="180" t="s">
        <v>144</v>
      </c>
    </row>
    <row r="8" customFormat="false" ht="12.75" hidden="false" customHeight="false" outlineLevel="0" collapsed="false">
      <c r="B8" s="178"/>
      <c r="C8" s="179"/>
      <c r="D8" s="180"/>
      <c r="E8" s="181"/>
      <c r="F8" s="180" t="s">
        <v>145</v>
      </c>
      <c r="G8" s="181"/>
      <c r="H8" s="182"/>
      <c r="I8" s="180"/>
      <c r="J8" s="65"/>
      <c r="K8" s="180" t="str">
        <f aca="false">F8</f>
        <v>base configuration</v>
      </c>
    </row>
    <row r="9" customFormat="false" ht="12.75" hidden="false" customHeight="false" outlineLevel="0" collapsed="false">
      <c r="B9" s="183"/>
      <c r="C9" s="184"/>
      <c r="D9" s="185"/>
      <c r="E9" s="186"/>
      <c r="F9" s="185"/>
      <c r="G9" s="186"/>
      <c r="H9" s="182"/>
      <c r="I9" s="185"/>
      <c r="J9" s="65"/>
      <c r="K9" s="185"/>
    </row>
    <row r="10" customFormat="false" ht="13.5" hidden="false" customHeight="false" outlineLevel="0" collapsed="false">
      <c r="B10" s="187"/>
      <c r="C10" s="188"/>
      <c r="D10" s="189"/>
      <c r="E10" s="186"/>
      <c r="F10" s="189"/>
      <c r="G10" s="186"/>
      <c r="H10" s="182"/>
      <c r="I10" s="189"/>
      <c r="J10" s="65"/>
      <c r="K10" s="189"/>
    </row>
    <row r="11" customFormat="false" ht="12.75" hidden="false" customHeight="false" outlineLevel="0" collapsed="false">
      <c r="B11" s="99" t="s">
        <v>146</v>
      </c>
      <c r="C11" s="190"/>
      <c r="D11" s="191" t="s">
        <v>61</v>
      </c>
      <c r="E11" s="181"/>
      <c r="F11" s="191" t="s">
        <v>61</v>
      </c>
      <c r="G11" s="181"/>
      <c r="H11" s="192"/>
      <c r="I11" s="191" t="s">
        <v>61</v>
      </c>
      <c r="J11" s="65"/>
      <c r="K11" s="191" t="s">
        <v>61</v>
      </c>
    </row>
    <row r="12" customFormat="false" ht="12.75" hidden="false" customHeight="false" outlineLevel="0" collapsed="false">
      <c r="B12" s="99"/>
      <c r="C12" s="190"/>
      <c r="D12" s="191"/>
      <c r="E12" s="181"/>
      <c r="F12" s="191"/>
      <c r="G12" s="181"/>
      <c r="H12" s="192"/>
      <c r="I12" s="191"/>
      <c r="J12" s="65"/>
      <c r="K12" s="191"/>
    </row>
    <row r="13" customFormat="false" ht="13.5" hidden="false" customHeight="false" outlineLevel="0" collapsed="false">
      <c r="B13" s="99" t="s">
        <v>147</v>
      </c>
      <c r="C13" s="190"/>
      <c r="D13" s="191" t="n">
        <v>2</v>
      </c>
      <c r="E13" s="181"/>
      <c r="F13" s="191" t="n">
        <v>2</v>
      </c>
      <c r="G13" s="181"/>
      <c r="H13" s="192"/>
      <c r="I13" s="191" t="n">
        <v>4</v>
      </c>
      <c r="J13" s="65"/>
      <c r="K13" s="191" t="n">
        <v>4</v>
      </c>
    </row>
    <row r="14" customFormat="false" ht="16.5" hidden="false" customHeight="false" outlineLevel="0" collapsed="false">
      <c r="B14" s="193" t="s">
        <v>148</v>
      </c>
      <c r="C14" s="194"/>
      <c r="D14" s="195"/>
      <c r="E14" s="196"/>
      <c r="F14" s="195"/>
      <c r="G14" s="196"/>
      <c r="H14" s="192"/>
      <c r="I14" s="195"/>
      <c r="J14" s="65"/>
      <c r="K14" s="195"/>
    </row>
    <row r="15" customFormat="false" ht="13.5" hidden="false" customHeight="false" outlineLevel="0" collapsed="false">
      <c r="B15" s="147" t="s">
        <v>149</v>
      </c>
      <c r="C15" s="197"/>
      <c r="D15" s="198" t="n">
        <v>601000</v>
      </c>
      <c r="E15" s="199"/>
      <c r="F15" s="198" t="n">
        <v>601000</v>
      </c>
      <c r="G15" s="199"/>
      <c r="H15" s="192" t="n">
        <v>1.1</v>
      </c>
      <c r="I15" s="200" t="n">
        <f aca="false">+H15*D15</f>
        <v>661100</v>
      </c>
      <c r="J15" s="65"/>
      <c r="K15" s="200" t="n">
        <f aca="false">F15*H15</f>
        <v>661100</v>
      </c>
    </row>
    <row r="16" customFormat="false" ht="16.5" hidden="false" customHeight="false" outlineLevel="0" collapsed="false">
      <c r="B16" s="193" t="s">
        <v>150</v>
      </c>
      <c r="C16" s="194"/>
      <c r="D16" s="195"/>
      <c r="E16" s="196"/>
      <c r="F16" s="195"/>
      <c r="G16" s="196"/>
      <c r="H16" s="192"/>
      <c r="I16" s="195"/>
      <c r="J16" s="65"/>
      <c r="K16" s="195"/>
    </row>
    <row r="17" customFormat="false" ht="12.75" hidden="false" customHeight="false" outlineLevel="0" collapsed="false">
      <c r="B17" s="147" t="s">
        <v>151</v>
      </c>
      <c r="C17" s="65"/>
      <c r="D17" s="201" t="n">
        <v>2985080</v>
      </c>
      <c r="E17" s="199"/>
      <c r="F17" s="202" t="n">
        <f aca="false">2985080-(685000)</f>
        <v>2300080</v>
      </c>
      <c r="G17" s="199"/>
      <c r="H17" s="192" t="n">
        <v>2</v>
      </c>
      <c r="I17" s="203" t="n">
        <f aca="false">+H17*D17</f>
        <v>5970160</v>
      </c>
      <c r="J17" s="65"/>
      <c r="K17" s="200" t="n">
        <f aca="false">F17*H17</f>
        <v>4600160</v>
      </c>
    </row>
    <row r="18" customFormat="false" ht="12.75" hidden="false" customHeight="false" outlineLevel="0" collapsed="false">
      <c r="B18" s="204" t="s">
        <v>152</v>
      </c>
      <c r="C18" s="205"/>
      <c r="D18" s="206" t="n">
        <v>476740</v>
      </c>
      <c r="E18" s="199"/>
      <c r="F18" s="206" t="n">
        <v>476740</v>
      </c>
      <c r="G18" s="199"/>
      <c r="H18" s="192" t="n">
        <v>2</v>
      </c>
      <c r="I18" s="207" t="n">
        <f aca="false">+H18*D18</f>
        <v>953480</v>
      </c>
      <c r="J18" s="65"/>
      <c r="K18" s="200" t="n">
        <f aca="false">F18*H18</f>
        <v>953480</v>
      </c>
    </row>
    <row r="19" customFormat="false" ht="12.75" hidden="false" customHeight="false" outlineLevel="0" collapsed="false">
      <c r="B19" s="204" t="s">
        <v>153</v>
      </c>
      <c r="C19" s="205"/>
      <c r="D19" s="206" t="n">
        <v>0</v>
      </c>
      <c r="E19" s="199"/>
      <c r="F19" s="206" t="n">
        <v>0</v>
      </c>
      <c r="G19" s="199"/>
      <c r="H19" s="192" t="n">
        <v>2</v>
      </c>
      <c r="I19" s="207" t="n">
        <f aca="false">+H19*D19</f>
        <v>0</v>
      </c>
      <c r="J19" s="65"/>
      <c r="K19" s="200" t="n">
        <f aca="false">F19*H19</f>
        <v>0</v>
      </c>
    </row>
    <row r="20" customFormat="false" ht="12.75" hidden="false" customHeight="false" outlineLevel="0" collapsed="false">
      <c r="B20" s="204" t="s">
        <v>154</v>
      </c>
      <c r="C20" s="205"/>
      <c r="D20" s="206" t="n">
        <v>0</v>
      </c>
      <c r="E20" s="199"/>
      <c r="F20" s="206" t="n">
        <v>0</v>
      </c>
      <c r="G20" s="199"/>
      <c r="H20" s="192" t="n">
        <v>2</v>
      </c>
      <c r="I20" s="207" t="n">
        <f aca="false">+H20*D20</f>
        <v>0</v>
      </c>
      <c r="J20" s="65"/>
      <c r="K20" s="200" t="n">
        <f aca="false">F20*H20</f>
        <v>0</v>
      </c>
    </row>
    <row r="21" customFormat="false" ht="12.75" hidden="false" customHeight="false" outlineLevel="0" collapsed="false">
      <c r="B21" s="204" t="s">
        <v>155</v>
      </c>
      <c r="C21" s="205"/>
      <c r="D21" s="206" t="n">
        <v>0</v>
      </c>
      <c r="E21" s="199"/>
      <c r="F21" s="206" t="n">
        <v>0</v>
      </c>
      <c r="G21" s="199"/>
      <c r="H21" s="192" t="n">
        <v>2</v>
      </c>
      <c r="I21" s="207" t="n">
        <f aca="false">+H21*D21</f>
        <v>0</v>
      </c>
      <c r="J21" s="65"/>
      <c r="K21" s="200" t="n">
        <f aca="false">F21*H21</f>
        <v>0</v>
      </c>
    </row>
    <row r="22" customFormat="false" ht="12.75" hidden="false" customHeight="false" outlineLevel="0" collapsed="false">
      <c r="B22" s="204" t="s">
        <v>78</v>
      </c>
      <c r="C22" s="205"/>
      <c r="D22" s="206" t="n">
        <v>0</v>
      </c>
      <c r="E22" s="199"/>
      <c r="F22" s="206" t="n">
        <v>0</v>
      </c>
      <c r="G22" s="199"/>
      <c r="H22" s="192" t="n">
        <v>2</v>
      </c>
      <c r="I22" s="207" t="n">
        <f aca="false">+H22*D22</f>
        <v>0</v>
      </c>
      <c r="J22" s="65"/>
      <c r="K22" s="200" t="n">
        <f aca="false">F22*H22</f>
        <v>0</v>
      </c>
    </row>
    <row r="23" customFormat="false" ht="12.75" hidden="false" customHeight="false" outlineLevel="0" collapsed="false">
      <c r="B23" s="204" t="s">
        <v>156</v>
      </c>
      <c r="C23" s="205"/>
      <c r="D23" s="206" t="n">
        <v>0</v>
      </c>
      <c r="E23" s="199"/>
      <c r="F23" s="206" t="n">
        <v>0</v>
      </c>
      <c r="G23" s="199"/>
      <c r="H23" s="192" t="n">
        <v>2</v>
      </c>
      <c r="I23" s="207" t="n">
        <f aca="false">+H23*D23</f>
        <v>0</v>
      </c>
      <c r="J23" s="65"/>
      <c r="K23" s="200" t="n">
        <f aca="false">F23*H23</f>
        <v>0</v>
      </c>
    </row>
    <row r="24" customFormat="false" ht="12.75" hidden="false" customHeight="false" outlineLevel="0" collapsed="false">
      <c r="B24" s="204" t="s">
        <v>157</v>
      </c>
      <c r="C24" s="205"/>
      <c r="D24" s="206" t="n">
        <v>0</v>
      </c>
      <c r="E24" s="199"/>
      <c r="F24" s="206" t="n">
        <v>0</v>
      </c>
      <c r="G24" s="199"/>
      <c r="H24" s="192" t="n">
        <v>2</v>
      </c>
      <c r="I24" s="207" t="n">
        <f aca="false">+H24*D24</f>
        <v>0</v>
      </c>
      <c r="J24" s="65"/>
      <c r="K24" s="200" t="n">
        <f aca="false">F24*H24</f>
        <v>0</v>
      </c>
    </row>
    <row r="25" customFormat="false" ht="12.75" hidden="false" customHeight="false" outlineLevel="0" collapsed="false">
      <c r="B25" s="204" t="s">
        <v>158</v>
      </c>
      <c r="C25" s="205"/>
      <c r="D25" s="206" t="n">
        <v>40000</v>
      </c>
      <c r="E25" s="199"/>
      <c r="F25" s="206" t="n">
        <v>40000</v>
      </c>
      <c r="G25" s="199"/>
      <c r="H25" s="192" t="n">
        <v>2</v>
      </c>
      <c r="I25" s="207" t="n">
        <f aca="false">+H25*D25</f>
        <v>80000</v>
      </c>
      <c r="J25" s="65"/>
      <c r="K25" s="200" t="n">
        <f aca="false">F25*H25</f>
        <v>80000</v>
      </c>
    </row>
    <row r="26" customFormat="false" ht="12.75" hidden="false" customHeight="false" outlineLevel="0" collapsed="false">
      <c r="B26" s="204" t="s">
        <v>159</v>
      </c>
      <c r="C26" s="205"/>
      <c r="D26" s="206" t="n">
        <v>0</v>
      </c>
      <c r="E26" s="199"/>
      <c r="F26" s="206" t="n">
        <v>0</v>
      </c>
      <c r="G26" s="199"/>
      <c r="H26" s="192" t="n">
        <v>2</v>
      </c>
      <c r="I26" s="207" t="n">
        <f aca="false">+H26*D26</f>
        <v>0</v>
      </c>
      <c r="J26" s="65"/>
      <c r="K26" s="200" t="n">
        <f aca="false">F26*H26</f>
        <v>0</v>
      </c>
    </row>
    <row r="27" customFormat="false" ht="12.75" hidden="false" customHeight="false" outlineLevel="0" collapsed="false">
      <c r="B27" s="204" t="s">
        <v>160</v>
      </c>
      <c r="C27" s="205"/>
      <c r="D27" s="206" t="n">
        <v>34350</v>
      </c>
      <c r="E27" s="199"/>
      <c r="F27" s="206" t="n">
        <v>34350</v>
      </c>
      <c r="G27" s="199"/>
      <c r="H27" s="208" t="n">
        <v>2</v>
      </c>
      <c r="I27" s="207" t="n">
        <f aca="false">+H27*D27</f>
        <v>68700</v>
      </c>
      <c r="J27" s="65"/>
      <c r="K27" s="200" t="n">
        <f aca="false">F27*H27</f>
        <v>68700</v>
      </c>
    </row>
    <row r="28" customFormat="false" ht="12.75" hidden="false" customHeight="false" outlineLevel="0" collapsed="false">
      <c r="B28" s="204" t="s">
        <v>161</v>
      </c>
      <c r="C28" s="205"/>
      <c r="D28" s="206" t="n">
        <v>226500</v>
      </c>
      <c r="E28" s="199"/>
      <c r="F28" s="209" t="n">
        <v>120000</v>
      </c>
      <c r="G28" s="199"/>
      <c r="H28" s="210" t="n">
        <v>1.75</v>
      </c>
      <c r="I28" s="207" t="n">
        <f aca="false">+H28*D28</f>
        <v>396375</v>
      </c>
      <c r="J28" s="65"/>
      <c r="K28" s="200" t="n">
        <f aca="false">F28*H28</f>
        <v>210000</v>
      </c>
    </row>
    <row r="29" customFormat="false" ht="12.75" hidden="false" customHeight="false" outlineLevel="0" collapsed="false">
      <c r="B29" s="204" t="s">
        <v>162</v>
      </c>
      <c r="C29" s="205"/>
      <c r="D29" s="206" t="n">
        <v>25000</v>
      </c>
      <c r="E29" s="199"/>
      <c r="F29" s="209" t="n">
        <v>0</v>
      </c>
      <c r="G29" s="199"/>
      <c r="H29" s="210" t="n">
        <v>1.5</v>
      </c>
      <c r="I29" s="207" t="n">
        <f aca="false">+H29*D29</f>
        <v>37500</v>
      </c>
      <c r="J29" s="65"/>
      <c r="K29" s="200" t="n">
        <f aca="false">F29*H29</f>
        <v>0</v>
      </c>
    </row>
    <row r="30" customFormat="false" ht="12.75" hidden="false" customHeight="false" outlineLevel="0" collapsed="false">
      <c r="B30" s="204" t="s">
        <v>163</v>
      </c>
      <c r="C30" s="205"/>
      <c r="D30" s="206" t="n">
        <v>21800</v>
      </c>
      <c r="E30" s="199"/>
      <c r="F30" s="206" t="n">
        <v>21800</v>
      </c>
      <c r="G30" s="199"/>
      <c r="H30" s="210" t="n">
        <v>1.5</v>
      </c>
      <c r="I30" s="207" t="n">
        <f aca="false">+H30*D30</f>
        <v>32700</v>
      </c>
      <c r="J30" s="65"/>
      <c r="K30" s="200" t="n">
        <f aca="false">F30*H30</f>
        <v>32700</v>
      </c>
    </row>
    <row r="31" customFormat="false" ht="12.75" hidden="false" customHeight="false" outlineLevel="0" collapsed="false">
      <c r="B31" s="204" t="s">
        <v>164</v>
      </c>
      <c r="C31" s="205"/>
      <c r="D31" s="206" t="n">
        <v>600000</v>
      </c>
      <c r="E31" s="199"/>
      <c r="F31" s="206" t="n">
        <v>600000</v>
      </c>
      <c r="G31" s="199"/>
      <c r="H31" s="192" t="n">
        <v>2</v>
      </c>
      <c r="I31" s="207" t="n">
        <f aca="false">+H31*D31</f>
        <v>1200000</v>
      </c>
      <c r="J31" s="65"/>
      <c r="K31" s="200" t="n">
        <f aca="false">F31*H31</f>
        <v>1200000</v>
      </c>
    </row>
    <row r="32" customFormat="false" ht="12.75" hidden="false" customHeight="false" outlineLevel="0" collapsed="false">
      <c r="B32" s="204" t="s">
        <v>165</v>
      </c>
      <c r="C32" s="205"/>
      <c r="D32" s="209" t="n">
        <v>0</v>
      </c>
      <c r="E32" s="211"/>
      <c r="F32" s="209" t="n">
        <v>0</v>
      </c>
      <c r="G32" s="211"/>
      <c r="H32" s="210" t="n">
        <v>0</v>
      </c>
      <c r="I32" s="207" t="n">
        <f aca="false">+H32*D32</f>
        <v>0</v>
      </c>
      <c r="J32" s="65"/>
      <c r="K32" s="200" t="n">
        <f aca="false">F32*H32</f>
        <v>0</v>
      </c>
      <c r="N32" s="104" t="s">
        <v>166</v>
      </c>
    </row>
    <row r="33" customFormat="false" ht="12.75" hidden="false" customHeight="false" outlineLevel="0" collapsed="false">
      <c r="B33" s="147" t="s">
        <v>167</v>
      </c>
      <c r="C33" s="65"/>
      <c r="D33" s="198" t="n">
        <v>96000</v>
      </c>
      <c r="E33" s="211"/>
      <c r="F33" s="198" t="n">
        <v>96000</v>
      </c>
      <c r="G33" s="211"/>
      <c r="H33" s="192" t="n">
        <v>1.5</v>
      </c>
      <c r="I33" s="207" t="n">
        <f aca="false">+H33*D33</f>
        <v>144000</v>
      </c>
      <c r="J33" s="65"/>
      <c r="K33" s="200" t="n">
        <f aca="false">F33*H33</f>
        <v>144000</v>
      </c>
      <c r="N33" s="104"/>
    </row>
    <row r="34" customFormat="false" ht="12.75" hidden="false" customHeight="false" outlineLevel="0" collapsed="false">
      <c r="B34" s="212" t="s">
        <v>168</v>
      </c>
      <c r="C34" s="213"/>
      <c r="D34" s="214" t="n">
        <v>791990</v>
      </c>
      <c r="E34" s="199"/>
      <c r="F34" s="214" t="n">
        <v>791990</v>
      </c>
      <c r="G34" s="199"/>
      <c r="H34" s="192" t="n">
        <v>2</v>
      </c>
      <c r="I34" s="215" t="n">
        <f aca="false">+H34*D34</f>
        <v>1583980</v>
      </c>
      <c r="J34" s="65"/>
      <c r="K34" s="200" t="n">
        <f aca="false">F34*H34</f>
        <v>1583980</v>
      </c>
    </row>
    <row r="35" customFormat="false" ht="13.5" hidden="false" customHeight="false" outlineLevel="0" collapsed="false">
      <c r="B35" s="99" t="s">
        <v>169</v>
      </c>
      <c r="C35" s="65"/>
      <c r="D35" s="200" t="n">
        <f aca="false">SUM(D17:D34)</f>
        <v>5297460</v>
      </c>
      <c r="E35" s="216"/>
      <c r="F35" s="200" t="n">
        <f aca="false">SUM(F17:F34)</f>
        <v>4480960</v>
      </c>
      <c r="G35" s="216"/>
      <c r="H35" s="192"/>
      <c r="I35" s="200" t="n">
        <f aca="false">SUM(I17:I34)</f>
        <v>10466895</v>
      </c>
      <c r="J35" s="65"/>
      <c r="K35" s="200" t="n">
        <f aca="false">SUM(K17:K34)</f>
        <v>8873020</v>
      </c>
    </row>
    <row r="36" customFormat="false" ht="16.5" hidden="false" customHeight="false" outlineLevel="0" collapsed="false">
      <c r="B36" s="193" t="s">
        <v>170</v>
      </c>
      <c r="C36" s="194"/>
      <c r="D36" s="195"/>
      <c r="E36" s="196"/>
      <c r="F36" s="195"/>
      <c r="G36" s="196"/>
      <c r="H36" s="192"/>
      <c r="I36" s="195"/>
      <c r="J36" s="65"/>
      <c r="K36" s="195"/>
    </row>
    <row r="37" customFormat="false" ht="16.5" hidden="false" customHeight="false" outlineLevel="0" collapsed="false">
      <c r="B37" s="193" t="s">
        <v>171</v>
      </c>
      <c r="C37" s="194"/>
      <c r="D37" s="195"/>
      <c r="E37" s="196"/>
      <c r="F37" s="195"/>
      <c r="G37" s="196"/>
      <c r="H37" s="192"/>
      <c r="I37" s="195"/>
      <c r="J37" s="65"/>
      <c r="K37" s="195"/>
    </row>
    <row r="38" customFormat="false" ht="12.75" hidden="false" customHeight="false" outlineLevel="0" collapsed="false">
      <c r="B38" s="204" t="s">
        <v>172</v>
      </c>
      <c r="C38" s="205"/>
      <c r="D38" s="206" t="n">
        <v>737360</v>
      </c>
      <c r="E38" s="199"/>
      <c r="F38" s="209" t="n">
        <v>650000</v>
      </c>
      <c r="G38" s="199"/>
      <c r="H38" s="192" t="n">
        <v>1.5</v>
      </c>
      <c r="I38" s="207" t="n">
        <f aca="false">+H38*D38</f>
        <v>1106040</v>
      </c>
      <c r="J38" s="65"/>
      <c r="K38" s="200" t="n">
        <f aca="false">F38*H38</f>
        <v>975000</v>
      </c>
    </row>
    <row r="39" customFormat="false" ht="12.75" hidden="false" customHeight="false" outlineLevel="0" collapsed="false">
      <c r="B39" s="204" t="s">
        <v>173</v>
      </c>
      <c r="C39" s="205"/>
      <c r="D39" s="206" t="n">
        <v>269335</v>
      </c>
      <c r="E39" s="199"/>
      <c r="F39" s="209" t="n">
        <v>200000</v>
      </c>
      <c r="G39" s="199"/>
      <c r="H39" s="210" t="n">
        <v>1.75</v>
      </c>
      <c r="I39" s="207" t="n">
        <f aca="false">+H39*D39</f>
        <v>471336.25</v>
      </c>
      <c r="J39" s="65"/>
      <c r="K39" s="200" t="n">
        <f aca="false">F39*H39</f>
        <v>350000</v>
      </c>
    </row>
    <row r="40" customFormat="false" ht="12.75" hidden="false" customHeight="false" outlineLevel="0" collapsed="false">
      <c r="B40" s="204" t="s">
        <v>174</v>
      </c>
      <c r="C40" s="205"/>
      <c r="D40" s="206" t="n">
        <v>469601</v>
      </c>
      <c r="E40" s="199"/>
      <c r="F40" s="209" t="n">
        <v>375000</v>
      </c>
      <c r="G40" s="199"/>
      <c r="H40" s="210" t="n">
        <v>1.75</v>
      </c>
      <c r="I40" s="207" t="n">
        <f aca="false">+H40*D40</f>
        <v>821801.75</v>
      </c>
      <c r="J40" s="65"/>
      <c r="K40" s="200" t="n">
        <f aca="false">F40*H40</f>
        <v>656250</v>
      </c>
    </row>
    <row r="41" customFormat="false" ht="12.75" hidden="false" customHeight="false" outlineLevel="0" collapsed="false">
      <c r="B41" s="204" t="s">
        <v>175</v>
      </c>
      <c r="C41" s="205"/>
      <c r="D41" s="206" t="n">
        <v>781695</v>
      </c>
      <c r="E41" s="199"/>
      <c r="F41" s="209" t="n">
        <v>600000</v>
      </c>
      <c r="G41" s="199"/>
      <c r="H41" s="210" t="n">
        <v>1.75</v>
      </c>
      <c r="I41" s="207" t="n">
        <f aca="false">+H41*D41</f>
        <v>1367966.25</v>
      </c>
      <c r="J41" s="65"/>
      <c r="K41" s="200" t="n">
        <f aca="false">F41*H41</f>
        <v>1050000</v>
      </c>
    </row>
    <row r="42" customFormat="false" ht="12.75" hidden="false" customHeight="false" outlineLevel="0" collapsed="false">
      <c r="B42" s="204" t="s">
        <v>176</v>
      </c>
      <c r="C42" s="205"/>
      <c r="D42" s="206" t="n">
        <v>190710</v>
      </c>
      <c r="E42" s="199"/>
      <c r="F42" s="209" t="n">
        <v>175000</v>
      </c>
      <c r="G42" s="199"/>
      <c r="H42" s="210" t="n">
        <v>1.75</v>
      </c>
      <c r="I42" s="207" t="n">
        <f aca="false">+H42*D42</f>
        <v>333742.5</v>
      </c>
      <c r="J42" s="65"/>
      <c r="K42" s="200" t="n">
        <f aca="false">F42*H42</f>
        <v>306250</v>
      </c>
    </row>
    <row r="43" customFormat="false" ht="12.75" hidden="false" customHeight="false" outlineLevel="0" collapsed="false">
      <c r="B43" s="204" t="s">
        <v>177</v>
      </c>
      <c r="C43" s="205"/>
      <c r="D43" s="206" t="n">
        <v>16500</v>
      </c>
      <c r="E43" s="199"/>
      <c r="F43" s="206" t="n">
        <v>16500</v>
      </c>
      <c r="G43" s="199"/>
      <c r="H43" s="192" t="n">
        <v>1.5</v>
      </c>
      <c r="I43" s="207" t="n">
        <f aca="false">+H43*D43</f>
        <v>24750</v>
      </c>
      <c r="J43" s="65"/>
      <c r="K43" s="200" t="n">
        <f aca="false">F43*H43</f>
        <v>24750</v>
      </c>
    </row>
    <row r="44" customFormat="false" ht="12.75" hidden="false" customHeight="false" outlineLevel="0" collapsed="false">
      <c r="B44" s="204" t="s">
        <v>178</v>
      </c>
      <c r="C44" s="205"/>
      <c r="D44" s="206" t="n">
        <v>187500</v>
      </c>
      <c r="E44" s="199"/>
      <c r="F44" s="206" t="n">
        <v>187500</v>
      </c>
      <c r="G44" s="199"/>
      <c r="H44" s="192" t="n">
        <v>1.5</v>
      </c>
      <c r="I44" s="207" t="n">
        <f aca="false">+H44*D44</f>
        <v>281250</v>
      </c>
      <c r="J44" s="65"/>
      <c r="K44" s="200" t="n">
        <f aca="false">F44*H44</f>
        <v>281250</v>
      </c>
    </row>
    <row r="45" customFormat="false" ht="12.75" hidden="false" customHeight="false" outlineLevel="0" collapsed="false">
      <c r="B45" s="204" t="s">
        <v>179</v>
      </c>
      <c r="C45" s="205"/>
      <c r="D45" s="206" t="n">
        <v>653657</v>
      </c>
      <c r="E45" s="199"/>
      <c r="F45" s="209" t="n">
        <v>550000</v>
      </c>
      <c r="G45" s="199"/>
      <c r="H45" s="192" t="n">
        <v>1.5</v>
      </c>
      <c r="I45" s="207" t="n">
        <f aca="false">+H45*D45</f>
        <v>980485.5</v>
      </c>
      <c r="J45" s="65"/>
      <c r="K45" s="200" t="n">
        <f aca="false">F45*H45</f>
        <v>825000</v>
      </c>
    </row>
    <row r="46" customFormat="false" ht="12.75" hidden="false" customHeight="false" outlineLevel="0" collapsed="false">
      <c r="B46" s="204" t="s">
        <v>180</v>
      </c>
      <c r="C46" s="205"/>
      <c r="D46" s="206" t="n">
        <v>754334</v>
      </c>
      <c r="E46" s="199"/>
      <c r="F46" s="209" t="n">
        <v>700000</v>
      </c>
      <c r="G46" s="199"/>
      <c r="H46" s="192" t="n">
        <v>1.5</v>
      </c>
      <c r="I46" s="207" t="n">
        <f aca="false">+H46*D46</f>
        <v>1131501</v>
      </c>
      <c r="J46" s="65"/>
      <c r="K46" s="200" t="n">
        <f aca="false">F46*H46</f>
        <v>1050000</v>
      </c>
    </row>
    <row r="47" customFormat="false" ht="12.75" hidden="false" customHeight="false" outlineLevel="0" collapsed="false">
      <c r="B47" s="204" t="s">
        <v>181</v>
      </c>
      <c r="C47" s="205"/>
      <c r="D47" s="206" t="n">
        <v>129650</v>
      </c>
      <c r="E47" s="199"/>
      <c r="F47" s="209" t="n">
        <v>100000</v>
      </c>
      <c r="G47" s="199"/>
      <c r="H47" s="192" t="n">
        <v>1.5</v>
      </c>
      <c r="I47" s="207" t="n">
        <f aca="false">+H47*D47</f>
        <v>194475</v>
      </c>
      <c r="J47" s="65"/>
      <c r="K47" s="200" t="n">
        <f aca="false">F47*H47</f>
        <v>150000</v>
      </c>
    </row>
    <row r="48" customFormat="false" ht="12.75" hidden="false" customHeight="false" outlineLevel="0" collapsed="false">
      <c r="B48" s="204" t="s">
        <v>182</v>
      </c>
      <c r="C48" s="205"/>
      <c r="D48" s="206" t="n">
        <v>23919</v>
      </c>
      <c r="E48" s="199"/>
      <c r="F48" s="206" t="n">
        <v>23919</v>
      </c>
      <c r="G48" s="199"/>
      <c r="H48" s="192" t="n">
        <v>1.5</v>
      </c>
      <c r="I48" s="207" t="n">
        <f aca="false">+H48*D48</f>
        <v>35878.5</v>
      </c>
      <c r="J48" s="65"/>
      <c r="K48" s="200" t="n">
        <f aca="false">F48*H48</f>
        <v>35878.5</v>
      </c>
    </row>
    <row r="49" customFormat="false" ht="12.75" hidden="false" customHeight="false" outlineLevel="0" collapsed="false">
      <c r="B49" s="204" t="s">
        <v>183</v>
      </c>
      <c r="C49" s="205"/>
      <c r="D49" s="206" t="n">
        <v>56274</v>
      </c>
      <c r="E49" s="199"/>
      <c r="F49" s="206" t="n">
        <v>56274</v>
      </c>
      <c r="G49" s="199"/>
      <c r="H49" s="192" t="n">
        <v>1.5</v>
      </c>
      <c r="I49" s="207" t="n">
        <f aca="false">+H49*D49</f>
        <v>84411</v>
      </c>
      <c r="J49" s="65"/>
      <c r="K49" s="200" t="n">
        <f aca="false">F49*H49</f>
        <v>84411</v>
      </c>
    </row>
    <row r="50" customFormat="false" ht="12.75" hidden="false" customHeight="false" outlineLevel="0" collapsed="false">
      <c r="B50" s="204" t="s">
        <v>153</v>
      </c>
      <c r="C50" s="205"/>
      <c r="D50" s="206" t="n">
        <v>0</v>
      </c>
      <c r="E50" s="199"/>
      <c r="F50" s="206" t="n">
        <v>0</v>
      </c>
      <c r="G50" s="199"/>
      <c r="H50" s="192" t="n">
        <v>1.5</v>
      </c>
      <c r="I50" s="207" t="n">
        <f aca="false">+H50*D50</f>
        <v>0</v>
      </c>
      <c r="J50" s="65"/>
      <c r="K50" s="200" t="n">
        <f aca="false">F50*H50</f>
        <v>0</v>
      </c>
    </row>
    <row r="51" customFormat="false" ht="12.75" hidden="false" customHeight="false" outlineLevel="0" collapsed="false">
      <c r="B51" s="204" t="s">
        <v>184</v>
      </c>
      <c r="C51" s="205"/>
      <c r="D51" s="206" t="n">
        <v>212000</v>
      </c>
      <c r="E51" s="199"/>
      <c r="F51" s="206" t="n">
        <v>212000</v>
      </c>
      <c r="G51" s="199"/>
      <c r="H51" s="210" t="n">
        <v>2</v>
      </c>
      <c r="I51" s="207" t="n">
        <f aca="false">+H51*D51</f>
        <v>424000</v>
      </c>
      <c r="J51" s="65"/>
      <c r="K51" s="200" t="n">
        <f aca="false">F51*H51</f>
        <v>424000</v>
      </c>
    </row>
    <row r="52" customFormat="false" ht="12.75" hidden="false" customHeight="false" outlineLevel="0" collapsed="false">
      <c r="B52" s="204" t="s">
        <v>155</v>
      </c>
      <c r="C52" s="205"/>
      <c r="D52" s="206" t="n">
        <v>0</v>
      </c>
      <c r="E52" s="199"/>
      <c r="F52" s="206" t="n">
        <v>0</v>
      </c>
      <c r="G52" s="199"/>
      <c r="H52" s="192" t="n">
        <v>1.5</v>
      </c>
      <c r="I52" s="207" t="n">
        <f aca="false">+H52*D52</f>
        <v>0</v>
      </c>
      <c r="J52" s="65"/>
      <c r="K52" s="200" t="n">
        <f aca="false">F52*H52</f>
        <v>0</v>
      </c>
    </row>
    <row r="53" customFormat="false" ht="12.75" hidden="false" customHeight="false" outlineLevel="0" collapsed="false">
      <c r="B53" s="204" t="s">
        <v>78</v>
      </c>
      <c r="C53" s="205"/>
      <c r="D53" s="206" t="n">
        <v>19800</v>
      </c>
      <c r="E53" s="199"/>
      <c r="F53" s="209" t="n">
        <v>0</v>
      </c>
      <c r="G53" s="199"/>
      <c r="H53" s="210" t="n">
        <v>2</v>
      </c>
      <c r="I53" s="207" t="n">
        <f aca="false">+H53*D53</f>
        <v>39600</v>
      </c>
      <c r="J53" s="65"/>
      <c r="K53" s="200" t="n">
        <f aca="false">F53*H53</f>
        <v>0</v>
      </c>
    </row>
    <row r="54" customFormat="false" ht="12.75" hidden="false" customHeight="false" outlineLevel="0" collapsed="false">
      <c r="B54" s="204" t="s">
        <v>156</v>
      </c>
      <c r="C54" s="205"/>
      <c r="D54" s="206" t="n">
        <v>0</v>
      </c>
      <c r="E54" s="199"/>
      <c r="F54" s="206" t="n">
        <v>0</v>
      </c>
      <c r="G54" s="199"/>
      <c r="H54" s="192" t="n">
        <v>1.5</v>
      </c>
      <c r="I54" s="207" t="n">
        <f aca="false">+H54*D54</f>
        <v>0</v>
      </c>
      <c r="J54" s="65"/>
      <c r="K54" s="200" t="n">
        <f aca="false">F54*H54</f>
        <v>0</v>
      </c>
    </row>
    <row r="55" customFormat="false" ht="12.75" hidden="false" customHeight="false" outlineLevel="0" collapsed="false">
      <c r="B55" s="204" t="s">
        <v>160</v>
      </c>
      <c r="C55" s="205"/>
      <c r="D55" s="206" t="n">
        <v>3700</v>
      </c>
      <c r="E55" s="199"/>
      <c r="F55" s="206" t="n">
        <v>3700</v>
      </c>
      <c r="G55" s="199"/>
      <c r="H55" s="192" t="n">
        <v>1.5</v>
      </c>
      <c r="I55" s="207" t="n">
        <f aca="false">+H55*D55</f>
        <v>5550</v>
      </c>
      <c r="J55" s="65"/>
      <c r="K55" s="200" t="n">
        <f aca="false">F55*H55</f>
        <v>5550</v>
      </c>
    </row>
    <row r="56" customFormat="false" ht="12.75" hidden="false" customHeight="false" outlineLevel="0" collapsed="false">
      <c r="B56" s="204" t="s">
        <v>161</v>
      </c>
      <c r="C56" s="205"/>
      <c r="D56" s="206" t="n">
        <v>700</v>
      </c>
      <c r="E56" s="199"/>
      <c r="F56" s="206" t="n">
        <v>700</v>
      </c>
      <c r="G56" s="199"/>
      <c r="H56" s="192" t="n">
        <v>1.5</v>
      </c>
      <c r="I56" s="207" t="n">
        <f aca="false">+H56*D56</f>
        <v>1050</v>
      </c>
      <c r="J56" s="65"/>
      <c r="K56" s="200" t="n">
        <f aca="false">F56*H56</f>
        <v>1050</v>
      </c>
    </row>
    <row r="57" customFormat="false" ht="12.75" hidden="false" customHeight="false" outlineLevel="0" collapsed="false">
      <c r="B57" s="204" t="s">
        <v>185</v>
      </c>
      <c r="C57" s="205"/>
      <c r="D57" s="206" t="n">
        <v>9750</v>
      </c>
      <c r="E57" s="199"/>
      <c r="F57" s="206" t="n">
        <v>9750</v>
      </c>
      <c r="G57" s="199"/>
      <c r="H57" s="192" t="n">
        <v>1.5</v>
      </c>
      <c r="I57" s="207" t="n">
        <f aca="false">+H57*D57</f>
        <v>14625</v>
      </c>
      <c r="J57" s="65"/>
      <c r="K57" s="200" t="n">
        <f aca="false">F57*H57</f>
        <v>14625</v>
      </c>
    </row>
    <row r="58" customFormat="false" ht="12.75" hidden="false" customHeight="false" outlineLevel="0" collapsed="false">
      <c r="B58" s="204" t="s">
        <v>186</v>
      </c>
      <c r="C58" s="205"/>
      <c r="D58" s="206" t="n">
        <v>0</v>
      </c>
      <c r="E58" s="199"/>
      <c r="F58" s="206" t="n">
        <v>0</v>
      </c>
      <c r="G58" s="199"/>
      <c r="H58" s="192" t="n">
        <v>1.5</v>
      </c>
      <c r="I58" s="207" t="n">
        <f aca="false">+H58*D58</f>
        <v>0</v>
      </c>
      <c r="J58" s="65"/>
      <c r="K58" s="200" t="n">
        <f aca="false">F58*H58</f>
        <v>0</v>
      </c>
    </row>
    <row r="59" customFormat="false" ht="12.75" hidden="false" customHeight="false" outlineLevel="0" collapsed="false">
      <c r="B59" s="204" t="s">
        <v>187</v>
      </c>
      <c r="C59" s="205"/>
      <c r="D59" s="206" t="n">
        <v>226812</v>
      </c>
      <c r="E59" s="199"/>
      <c r="F59" s="206" t="n">
        <v>226812</v>
      </c>
      <c r="G59" s="199"/>
      <c r="H59" s="192" t="n">
        <v>1.5</v>
      </c>
      <c r="I59" s="207" t="n">
        <f aca="false">+H59*D59</f>
        <v>340218</v>
      </c>
      <c r="J59" s="65"/>
      <c r="K59" s="200" t="n">
        <f aca="false">F59*H59</f>
        <v>340218</v>
      </c>
    </row>
    <row r="60" customFormat="false" ht="12.75" hidden="false" customHeight="false" outlineLevel="0" collapsed="false">
      <c r="B60" s="217" t="s">
        <v>188</v>
      </c>
      <c r="C60" s="218"/>
      <c r="D60" s="219" t="n">
        <v>511273</v>
      </c>
      <c r="E60" s="199"/>
      <c r="F60" s="220" t="n">
        <v>425000</v>
      </c>
      <c r="G60" s="199"/>
      <c r="H60" s="192" t="n">
        <v>1.5</v>
      </c>
      <c r="I60" s="221" t="n">
        <f aca="false">+H60*D60</f>
        <v>766909.5</v>
      </c>
      <c r="J60" s="65"/>
      <c r="K60" s="200" t="n">
        <f aca="false">F60*H60</f>
        <v>637500</v>
      </c>
    </row>
    <row r="61" customFormat="false" ht="13.5" hidden="false" customHeight="false" outlineLevel="0" collapsed="false">
      <c r="B61" s="222" t="s">
        <v>189</v>
      </c>
      <c r="C61" s="223"/>
      <c r="D61" s="224" t="n">
        <f aca="false">SUM(D38:D60)</f>
        <v>5254570</v>
      </c>
      <c r="E61" s="225"/>
      <c r="F61" s="224" t="n">
        <f aca="false">SUM(F38:F60)</f>
        <v>4512155</v>
      </c>
      <c r="G61" s="225"/>
      <c r="H61" s="192"/>
      <c r="I61" s="224" t="n">
        <f aca="false">SUM(I38:I60)</f>
        <v>8425590.25</v>
      </c>
      <c r="J61" s="65"/>
      <c r="K61" s="224" t="n">
        <f aca="false">SUM(K38:K60)</f>
        <v>7211732.5</v>
      </c>
    </row>
    <row r="62" customFormat="false" ht="16.5" hidden="false" customHeight="false" outlineLevel="0" collapsed="false">
      <c r="B62" s="193" t="s">
        <v>190</v>
      </c>
      <c r="C62" s="194"/>
      <c r="D62" s="195"/>
      <c r="E62" s="196"/>
      <c r="F62" s="226"/>
      <c r="G62" s="196"/>
      <c r="H62" s="192"/>
      <c r="I62" s="195"/>
      <c r="J62" s="65"/>
      <c r="K62" s="195"/>
    </row>
    <row r="63" customFormat="false" ht="12.75" hidden="false" customHeight="false" outlineLevel="0" collapsed="false">
      <c r="B63" s="204" t="s">
        <v>191</v>
      </c>
      <c r="C63" s="227" t="n">
        <v>0.26</v>
      </c>
      <c r="D63" s="206" t="n">
        <v>737100</v>
      </c>
      <c r="E63" s="199"/>
      <c r="F63" s="209" t="n">
        <v>700000</v>
      </c>
      <c r="G63" s="199"/>
      <c r="H63" s="192" t="n">
        <v>1.25</v>
      </c>
      <c r="I63" s="207" t="n">
        <f aca="false">+H63*D63</f>
        <v>921375</v>
      </c>
      <c r="J63" s="65"/>
      <c r="K63" s="200" t="n">
        <f aca="false">F63*H63</f>
        <v>875000</v>
      </c>
    </row>
    <row r="64" customFormat="false" ht="12.75" hidden="false" customHeight="false" outlineLevel="0" collapsed="false">
      <c r="B64" s="204" t="s">
        <v>192</v>
      </c>
      <c r="C64" s="228" t="n">
        <v>3.5</v>
      </c>
      <c r="D64" s="206" t="n">
        <v>305324</v>
      </c>
      <c r="E64" s="199"/>
      <c r="F64" s="206" t="n">
        <v>305324</v>
      </c>
      <c r="G64" s="199"/>
      <c r="H64" s="192" t="n">
        <v>1.25</v>
      </c>
      <c r="I64" s="207" t="n">
        <f aca="false">+H64*D64</f>
        <v>381655</v>
      </c>
      <c r="J64" s="65"/>
      <c r="K64" s="200" t="n">
        <f aca="false">F64*H64</f>
        <v>381655</v>
      </c>
    </row>
    <row r="65" customFormat="false" ht="12.75" hidden="false" customHeight="false" outlineLevel="0" collapsed="false">
      <c r="B65" s="204" t="s">
        <v>193</v>
      </c>
      <c r="C65" s="228" t="n">
        <v>2</v>
      </c>
      <c r="D65" s="206" t="n">
        <v>174471</v>
      </c>
      <c r="E65" s="199"/>
      <c r="F65" s="206" t="n">
        <v>174471</v>
      </c>
      <c r="G65" s="199"/>
      <c r="H65" s="210" t="n">
        <v>1.33</v>
      </c>
      <c r="I65" s="207" t="n">
        <f aca="false">+H65*D65</f>
        <v>232046.43</v>
      </c>
      <c r="J65" s="65"/>
      <c r="K65" s="200" t="n">
        <f aca="false">F65*H65</f>
        <v>232046.43</v>
      </c>
    </row>
    <row r="66" customFormat="false" ht="12.75" hidden="false" customHeight="false" outlineLevel="0" collapsed="false">
      <c r="B66" s="204" t="s">
        <v>194</v>
      </c>
      <c r="C66" s="228" t="n">
        <v>4.5</v>
      </c>
      <c r="D66" s="206" t="n">
        <f aca="false">392560+155000</f>
        <v>547560</v>
      </c>
      <c r="E66" s="199"/>
      <c r="F66" s="209" t="n">
        <v>520000</v>
      </c>
      <c r="G66" s="199"/>
      <c r="H66" s="210" t="n">
        <v>1.33</v>
      </c>
      <c r="I66" s="207" t="n">
        <f aca="false">+H66*D66</f>
        <v>728254.8</v>
      </c>
      <c r="J66" s="65"/>
      <c r="K66" s="200" t="n">
        <f aca="false">F66*H66</f>
        <v>691600</v>
      </c>
    </row>
    <row r="67" customFormat="false" ht="12.75" hidden="false" customHeight="false" outlineLevel="0" collapsed="false">
      <c r="B67" s="217" t="s">
        <v>195</v>
      </c>
      <c r="C67" s="229" t="n">
        <v>0.13</v>
      </c>
      <c r="D67" s="219" t="n">
        <v>187100</v>
      </c>
      <c r="E67" s="199"/>
      <c r="F67" s="219" t="n">
        <v>187100</v>
      </c>
      <c r="G67" s="199"/>
      <c r="H67" s="210" t="n">
        <v>1.5</v>
      </c>
      <c r="I67" s="221" t="n">
        <f aca="false">+H67*D67</f>
        <v>280650</v>
      </c>
      <c r="J67" s="65"/>
      <c r="K67" s="200" t="n">
        <f aca="false">F67*H67</f>
        <v>280650</v>
      </c>
    </row>
    <row r="68" customFormat="false" ht="12.75" hidden="false" customHeight="false" outlineLevel="0" collapsed="false">
      <c r="B68" s="222" t="s">
        <v>196</v>
      </c>
      <c r="C68" s="223"/>
      <c r="D68" s="224" t="n">
        <f aca="false">SUM(D63:D67)</f>
        <v>1951555</v>
      </c>
      <c r="E68" s="225"/>
      <c r="F68" s="224" t="n">
        <f aca="false">SUM(F63:F67)</f>
        <v>1886895</v>
      </c>
      <c r="G68" s="225"/>
      <c r="H68" s="192"/>
      <c r="I68" s="224" t="n">
        <f aca="false">SUM(I63:I67)</f>
        <v>2543981.23</v>
      </c>
      <c r="J68" s="65"/>
      <c r="K68" s="224" t="n">
        <f aca="false">SUM(K63:K67)</f>
        <v>2460951.43</v>
      </c>
      <c r="IS68" s="230"/>
    </row>
    <row r="69" customFormat="false" ht="4.5" hidden="false" customHeight="true" outlineLevel="0" collapsed="false">
      <c r="B69" s="231"/>
      <c r="C69" s="232"/>
      <c r="D69" s="233"/>
      <c r="E69" s="234"/>
      <c r="F69" s="233"/>
      <c r="G69" s="234"/>
      <c r="H69" s="192"/>
      <c r="I69" s="235"/>
      <c r="J69" s="65"/>
      <c r="K69" s="235"/>
    </row>
    <row r="70" customFormat="false" ht="13.5" hidden="false" customHeight="false" outlineLevel="0" collapsed="false">
      <c r="B70" s="135" t="s">
        <v>197</v>
      </c>
      <c r="C70" s="26"/>
      <c r="D70" s="236" t="n">
        <f aca="false">+D68+D61</f>
        <v>7206125</v>
      </c>
      <c r="E70" s="225"/>
      <c r="F70" s="236" t="n">
        <f aca="false">+F68+F61</f>
        <v>6399050</v>
      </c>
      <c r="G70" s="225"/>
      <c r="H70" s="192"/>
      <c r="I70" s="236" t="n">
        <f aca="false">+I68+I61</f>
        <v>10969571.48</v>
      </c>
      <c r="J70" s="65"/>
      <c r="K70" s="236" t="n">
        <f aca="false">+K68+K61</f>
        <v>9672683.93</v>
      </c>
    </row>
    <row r="71" customFormat="false" ht="16.5" hidden="false" customHeight="false" outlineLevel="0" collapsed="false">
      <c r="B71" s="193" t="s">
        <v>198</v>
      </c>
      <c r="C71" s="194"/>
      <c r="D71" s="195"/>
      <c r="E71" s="196"/>
      <c r="F71" s="195"/>
      <c r="G71" s="196"/>
      <c r="H71" s="192"/>
      <c r="I71" s="195"/>
      <c r="J71" s="65"/>
      <c r="K71" s="195"/>
    </row>
    <row r="72" customFormat="false" ht="12.75" hidden="false" customHeight="false" outlineLevel="0" collapsed="false">
      <c r="B72" s="204" t="s">
        <v>198</v>
      </c>
      <c r="C72" s="228" t="n">
        <v>4.5</v>
      </c>
      <c r="D72" s="206" t="n">
        <v>464256</v>
      </c>
      <c r="E72" s="199"/>
      <c r="F72" s="206" t="n">
        <v>464256</v>
      </c>
      <c r="G72" s="199"/>
      <c r="H72" s="192" t="n">
        <v>1.25</v>
      </c>
      <c r="I72" s="207" t="n">
        <f aca="false">+H72*D72</f>
        <v>580320</v>
      </c>
      <c r="J72" s="65"/>
      <c r="K72" s="200" t="n">
        <f aca="false">F72*H72</f>
        <v>580320</v>
      </c>
    </row>
    <row r="73" customFormat="false" ht="12.75" hidden="false" customHeight="false" outlineLevel="0" collapsed="false">
      <c r="B73" s="217" t="s">
        <v>199</v>
      </c>
      <c r="C73" s="218"/>
      <c r="D73" s="219" t="n">
        <v>35000</v>
      </c>
      <c r="E73" s="199"/>
      <c r="F73" s="219" t="n">
        <v>35000</v>
      </c>
      <c r="G73" s="199"/>
      <c r="H73" s="210" t="n">
        <v>1</v>
      </c>
      <c r="I73" s="221" t="n">
        <f aca="false">+H73*D73</f>
        <v>35000</v>
      </c>
      <c r="J73" s="65"/>
      <c r="K73" s="200" t="n">
        <f aca="false">F73*H73</f>
        <v>35000</v>
      </c>
    </row>
    <row r="74" customFormat="false" ht="13.5" hidden="false" customHeight="false" outlineLevel="0" collapsed="false">
      <c r="B74" s="222" t="s">
        <v>200</v>
      </c>
      <c r="C74" s="237"/>
      <c r="D74" s="224" t="n">
        <f aca="false">+D73+D72</f>
        <v>499256</v>
      </c>
      <c r="E74" s="225"/>
      <c r="F74" s="224" t="n">
        <f aca="false">+F73+F72</f>
        <v>499256</v>
      </c>
      <c r="G74" s="225"/>
      <c r="H74" s="238"/>
      <c r="I74" s="224" t="n">
        <f aca="false">+I73+I72</f>
        <v>615320</v>
      </c>
      <c r="J74" s="239"/>
      <c r="K74" s="224" t="n">
        <f aca="false">+K73+K72</f>
        <v>615320</v>
      </c>
      <c r="L74" s="240"/>
      <c r="M74" s="240"/>
    </row>
    <row r="75" customFormat="false" ht="16.5" hidden="false" customHeight="false" outlineLevel="0" collapsed="false">
      <c r="B75" s="193" t="s">
        <v>201</v>
      </c>
      <c r="C75" s="194"/>
      <c r="D75" s="195"/>
      <c r="E75" s="196"/>
      <c r="F75" s="195"/>
      <c r="G75" s="196"/>
      <c r="H75" s="192"/>
      <c r="I75" s="195"/>
      <c r="J75" s="65"/>
      <c r="K75" s="195"/>
    </row>
    <row r="76" customFormat="false" ht="12.75" hidden="false" customHeight="false" outlineLevel="0" collapsed="false">
      <c r="B76" s="204" t="s">
        <v>202</v>
      </c>
      <c r="C76" s="227" t="n">
        <v>0.04</v>
      </c>
      <c r="D76" s="206" t="n">
        <v>282045</v>
      </c>
      <c r="E76" s="199"/>
      <c r="F76" s="206" t="n">
        <v>282045</v>
      </c>
      <c r="G76" s="199"/>
      <c r="H76" s="210" t="n">
        <v>1.25</v>
      </c>
      <c r="I76" s="207" t="n">
        <f aca="false">+H76*D76</f>
        <v>352556.25</v>
      </c>
      <c r="J76" s="65"/>
      <c r="K76" s="200" t="n">
        <f aca="false">F76*H76</f>
        <v>352556.25</v>
      </c>
    </row>
    <row r="77" customFormat="false" ht="12.75" hidden="false" customHeight="false" outlineLevel="0" collapsed="false">
      <c r="B77" s="204" t="s">
        <v>203</v>
      </c>
      <c r="C77" s="205"/>
      <c r="D77" s="206" t="n">
        <v>100000</v>
      </c>
      <c r="E77" s="199"/>
      <c r="F77" s="206" t="n">
        <v>100000</v>
      </c>
      <c r="G77" s="199"/>
      <c r="H77" s="192" t="n">
        <v>1</v>
      </c>
      <c r="I77" s="207" t="n">
        <f aca="false">+H77*D77</f>
        <v>100000</v>
      </c>
      <c r="J77" s="65"/>
      <c r="K77" s="200" t="n">
        <f aca="false">F77*H77</f>
        <v>100000</v>
      </c>
    </row>
    <row r="78" customFormat="false" ht="12.75" hidden="false" customHeight="false" outlineLevel="0" collapsed="false">
      <c r="B78" s="217" t="s">
        <v>204</v>
      </c>
      <c r="C78" s="218"/>
      <c r="D78" s="219" t="n">
        <v>1080930</v>
      </c>
      <c r="E78" s="199"/>
      <c r="F78" s="219" t="n">
        <v>1080930</v>
      </c>
      <c r="G78" s="199"/>
      <c r="H78" s="210" t="n">
        <v>1.5</v>
      </c>
      <c r="I78" s="221" t="n">
        <f aca="false">+H78*D78</f>
        <v>1621395</v>
      </c>
      <c r="J78" s="65"/>
      <c r="K78" s="200" t="n">
        <f aca="false">F78*H78</f>
        <v>1621395</v>
      </c>
    </row>
    <row r="79" customFormat="false" ht="13.5" hidden="false" customHeight="false" outlineLevel="0" collapsed="false">
      <c r="B79" s="222" t="s">
        <v>205</v>
      </c>
      <c r="C79" s="237"/>
      <c r="D79" s="224" t="n">
        <f aca="false">+SUM(D76:D78)</f>
        <v>1462975</v>
      </c>
      <c r="E79" s="225"/>
      <c r="F79" s="224" t="n">
        <f aca="false">+SUM(F76:F78)</f>
        <v>1462975</v>
      </c>
      <c r="G79" s="225"/>
      <c r="H79" s="192"/>
      <c r="I79" s="224" t="n">
        <f aca="false">+SUM(I76:I78)</f>
        <v>2073951.25</v>
      </c>
      <c r="J79" s="65"/>
      <c r="K79" s="224" t="n">
        <f aca="false">+SUM(K76:K78)</f>
        <v>2073951.25</v>
      </c>
    </row>
    <row r="80" customFormat="false" ht="16.5" hidden="false" customHeight="false" outlineLevel="0" collapsed="false">
      <c r="B80" s="193" t="s">
        <v>201</v>
      </c>
      <c r="C80" s="194"/>
      <c r="D80" s="195"/>
      <c r="E80" s="196"/>
      <c r="F80" s="195"/>
      <c r="G80" s="196"/>
      <c r="H80" s="192"/>
      <c r="I80" s="195"/>
      <c r="J80" s="65"/>
      <c r="K80" s="195"/>
    </row>
    <row r="81" customFormat="false" ht="13.5" hidden="false" customHeight="false" outlineLevel="0" collapsed="false">
      <c r="B81" s="241" t="s">
        <v>206</v>
      </c>
      <c r="C81" s="205"/>
      <c r="D81" s="207" t="n">
        <f aca="false">+D79+D74+D70+D35+D15</f>
        <v>15066816</v>
      </c>
      <c r="E81" s="216"/>
      <c r="F81" s="207" t="n">
        <f aca="false">+F79+F74+F70+F35+F15</f>
        <v>13443241</v>
      </c>
      <c r="G81" s="216"/>
      <c r="H81" s="192"/>
      <c r="I81" s="207" t="n">
        <f aca="false">+I79+I74+I70+I35+I15</f>
        <v>24786837.73</v>
      </c>
      <c r="J81" s="65"/>
      <c r="K81" s="207" t="n">
        <f aca="false">+K79+K74+K70+K35+K15</f>
        <v>21896075.18</v>
      </c>
    </row>
    <row r="82" customFormat="false" ht="16.5" hidden="false" customHeight="false" outlineLevel="0" collapsed="false">
      <c r="B82" s="193" t="s">
        <v>207</v>
      </c>
      <c r="C82" s="194"/>
      <c r="D82" s="195"/>
      <c r="E82" s="196"/>
      <c r="F82" s="195"/>
      <c r="G82" s="196"/>
      <c r="H82" s="192"/>
      <c r="I82" s="195"/>
      <c r="J82" s="65"/>
      <c r="K82" s="195"/>
    </row>
    <row r="83" customFormat="false" ht="12.75" hidden="false" customHeight="false" outlineLevel="0" collapsed="false">
      <c r="B83" s="204" t="s">
        <v>208</v>
      </c>
      <c r="C83" s="205"/>
      <c r="D83" s="206" t="n">
        <v>450000</v>
      </c>
      <c r="E83" s="199"/>
      <c r="F83" s="206" t="n">
        <v>450000</v>
      </c>
      <c r="G83" s="199"/>
      <c r="H83" s="210" t="n">
        <v>1.75</v>
      </c>
      <c r="I83" s="207" t="n">
        <f aca="false">+H83*D83</f>
        <v>787500</v>
      </c>
      <c r="J83" s="65"/>
      <c r="K83" s="200" t="n">
        <f aca="false">F83*H83</f>
        <v>787500</v>
      </c>
    </row>
    <row r="84" customFormat="false" ht="12.75" hidden="false" customHeight="false" outlineLevel="0" collapsed="false">
      <c r="B84" s="204" t="s">
        <v>209</v>
      </c>
      <c r="C84" s="242" t="n">
        <v>0.02</v>
      </c>
      <c r="D84" s="206" t="n">
        <v>923000</v>
      </c>
      <c r="E84" s="199"/>
      <c r="F84" s="206" t="n">
        <v>923000</v>
      </c>
      <c r="G84" s="199"/>
      <c r="H84" s="210" t="n">
        <v>1.75</v>
      </c>
      <c r="I84" s="207" t="n">
        <f aca="false">+H84*D84</f>
        <v>1615250</v>
      </c>
      <c r="J84" s="65"/>
      <c r="K84" s="200" t="n">
        <f aca="false">F84*H84</f>
        <v>1615250</v>
      </c>
    </row>
    <row r="85" customFormat="false" ht="12.75" hidden="false" customHeight="false" outlineLevel="0" collapsed="false">
      <c r="B85" s="217" t="s">
        <v>210</v>
      </c>
      <c r="C85" s="218"/>
      <c r="D85" s="219" t="n">
        <v>2000000</v>
      </c>
      <c r="E85" s="199"/>
      <c r="F85" s="219" t="n">
        <v>2000000</v>
      </c>
      <c r="G85" s="199"/>
      <c r="H85" s="210" t="n">
        <v>1.5</v>
      </c>
      <c r="I85" s="221" t="n">
        <f aca="false">+H85*D85</f>
        <v>3000000</v>
      </c>
      <c r="J85" s="65"/>
      <c r="K85" s="200" t="n">
        <f aca="false">F85*H85</f>
        <v>3000000</v>
      </c>
      <c r="M85" s="115" t="s">
        <v>211</v>
      </c>
    </row>
    <row r="86" customFormat="false" ht="13.5" hidden="false" customHeight="false" outlineLevel="0" collapsed="false">
      <c r="B86" s="222" t="s">
        <v>212</v>
      </c>
      <c r="C86" s="237"/>
      <c r="D86" s="243" t="n">
        <f aca="false">+SUM(D83:D85)</f>
        <v>3373000</v>
      </c>
      <c r="E86" s="216" t="s">
        <v>213</v>
      </c>
      <c r="F86" s="243" t="n">
        <f aca="false">+SUM(F83:F85)</f>
        <v>3373000</v>
      </c>
      <c r="G86" s="216" t="s">
        <v>213</v>
      </c>
      <c r="H86" s="192"/>
      <c r="I86" s="243" t="n">
        <f aca="false">+SUM(I83:I85)</f>
        <v>5402750</v>
      </c>
      <c r="J86" s="216" t="s">
        <v>213</v>
      </c>
      <c r="K86" s="243" t="n">
        <f aca="false">+SUM(K83:K85)</f>
        <v>5402750</v>
      </c>
      <c r="L86" s="216" t="s">
        <v>213</v>
      </c>
      <c r="M86" s="216" t="s">
        <v>213</v>
      </c>
    </row>
    <row r="87" customFormat="false" ht="16.5" hidden="false" customHeight="false" outlineLevel="0" collapsed="false">
      <c r="B87" s="193"/>
      <c r="C87" s="194"/>
      <c r="D87" s="195"/>
      <c r="E87" s="244" t="n">
        <v>28624000</v>
      </c>
      <c r="F87" s="195"/>
      <c r="G87" s="244" t="n">
        <v>28624000</v>
      </c>
      <c r="H87" s="192"/>
      <c r="I87" s="195"/>
      <c r="J87" s="244" t="n">
        <f aca="false">4*14312000</f>
        <v>57248000</v>
      </c>
      <c r="K87" s="195"/>
      <c r="L87" s="244" t="n">
        <f aca="false">4*14312000</f>
        <v>57248000</v>
      </c>
      <c r="M87" s="244" t="n">
        <f aca="false">4*14312000</f>
        <v>57248000</v>
      </c>
    </row>
    <row r="88" customFormat="false" ht="16.5" hidden="false" customHeight="false" outlineLevel="0" collapsed="false">
      <c r="B88" s="193"/>
      <c r="C88" s="245" t="s">
        <v>214</v>
      </c>
      <c r="D88" s="195"/>
      <c r="E88" s="244" t="n">
        <f aca="false">2*950000</f>
        <v>1900000</v>
      </c>
      <c r="F88" s="195"/>
      <c r="G88" s="244" t="n">
        <v>0</v>
      </c>
      <c r="H88" s="192"/>
      <c r="I88" s="195"/>
      <c r="J88" s="244" t="n">
        <f aca="false">4*950000</f>
        <v>3800000</v>
      </c>
      <c r="K88" s="195"/>
      <c r="L88" s="244" t="n">
        <v>0</v>
      </c>
      <c r="M88" s="244" t="n">
        <v>0</v>
      </c>
    </row>
    <row r="89" customFormat="false" ht="16.5" hidden="false" customHeight="false" outlineLevel="0" collapsed="false">
      <c r="B89" s="193"/>
      <c r="C89" s="245" t="s">
        <v>215</v>
      </c>
      <c r="D89" s="195"/>
      <c r="E89" s="244" t="n">
        <f aca="false">2*280000</f>
        <v>560000</v>
      </c>
      <c r="F89" s="195"/>
      <c r="G89" s="244" t="n">
        <v>0</v>
      </c>
      <c r="H89" s="192"/>
      <c r="I89" s="195"/>
      <c r="J89" s="244" t="n">
        <f aca="false">4*280000</f>
        <v>1120000</v>
      </c>
      <c r="K89" s="195"/>
      <c r="L89" s="244" t="n">
        <v>0</v>
      </c>
      <c r="M89" s="244" t="n">
        <v>0</v>
      </c>
    </row>
    <row r="90" customFormat="false" ht="16.5" hidden="false" customHeight="false" outlineLevel="0" collapsed="false">
      <c r="B90" s="193"/>
      <c r="C90" s="245" t="s">
        <v>22</v>
      </c>
      <c r="D90" s="195"/>
      <c r="E90" s="244" t="s">
        <v>22</v>
      </c>
      <c r="F90" s="195"/>
      <c r="G90" s="244" t="s">
        <v>22</v>
      </c>
      <c r="H90" s="192"/>
      <c r="I90" s="195"/>
      <c r="J90" s="244" t="s">
        <v>22</v>
      </c>
      <c r="K90" s="195"/>
      <c r="L90" s="244" t="s">
        <v>22</v>
      </c>
      <c r="M90" s="244" t="s">
        <v>22</v>
      </c>
    </row>
    <row r="91" customFormat="false" ht="16.5" hidden="false" customHeight="false" outlineLevel="0" collapsed="false">
      <c r="B91" s="193"/>
      <c r="C91" s="245" t="s">
        <v>22</v>
      </c>
      <c r="D91" s="195"/>
      <c r="E91" s="244" t="s">
        <v>22</v>
      </c>
      <c r="F91" s="195"/>
      <c r="G91" s="244" t="s">
        <v>22</v>
      </c>
      <c r="H91" s="192"/>
      <c r="I91" s="195"/>
      <c r="J91" s="244" t="s">
        <v>22</v>
      </c>
      <c r="K91" s="195"/>
      <c r="L91" s="244" t="s">
        <v>22</v>
      </c>
      <c r="M91" s="244" t="s">
        <v>22</v>
      </c>
    </row>
    <row r="92" customFormat="false" ht="16.5" hidden="false" customHeight="false" outlineLevel="0" collapsed="false">
      <c r="B92" s="246" t="s">
        <v>216</v>
      </c>
      <c r="C92" s="194"/>
      <c r="D92" s="247" t="n">
        <f aca="false">+D81+D86</f>
        <v>18439816</v>
      </c>
      <c r="E92" s="244" t="n">
        <f aca="false">SUM(E87:E91)+D92</f>
        <v>49523816</v>
      </c>
      <c r="F92" s="247" t="n">
        <f aca="false">+F81+F86</f>
        <v>16816241</v>
      </c>
      <c r="G92" s="244" t="n">
        <f aca="false">SUM(G87:G91)+F92</f>
        <v>45440241</v>
      </c>
      <c r="H92" s="192"/>
      <c r="I92" s="247" t="n">
        <f aca="false">+I81+I86</f>
        <v>30189587.73</v>
      </c>
      <c r="J92" s="244" t="n">
        <f aca="false">SUM(J87:J91)+I92</f>
        <v>92357587.73</v>
      </c>
      <c r="K92" s="247" t="n">
        <f aca="false">+K81+K86</f>
        <v>27298825.18</v>
      </c>
      <c r="L92" s="244" t="n">
        <f aca="false">SUM(L87:L91)+K92</f>
        <v>84546825.18</v>
      </c>
      <c r="M92" s="244" t="n">
        <f aca="false">SUM(M87:M91)+K92-K86</f>
        <v>79144075.18</v>
      </c>
    </row>
    <row r="93" customFormat="false" ht="16.5" hidden="false" customHeight="false" outlineLevel="0" collapsed="false">
      <c r="B93" s="193"/>
      <c r="C93" s="194"/>
      <c r="D93" s="248" t="n">
        <f aca="false">D92/D13</f>
        <v>9219908</v>
      </c>
      <c r="E93" s="249" t="s">
        <v>217</v>
      </c>
      <c r="F93" s="248" t="n">
        <f aca="false">F92/F13</f>
        <v>8408120.5</v>
      </c>
      <c r="G93" s="249" t="s">
        <v>218</v>
      </c>
      <c r="H93" s="192"/>
      <c r="I93" s="248" t="n">
        <f aca="false">I92/I13</f>
        <v>7547396.9325</v>
      </c>
      <c r="J93" s="249" t="s">
        <v>217</v>
      </c>
      <c r="K93" s="248" t="n">
        <f aca="false">K92/K13</f>
        <v>6824706.295</v>
      </c>
      <c r="L93" s="249" t="s">
        <v>218</v>
      </c>
      <c r="M93" s="249" t="s">
        <v>218</v>
      </c>
    </row>
    <row r="94" customFormat="false" ht="12.75" hidden="false" customHeight="false" outlineLevel="0" collapsed="false">
      <c r="B94" s="65"/>
      <c r="C94" s="65"/>
      <c r="D94" s="250" t="s">
        <v>219</v>
      </c>
      <c r="E94" s="251" t="n">
        <f aca="false">E92/(2*46.9*1000)</f>
        <v>527.972452025586</v>
      </c>
      <c r="F94" s="234"/>
      <c r="G94" s="251" t="n">
        <f aca="false">G92/(2*45.3*1000)</f>
        <v>501.547913907285</v>
      </c>
      <c r="H94" s="161"/>
      <c r="I94" s="83"/>
      <c r="J94" s="251" t="n">
        <f aca="false">J92/(4*46.9*1000)</f>
        <v>492.311235234542</v>
      </c>
      <c r="K94" s="151"/>
      <c r="L94" s="251" t="n">
        <f aca="false">L92/(4*45.3*1000)</f>
        <v>466.59395794702</v>
      </c>
      <c r="M94" s="251" t="n">
        <f aca="false">M92/(4*45.3*1000)</f>
        <v>436.777456843267</v>
      </c>
    </row>
    <row r="95" customFormat="false" ht="12.75" hidden="false" customHeight="false" outlineLevel="0" collapsed="false">
      <c r="B95" s="65"/>
      <c r="C95" s="65"/>
      <c r="D95" s="250" t="s">
        <v>220</v>
      </c>
      <c r="E95" s="251" t="n">
        <f aca="false">E87/(2*46.9*1000)</f>
        <v>305.159914712154</v>
      </c>
      <c r="F95" s="234"/>
      <c r="G95" s="251" t="n">
        <f aca="false">G87/(2*45.3*1000)</f>
        <v>315.938189845475</v>
      </c>
      <c r="H95" s="161"/>
      <c r="I95" s="83"/>
      <c r="J95" s="251" t="n">
        <f aca="false">J87/(4*46.9*1000)</f>
        <v>305.159914712154</v>
      </c>
      <c r="K95" s="151"/>
      <c r="L95" s="251" t="n">
        <f aca="false">L87/(4*45.3*1000)</f>
        <v>315.938189845475</v>
      </c>
      <c r="M95" s="251" t="n">
        <f aca="false">M87/(4*45.3*1000)</f>
        <v>315.938189845475</v>
      </c>
    </row>
    <row r="96" customFormat="false" ht="12.75" hidden="false" customHeight="false" outlineLevel="0" collapsed="false">
      <c r="B96" s="65"/>
      <c r="C96" s="65"/>
      <c r="D96" s="252" t="n">
        <v>95</v>
      </c>
      <c r="E96" s="251" t="n">
        <f aca="false">E92/(2*45.3*1000)</f>
        <v>546.620485651214</v>
      </c>
      <c r="F96" s="234"/>
      <c r="G96" s="251" t="n">
        <f aca="false">G92/(2*33.6*1000)</f>
        <v>676.1940625</v>
      </c>
      <c r="H96" s="161"/>
      <c r="I96" s="83"/>
      <c r="J96" s="251" t="n">
        <f aca="false">J92/(4*45.3*1000)</f>
        <v>509.699711534216</v>
      </c>
      <c r="K96" s="151"/>
      <c r="L96" s="251" t="n">
        <f aca="false">L92/(4*33.6*1000)</f>
        <v>629.068639732143</v>
      </c>
      <c r="M96" s="251" t="n">
        <f aca="false">M92/(4*33.6*1000)</f>
        <v>588.869606994048</v>
      </c>
    </row>
    <row r="97" customFormat="false" ht="13.5" hidden="false" customHeight="false" outlineLevel="0" collapsed="false">
      <c r="B97" s="65"/>
      <c r="C97" s="65"/>
      <c r="D97" s="250" t="s">
        <v>221</v>
      </c>
      <c r="E97" s="251" t="n">
        <f aca="false">E87/(2*45.3*1000)</f>
        <v>315.938189845475</v>
      </c>
      <c r="F97" s="234"/>
      <c r="G97" s="251" t="n">
        <f aca="false">G87/(2*33.6*1000)</f>
        <v>425.952380952381</v>
      </c>
      <c r="H97" s="161"/>
      <c r="I97" s="83"/>
      <c r="J97" s="251" t="n">
        <f aca="false">J87/(4*45.3*1000)</f>
        <v>315.938189845475</v>
      </c>
      <c r="K97" s="151"/>
      <c r="L97" s="251" t="n">
        <f aca="false">L87/(4*33.6*1000)</f>
        <v>425.952380952381</v>
      </c>
      <c r="M97" s="251" t="n">
        <f aca="false">M87/(4*33.6*1000)</f>
        <v>425.952380952381</v>
      </c>
    </row>
    <row r="98" customFormat="false" ht="12.75" hidden="false" customHeight="false" outlineLevel="0" collapsed="false">
      <c r="B98" s="253" t="s">
        <v>222</v>
      </c>
      <c r="C98" s="254"/>
      <c r="D98" s="255" t="n">
        <f aca="false">1430000-850000</f>
        <v>580000</v>
      </c>
      <c r="E98" s="199"/>
      <c r="F98" s="255" t="n">
        <f aca="false">1430000-850000</f>
        <v>580000</v>
      </c>
      <c r="G98" s="199"/>
      <c r="H98" s="210" t="n">
        <v>1.25</v>
      </c>
      <c r="I98" s="256" t="n">
        <f aca="false">+H98*D98</f>
        <v>725000</v>
      </c>
      <c r="J98" s="65"/>
      <c r="K98" s="203" t="n">
        <f aca="false">F98*H98</f>
        <v>725000</v>
      </c>
    </row>
    <row r="99" customFormat="false" ht="12.75" hidden="false" customHeight="false" outlineLevel="0" collapsed="false">
      <c r="B99" s="204" t="s">
        <v>223</v>
      </c>
      <c r="C99" s="242" t="s">
        <v>22</v>
      </c>
      <c r="D99" s="206" t="n">
        <v>0</v>
      </c>
      <c r="E99" s="199"/>
      <c r="F99" s="206" t="n">
        <v>0</v>
      </c>
      <c r="G99" s="199"/>
      <c r="H99" s="210" t="n">
        <v>1.25</v>
      </c>
      <c r="I99" s="207" t="n">
        <f aca="false">+H99*D99</f>
        <v>0</v>
      </c>
      <c r="J99" s="65"/>
      <c r="K99" s="200" t="n">
        <f aca="false">F99*H99</f>
        <v>0</v>
      </c>
    </row>
    <row r="100" customFormat="false" ht="12.75" hidden="false" customHeight="false" outlineLevel="0" collapsed="false">
      <c r="B100" s="217" t="s">
        <v>224</v>
      </c>
      <c r="C100" s="218"/>
      <c r="D100" s="219" t="n">
        <v>0</v>
      </c>
      <c r="E100" s="199"/>
      <c r="F100" s="219" t="n">
        <v>0</v>
      </c>
      <c r="G100" s="199"/>
      <c r="H100" s="210" t="n">
        <v>1.75</v>
      </c>
      <c r="I100" s="221" t="n">
        <f aca="false">+H100*D100</f>
        <v>0</v>
      </c>
      <c r="J100" s="65"/>
      <c r="K100" s="200" t="n">
        <f aca="false">F100*H100</f>
        <v>0</v>
      </c>
    </row>
    <row r="101" customFormat="false" ht="13.5" hidden="false" customHeight="false" outlineLevel="0" collapsed="false">
      <c r="B101" s="222" t="s">
        <v>225</v>
      </c>
      <c r="C101" s="237"/>
      <c r="D101" s="243" t="n">
        <f aca="false">+SUM(D98:D100)</f>
        <v>580000</v>
      </c>
      <c r="E101" s="216"/>
      <c r="F101" s="243" t="n">
        <f aca="false">+SUM(F98:F100)</f>
        <v>580000</v>
      </c>
      <c r="G101" s="216"/>
      <c r="H101" s="192"/>
      <c r="I101" s="243" t="n">
        <f aca="false">+SUM(I98:I100)</f>
        <v>725000</v>
      </c>
      <c r="J101" s="65"/>
      <c r="K101" s="243" t="n">
        <f aca="false">+SUM(K98:K100)</f>
        <v>725000</v>
      </c>
    </row>
    <row r="102" customFormat="false" ht="16.5" hidden="false" customHeight="false" outlineLevel="0" collapsed="false">
      <c r="B102" s="193"/>
      <c r="C102" s="194"/>
      <c r="D102" s="195"/>
      <c r="E102" s="196"/>
      <c r="F102" s="195"/>
      <c r="G102" s="196"/>
      <c r="H102" s="192"/>
      <c r="I102" s="195"/>
      <c r="J102" s="65"/>
      <c r="K102" s="195"/>
    </row>
    <row r="103" customFormat="false" ht="16.5" hidden="false" customHeight="false" outlineLevel="0" collapsed="false">
      <c r="B103" s="246" t="s">
        <v>226</v>
      </c>
      <c r="C103" s="194"/>
      <c r="D103" s="247" t="n">
        <f aca="false">D92+D101</f>
        <v>19019816</v>
      </c>
      <c r="E103" s="257"/>
      <c r="F103" s="247" t="n">
        <f aca="false">F92+F101</f>
        <v>17396241</v>
      </c>
      <c r="G103" s="257"/>
      <c r="H103" s="192"/>
      <c r="I103" s="247" t="n">
        <f aca="false">I92+I101</f>
        <v>30914587.73</v>
      </c>
      <c r="J103" s="65"/>
      <c r="K103" s="247" t="n">
        <f aca="false">K92+K101</f>
        <v>28023825.18</v>
      </c>
    </row>
    <row r="104" customFormat="false" ht="16.5" hidden="false" customHeight="false" outlineLevel="0" collapsed="false">
      <c r="B104" s="193"/>
      <c r="C104" s="194"/>
      <c r="D104" s="248" t="n">
        <f aca="false">D103/D13</f>
        <v>9509908</v>
      </c>
      <c r="E104" s="258"/>
      <c r="F104" s="248" t="n">
        <f aca="false">F103/F13</f>
        <v>8698120.5</v>
      </c>
      <c r="G104" s="258"/>
      <c r="H104" s="259"/>
      <c r="I104" s="248" t="n">
        <f aca="false">I103/I13</f>
        <v>7728646.9325</v>
      </c>
      <c r="J104" s="158"/>
      <c r="K104" s="248" t="n">
        <f aca="false">K103/K13</f>
        <v>7005956.295</v>
      </c>
    </row>
    <row r="105" customFormat="false" ht="12.75" hidden="false" customHeight="false" outlineLevel="0" collapsed="false">
      <c r="B105" s="65"/>
      <c r="C105" s="65"/>
      <c r="D105" s="65"/>
      <c r="E105" s="186"/>
      <c r="F105" s="65"/>
      <c r="G105" s="186"/>
      <c r="H105" s="161"/>
      <c r="I105" s="83"/>
      <c r="K105" s="83"/>
    </row>
    <row r="106" customFormat="false" ht="12.75" hidden="false" customHeight="false" outlineLevel="0" collapsed="false">
      <c r="B106" s="65"/>
      <c r="C106" s="65"/>
      <c r="D106" s="65"/>
      <c r="E106" s="186"/>
      <c r="F106" s="65"/>
      <c r="G106" s="186"/>
      <c r="H106" s="65"/>
      <c r="I106" s="83"/>
      <c r="K106" s="83"/>
    </row>
    <row r="107" customFormat="false" ht="12.75" hidden="false" customHeight="false" outlineLevel="0" collapsed="false">
      <c r="B107" s="65"/>
      <c r="C107" s="65"/>
      <c r="D107" s="65"/>
      <c r="E107" s="186"/>
      <c r="F107" s="65"/>
      <c r="G107" s="186"/>
      <c r="H107" s="65"/>
      <c r="I107" s="65"/>
      <c r="K107" s="65"/>
    </row>
    <row r="108" customFormat="false" ht="12.75" hidden="false" customHeight="false" outlineLevel="0" collapsed="false">
      <c r="B108" s="65"/>
      <c r="C108" s="65"/>
      <c r="D108" s="65"/>
      <c r="E108" s="186"/>
      <c r="F108" s="65"/>
      <c r="G108" s="186"/>
      <c r="H108" s="65"/>
      <c r="I108" s="65"/>
      <c r="K108" s="65"/>
    </row>
    <row r="109" customFormat="false" ht="12.75" hidden="false" customHeight="false" outlineLevel="0" collapsed="false">
      <c r="B109" s="65"/>
      <c r="C109" s="65"/>
      <c r="D109" s="65"/>
      <c r="E109" s="186"/>
      <c r="F109" s="65"/>
      <c r="G109" s="186"/>
      <c r="H109" s="65"/>
      <c r="I109" s="65"/>
      <c r="K109" s="65"/>
    </row>
    <row r="110" customFormat="false" ht="12.75" hidden="false" customHeight="false" outlineLevel="0" collapsed="false">
      <c r="B110" s="65"/>
      <c r="C110" s="65"/>
      <c r="D110" s="65"/>
      <c r="E110" s="186"/>
      <c r="F110" s="65"/>
      <c r="G110" s="186"/>
      <c r="H110" s="65"/>
      <c r="I110" s="65"/>
      <c r="K110" s="65"/>
    </row>
    <row r="111" customFormat="false" ht="12.75" hidden="false" customHeight="false" outlineLevel="0" collapsed="false">
      <c r="B111" s="65"/>
      <c r="C111" s="65"/>
      <c r="D111" s="65"/>
      <c r="E111" s="186"/>
      <c r="F111" s="65"/>
      <c r="G111" s="186"/>
      <c r="H111" s="65"/>
      <c r="I111" s="65"/>
      <c r="K111" s="65"/>
    </row>
    <row r="112" customFormat="false" ht="12.75" hidden="false" customHeight="false" outlineLevel="0" collapsed="false">
      <c r="B112" s="65"/>
      <c r="C112" s="65"/>
      <c r="D112" s="225"/>
      <c r="E112" s="225"/>
      <c r="F112" s="225"/>
      <c r="G112" s="225"/>
      <c r="H112" s="65"/>
      <c r="I112" s="65"/>
      <c r="K112" s="65"/>
    </row>
    <row r="113" customFormat="false" ht="12.75" hidden="false" customHeight="false" outlineLevel="0" collapsed="false">
      <c r="B113" s="65"/>
      <c r="C113" s="65"/>
      <c r="D113" s="65"/>
      <c r="E113" s="186"/>
      <c r="F113" s="65"/>
      <c r="G113" s="186"/>
      <c r="H113" s="65"/>
      <c r="I113" s="65"/>
      <c r="K113" s="65"/>
    </row>
    <row r="114" customFormat="false" ht="12.75" hidden="false" customHeight="false" outlineLevel="0" collapsed="false">
      <c r="B114" s="65"/>
      <c r="C114" s="65"/>
      <c r="D114" s="171"/>
      <c r="E114" s="260"/>
      <c r="F114" s="171"/>
      <c r="G114" s="260"/>
      <c r="H114" s="65"/>
      <c r="I114" s="65"/>
      <c r="K114" s="65"/>
    </row>
    <row r="115" customFormat="false" ht="12.75" hidden="false" customHeight="false" outlineLevel="0" collapsed="false">
      <c r="B115" s="65"/>
      <c r="C115" s="65"/>
      <c r="D115" s="171"/>
      <c r="E115" s="260"/>
      <c r="F115" s="171"/>
      <c r="G115" s="260"/>
      <c r="H115" s="65"/>
      <c r="I115" s="65"/>
      <c r="K115" s="65"/>
    </row>
    <row r="116" customFormat="false" ht="12.75" hidden="false" customHeight="false" outlineLevel="0" collapsed="false">
      <c r="B116" s="65"/>
      <c r="C116" s="65"/>
      <c r="D116" s="171"/>
      <c r="E116" s="260"/>
      <c r="F116" s="171"/>
      <c r="G116" s="260"/>
      <c r="H116" s="65"/>
      <c r="I116" s="65"/>
      <c r="K116" s="65"/>
    </row>
    <row r="117" customFormat="false" ht="12.75" hidden="false" customHeight="false" outlineLevel="0" collapsed="false">
      <c r="B117" s="65"/>
      <c r="C117" s="65"/>
      <c r="D117" s="225"/>
      <c r="E117" s="225"/>
      <c r="F117" s="225"/>
      <c r="G117" s="225"/>
      <c r="H117" s="65"/>
      <c r="I117" s="65"/>
      <c r="K117" s="65"/>
    </row>
    <row r="118" customFormat="false" ht="12.75" hidden="false" customHeight="false" outlineLevel="0" collapsed="false">
      <c r="B118" s="65"/>
      <c r="C118" s="65"/>
      <c r="D118" s="225"/>
      <c r="E118" s="225"/>
      <c r="F118" s="225"/>
      <c r="G118" s="225"/>
      <c r="H118" s="65"/>
      <c r="I118" s="65"/>
      <c r="K118" s="65"/>
    </row>
    <row r="119" customFormat="false" ht="12.75" hidden="false" customHeight="false" outlineLevel="0" collapsed="false">
      <c r="B119" s="65"/>
      <c r="C119" s="65"/>
      <c r="D119" s="225"/>
      <c r="E119" s="225"/>
      <c r="F119" s="225"/>
      <c r="G119" s="225"/>
      <c r="H119" s="65"/>
      <c r="I119" s="65"/>
      <c r="K119" s="65"/>
    </row>
    <row r="120" customFormat="false" ht="12.75" hidden="false" customHeight="false" outlineLevel="0" collapsed="false">
      <c r="B120" s="65"/>
      <c r="C120" s="65"/>
      <c r="D120" s="65"/>
      <c r="E120" s="186"/>
      <c r="F120" s="65"/>
      <c r="G120" s="186"/>
      <c r="H120" s="65"/>
      <c r="I120" s="65"/>
      <c r="K120" s="65"/>
    </row>
    <row r="121" customFormat="false" ht="12.75" hidden="false" customHeight="false" outlineLevel="0" collapsed="false">
      <c r="B121" s="65"/>
      <c r="C121" s="65"/>
      <c r="D121" s="65"/>
      <c r="E121" s="186"/>
      <c r="F121" s="65"/>
      <c r="G121" s="186"/>
      <c r="H121" s="65"/>
      <c r="I121" s="65"/>
      <c r="K121" s="65"/>
    </row>
    <row r="122" customFormat="false" ht="12.75" hidden="false" customHeight="false" outlineLevel="0" collapsed="false">
      <c r="B122" s="65"/>
      <c r="C122" s="65"/>
      <c r="D122" s="65"/>
      <c r="E122" s="186"/>
      <c r="F122" s="65"/>
      <c r="G122" s="186"/>
      <c r="H122" s="65"/>
      <c r="I122" s="65"/>
      <c r="K122" s="65"/>
    </row>
    <row r="123" customFormat="false" ht="12.75" hidden="false" customHeight="false" outlineLevel="0" collapsed="false">
      <c r="B123" s="65"/>
      <c r="C123" s="65"/>
      <c r="D123" s="65"/>
      <c r="E123" s="186"/>
      <c r="F123" s="65"/>
      <c r="G123" s="186"/>
      <c r="H123" s="65"/>
      <c r="I123" s="65"/>
      <c r="K123" s="65"/>
    </row>
    <row r="124" customFormat="false" ht="12.75" hidden="false" customHeight="false" outlineLevel="0" collapsed="false">
      <c r="B124" s="65"/>
      <c r="C124" s="65"/>
      <c r="D124" s="65"/>
      <c r="E124" s="186"/>
      <c r="F124" s="65"/>
      <c r="G124" s="186"/>
      <c r="H124" s="65"/>
      <c r="I124" s="65"/>
      <c r="K124" s="65"/>
    </row>
    <row r="125" customFormat="false" ht="12.75" hidden="false" customHeight="false" outlineLevel="0" collapsed="false">
      <c r="B125" s="65"/>
      <c r="C125" s="65"/>
      <c r="D125" s="65"/>
      <c r="E125" s="186"/>
      <c r="F125" s="65"/>
      <c r="G125" s="186"/>
      <c r="H125" s="65"/>
      <c r="I125" s="65"/>
      <c r="K125" s="65"/>
    </row>
    <row r="126" customFormat="false" ht="12.75" hidden="false" customHeight="false" outlineLevel="0" collapsed="false">
      <c r="B126" s="65"/>
      <c r="C126" s="65"/>
      <c r="D126" s="65"/>
      <c r="E126" s="186"/>
      <c r="F126" s="65"/>
      <c r="G126" s="186"/>
      <c r="H126" s="65"/>
      <c r="I126" s="65"/>
      <c r="K126" s="65"/>
    </row>
    <row r="127" customFormat="false" ht="12.75" hidden="false" customHeight="false" outlineLevel="0" collapsed="false">
      <c r="B127" s="65"/>
      <c r="C127" s="65"/>
      <c r="D127" s="65"/>
      <c r="E127" s="186"/>
      <c r="F127" s="65"/>
      <c r="G127" s="186"/>
      <c r="H127" s="65"/>
      <c r="I127" s="65"/>
      <c r="K127" s="65"/>
    </row>
    <row r="128" customFormat="false" ht="12.75" hidden="false" customHeight="false" outlineLevel="0" collapsed="false">
      <c r="B128" s="65"/>
      <c r="C128" s="65"/>
      <c r="D128" s="65"/>
      <c r="E128" s="186"/>
      <c r="F128" s="65"/>
      <c r="G128" s="186"/>
      <c r="H128" s="65"/>
      <c r="I128" s="65"/>
      <c r="K128" s="65"/>
    </row>
    <row r="129" customFormat="false" ht="12.75" hidden="false" customHeight="false" outlineLevel="0" collapsed="false">
      <c r="E129" s="172"/>
      <c r="G129" s="172"/>
    </row>
    <row r="130" customFormat="false" ht="12.75" hidden="false" customHeight="false" outlineLevel="0" collapsed="false">
      <c r="E130" s="172"/>
      <c r="G130" s="172"/>
    </row>
    <row r="131" customFormat="false" ht="12.75" hidden="false" customHeight="false" outlineLevel="0" collapsed="false">
      <c r="E131" s="172"/>
      <c r="G131" s="172"/>
    </row>
    <row r="132" customFormat="false" ht="12.75" hidden="false" customHeight="false" outlineLevel="0" collapsed="false">
      <c r="E132" s="172"/>
      <c r="G132" s="172"/>
    </row>
    <row r="133" customFormat="false" ht="12.75" hidden="false" customHeight="false" outlineLevel="0" collapsed="false">
      <c r="E133" s="172"/>
      <c r="G133" s="172"/>
    </row>
    <row r="134" customFormat="false" ht="12.75" hidden="false" customHeight="false" outlineLevel="0" collapsed="false">
      <c r="E134" s="172"/>
      <c r="G134" s="172"/>
    </row>
    <row r="135" customFormat="false" ht="12.75" hidden="false" customHeight="false" outlineLevel="0" collapsed="false">
      <c r="E135" s="172"/>
      <c r="G135" s="172"/>
    </row>
    <row r="136" customFormat="false" ht="12.75" hidden="false" customHeight="false" outlineLevel="0" collapsed="false">
      <c r="E136" s="172"/>
      <c r="G136" s="172"/>
    </row>
    <row r="137" customFormat="false" ht="12.75" hidden="false" customHeight="false" outlineLevel="0" collapsed="false">
      <c r="E137" s="172"/>
      <c r="G137" s="172"/>
    </row>
    <row r="138" customFormat="false" ht="12.75" hidden="false" customHeight="false" outlineLevel="0" collapsed="false">
      <c r="E138" s="172"/>
      <c r="G138" s="172"/>
    </row>
    <row r="139" customFormat="false" ht="12.75" hidden="false" customHeight="false" outlineLevel="0" collapsed="false">
      <c r="E139" s="172"/>
      <c r="G139" s="172"/>
    </row>
    <row r="140" customFormat="false" ht="12.75" hidden="false" customHeight="false" outlineLevel="0" collapsed="false">
      <c r="E140" s="172"/>
      <c r="G140" s="172"/>
    </row>
    <row r="141" customFormat="false" ht="12.75" hidden="false" customHeight="false" outlineLevel="0" collapsed="false">
      <c r="E141" s="172"/>
      <c r="G141" s="172"/>
    </row>
    <row r="142" customFormat="false" ht="12.75" hidden="false" customHeight="false" outlineLevel="0" collapsed="false">
      <c r="E142" s="172"/>
      <c r="G142" s="172"/>
    </row>
    <row r="143" customFormat="false" ht="12.75" hidden="false" customHeight="false" outlineLevel="0" collapsed="false">
      <c r="E143" s="172"/>
      <c r="G143" s="172"/>
    </row>
    <row r="144" customFormat="false" ht="12.75" hidden="false" customHeight="false" outlineLevel="0" collapsed="false">
      <c r="E144" s="172"/>
      <c r="G144" s="172"/>
    </row>
    <row r="145" customFormat="false" ht="12.75" hidden="false" customHeight="false" outlineLevel="0" collapsed="false">
      <c r="E145" s="172"/>
      <c r="G145" s="172"/>
    </row>
    <row r="146" customFormat="false" ht="12.75" hidden="false" customHeight="false" outlineLevel="0" collapsed="false">
      <c r="E146" s="172"/>
      <c r="G146" s="172"/>
    </row>
    <row r="147" customFormat="false" ht="12.75" hidden="false" customHeight="false" outlineLevel="0" collapsed="false">
      <c r="E147" s="172"/>
      <c r="G147" s="172"/>
    </row>
    <row r="148" customFormat="false" ht="12.75" hidden="false" customHeight="false" outlineLevel="0" collapsed="false">
      <c r="E148" s="172"/>
      <c r="G148" s="172"/>
    </row>
    <row r="149" customFormat="false" ht="12.75" hidden="false" customHeight="false" outlineLevel="0" collapsed="false">
      <c r="E149" s="172"/>
      <c r="G149" s="172"/>
    </row>
    <row r="150" customFormat="false" ht="12.75" hidden="false" customHeight="false" outlineLevel="0" collapsed="false">
      <c r="E150" s="172"/>
      <c r="G150" s="172"/>
    </row>
    <row r="151" customFormat="false" ht="12.75" hidden="false" customHeight="false" outlineLevel="0" collapsed="false">
      <c r="E151" s="172"/>
      <c r="G151" s="172"/>
    </row>
    <row r="152" customFormat="false" ht="12.75" hidden="false" customHeight="false" outlineLevel="0" collapsed="false">
      <c r="E152" s="172"/>
      <c r="G152" s="172"/>
    </row>
    <row r="153" customFormat="false" ht="12.75" hidden="false" customHeight="false" outlineLevel="0" collapsed="false">
      <c r="E153" s="172"/>
      <c r="G153" s="172"/>
    </row>
    <row r="154" customFormat="false" ht="12.75" hidden="false" customHeight="false" outlineLevel="0" collapsed="false">
      <c r="E154" s="172"/>
      <c r="G154" s="172"/>
    </row>
    <row r="155" customFormat="false" ht="12.75" hidden="false" customHeight="false" outlineLevel="0" collapsed="false">
      <c r="E155" s="172"/>
      <c r="G155" s="172"/>
    </row>
    <row r="156" customFormat="false" ht="12.75" hidden="false" customHeight="false" outlineLevel="0" collapsed="false">
      <c r="E156" s="172"/>
      <c r="G156" s="172"/>
    </row>
    <row r="157" customFormat="false" ht="12.75" hidden="false" customHeight="false" outlineLevel="0" collapsed="false">
      <c r="E157" s="172"/>
      <c r="G157" s="172"/>
    </row>
    <row r="158" customFormat="false" ht="12.75" hidden="false" customHeight="false" outlineLevel="0" collapsed="false">
      <c r="E158" s="172"/>
      <c r="G158" s="172"/>
    </row>
    <row r="159" customFormat="false" ht="12.75" hidden="false" customHeight="false" outlineLevel="0" collapsed="false">
      <c r="E159" s="172"/>
      <c r="G159" s="172"/>
    </row>
    <row r="160" customFormat="false" ht="12.75" hidden="false" customHeight="false" outlineLevel="0" collapsed="false">
      <c r="E160" s="172"/>
      <c r="G160" s="172"/>
    </row>
    <row r="161" customFormat="false" ht="12.75" hidden="false" customHeight="false" outlineLevel="0" collapsed="false">
      <c r="E161" s="172"/>
      <c r="G161" s="172"/>
    </row>
    <row r="162" customFormat="false" ht="12.75" hidden="false" customHeight="false" outlineLevel="0" collapsed="false">
      <c r="E162" s="172"/>
      <c r="G162" s="172"/>
    </row>
    <row r="163" customFormat="false" ht="12.75" hidden="false" customHeight="false" outlineLevel="0" collapsed="false">
      <c r="E163" s="172"/>
      <c r="G163" s="172"/>
    </row>
    <row r="164" customFormat="false" ht="12.75" hidden="false" customHeight="false" outlineLevel="0" collapsed="false">
      <c r="E164" s="172"/>
      <c r="G164" s="172"/>
    </row>
    <row r="165" customFormat="false" ht="12.75" hidden="false" customHeight="false" outlineLevel="0" collapsed="false">
      <c r="E165" s="172"/>
      <c r="G165" s="172"/>
    </row>
    <row r="166" customFormat="false" ht="12.75" hidden="false" customHeight="false" outlineLevel="0" collapsed="false">
      <c r="E166" s="172"/>
      <c r="G166" s="172"/>
    </row>
    <row r="167" customFormat="false" ht="12.75" hidden="false" customHeight="false" outlineLevel="0" collapsed="false">
      <c r="E167" s="172"/>
      <c r="G167" s="172"/>
    </row>
    <row r="168" customFormat="false" ht="12.75" hidden="false" customHeight="false" outlineLevel="0" collapsed="false">
      <c r="E168" s="172"/>
      <c r="G168" s="172"/>
    </row>
    <row r="169" customFormat="false" ht="12.75" hidden="false" customHeight="false" outlineLevel="0" collapsed="false">
      <c r="E169" s="172"/>
      <c r="G169" s="172"/>
    </row>
    <row r="170" customFormat="false" ht="12.75" hidden="false" customHeight="false" outlineLevel="0" collapsed="false">
      <c r="E170" s="172"/>
      <c r="G170" s="172"/>
    </row>
    <row r="171" customFormat="false" ht="12.75" hidden="false" customHeight="false" outlineLevel="0" collapsed="false">
      <c r="E171" s="172"/>
      <c r="G171" s="172"/>
    </row>
    <row r="172" customFormat="false" ht="12.75" hidden="false" customHeight="false" outlineLevel="0" collapsed="false">
      <c r="E172" s="172"/>
      <c r="G172" s="172"/>
    </row>
    <row r="173" customFormat="false" ht="12.75" hidden="false" customHeight="false" outlineLevel="0" collapsed="false">
      <c r="E173" s="172"/>
      <c r="G173" s="172"/>
    </row>
    <row r="174" customFormat="false" ht="12.75" hidden="false" customHeight="false" outlineLevel="0" collapsed="false">
      <c r="E174" s="172"/>
      <c r="G174" s="172"/>
    </row>
    <row r="175" customFormat="false" ht="12.75" hidden="false" customHeight="false" outlineLevel="0" collapsed="false">
      <c r="E175" s="172"/>
      <c r="G175" s="172"/>
    </row>
    <row r="176" customFormat="false" ht="12.75" hidden="false" customHeight="false" outlineLevel="0" collapsed="false">
      <c r="E176" s="172"/>
      <c r="G176" s="172"/>
    </row>
    <row r="177" customFormat="false" ht="12.75" hidden="false" customHeight="false" outlineLevel="0" collapsed="false">
      <c r="E177" s="172"/>
      <c r="G177" s="172"/>
    </row>
    <row r="178" customFormat="false" ht="12.75" hidden="false" customHeight="false" outlineLevel="0" collapsed="false">
      <c r="E178" s="172"/>
      <c r="G178" s="172"/>
    </row>
    <row r="179" customFormat="false" ht="12.75" hidden="false" customHeight="false" outlineLevel="0" collapsed="false">
      <c r="E179" s="172"/>
      <c r="G179" s="172"/>
    </row>
    <row r="180" customFormat="false" ht="12.75" hidden="false" customHeight="false" outlineLevel="0" collapsed="false">
      <c r="E180" s="172"/>
      <c r="G180" s="172"/>
    </row>
    <row r="181" customFormat="false" ht="12.75" hidden="false" customHeight="false" outlineLevel="0" collapsed="false">
      <c r="E181" s="172"/>
      <c r="G181" s="172"/>
    </row>
    <row r="182" customFormat="false" ht="12.75" hidden="false" customHeight="false" outlineLevel="0" collapsed="false">
      <c r="E182" s="172"/>
      <c r="G182" s="172"/>
    </row>
    <row r="183" customFormat="false" ht="12.75" hidden="false" customHeight="false" outlineLevel="0" collapsed="false">
      <c r="E183" s="172"/>
      <c r="G183" s="172"/>
    </row>
    <row r="184" customFormat="false" ht="12.75" hidden="false" customHeight="false" outlineLevel="0" collapsed="false">
      <c r="E184" s="172"/>
      <c r="G184" s="172"/>
    </row>
    <row r="185" customFormat="false" ht="12.75" hidden="false" customHeight="false" outlineLevel="0" collapsed="false">
      <c r="E185" s="172"/>
      <c r="G185" s="172"/>
    </row>
    <row r="186" customFormat="false" ht="12.75" hidden="false" customHeight="false" outlineLevel="0" collapsed="false">
      <c r="E186" s="172"/>
      <c r="G186" s="172"/>
    </row>
    <row r="187" customFormat="false" ht="12.75" hidden="false" customHeight="false" outlineLevel="0" collapsed="false">
      <c r="E187" s="172"/>
      <c r="G187" s="172"/>
    </row>
    <row r="188" customFormat="false" ht="12.75" hidden="false" customHeight="false" outlineLevel="0" collapsed="false">
      <c r="E188" s="172"/>
      <c r="G188" s="172"/>
    </row>
    <row r="189" customFormat="false" ht="12.75" hidden="false" customHeight="false" outlineLevel="0" collapsed="false">
      <c r="E189" s="172"/>
      <c r="G189" s="172"/>
    </row>
    <row r="190" customFormat="false" ht="12.75" hidden="false" customHeight="false" outlineLevel="0" collapsed="false">
      <c r="E190" s="172"/>
      <c r="G190" s="172"/>
    </row>
    <row r="191" customFormat="false" ht="12.75" hidden="false" customHeight="false" outlineLevel="0" collapsed="false">
      <c r="E191" s="172"/>
      <c r="G191" s="172"/>
    </row>
    <row r="192" customFormat="false" ht="12.75" hidden="false" customHeight="false" outlineLevel="0" collapsed="false">
      <c r="E192" s="172"/>
      <c r="G192" s="172"/>
    </row>
    <row r="193" customFormat="false" ht="12.75" hidden="false" customHeight="false" outlineLevel="0" collapsed="false">
      <c r="E193" s="172"/>
      <c r="G193" s="172"/>
    </row>
    <row r="194" customFormat="false" ht="12.75" hidden="false" customHeight="false" outlineLevel="0" collapsed="false">
      <c r="E194" s="172"/>
      <c r="G194" s="172"/>
    </row>
    <row r="195" customFormat="false" ht="12.75" hidden="false" customHeight="false" outlineLevel="0" collapsed="false">
      <c r="E195" s="172"/>
      <c r="G195" s="172"/>
    </row>
    <row r="196" customFormat="false" ht="12.75" hidden="false" customHeight="false" outlineLevel="0" collapsed="false">
      <c r="E196" s="172"/>
      <c r="G196" s="172"/>
    </row>
    <row r="197" customFormat="false" ht="12.75" hidden="false" customHeight="false" outlineLevel="0" collapsed="false">
      <c r="E197" s="172"/>
      <c r="G197" s="172"/>
    </row>
    <row r="198" customFormat="false" ht="12.75" hidden="false" customHeight="false" outlineLevel="0" collapsed="false">
      <c r="E198" s="172"/>
      <c r="G198" s="172"/>
    </row>
    <row r="199" customFormat="false" ht="12.75" hidden="false" customHeight="false" outlineLevel="0" collapsed="false">
      <c r="E199" s="172"/>
      <c r="G199" s="172"/>
    </row>
    <row r="200" customFormat="false" ht="12.75" hidden="false" customHeight="false" outlineLevel="0" collapsed="false">
      <c r="E200" s="172"/>
      <c r="G200" s="172"/>
    </row>
    <row r="201" customFormat="false" ht="12.75" hidden="false" customHeight="false" outlineLevel="0" collapsed="false">
      <c r="E201" s="172"/>
      <c r="G201" s="172"/>
    </row>
    <row r="202" customFormat="false" ht="12.75" hidden="false" customHeight="false" outlineLevel="0" collapsed="false">
      <c r="E202" s="172"/>
      <c r="G202" s="172"/>
    </row>
    <row r="203" customFormat="false" ht="12.75" hidden="false" customHeight="false" outlineLevel="0" collapsed="false">
      <c r="E203" s="172"/>
      <c r="G203" s="172"/>
    </row>
    <row r="204" customFormat="false" ht="12.75" hidden="false" customHeight="false" outlineLevel="0" collapsed="false">
      <c r="E204" s="172"/>
      <c r="G204" s="172"/>
    </row>
    <row r="205" customFormat="false" ht="12.75" hidden="false" customHeight="false" outlineLevel="0" collapsed="false">
      <c r="E205" s="172"/>
    </row>
    <row r="206" customFormat="false" ht="12.75" hidden="false" customHeight="false" outlineLevel="0" collapsed="false">
      <c r="E206" s="172"/>
    </row>
    <row r="207" customFormat="false" ht="12.75" hidden="false" customHeight="false" outlineLevel="0" collapsed="false">
      <c r="E207" s="172"/>
    </row>
    <row r="208" customFormat="false" ht="12.75" hidden="false" customHeight="false" outlineLevel="0" collapsed="false">
      <c r="E208" s="172"/>
    </row>
    <row r="209" customFormat="false" ht="12.75" hidden="false" customHeight="false" outlineLevel="0" collapsed="false">
      <c r="E209" s="172"/>
    </row>
    <row r="210" customFormat="false" ht="12.75" hidden="false" customHeight="false" outlineLevel="0" collapsed="false">
      <c r="E210" s="172"/>
    </row>
    <row r="211" customFormat="false" ht="12.75" hidden="false" customHeight="false" outlineLevel="0" collapsed="false">
      <c r="E211" s="172"/>
    </row>
    <row r="212" customFormat="false" ht="12.75" hidden="false" customHeight="false" outlineLevel="0" collapsed="false">
      <c r="E212" s="172"/>
    </row>
    <row r="213" customFormat="false" ht="12.75" hidden="false" customHeight="false" outlineLevel="0" collapsed="false">
      <c r="E213" s="172"/>
    </row>
    <row r="214" customFormat="false" ht="12.75" hidden="false" customHeight="false" outlineLevel="0" collapsed="false">
      <c r="E214" s="172"/>
    </row>
    <row r="215" customFormat="false" ht="12.75" hidden="false" customHeight="false" outlineLevel="0" collapsed="false">
      <c r="E215" s="172"/>
    </row>
    <row r="216" customFormat="false" ht="12.75" hidden="false" customHeight="false" outlineLevel="0" collapsed="false">
      <c r="E216" s="172"/>
    </row>
    <row r="217" customFormat="false" ht="12.75" hidden="false" customHeight="false" outlineLevel="0" collapsed="false">
      <c r="E217" s="172"/>
    </row>
    <row r="218" customFormat="false" ht="12.75" hidden="false" customHeight="false" outlineLevel="0" collapsed="false">
      <c r="E218" s="172"/>
    </row>
    <row r="219" customFormat="false" ht="12.75" hidden="false" customHeight="false" outlineLevel="0" collapsed="false">
      <c r="E219" s="172"/>
    </row>
    <row r="220" customFormat="false" ht="12.75" hidden="false" customHeight="false" outlineLevel="0" collapsed="false">
      <c r="E220" s="172"/>
    </row>
    <row r="221" customFormat="false" ht="12.75" hidden="false" customHeight="false" outlineLevel="0" collapsed="false">
      <c r="E221" s="172"/>
    </row>
    <row r="222" customFormat="false" ht="12.75" hidden="false" customHeight="false" outlineLevel="0" collapsed="false">
      <c r="E222" s="172"/>
    </row>
    <row r="223" customFormat="false" ht="12.75" hidden="false" customHeight="false" outlineLevel="0" collapsed="false">
      <c r="E223" s="172"/>
    </row>
    <row r="224" customFormat="false" ht="12.75" hidden="false" customHeight="false" outlineLevel="0" collapsed="false">
      <c r="E224" s="172"/>
    </row>
    <row r="225" customFormat="false" ht="12.75" hidden="false" customHeight="false" outlineLevel="0" collapsed="false">
      <c r="E225" s="172"/>
    </row>
    <row r="226" customFormat="false" ht="12.75" hidden="false" customHeight="false" outlineLevel="0" collapsed="false">
      <c r="E226" s="172"/>
    </row>
    <row r="227" customFormat="false" ht="12.75" hidden="false" customHeight="false" outlineLevel="0" collapsed="false">
      <c r="E227" s="172"/>
    </row>
    <row r="228" customFormat="false" ht="12.75" hidden="false" customHeight="false" outlineLevel="0" collapsed="false">
      <c r="E228" s="172"/>
    </row>
    <row r="229" customFormat="false" ht="12.75" hidden="false" customHeight="false" outlineLevel="0" collapsed="false">
      <c r="E229" s="172"/>
    </row>
    <row r="230" customFormat="false" ht="12.75" hidden="false" customHeight="false" outlineLevel="0" collapsed="false">
      <c r="E230" s="172"/>
    </row>
    <row r="231" customFormat="false" ht="12.75" hidden="false" customHeight="false" outlineLevel="0" collapsed="false">
      <c r="E231" s="172"/>
    </row>
    <row r="232" customFormat="false" ht="12.75" hidden="false" customHeight="false" outlineLevel="0" collapsed="false">
      <c r="E232" s="172"/>
    </row>
    <row r="233" customFormat="false" ht="12.75" hidden="false" customHeight="false" outlineLevel="0" collapsed="false">
      <c r="E233" s="172"/>
    </row>
    <row r="234" customFormat="false" ht="12.75" hidden="false" customHeight="false" outlineLevel="0" collapsed="false">
      <c r="E234" s="172"/>
    </row>
    <row r="235" customFormat="false" ht="12.75" hidden="false" customHeight="false" outlineLevel="0" collapsed="false">
      <c r="E235" s="172"/>
    </row>
    <row r="236" customFormat="false" ht="12.75" hidden="false" customHeight="false" outlineLevel="0" collapsed="false">
      <c r="E236" s="172"/>
    </row>
    <row r="237" customFormat="false" ht="12.75" hidden="false" customHeight="false" outlineLevel="0" collapsed="false">
      <c r="E237" s="172"/>
    </row>
    <row r="238" customFormat="false" ht="12.75" hidden="false" customHeight="false" outlineLevel="0" collapsed="false">
      <c r="E238" s="172"/>
    </row>
    <row r="239" customFormat="false" ht="12.75" hidden="false" customHeight="false" outlineLevel="0" collapsed="false">
      <c r="E239" s="172"/>
    </row>
    <row r="240" customFormat="false" ht="12.75" hidden="false" customHeight="false" outlineLevel="0" collapsed="false">
      <c r="E240" s="172"/>
    </row>
    <row r="241" customFormat="false" ht="12.75" hidden="false" customHeight="false" outlineLevel="0" collapsed="false">
      <c r="E241" s="172"/>
    </row>
    <row r="242" customFormat="false" ht="12.75" hidden="false" customHeight="false" outlineLevel="0" collapsed="false">
      <c r="E242" s="172"/>
    </row>
    <row r="243" customFormat="false" ht="12.75" hidden="false" customHeight="false" outlineLevel="0" collapsed="false">
      <c r="E243" s="172"/>
    </row>
    <row r="244" customFormat="false" ht="12.75" hidden="false" customHeight="false" outlineLevel="0" collapsed="false">
      <c r="E244" s="172"/>
    </row>
    <row r="245" customFormat="false" ht="12.75" hidden="false" customHeight="false" outlineLevel="0" collapsed="false">
      <c r="E245" s="172"/>
    </row>
    <row r="246" customFormat="false" ht="12.75" hidden="false" customHeight="false" outlineLevel="0" collapsed="false">
      <c r="E246" s="172"/>
    </row>
    <row r="247" customFormat="false" ht="12.75" hidden="false" customHeight="false" outlineLevel="0" collapsed="false">
      <c r="E247" s="172"/>
    </row>
    <row r="248" customFormat="false" ht="12.75" hidden="false" customHeight="false" outlineLevel="0" collapsed="false">
      <c r="E248" s="172"/>
    </row>
    <row r="249" customFormat="false" ht="12.75" hidden="false" customHeight="false" outlineLevel="0" collapsed="false">
      <c r="E249" s="172"/>
    </row>
    <row r="250" customFormat="false" ht="12.75" hidden="false" customHeight="false" outlineLevel="0" collapsed="false">
      <c r="E250" s="172"/>
    </row>
    <row r="251" customFormat="false" ht="12.75" hidden="false" customHeight="false" outlineLevel="0" collapsed="false">
      <c r="E251" s="172"/>
    </row>
    <row r="252" customFormat="false" ht="12.75" hidden="false" customHeight="false" outlineLevel="0" collapsed="false">
      <c r="E252" s="172"/>
    </row>
    <row r="253" customFormat="false" ht="12.75" hidden="false" customHeight="false" outlineLevel="0" collapsed="false">
      <c r="E253" s="172"/>
    </row>
    <row r="254" customFormat="false" ht="12.75" hidden="false" customHeight="false" outlineLevel="0" collapsed="false">
      <c r="E254" s="172"/>
    </row>
    <row r="255" customFormat="false" ht="12.75" hidden="false" customHeight="false" outlineLevel="0" collapsed="false">
      <c r="E255" s="172"/>
    </row>
    <row r="256" customFormat="false" ht="12.75" hidden="false" customHeight="false" outlineLevel="0" collapsed="false">
      <c r="E256" s="172"/>
    </row>
    <row r="257" customFormat="false" ht="12.75" hidden="false" customHeight="false" outlineLevel="0" collapsed="false">
      <c r="E257" s="172"/>
    </row>
    <row r="258" customFormat="false" ht="12.75" hidden="false" customHeight="false" outlineLevel="0" collapsed="false">
      <c r="E258" s="172"/>
    </row>
    <row r="259" customFormat="false" ht="12.75" hidden="false" customHeight="false" outlineLevel="0" collapsed="false">
      <c r="E259" s="172"/>
    </row>
    <row r="260" customFormat="false" ht="12.75" hidden="false" customHeight="false" outlineLevel="0" collapsed="false">
      <c r="E260" s="172"/>
    </row>
    <row r="261" customFormat="false" ht="12.75" hidden="false" customHeight="false" outlineLevel="0" collapsed="false">
      <c r="E261" s="172"/>
    </row>
    <row r="262" customFormat="false" ht="12.75" hidden="false" customHeight="false" outlineLevel="0" collapsed="false">
      <c r="E262" s="172"/>
    </row>
    <row r="263" customFormat="false" ht="12.75" hidden="false" customHeight="false" outlineLevel="0" collapsed="false">
      <c r="E263" s="172"/>
    </row>
    <row r="264" customFormat="false" ht="12.75" hidden="false" customHeight="false" outlineLevel="0" collapsed="false">
      <c r="E264" s="172"/>
    </row>
    <row r="265" customFormat="false" ht="12.75" hidden="false" customHeight="false" outlineLevel="0" collapsed="false">
      <c r="E265" s="172"/>
    </row>
    <row r="266" customFormat="false" ht="12.75" hidden="false" customHeight="false" outlineLevel="0" collapsed="false">
      <c r="E266" s="172"/>
    </row>
    <row r="267" customFormat="false" ht="12.75" hidden="false" customHeight="false" outlineLevel="0" collapsed="false">
      <c r="E267" s="172"/>
    </row>
    <row r="268" customFormat="false" ht="12.75" hidden="false" customHeight="false" outlineLevel="0" collapsed="false">
      <c r="E268" s="172"/>
    </row>
    <row r="269" customFormat="false" ht="12.75" hidden="false" customHeight="false" outlineLevel="0" collapsed="false">
      <c r="E269" s="172"/>
    </row>
    <row r="270" customFormat="false" ht="12.75" hidden="false" customHeight="false" outlineLevel="0" collapsed="false">
      <c r="E270" s="172"/>
    </row>
    <row r="271" customFormat="false" ht="12.75" hidden="false" customHeight="false" outlineLevel="0" collapsed="false">
      <c r="E271" s="172"/>
    </row>
    <row r="272" customFormat="false" ht="12.75" hidden="false" customHeight="false" outlineLevel="0" collapsed="false">
      <c r="E272" s="172"/>
    </row>
    <row r="273" customFormat="false" ht="12.75" hidden="false" customHeight="false" outlineLevel="0" collapsed="false">
      <c r="E273" s="172"/>
    </row>
    <row r="274" customFormat="false" ht="12.75" hidden="false" customHeight="false" outlineLevel="0" collapsed="false">
      <c r="E274" s="172"/>
    </row>
    <row r="275" customFormat="false" ht="12.75" hidden="false" customHeight="false" outlineLevel="0" collapsed="false">
      <c r="E275" s="172"/>
    </row>
    <row r="276" customFormat="false" ht="12.75" hidden="false" customHeight="false" outlineLevel="0" collapsed="false">
      <c r="E276" s="172"/>
    </row>
    <row r="277" customFormat="false" ht="12.75" hidden="false" customHeight="false" outlineLevel="0" collapsed="false">
      <c r="E277" s="172"/>
    </row>
    <row r="278" customFormat="false" ht="12.75" hidden="false" customHeight="false" outlineLevel="0" collapsed="false">
      <c r="E278" s="172"/>
    </row>
    <row r="279" customFormat="false" ht="12.75" hidden="false" customHeight="false" outlineLevel="0" collapsed="false">
      <c r="E279" s="172"/>
    </row>
    <row r="280" customFormat="false" ht="12.75" hidden="false" customHeight="false" outlineLevel="0" collapsed="false">
      <c r="E280" s="172"/>
    </row>
    <row r="281" customFormat="false" ht="12.75" hidden="false" customHeight="false" outlineLevel="0" collapsed="false">
      <c r="E281" s="172"/>
    </row>
    <row r="282" customFormat="false" ht="12.75" hidden="false" customHeight="false" outlineLevel="0" collapsed="false">
      <c r="E282" s="172"/>
    </row>
    <row r="283" customFormat="false" ht="12.75" hidden="false" customHeight="false" outlineLevel="0" collapsed="false">
      <c r="E283" s="172"/>
    </row>
    <row r="284" customFormat="false" ht="12.75" hidden="false" customHeight="false" outlineLevel="0" collapsed="false">
      <c r="E284" s="172"/>
    </row>
    <row r="285" customFormat="false" ht="12.75" hidden="false" customHeight="false" outlineLevel="0" collapsed="false">
      <c r="E285" s="172"/>
    </row>
    <row r="286" customFormat="false" ht="12.75" hidden="false" customHeight="false" outlineLevel="0" collapsed="false">
      <c r="E286" s="172"/>
    </row>
    <row r="287" customFormat="false" ht="12.75" hidden="false" customHeight="false" outlineLevel="0" collapsed="false">
      <c r="E287" s="172"/>
    </row>
    <row r="288" customFormat="false" ht="12.75" hidden="false" customHeight="false" outlineLevel="0" collapsed="false">
      <c r="E288" s="172"/>
    </row>
    <row r="289" customFormat="false" ht="12.75" hidden="false" customHeight="false" outlineLevel="0" collapsed="false">
      <c r="E289" s="172"/>
    </row>
    <row r="290" customFormat="false" ht="12.75" hidden="false" customHeight="false" outlineLevel="0" collapsed="false">
      <c r="E290" s="172"/>
    </row>
    <row r="291" customFormat="false" ht="12.75" hidden="false" customHeight="false" outlineLevel="0" collapsed="false">
      <c r="E291" s="172"/>
    </row>
    <row r="292" customFormat="false" ht="12.75" hidden="false" customHeight="false" outlineLevel="0" collapsed="false">
      <c r="E292" s="172"/>
    </row>
    <row r="293" customFormat="false" ht="12.75" hidden="false" customHeight="false" outlineLevel="0" collapsed="false">
      <c r="E293" s="172"/>
    </row>
    <row r="294" customFormat="false" ht="12.75" hidden="false" customHeight="false" outlineLevel="0" collapsed="false">
      <c r="E294" s="172"/>
    </row>
    <row r="295" customFormat="false" ht="12.75" hidden="false" customHeight="false" outlineLevel="0" collapsed="false">
      <c r="E295" s="172"/>
    </row>
    <row r="296" customFormat="false" ht="12.75" hidden="false" customHeight="false" outlineLevel="0" collapsed="false">
      <c r="E296" s="172"/>
    </row>
    <row r="297" customFormat="false" ht="12.75" hidden="false" customHeight="false" outlineLevel="0" collapsed="false">
      <c r="E297" s="172"/>
    </row>
    <row r="298" customFormat="false" ht="12.75" hidden="false" customHeight="false" outlineLevel="0" collapsed="false">
      <c r="E298" s="172"/>
    </row>
    <row r="299" customFormat="false" ht="12.75" hidden="false" customHeight="false" outlineLevel="0" collapsed="false">
      <c r="E299" s="172"/>
    </row>
    <row r="300" customFormat="false" ht="12.75" hidden="false" customHeight="false" outlineLevel="0" collapsed="false">
      <c r="E300" s="172"/>
    </row>
    <row r="301" customFormat="false" ht="12.75" hidden="false" customHeight="false" outlineLevel="0" collapsed="false">
      <c r="E301" s="172"/>
    </row>
    <row r="302" customFormat="false" ht="12.75" hidden="false" customHeight="false" outlineLevel="0" collapsed="false">
      <c r="E302" s="172"/>
    </row>
    <row r="303" customFormat="false" ht="12.75" hidden="false" customHeight="false" outlineLevel="0" collapsed="false">
      <c r="E303" s="172"/>
    </row>
    <row r="304" customFormat="false" ht="12.75" hidden="false" customHeight="false" outlineLevel="0" collapsed="false">
      <c r="E304" s="172"/>
    </row>
    <row r="305" customFormat="false" ht="12.75" hidden="false" customHeight="false" outlineLevel="0" collapsed="false">
      <c r="E305" s="172"/>
    </row>
    <row r="306" customFormat="false" ht="12.75" hidden="false" customHeight="false" outlineLevel="0" collapsed="false">
      <c r="E306" s="172"/>
    </row>
    <row r="307" customFormat="false" ht="12.75" hidden="false" customHeight="false" outlineLevel="0" collapsed="false">
      <c r="E307" s="172"/>
    </row>
    <row r="308" customFormat="false" ht="12.75" hidden="false" customHeight="false" outlineLevel="0" collapsed="false">
      <c r="E308" s="172"/>
    </row>
    <row r="309" customFormat="false" ht="12.75" hidden="false" customHeight="false" outlineLevel="0" collapsed="false">
      <c r="E309" s="172"/>
    </row>
    <row r="310" customFormat="false" ht="12.75" hidden="false" customHeight="false" outlineLevel="0" collapsed="false">
      <c r="E310" s="172"/>
    </row>
    <row r="311" customFormat="false" ht="12.75" hidden="false" customHeight="false" outlineLevel="0" collapsed="false">
      <c r="E311" s="172"/>
    </row>
    <row r="312" customFormat="false" ht="12.75" hidden="false" customHeight="false" outlineLevel="0" collapsed="false">
      <c r="E312" s="172"/>
    </row>
    <row r="313" customFormat="false" ht="12.75" hidden="false" customHeight="false" outlineLevel="0" collapsed="false">
      <c r="E313" s="172"/>
    </row>
    <row r="314" customFormat="false" ht="12.75" hidden="false" customHeight="false" outlineLevel="0" collapsed="false">
      <c r="E314" s="172"/>
    </row>
    <row r="315" customFormat="false" ht="12.75" hidden="false" customHeight="false" outlineLevel="0" collapsed="false">
      <c r="E315" s="172"/>
    </row>
    <row r="316" customFormat="false" ht="12.75" hidden="false" customHeight="false" outlineLevel="0" collapsed="false">
      <c r="E316" s="172"/>
    </row>
    <row r="317" customFormat="false" ht="12.75" hidden="false" customHeight="false" outlineLevel="0" collapsed="false">
      <c r="E317" s="172"/>
    </row>
    <row r="318" customFormat="false" ht="12.75" hidden="false" customHeight="false" outlineLevel="0" collapsed="false">
      <c r="E318" s="172"/>
    </row>
    <row r="319" customFormat="false" ht="12.75" hidden="false" customHeight="false" outlineLevel="0" collapsed="false">
      <c r="E319" s="172"/>
    </row>
    <row r="320" customFormat="false" ht="12.75" hidden="false" customHeight="false" outlineLevel="0" collapsed="false">
      <c r="E320" s="172"/>
    </row>
    <row r="321" customFormat="false" ht="12.75" hidden="false" customHeight="false" outlineLevel="0" collapsed="false">
      <c r="E321" s="172"/>
    </row>
    <row r="322" customFormat="false" ht="12.75" hidden="false" customHeight="false" outlineLevel="0" collapsed="false">
      <c r="E322" s="172"/>
    </row>
    <row r="323" customFormat="false" ht="12.75" hidden="false" customHeight="false" outlineLevel="0" collapsed="false">
      <c r="E323" s="172"/>
    </row>
    <row r="324" customFormat="false" ht="12.75" hidden="false" customHeight="false" outlineLevel="0" collapsed="false">
      <c r="E324" s="172"/>
    </row>
    <row r="325" customFormat="false" ht="12.75" hidden="false" customHeight="false" outlineLevel="0" collapsed="false">
      <c r="E325" s="172"/>
    </row>
    <row r="326" customFormat="false" ht="12.75" hidden="false" customHeight="false" outlineLevel="0" collapsed="false">
      <c r="E326" s="172"/>
    </row>
    <row r="327" customFormat="false" ht="12.75" hidden="false" customHeight="false" outlineLevel="0" collapsed="false">
      <c r="E327" s="172"/>
    </row>
    <row r="328" customFormat="false" ht="12.75" hidden="false" customHeight="false" outlineLevel="0" collapsed="false">
      <c r="E328" s="172"/>
    </row>
    <row r="329" customFormat="false" ht="12.75" hidden="false" customHeight="false" outlineLevel="0" collapsed="false">
      <c r="E329" s="172"/>
    </row>
    <row r="330" customFormat="false" ht="12.75" hidden="false" customHeight="false" outlineLevel="0" collapsed="false">
      <c r="E330" s="172"/>
    </row>
    <row r="331" customFormat="false" ht="12.75" hidden="false" customHeight="false" outlineLevel="0" collapsed="false">
      <c r="E331" s="172"/>
    </row>
    <row r="332" customFormat="false" ht="12.75" hidden="false" customHeight="false" outlineLevel="0" collapsed="false">
      <c r="E332" s="172"/>
    </row>
    <row r="333" customFormat="false" ht="12.75" hidden="false" customHeight="false" outlineLevel="0" collapsed="false">
      <c r="E333" s="172"/>
    </row>
    <row r="334" customFormat="false" ht="12.75" hidden="false" customHeight="false" outlineLevel="0" collapsed="false">
      <c r="E334" s="172"/>
    </row>
    <row r="335" customFormat="false" ht="12.75" hidden="false" customHeight="false" outlineLevel="0" collapsed="false">
      <c r="E335" s="172"/>
    </row>
    <row r="336" customFormat="false" ht="12.75" hidden="false" customHeight="false" outlineLevel="0" collapsed="false">
      <c r="E336" s="172"/>
    </row>
    <row r="337" customFormat="false" ht="12.75" hidden="false" customHeight="false" outlineLevel="0" collapsed="false">
      <c r="E337" s="172"/>
    </row>
    <row r="338" customFormat="false" ht="12.75" hidden="false" customHeight="false" outlineLevel="0" collapsed="false">
      <c r="E338" s="172"/>
    </row>
    <row r="339" customFormat="false" ht="12.75" hidden="false" customHeight="false" outlineLevel="0" collapsed="false">
      <c r="E339" s="172"/>
    </row>
    <row r="340" customFormat="false" ht="12.75" hidden="false" customHeight="false" outlineLevel="0" collapsed="false">
      <c r="E340" s="172"/>
    </row>
    <row r="341" customFormat="false" ht="12.75" hidden="false" customHeight="false" outlineLevel="0" collapsed="false">
      <c r="E341" s="172"/>
    </row>
    <row r="342" customFormat="false" ht="12.75" hidden="false" customHeight="false" outlineLevel="0" collapsed="false">
      <c r="E342" s="172"/>
    </row>
    <row r="343" customFormat="false" ht="12.75" hidden="false" customHeight="false" outlineLevel="0" collapsed="false">
      <c r="E343" s="172"/>
    </row>
    <row r="344" customFormat="false" ht="12.75" hidden="false" customHeight="false" outlineLevel="0" collapsed="false">
      <c r="E344" s="172"/>
    </row>
    <row r="345" customFormat="false" ht="12.75" hidden="false" customHeight="false" outlineLevel="0" collapsed="false">
      <c r="E345" s="172"/>
    </row>
    <row r="346" customFormat="false" ht="12.75" hidden="false" customHeight="false" outlineLevel="0" collapsed="false">
      <c r="E346" s="172"/>
    </row>
    <row r="347" customFormat="false" ht="12.75" hidden="false" customHeight="false" outlineLevel="0" collapsed="false">
      <c r="E347" s="172"/>
    </row>
    <row r="348" customFormat="false" ht="12.75" hidden="false" customHeight="false" outlineLevel="0" collapsed="false">
      <c r="E348" s="172"/>
    </row>
    <row r="349" customFormat="false" ht="12.75" hidden="false" customHeight="false" outlineLevel="0" collapsed="false">
      <c r="E349" s="172"/>
    </row>
    <row r="350" customFormat="false" ht="12.75" hidden="false" customHeight="false" outlineLevel="0" collapsed="false">
      <c r="E350" s="172"/>
    </row>
    <row r="351" customFormat="false" ht="12.75" hidden="false" customHeight="false" outlineLevel="0" collapsed="false">
      <c r="E351" s="172"/>
    </row>
    <row r="352" customFormat="false" ht="12.75" hidden="false" customHeight="false" outlineLevel="0" collapsed="false">
      <c r="E352" s="172"/>
    </row>
    <row r="353" customFormat="false" ht="12.75" hidden="false" customHeight="false" outlineLevel="0" collapsed="false">
      <c r="E353" s="172"/>
    </row>
    <row r="354" customFormat="false" ht="12.75" hidden="false" customHeight="false" outlineLevel="0" collapsed="false">
      <c r="E354" s="172"/>
    </row>
    <row r="355" customFormat="false" ht="12.75" hidden="false" customHeight="false" outlineLevel="0" collapsed="false">
      <c r="E355" s="172"/>
    </row>
    <row r="356" customFormat="false" ht="12.75" hidden="false" customHeight="false" outlineLevel="0" collapsed="false">
      <c r="E356" s="172"/>
    </row>
    <row r="357" customFormat="false" ht="12.75" hidden="false" customHeight="false" outlineLevel="0" collapsed="false">
      <c r="E357" s="172"/>
    </row>
    <row r="358" customFormat="false" ht="12.75" hidden="false" customHeight="false" outlineLevel="0" collapsed="false">
      <c r="E358" s="172"/>
    </row>
    <row r="359" customFormat="false" ht="12.75" hidden="false" customHeight="false" outlineLevel="0" collapsed="false">
      <c r="E359" s="172"/>
    </row>
    <row r="360" customFormat="false" ht="12.75" hidden="false" customHeight="false" outlineLevel="0" collapsed="false">
      <c r="E360" s="172"/>
    </row>
    <row r="361" customFormat="false" ht="12.75" hidden="false" customHeight="false" outlineLevel="0" collapsed="false">
      <c r="E361" s="172"/>
    </row>
    <row r="362" customFormat="false" ht="12.75" hidden="false" customHeight="false" outlineLevel="0" collapsed="false">
      <c r="E362" s="172"/>
    </row>
    <row r="363" customFormat="false" ht="12.75" hidden="false" customHeight="false" outlineLevel="0" collapsed="false">
      <c r="E363" s="172"/>
    </row>
    <row r="364" customFormat="false" ht="12.75" hidden="false" customHeight="false" outlineLevel="0" collapsed="false">
      <c r="E364" s="172"/>
    </row>
    <row r="365" customFormat="false" ht="12.75" hidden="false" customHeight="false" outlineLevel="0" collapsed="false">
      <c r="E365" s="172"/>
    </row>
    <row r="366" customFormat="false" ht="12.75" hidden="false" customHeight="false" outlineLevel="0" collapsed="false">
      <c r="E366" s="172"/>
    </row>
    <row r="367" customFormat="false" ht="12.75" hidden="false" customHeight="false" outlineLevel="0" collapsed="false">
      <c r="E367" s="172"/>
    </row>
    <row r="368" customFormat="false" ht="12.75" hidden="false" customHeight="false" outlineLevel="0" collapsed="false">
      <c r="E368" s="172"/>
    </row>
    <row r="369" customFormat="false" ht="12.75" hidden="false" customHeight="false" outlineLevel="0" collapsed="false">
      <c r="E369" s="172"/>
    </row>
    <row r="370" customFormat="false" ht="12.75" hidden="false" customHeight="false" outlineLevel="0" collapsed="false">
      <c r="E370" s="172"/>
    </row>
    <row r="371" customFormat="false" ht="12.75" hidden="false" customHeight="false" outlineLevel="0" collapsed="false">
      <c r="E371" s="172"/>
    </row>
    <row r="372" customFormat="false" ht="12.75" hidden="false" customHeight="false" outlineLevel="0" collapsed="false">
      <c r="E372" s="172"/>
    </row>
    <row r="373" customFormat="false" ht="12.75" hidden="false" customHeight="false" outlineLevel="0" collapsed="false">
      <c r="E373" s="172"/>
    </row>
    <row r="374" customFormat="false" ht="12.75" hidden="false" customHeight="false" outlineLevel="0" collapsed="false">
      <c r="E374" s="172"/>
    </row>
    <row r="375" customFormat="false" ht="12.75" hidden="false" customHeight="false" outlineLevel="0" collapsed="false">
      <c r="E375" s="172"/>
    </row>
    <row r="376" customFormat="false" ht="12.75" hidden="false" customHeight="false" outlineLevel="0" collapsed="false">
      <c r="E376" s="172"/>
    </row>
    <row r="377" customFormat="false" ht="12.75" hidden="false" customHeight="false" outlineLevel="0" collapsed="false">
      <c r="E377" s="172"/>
    </row>
    <row r="378" customFormat="false" ht="12.75" hidden="false" customHeight="false" outlineLevel="0" collapsed="false">
      <c r="E378" s="172"/>
    </row>
    <row r="379" customFormat="false" ht="12.75" hidden="false" customHeight="false" outlineLevel="0" collapsed="false">
      <c r="E379" s="172"/>
    </row>
    <row r="380" customFormat="false" ht="12.75" hidden="false" customHeight="false" outlineLevel="0" collapsed="false">
      <c r="E380" s="172"/>
    </row>
    <row r="381" customFormat="false" ht="12.75" hidden="false" customHeight="false" outlineLevel="0" collapsed="false">
      <c r="E381" s="172"/>
    </row>
    <row r="382" customFormat="false" ht="12.75" hidden="false" customHeight="false" outlineLevel="0" collapsed="false">
      <c r="E382" s="172"/>
    </row>
    <row r="383" customFormat="false" ht="12.75" hidden="false" customHeight="false" outlineLevel="0" collapsed="false">
      <c r="E383" s="172"/>
    </row>
    <row r="384" customFormat="false" ht="12.75" hidden="false" customHeight="false" outlineLevel="0" collapsed="false">
      <c r="E384" s="172"/>
    </row>
    <row r="385" customFormat="false" ht="12.75" hidden="false" customHeight="false" outlineLevel="0" collapsed="false">
      <c r="E385" s="172"/>
    </row>
    <row r="386" customFormat="false" ht="12.75" hidden="false" customHeight="false" outlineLevel="0" collapsed="false">
      <c r="E386" s="172"/>
    </row>
    <row r="387" customFormat="false" ht="12.75" hidden="false" customHeight="false" outlineLevel="0" collapsed="false">
      <c r="E387" s="172"/>
    </row>
    <row r="388" customFormat="false" ht="12.75" hidden="false" customHeight="false" outlineLevel="0" collapsed="false">
      <c r="E388" s="172"/>
    </row>
    <row r="389" customFormat="false" ht="12.75" hidden="false" customHeight="false" outlineLevel="0" collapsed="false">
      <c r="E389" s="172"/>
    </row>
    <row r="390" customFormat="false" ht="12.75" hidden="false" customHeight="false" outlineLevel="0" collapsed="false">
      <c r="E390" s="172"/>
    </row>
    <row r="391" customFormat="false" ht="12.75" hidden="false" customHeight="false" outlineLevel="0" collapsed="false">
      <c r="E391" s="172"/>
    </row>
    <row r="392" customFormat="false" ht="12.75" hidden="false" customHeight="false" outlineLevel="0" collapsed="false">
      <c r="E392" s="172"/>
    </row>
    <row r="393" customFormat="false" ht="12.75" hidden="false" customHeight="false" outlineLevel="0" collapsed="false">
      <c r="E393" s="172"/>
    </row>
    <row r="394" customFormat="false" ht="12.75" hidden="false" customHeight="false" outlineLevel="0" collapsed="false">
      <c r="E394" s="172"/>
    </row>
    <row r="395" customFormat="false" ht="12.75" hidden="false" customHeight="false" outlineLevel="0" collapsed="false">
      <c r="E395" s="172"/>
    </row>
    <row r="396" customFormat="false" ht="12.75" hidden="false" customHeight="false" outlineLevel="0" collapsed="false">
      <c r="E396" s="172"/>
    </row>
    <row r="397" customFormat="false" ht="12.75" hidden="false" customHeight="false" outlineLevel="0" collapsed="false">
      <c r="E397" s="172"/>
    </row>
    <row r="398" customFormat="false" ht="12.75" hidden="false" customHeight="false" outlineLevel="0" collapsed="false">
      <c r="E398" s="172"/>
    </row>
    <row r="399" customFormat="false" ht="12.75" hidden="false" customHeight="false" outlineLevel="0" collapsed="false">
      <c r="E399" s="172"/>
    </row>
    <row r="400" customFormat="false" ht="12.75" hidden="false" customHeight="false" outlineLevel="0" collapsed="false">
      <c r="E400" s="172"/>
    </row>
    <row r="401" customFormat="false" ht="12.75" hidden="false" customHeight="false" outlineLevel="0" collapsed="false">
      <c r="E401" s="172"/>
    </row>
    <row r="402" customFormat="false" ht="12.75" hidden="false" customHeight="false" outlineLevel="0" collapsed="false">
      <c r="E402" s="172"/>
    </row>
    <row r="403" customFormat="false" ht="12.75" hidden="false" customHeight="false" outlineLevel="0" collapsed="false">
      <c r="E403" s="172"/>
    </row>
    <row r="404" customFormat="false" ht="12.75" hidden="false" customHeight="false" outlineLevel="0" collapsed="false">
      <c r="E404" s="172"/>
    </row>
    <row r="405" customFormat="false" ht="12.75" hidden="false" customHeight="false" outlineLevel="0" collapsed="false">
      <c r="E405" s="172"/>
    </row>
    <row r="406" customFormat="false" ht="12.75" hidden="false" customHeight="false" outlineLevel="0" collapsed="false">
      <c r="E406" s="172"/>
    </row>
    <row r="407" customFormat="false" ht="12.75" hidden="false" customHeight="false" outlineLevel="0" collapsed="false">
      <c r="E407" s="172"/>
    </row>
    <row r="408" customFormat="false" ht="12.75" hidden="false" customHeight="false" outlineLevel="0" collapsed="false">
      <c r="E408" s="172"/>
    </row>
    <row r="409" customFormat="false" ht="12.75" hidden="false" customHeight="false" outlineLevel="0" collapsed="false">
      <c r="E409" s="172"/>
    </row>
    <row r="410" customFormat="false" ht="12.75" hidden="false" customHeight="false" outlineLevel="0" collapsed="false">
      <c r="E410" s="172"/>
    </row>
    <row r="411" customFormat="false" ht="12.75" hidden="false" customHeight="false" outlineLevel="0" collapsed="false">
      <c r="E411" s="172"/>
    </row>
    <row r="412" customFormat="false" ht="12.75" hidden="false" customHeight="false" outlineLevel="0" collapsed="false">
      <c r="E412" s="172"/>
    </row>
    <row r="413" customFormat="false" ht="12.75" hidden="false" customHeight="false" outlineLevel="0" collapsed="false">
      <c r="E413" s="172"/>
    </row>
    <row r="414" customFormat="false" ht="12.75" hidden="false" customHeight="false" outlineLevel="0" collapsed="false">
      <c r="E414" s="172"/>
    </row>
    <row r="415" customFormat="false" ht="12.75" hidden="false" customHeight="false" outlineLevel="0" collapsed="false">
      <c r="E415" s="172"/>
    </row>
    <row r="416" customFormat="false" ht="12.75" hidden="false" customHeight="false" outlineLevel="0" collapsed="false">
      <c r="E416" s="172"/>
    </row>
    <row r="417" customFormat="false" ht="12.75" hidden="false" customHeight="false" outlineLevel="0" collapsed="false">
      <c r="E417" s="172"/>
    </row>
    <row r="418" customFormat="false" ht="12.75" hidden="false" customHeight="false" outlineLevel="0" collapsed="false">
      <c r="E418" s="172"/>
    </row>
    <row r="419" customFormat="false" ht="12.75" hidden="false" customHeight="false" outlineLevel="0" collapsed="false">
      <c r="E419" s="172"/>
    </row>
    <row r="420" customFormat="false" ht="12.75" hidden="false" customHeight="false" outlineLevel="0" collapsed="false">
      <c r="E420" s="172"/>
    </row>
    <row r="421" customFormat="false" ht="12.75" hidden="false" customHeight="false" outlineLevel="0" collapsed="false">
      <c r="E421" s="172"/>
    </row>
    <row r="422" customFormat="false" ht="12.75" hidden="false" customHeight="false" outlineLevel="0" collapsed="false">
      <c r="E422" s="172"/>
    </row>
    <row r="423" customFormat="false" ht="12.75" hidden="false" customHeight="false" outlineLevel="0" collapsed="false">
      <c r="E423" s="172"/>
    </row>
    <row r="424" customFormat="false" ht="12.75" hidden="false" customHeight="false" outlineLevel="0" collapsed="false">
      <c r="E424" s="172"/>
    </row>
    <row r="425" customFormat="false" ht="12.75" hidden="false" customHeight="false" outlineLevel="0" collapsed="false">
      <c r="E425" s="172"/>
    </row>
    <row r="426" customFormat="false" ht="12.75" hidden="false" customHeight="false" outlineLevel="0" collapsed="false">
      <c r="E426" s="172"/>
    </row>
    <row r="427" customFormat="false" ht="12.75" hidden="false" customHeight="false" outlineLevel="0" collapsed="false">
      <c r="E427" s="172"/>
    </row>
    <row r="428" customFormat="false" ht="12.75" hidden="false" customHeight="false" outlineLevel="0" collapsed="false">
      <c r="E428" s="172"/>
    </row>
    <row r="429" customFormat="false" ht="12.75" hidden="false" customHeight="false" outlineLevel="0" collapsed="false">
      <c r="E429" s="172"/>
    </row>
    <row r="430" customFormat="false" ht="12.75" hidden="false" customHeight="false" outlineLevel="0" collapsed="false">
      <c r="E430" s="172"/>
    </row>
    <row r="431" customFormat="false" ht="12.75" hidden="false" customHeight="false" outlineLevel="0" collapsed="false">
      <c r="E431" s="172"/>
    </row>
    <row r="432" customFormat="false" ht="12.75" hidden="false" customHeight="false" outlineLevel="0" collapsed="false">
      <c r="E432" s="172"/>
    </row>
    <row r="433" customFormat="false" ht="12.75" hidden="false" customHeight="false" outlineLevel="0" collapsed="false">
      <c r="E433" s="172"/>
    </row>
    <row r="434" customFormat="false" ht="12.75" hidden="false" customHeight="false" outlineLevel="0" collapsed="false">
      <c r="E434" s="172"/>
    </row>
    <row r="435" customFormat="false" ht="12.75" hidden="false" customHeight="false" outlineLevel="0" collapsed="false">
      <c r="E435" s="172"/>
    </row>
    <row r="436" customFormat="false" ht="12.75" hidden="false" customHeight="false" outlineLevel="0" collapsed="false">
      <c r="E436" s="172"/>
    </row>
    <row r="437" customFormat="false" ht="12.75" hidden="false" customHeight="false" outlineLevel="0" collapsed="false">
      <c r="E437" s="172"/>
    </row>
    <row r="438" customFormat="false" ht="12.75" hidden="false" customHeight="false" outlineLevel="0" collapsed="false">
      <c r="E438" s="172"/>
    </row>
    <row r="439" customFormat="false" ht="12.75" hidden="false" customHeight="false" outlineLevel="0" collapsed="false">
      <c r="E439" s="172"/>
    </row>
    <row r="440" customFormat="false" ht="12.75" hidden="false" customHeight="false" outlineLevel="0" collapsed="false">
      <c r="E440" s="172"/>
    </row>
    <row r="441" customFormat="false" ht="12.75" hidden="false" customHeight="false" outlineLevel="0" collapsed="false">
      <c r="E441" s="172"/>
    </row>
    <row r="442" customFormat="false" ht="12.75" hidden="false" customHeight="false" outlineLevel="0" collapsed="false">
      <c r="E442" s="172"/>
    </row>
    <row r="443" customFormat="false" ht="12.75" hidden="false" customHeight="false" outlineLevel="0" collapsed="false">
      <c r="E443" s="172"/>
    </row>
    <row r="444" customFormat="false" ht="12.75" hidden="false" customHeight="false" outlineLevel="0" collapsed="false">
      <c r="E444" s="172"/>
    </row>
    <row r="445" customFormat="false" ht="12.75" hidden="false" customHeight="false" outlineLevel="0" collapsed="false">
      <c r="E445" s="172"/>
    </row>
    <row r="446" customFormat="false" ht="12.75" hidden="false" customHeight="false" outlineLevel="0" collapsed="false">
      <c r="E446" s="172"/>
      <c r="F446" s="172"/>
      <c r="G446" s="172"/>
    </row>
    <row r="447" customFormat="false" ht="12.75" hidden="false" customHeight="false" outlineLevel="0" collapsed="false">
      <c r="E447" s="172"/>
      <c r="F447" s="172"/>
      <c r="G447" s="172"/>
    </row>
    <row r="448" customFormat="false" ht="12.75" hidden="false" customHeight="false" outlineLevel="0" collapsed="false">
      <c r="E448" s="172"/>
      <c r="F448" s="172"/>
      <c r="G448" s="172"/>
    </row>
    <row r="449" customFormat="false" ht="12.75" hidden="false" customHeight="false" outlineLevel="0" collapsed="false">
      <c r="E449" s="172"/>
      <c r="F449" s="172"/>
      <c r="G449" s="172"/>
    </row>
    <row r="450" customFormat="false" ht="12.75" hidden="false" customHeight="false" outlineLevel="0" collapsed="false">
      <c r="E450" s="172"/>
      <c r="F450" s="172"/>
      <c r="G450" s="172"/>
    </row>
    <row r="451" customFormat="false" ht="12.75" hidden="false" customHeight="false" outlineLevel="0" collapsed="false">
      <c r="E451" s="172"/>
      <c r="F451" s="172"/>
      <c r="G451" s="172"/>
    </row>
    <row r="452" customFormat="false" ht="12.75" hidden="false" customHeight="false" outlineLevel="0" collapsed="false">
      <c r="E452" s="172"/>
      <c r="F452" s="172"/>
      <c r="G452" s="172"/>
    </row>
    <row r="453" customFormat="false" ht="12.75" hidden="false" customHeight="false" outlineLevel="0" collapsed="false">
      <c r="E453" s="172"/>
      <c r="F453" s="172"/>
      <c r="G453" s="172"/>
    </row>
    <row r="454" customFormat="false" ht="12.75" hidden="false" customHeight="false" outlineLevel="0" collapsed="false">
      <c r="E454" s="172"/>
      <c r="F454" s="172"/>
      <c r="G454" s="172"/>
    </row>
  </sheetData>
  <printOptions headings="false" gridLines="false" gridLinesSet="true" horizontalCentered="false" verticalCentered="false"/>
  <pageMargins left="0.279861111111111" right="0.279861111111111" top="0.520138888888889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T368"/>
  <sheetViews>
    <sheetView showFormulas="false" showGridLines="false" showRowColHeaders="true" showZeros="true" rightToLeft="false" tabSelected="false" showOutlineSymbols="true" defaultGridColor="true" view="normal" topLeftCell="A6" colorId="64" zoomScale="90" zoomScaleNormal="9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12.28"/>
    <col collapsed="false" customWidth="true" hidden="false" outlineLevel="0" max="3" min="3" style="0" width="11.56"/>
    <col collapsed="false" customWidth="true" hidden="false" outlineLevel="0" max="6" min="4" style="0" width="12.28"/>
    <col collapsed="false" customWidth="false" hidden="true" outlineLevel="0" max="9" min="7" style="0" width="9.06"/>
    <col collapsed="false" customWidth="true" hidden="false" outlineLevel="0" max="14" min="11" style="0" width="10.28"/>
    <col collapsed="false" customWidth="true" hidden="false" outlineLevel="0" max="18" min="16" style="0" width="13.14"/>
    <col collapsed="false" customWidth="true" hidden="false" outlineLevel="0" max="19" min="19" style="0" width="11.7"/>
  </cols>
  <sheetData>
    <row r="2" customFormat="false" ht="20.25" hidden="false" customHeight="false" outlineLevel="0" collapsed="false">
      <c r="B2" s="1" t="s">
        <v>227</v>
      </c>
    </row>
    <row r="5" customFormat="false" ht="15.75" hidden="false" customHeight="false" outlineLevel="0" collapsed="false">
      <c r="B5" s="261" t="s">
        <v>228</v>
      </c>
      <c r="C5" s="261"/>
      <c r="D5" s="261"/>
      <c r="E5" s="261"/>
      <c r="F5" s="261"/>
      <c r="K5" s="262" t="s">
        <v>229</v>
      </c>
      <c r="L5" s="262"/>
      <c r="M5" s="262"/>
      <c r="N5" s="262"/>
      <c r="P5" s="263" t="s">
        <v>230</v>
      </c>
      <c r="Q5" s="263"/>
      <c r="R5" s="263"/>
      <c r="S5" s="263"/>
    </row>
    <row r="6" customFormat="false" ht="13.5" hidden="false" customHeight="false" outlineLevel="0" collapsed="false">
      <c r="S6" s="264" t="n">
        <f aca="false">+IRR(S8:S38)</f>
        <v>0.119959364746891</v>
      </c>
    </row>
    <row r="7" customFormat="false" ht="13.5" hidden="false" customHeight="false" outlineLevel="0" collapsed="false">
      <c r="B7" s="265" t="s">
        <v>231</v>
      </c>
      <c r="C7" s="26"/>
      <c r="D7" s="266" t="n">
        <v>2.25</v>
      </c>
      <c r="E7" s="267" t="s">
        <v>232</v>
      </c>
      <c r="F7" s="268" t="n">
        <f aca="false">(IF(PROJECTCONFIGURATION!$A$1,('OPERATIONAL CHARACTERISTICS'!$E$14),('OPERATIONAL CHARACTERISTICS'!$H$14))*D7/1000)+SUMMARY!I7</f>
        <v>23.7581581446994</v>
      </c>
      <c r="K7" s="116" t="s">
        <v>233</v>
      </c>
      <c r="L7" s="269" t="s">
        <v>234</v>
      </c>
      <c r="M7" s="269" t="s">
        <v>235</v>
      </c>
      <c r="N7" s="270" t="s">
        <v>236</v>
      </c>
      <c r="P7" s="116" t="s">
        <v>237</v>
      </c>
      <c r="Q7" s="269" t="s">
        <v>238</v>
      </c>
      <c r="R7" s="269" t="s">
        <v>239</v>
      </c>
      <c r="S7" s="270" t="s">
        <v>240</v>
      </c>
    </row>
    <row r="8" customFormat="false" ht="13.5" hidden="false" customHeight="false" outlineLevel="0" collapsed="false">
      <c r="B8" s="271"/>
      <c r="C8" s="65"/>
      <c r="D8" s="65"/>
      <c r="E8" s="263"/>
      <c r="F8" s="272"/>
      <c r="K8" s="273"/>
      <c r="L8" s="274"/>
      <c r="M8" s="274"/>
      <c r="N8" s="275"/>
      <c r="P8" s="273"/>
      <c r="Q8" s="274"/>
      <c r="R8" s="274"/>
      <c r="S8" s="276" t="n">
        <f aca="false">-SUMMARY!D19</f>
        <v>-43452.5074010856</v>
      </c>
    </row>
    <row r="9" customFormat="false" ht="12.75" hidden="false" customHeight="false" outlineLevel="0" collapsed="false">
      <c r="B9" s="277"/>
      <c r="C9" s="140" t="s">
        <v>241</v>
      </c>
      <c r="D9" s="140" t="s">
        <v>242</v>
      </c>
      <c r="E9" s="140" t="s">
        <v>61</v>
      </c>
      <c r="F9" s="278"/>
      <c r="G9" s="279"/>
      <c r="K9" s="280" t="n">
        <v>1</v>
      </c>
      <c r="L9" s="281" t="n">
        <f aca="false">-IF(SUMMARY!$D$21*12&gt;=K9,IPMT(SUMMARY!$D$22/12,K9,SUMMARY!$D$21*12,SUMMARY!$D$20),0)</f>
        <v>675.927892905776</v>
      </c>
      <c r="M9" s="281" t="n">
        <f aca="false">IF(SUMMARY!$D$21*12&gt;=K9,-PPMT(SUMMARY!$D$22/12,K9,SUMMARY!$D$21*12,SUMMARY!$D$20),0)</f>
        <v>172.131867159294</v>
      </c>
      <c r="N9" s="282" t="n">
        <f aca="false">+M9+L9</f>
        <v>848.059760065069</v>
      </c>
      <c r="P9" s="280" t="n">
        <v>1</v>
      </c>
      <c r="Q9" s="283" t="n">
        <f aca="false">IF(SUMMARY!$D$21&gt;=K9,(SUMMARY!$D$24+SUMMARY!$I$17)*12*SUMMARY!$D$6,0)</f>
        <v>15724.8338530979</v>
      </c>
      <c r="R9" s="283" t="n">
        <f aca="false">IF(SUMMARY!$D$21&gt;=K9,SUMMARY!$D$28*12*SUMMARY!$D$6,0)+IF(P9=SUMMARY!$D$21,SUMMARY!$D$29*SUMMARY!$D$15,0)</f>
        <v>21037.92768</v>
      </c>
      <c r="S9" s="284" t="n">
        <f aca="false">+R9-Q9</f>
        <v>5313.09382690208</v>
      </c>
    </row>
    <row r="10" customFormat="false" ht="12.75" hidden="false" customHeight="false" outlineLevel="0" collapsed="false">
      <c r="B10" s="147"/>
      <c r="C10" s="263" t="s">
        <v>243</v>
      </c>
      <c r="D10" s="263" t="s">
        <v>120</v>
      </c>
      <c r="E10" s="263" t="s">
        <v>244</v>
      </c>
      <c r="F10" s="285"/>
      <c r="G10" s="279"/>
      <c r="K10" s="280" t="n">
        <v>2</v>
      </c>
      <c r="L10" s="281" t="n">
        <f aca="false">-IF(SUMMARY!$D$21*12&gt;=K10,IPMT(SUMMARY!$D$22/12,K10,SUMMARY!$D$21*12,SUMMARY!$D$20),0)</f>
        <v>674.780347124714</v>
      </c>
      <c r="M10" s="281" t="n">
        <f aca="false">IF(SUMMARY!$D$21*12&gt;=K10,-PPMT(SUMMARY!$D$22/12,K10,SUMMARY!$D$21*12,SUMMARY!$D$20),0)</f>
        <v>173.279412940356</v>
      </c>
      <c r="N10" s="282" t="n">
        <f aca="false">+M10+L10</f>
        <v>848.059760065069</v>
      </c>
      <c r="P10" s="280" t="n">
        <v>2</v>
      </c>
      <c r="Q10" s="283" t="n">
        <f aca="false">IF(SUMMARY!$D$21&gt;=K10,(SUMMARY!$D$24+SUMMARY!$I$17)*12*SUMMARY!$D$6,0)</f>
        <v>15724.8338530979</v>
      </c>
      <c r="R10" s="283" t="n">
        <f aca="false">IF(SUMMARY!$D$21&gt;=K10,SUMMARY!$D$28*12*SUMMARY!$D$6,0)+IF(P10=SUMMARY!$D$21,SUMMARY!$D$29*SUMMARY!$D$15,0)</f>
        <v>21037.92768</v>
      </c>
      <c r="S10" s="284" t="n">
        <f aca="false">+R10-Q10</f>
        <v>5313.09382690208</v>
      </c>
    </row>
    <row r="11" customFormat="false" ht="13.5" hidden="false" customHeight="false" outlineLevel="0" collapsed="false">
      <c r="B11" s="162"/>
      <c r="C11" s="286" t="s">
        <v>245</v>
      </c>
      <c r="D11" s="286" t="s">
        <v>246</v>
      </c>
      <c r="E11" s="286" t="s">
        <v>246</v>
      </c>
      <c r="F11" s="287"/>
      <c r="G11" s="279"/>
      <c r="K11" s="280" t="n">
        <v>3</v>
      </c>
      <c r="L11" s="281" t="n">
        <f aca="false">-IF(SUMMARY!$D$21*12&gt;=K11,IPMT(SUMMARY!$D$22/12,K11,SUMMARY!$D$21*12,SUMMARY!$D$20),0)</f>
        <v>673.625151038445</v>
      </c>
      <c r="M11" s="281" t="n">
        <f aca="false">IF(SUMMARY!$D$21*12&gt;=K11,-PPMT(SUMMARY!$D$22/12,K11,SUMMARY!$D$21*12,SUMMARY!$D$20),0)</f>
        <v>174.434609026625</v>
      </c>
      <c r="N11" s="282" t="n">
        <f aca="false">+M11+L11</f>
        <v>848.059760065069</v>
      </c>
      <c r="P11" s="280" t="n">
        <v>3</v>
      </c>
      <c r="Q11" s="283" t="n">
        <f aca="false">IF(SUMMARY!$D$21&gt;=K11,(SUMMARY!$D$24+SUMMARY!$I$17)*12*SUMMARY!$D$6,0)</f>
        <v>15724.8338530979</v>
      </c>
      <c r="R11" s="283" t="n">
        <f aca="false">IF(SUMMARY!$D$21&gt;=K11,SUMMARY!$D$28*12*SUMMARY!$D$6,0)+IF(P11=SUMMARY!$D$21,SUMMARY!$D$29*SUMMARY!$D$15,0)</f>
        <v>21037.92768</v>
      </c>
      <c r="S11" s="284" t="n">
        <f aca="false">+R11-Q11</f>
        <v>5313.09382690208</v>
      </c>
      <c r="T11" s="288"/>
    </row>
    <row r="12" customFormat="false" ht="12.75" hidden="false" customHeight="false" outlineLevel="0" collapsed="false">
      <c r="B12" s="147"/>
      <c r="C12" s="65"/>
      <c r="D12" s="65"/>
      <c r="E12" s="65"/>
      <c r="F12" s="285"/>
      <c r="G12" s="279"/>
      <c r="K12" s="280" t="n">
        <v>4</v>
      </c>
      <c r="L12" s="281" t="n">
        <f aca="false">-IF(SUMMARY!$D$21*12&gt;=K12,IPMT(SUMMARY!$D$22/12,K12,SUMMARY!$D$21*12,SUMMARY!$D$20),0)</f>
        <v>672.462253644934</v>
      </c>
      <c r="M12" s="281" t="n">
        <f aca="false">IF(SUMMARY!$D$21*12&gt;=K12,-PPMT(SUMMARY!$D$22/12,K12,SUMMARY!$D$21*12,SUMMARY!$D$20),0)</f>
        <v>175.597506420135</v>
      </c>
      <c r="N12" s="282" t="n">
        <f aca="false">+M12+L12</f>
        <v>848.059760065069</v>
      </c>
      <c r="P12" s="280" t="n">
        <v>4</v>
      </c>
      <c r="Q12" s="283" t="n">
        <f aca="false">IF(SUMMARY!$D$21&gt;=K12,(SUMMARY!$D$24+SUMMARY!$I$17)*12*SUMMARY!$D$6,0)</f>
        <v>15724.8338530979</v>
      </c>
      <c r="R12" s="283" t="n">
        <f aca="false">IF(SUMMARY!$D$21&gt;=K12,SUMMARY!$D$28*12*SUMMARY!$D$6,0)+IF(P12=SUMMARY!$D$21,SUMMARY!$D$29*SUMMARY!$D$15,0)</f>
        <v>21037.92768</v>
      </c>
      <c r="S12" s="284" t="n">
        <f aca="false">+R12-Q12</f>
        <v>5313.09382690208</v>
      </c>
    </row>
    <row r="13" customFormat="false" ht="12.75" hidden="false" customHeight="false" outlineLevel="0" collapsed="false">
      <c r="B13" s="204"/>
      <c r="C13" s="289" t="n">
        <v>500</v>
      </c>
      <c r="D13" s="290" t="n">
        <f aca="false">((SUMMARY!$D$24+SUMMARY!$I$17)*12*1000*IF(PROJECTCONFIGURATION!$A$1,('OPERATIONAL CHARACTERISTICS'!$E$12*PROJECTCONFIGURATION!$B$65),('OPERATIONAL CHARACTERISTICS'!$H$12*PROJECTCONFIGURATION!$B$65)))/($C13*IF(PROJECTCONFIGURATION!$A$1,('OPERATIONAL CHARACTERISTICS'!$E$12*PROJECTCONFIGURATION!$B$65),('OPERATIONAL CHARACTERISTICS'!$H$12*PROJECTCONFIGURATION!$B$65)))</f>
        <v>114.987962538741</v>
      </c>
      <c r="E13" s="290" t="n">
        <f aca="false">+D13+$F$7</f>
        <v>138.746120683441</v>
      </c>
      <c r="F13" s="291" t="n">
        <f aca="false">+$F$7</f>
        <v>23.7581581446994</v>
      </c>
      <c r="G13" s="279"/>
      <c r="K13" s="280" t="n">
        <v>5</v>
      </c>
      <c r="L13" s="281" t="n">
        <f aca="false">-IF(SUMMARY!$D$21*12&gt;=K13,IPMT(SUMMARY!$D$22/12,K13,SUMMARY!$D$21*12,SUMMARY!$D$20),0)</f>
        <v>671.291603602133</v>
      </c>
      <c r="M13" s="281" t="n">
        <f aca="false">IF(SUMMARY!$D$21*12&gt;=K13,-PPMT(SUMMARY!$D$22/12,K13,SUMMARY!$D$21*12,SUMMARY!$D$20),0)</f>
        <v>176.768156462936</v>
      </c>
      <c r="N13" s="282" t="n">
        <f aca="false">+M13+L13</f>
        <v>848.059760065069</v>
      </c>
      <c r="P13" s="280" t="n">
        <v>5</v>
      </c>
      <c r="Q13" s="283" t="n">
        <f aca="false">IF(SUMMARY!$D$21&gt;=K13,(SUMMARY!$D$24+SUMMARY!$I$17)*12*SUMMARY!$D$6,0)</f>
        <v>15724.8338530979</v>
      </c>
      <c r="R13" s="283" t="n">
        <f aca="false">IF(SUMMARY!$D$21&gt;=K13,SUMMARY!$D$28*12*SUMMARY!$D$6,0)+IF(P13=SUMMARY!$D$21,SUMMARY!$D$29*SUMMARY!$D$15,0)</f>
        <v>21037.92768</v>
      </c>
      <c r="S13" s="284" t="n">
        <f aca="false">+R13-Q13</f>
        <v>5313.09382690208</v>
      </c>
      <c r="T13" s="292"/>
    </row>
    <row r="14" customFormat="false" ht="12.75" hidden="false" customHeight="false" outlineLevel="0" collapsed="false">
      <c r="B14" s="204"/>
      <c r="C14" s="289" t="n">
        <f aca="false">+C13+100</f>
        <v>600</v>
      </c>
      <c r="D14" s="290" t="n">
        <f aca="false">((SUMMARY!$D$24+SUMMARY!$I$17)*12*1000*IF(PROJECTCONFIGURATION!$A$1,('OPERATIONAL CHARACTERISTICS'!$E$12*PROJECTCONFIGURATION!$B$65),('OPERATIONAL CHARACTERISTICS'!$H$12*PROJECTCONFIGURATION!$B$65)))/($C14*IF(PROJECTCONFIGURATION!$A$1,('OPERATIONAL CHARACTERISTICS'!$E$12*PROJECTCONFIGURATION!$B$65),('OPERATIONAL CHARACTERISTICS'!$H$12*PROJECTCONFIGURATION!$B$65)))</f>
        <v>95.8233021156176</v>
      </c>
      <c r="E14" s="290" t="n">
        <f aca="false">+D14+$F$7</f>
        <v>119.581460260317</v>
      </c>
      <c r="F14" s="291" t="n">
        <f aca="false">+$F$7</f>
        <v>23.7581581446994</v>
      </c>
      <c r="G14" s="279"/>
      <c r="K14" s="280" t="n">
        <v>6</v>
      </c>
      <c r="L14" s="281" t="n">
        <f aca="false">-IF(SUMMARY!$D$21*12&gt;=K14,IPMT(SUMMARY!$D$22/12,K14,SUMMARY!$D$21*12,SUMMARY!$D$20),0)</f>
        <v>670.113149225713</v>
      </c>
      <c r="M14" s="281" t="n">
        <f aca="false">IF(SUMMARY!$D$21*12&gt;=K14,-PPMT(SUMMARY!$D$22/12,K14,SUMMARY!$D$21*12,SUMMARY!$D$20),0)</f>
        <v>177.946610839356</v>
      </c>
      <c r="N14" s="282" t="n">
        <f aca="false">+M14+L14</f>
        <v>848.059760065069</v>
      </c>
      <c r="P14" s="280" t="n">
        <v>6</v>
      </c>
      <c r="Q14" s="283" t="n">
        <f aca="false">IF(SUMMARY!$D$21&gt;=K14,(SUMMARY!$D$24+SUMMARY!$I$17)*12*SUMMARY!$D$6,0)</f>
        <v>15724.8338530979</v>
      </c>
      <c r="R14" s="283" t="n">
        <f aca="false">IF(SUMMARY!$D$21&gt;=K14,SUMMARY!$D$28*12*SUMMARY!$D$6,0)+IF(P14=SUMMARY!$D$21,SUMMARY!$D$29*SUMMARY!$D$15,0)</f>
        <v>21037.92768</v>
      </c>
      <c r="S14" s="284" t="n">
        <f aca="false">+R14-Q14</f>
        <v>5313.09382690208</v>
      </c>
      <c r="T14" s="292"/>
    </row>
    <row r="15" customFormat="false" ht="12.75" hidden="false" customHeight="false" outlineLevel="0" collapsed="false">
      <c r="B15" s="204"/>
      <c r="C15" s="289" t="n">
        <f aca="false">+C14+100</f>
        <v>700</v>
      </c>
      <c r="D15" s="290" t="n">
        <f aca="false">((SUMMARY!$D$24+SUMMARY!$I$17)*12*1000*IF(PROJECTCONFIGURATION!$A$1,('OPERATIONAL CHARACTERISTICS'!$E$12*PROJECTCONFIGURATION!$B$65),('OPERATIONAL CHARACTERISTICS'!$H$12*PROJECTCONFIGURATION!$B$65)))/($C15*IF(PROJECTCONFIGURATION!$A$1,('OPERATIONAL CHARACTERISTICS'!$E$12*PROJECTCONFIGURATION!$B$65),('OPERATIONAL CHARACTERISTICS'!$H$12*PROJECTCONFIGURATION!$B$65)))</f>
        <v>82.1342589562437</v>
      </c>
      <c r="E15" s="290" t="n">
        <f aca="false">+D15+$F$7</f>
        <v>105.892417100943</v>
      </c>
      <c r="F15" s="291" t="n">
        <f aca="false">+$F$7</f>
        <v>23.7581581446994</v>
      </c>
      <c r="G15" s="279"/>
      <c r="K15" s="280" t="n">
        <v>7</v>
      </c>
      <c r="L15" s="281" t="n">
        <f aca="false">-IF(SUMMARY!$D$21*12&gt;=K15,IPMT(SUMMARY!$D$22/12,K15,SUMMARY!$D$21*12,SUMMARY!$D$20),0)</f>
        <v>668.926838486784</v>
      </c>
      <c r="M15" s="281" t="n">
        <f aca="false">IF(SUMMARY!$D$21*12&gt;=K15,-PPMT(SUMMARY!$D$22/12,K15,SUMMARY!$D$21*12,SUMMARY!$D$20),0)</f>
        <v>179.132921578285</v>
      </c>
      <c r="N15" s="282" t="n">
        <f aca="false">+M15+L15</f>
        <v>848.059760065069</v>
      </c>
      <c r="P15" s="280" t="n">
        <v>7</v>
      </c>
      <c r="Q15" s="283" t="n">
        <f aca="false">IF(SUMMARY!$D$21&gt;=K15,(SUMMARY!$D$24+SUMMARY!$I$17)*12*SUMMARY!$D$6,0)</f>
        <v>15724.8338530979</v>
      </c>
      <c r="R15" s="283" t="n">
        <f aca="false">IF(SUMMARY!$D$21&gt;=K15,SUMMARY!$D$28*12*SUMMARY!$D$6,0)+IF(P15=SUMMARY!$D$21,SUMMARY!$D$29*SUMMARY!$D$15,0)</f>
        <v>21037.92768</v>
      </c>
      <c r="S15" s="284" t="n">
        <f aca="false">+R15-Q15</f>
        <v>5313.09382690208</v>
      </c>
      <c r="T15" s="292"/>
    </row>
    <row r="16" customFormat="false" ht="12.75" hidden="false" customHeight="false" outlineLevel="0" collapsed="false">
      <c r="B16" s="204"/>
      <c r="C16" s="289" t="n">
        <f aca="false">+C15+100</f>
        <v>800</v>
      </c>
      <c r="D16" s="290" t="n">
        <f aca="false">((SUMMARY!$D$24+SUMMARY!$I$17)*12*1000*IF(PROJECTCONFIGURATION!$A$1,('OPERATIONAL CHARACTERISTICS'!$E$12*PROJECTCONFIGURATION!$B$65),('OPERATIONAL CHARACTERISTICS'!$H$12*PROJECTCONFIGURATION!$B$65)))/($C16*IF(PROJECTCONFIGURATION!$A$1,('OPERATIONAL CHARACTERISTICS'!$E$12*PROJECTCONFIGURATION!$B$65),('OPERATIONAL CHARACTERISTICS'!$H$12*PROJECTCONFIGURATION!$B$65)))</f>
        <v>71.8674765867132</v>
      </c>
      <c r="E16" s="290" t="n">
        <f aca="false">+D16+$F$7</f>
        <v>95.6256347314126</v>
      </c>
      <c r="F16" s="291" t="n">
        <f aca="false">+$F$7</f>
        <v>23.7581581446994</v>
      </c>
      <c r="G16" s="279"/>
      <c r="K16" s="280" t="n">
        <v>8</v>
      </c>
      <c r="L16" s="281" t="n">
        <f aca="false">-IF(SUMMARY!$D$21*12&gt;=K16,IPMT(SUMMARY!$D$22/12,K16,SUMMARY!$D$21*12,SUMMARY!$D$20),0)</f>
        <v>667.732619009596</v>
      </c>
      <c r="M16" s="281" t="n">
        <f aca="false">IF(SUMMARY!$D$21*12&gt;=K16,-PPMT(SUMMARY!$D$22/12,K16,SUMMARY!$D$21*12,SUMMARY!$D$20),0)</f>
        <v>180.327141055473</v>
      </c>
      <c r="N16" s="282" t="n">
        <f aca="false">+M16+L16</f>
        <v>848.059760065069</v>
      </c>
      <c r="P16" s="280" t="n">
        <v>8</v>
      </c>
      <c r="Q16" s="283" t="n">
        <f aca="false">IF(SUMMARY!$D$21&gt;=K16,(SUMMARY!$D$24+SUMMARY!$I$17)*12*SUMMARY!$D$6,0)</f>
        <v>15724.8338530979</v>
      </c>
      <c r="R16" s="283" t="n">
        <f aca="false">IF(SUMMARY!$D$21&gt;=K16,SUMMARY!$D$28*12*SUMMARY!$D$6,0)+IF(P16=SUMMARY!$D$21,SUMMARY!$D$29*SUMMARY!$D$15,0)</f>
        <v>21037.92768</v>
      </c>
      <c r="S16" s="284" t="n">
        <f aca="false">+R16-Q16</f>
        <v>5313.09382690208</v>
      </c>
      <c r="T16" s="292"/>
    </row>
    <row r="17" customFormat="false" ht="12.75" hidden="false" customHeight="false" outlineLevel="0" collapsed="false">
      <c r="B17" s="204"/>
      <c r="C17" s="289" t="n">
        <f aca="false">+C16+100</f>
        <v>900</v>
      </c>
      <c r="D17" s="290" t="n">
        <f aca="false">((SUMMARY!$D$24+SUMMARY!$I$17)*12*1000*IF(PROJECTCONFIGURATION!$A$1,('OPERATIONAL CHARACTERISTICS'!$E$12*PROJECTCONFIGURATION!$B$65),('OPERATIONAL CHARACTERISTICS'!$H$12*PROJECTCONFIGURATION!$B$65)))/($C17*IF(PROJECTCONFIGURATION!$A$1,('OPERATIONAL CHARACTERISTICS'!$E$12*PROJECTCONFIGURATION!$B$65),('OPERATIONAL CHARACTERISTICS'!$H$12*PROJECTCONFIGURATION!$B$65)))</f>
        <v>63.8822014104117</v>
      </c>
      <c r="E17" s="290" t="n">
        <f aca="false">+D17+$F$7</f>
        <v>87.6403595551112</v>
      </c>
      <c r="F17" s="291" t="n">
        <f aca="false">+$F$7</f>
        <v>23.7581581446994</v>
      </c>
      <c r="G17" s="279"/>
      <c r="K17" s="280" t="n">
        <v>9</v>
      </c>
      <c r="L17" s="281" t="n">
        <f aca="false">-IF(SUMMARY!$D$21*12&gt;=K17,IPMT(SUMMARY!$D$22/12,K17,SUMMARY!$D$21*12,SUMMARY!$D$20),0)</f>
        <v>666.530438069226</v>
      </c>
      <c r="M17" s="281" t="n">
        <f aca="false">IF(SUMMARY!$D$21*12&gt;=K17,-PPMT(SUMMARY!$D$22/12,K17,SUMMARY!$D$21*12,SUMMARY!$D$20),0)</f>
        <v>181.529321995843</v>
      </c>
      <c r="N17" s="282" t="n">
        <f aca="false">+M17+L17</f>
        <v>848.059760065069</v>
      </c>
      <c r="P17" s="280" t="n">
        <v>9</v>
      </c>
      <c r="Q17" s="283" t="n">
        <f aca="false">IF(SUMMARY!$D$21&gt;=K17,(SUMMARY!$D$24+SUMMARY!$I$17)*12*SUMMARY!$D$6,0)</f>
        <v>15724.8338530979</v>
      </c>
      <c r="R17" s="283" t="n">
        <f aca="false">IF(SUMMARY!$D$21&gt;=K17,SUMMARY!$D$28*12*SUMMARY!$D$6,0)+IF(P17=SUMMARY!$D$21,SUMMARY!$D$29*SUMMARY!$D$15,0)</f>
        <v>21037.92768</v>
      </c>
      <c r="S17" s="284" t="n">
        <f aca="false">+R17-Q17</f>
        <v>5313.09382690208</v>
      </c>
      <c r="T17" s="292"/>
    </row>
    <row r="18" customFormat="false" ht="12.75" hidden="false" customHeight="false" outlineLevel="0" collapsed="false">
      <c r="B18" s="204"/>
      <c r="C18" s="289" t="n">
        <f aca="false">+C17+100</f>
        <v>1000</v>
      </c>
      <c r="D18" s="290" t="n">
        <f aca="false">((SUMMARY!$D$24+SUMMARY!$I$17)*12*1000*IF(PROJECTCONFIGURATION!$A$1,('OPERATIONAL CHARACTERISTICS'!$E$12*PROJECTCONFIGURATION!$B$65),('OPERATIONAL CHARACTERISTICS'!$H$12*PROJECTCONFIGURATION!$B$65)))/($C18*IF(PROJECTCONFIGURATION!$A$1,('OPERATIONAL CHARACTERISTICS'!$E$12*PROJECTCONFIGURATION!$B$65),('OPERATIONAL CHARACTERISTICS'!$H$12*PROJECTCONFIGURATION!$B$65)))</f>
        <v>57.4939812693706</v>
      </c>
      <c r="E18" s="290" t="n">
        <f aca="false">+D18+$F$7</f>
        <v>81.25213941407</v>
      </c>
      <c r="F18" s="291" t="n">
        <f aca="false">+$F$7</f>
        <v>23.7581581446994</v>
      </c>
      <c r="G18" s="279"/>
      <c r="K18" s="280" t="n">
        <v>10</v>
      </c>
      <c r="L18" s="281" t="n">
        <f aca="false">-IF(SUMMARY!$D$21*12&gt;=K18,IPMT(SUMMARY!$D$22/12,K18,SUMMARY!$D$21*12,SUMMARY!$D$20),0)</f>
        <v>665.320242589254</v>
      </c>
      <c r="M18" s="281" t="n">
        <f aca="false">IF(SUMMARY!$D$21*12&gt;=K18,-PPMT(SUMMARY!$D$22/12,K18,SUMMARY!$D$21*12,SUMMARY!$D$20),0)</f>
        <v>182.739517475816</v>
      </c>
      <c r="N18" s="282" t="n">
        <f aca="false">+M18+L18</f>
        <v>848.059760065069</v>
      </c>
      <c r="P18" s="280" t="n">
        <v>10</v>
      </c>
      <c r="Q18" s="283" t="n">
        <f aca="false">IF(SUMMARY!$D$21&gt;=K18,(SUMMARY!$D$24+SUMMARY!$I$17)*12*SUMMARY!$D$6,0)</f>
        <v>15724.8338530979</v>
      </c>
      <c r="R18" s="283" t="n">
        <f aca="false">IF(SUMMARY!$D$21&gt;=K18,SUMMARY!$D$28*12*SUMMARY!$D$6,0)+IF(P18=SUMMARY!$D$21,SUMMARY!$D$29*SUMMARY!$D$15,0)</f>
        <v>21037.92768</v>
      </c>
      <c r="S18" s="284" t="n">
        <f aca="false">+R18-Q18</f>
        <v>5313.09382690208</v>
      </c>
      <c r="T18" s="292"/>
    </row>
    <row r="19" customFormat="false" ht="12.75" hidden="false" customHeight="false" outlineLevel="0" collapsed="false">
      <c r="B19" s="204"/>
      <c r="C19" s="289" t="n">
        <f aca="false">+C18+100</f>
        <v>1100</v>
      </c>
      <c r="D19" s="290" t="n">
        <f aca="false">((SUMMARY!$D$24+SUMMARY!$I$17)*12*1000*IF(PROJECTCONFIGURATION!$A$1,('OPERATIONAL CHARACTERISTICS'!$E$12*PROJECTCONFIGURATION!$B$65),('OPERATIONAL CHARACTERISTICS'!$H$12*PROJECTCONFIGURATION!$B$65)))/($C19*IF(PROJECTCONFIGURATION!$A$1,('OPERATIONAL CHARACTERISTICS'!$E$12*PROJECTCONFIGURATION!$B$65),('OPERATIONAL CHARACTERISTICS'!$H$12*PROJECTCONFIGURATION!$B$65)))</f>
        <v>52.2672556994278</v>
      </c>
      <c r="E19" s="290" t="n">
        <f aca="false">+D19+$F$7</f>
        <v>76.0254138441272</v>
      </c>
      <c r="F19" s="291" t="n">
        <f aca="false">+$F$7</f>
        <v>23.7581581446994</v>
      </c>
      <c r="G19" s="279"/>
      <c r="K19" s="280" t="n">
        <v>11</v>
      </c>
      <c r="L19" s="281" t="n">
        <f aca="false">-IF(SUMMARY!$D$21*12&gt;=K19,IPMT(SUMMARY!$D$22/12,K19,SUMMARY!$D$21*12,SUMMARY!$D$20),0)</f>
        <v>664.101979139415</v>
      </c>
      <c r="M19" s="281" t="n">
        <f aca="false">IF(SUMMARY!$D$21*12&gt;=K19,-PPMT(SUMMARY!$D$22/12,K19,SUMMARY!$D$21*12,SUMMARY!$D$20),0)</f>
        <v>183.957780925654</v>
      </c>
      <c r="N19" s="282" t="n">
        <f aca="false">+M19+L19</f>
        <v>848.059760065069</v>
      </c>
      <c r="P19" s="280" t="n">
        <v>11</v>
      </c>
      <c r="Q19" s="283" t="n">
        <f aca="false">IF(SUMMARY!$D$21&gt;=K19,(SUMMARY!$D$24+SUMMARY!$I$17)*12*SUMMARY!$D$6,0)</f>
        <v>15724.8338530979</v>
      </c>
      <c r="R19" s="283" t="n">
        <f aca="false">IF(SUMMARY!$D$21&gt;=K19,SUMMARY!$D$28*12*SUMMARY!$D$6,0)+IF(P19=SUMMARY!$D$21,SUMMARY!$D$29*SUMMARY!$D$15,0)</f>
        <v>21037.92768</v>
      </c>
      <c r="S19" s="284" t="n">
        <f aca="false">+R19-Q19</f>
        <v>5313.09382690208</v>
      </c>
      <c r="T19" s="292"/>
    </row>
    <row r="20" customFormat="false" ht="12.75" hidden="false" customHeight="false" outlineLevel="0" collapsed="false">
      <c r="B20" s="204"/>
      <c r="C20" s="289" t="n">
        <f aca="false">+C19+100</f>
        <v>1200</v>
      </c>
      <c r="D20" s="290" t="n">
        <f aca="false">((SUMMARY!$D$24+SUMMARY!$I$17)*12*1000*IF(PROJECTCONFIGURATION!$A$1,('OPERATIONAL CHARACTERISTICS'!$E$12*PROJECTCONFIGURATION!$B$65),('OPERATIONAL CHARACTERISTICS'!$H$12*PROJECTCONFIGURATION!$B$65)))/($C20*IF(PROJECTCONFIGURATION!$A$1,('OPERATIONAL CHARACTERISTICS'!$E$12*PROJECTCONFIGURATION!$B$65),('OPERATIONAL CHARACTERISTICS'!$H$12*PROJECTCONFIGURATION!$B$65)))</f>
        <v>47.9116510578088</v>
      </c>
      <c r="E20" s="290" t="n">
        <f aca="false">+D20+$F$7</f>
        <v>71.6698092025082</v>
      </c>
      <c r="F20" s="291" t="n">
        <f aca="false">+$F$7</f>
        <v>23.7581581446994</v>
      </c>
      <c r="G20" s="279"/>
      <c r="K20" s="280" t="n">
        <v>12</v>
      </c>
      <c r="L20" s="281" t="n">
        <f aca="false">-IF(SUMMARY!$D$21*12&gt;=K20,IPMT(SUMMARY!$D$22/12,K20,SUMMARY!$D$21*12,SUMMARY!$D$20),0)</f>
        <v>662.875593933244</v>
      </c>
      <c r="M20" s="281" t="n">
        <f aca="false">IF(SUMMARY!$D$21*12&gt;=K20,-PPMT(SUMMARY!$D$22/12,K20,SUMMARY!$D$21*12,SUMMARY!$D$20),0)</f>
        <v>185.184166131825</v>
      </c>
      <c r="N20" s="282" t="n">
        <f aca="false">+M20+L20</f>
        <v>848.059760065069</v>
      </c>
      <c r="P20" s="280" t="n">
        <v>12</v>
      </c>
      <c r="Q20" s="283" t="n">
        <f aca="false">IF(SUMMARY!$D$21&gt;=K20,(SUMMARY!$D$24+SUMMARY!$I$17)*12*SUMMARY!$D$6,0)</f>
        <v>15724.8338530979</v>
      </c>
      <c r="R20" s="283" t="n">
        <f aca="false">IF(SUMMARY!$D$21&gt;=K20,SUMMARY!$D$28*12*SUMMARY!$D$6,0)+IF(P20=SUMMARY!$D$21,SUMMARY!$D$29*SUMMARY!$D$15,0)</f>
        <v>21037.92768</v>
      </c>
      <c r="S20" s="284" t="n">
        <f aca="false">+R20-Q20</f>
        <v>5313.09382690208</v>
      </c>
      <c r="T20" s="292"/>
    </row>
    <row r="21" customFormat="false" ht="12.75" hidden="false" customHeight="false" outlineLevel="0" collapsed="false">
      <c r="B21" s="204"/>
      <c r="C21" s="289" t="n">
        <f aca="false">+C20+100</f>
        <v>1300</v>
      </c>
      <c r="D21" s="290" t="n">
        <f aca="false">((SUMMARY!$D$24+SUMMARY!$I$17)*12*1000*IF(PROJECTCONFIGURATION!$A$1,('OPERATIONAL CHARACTERISTICS'!$E$12*PROJECTCONFIGURATION!$B$65),('OPERATIONAL CHARACTERISTICS'!$H$12*PROJECTCONFIGURATION!$B$65)))/($C21*IF(PROJECTCONFIGURATION!$A$1,('OPERATIONAL CHARACTERISTICS'!$E$12*PROJECTCONFIGURATION!$B$65),('OPERATIONAL CHARACTERISTICS'!$H$12*PROJECTCONFIGURATION!$B$65)))</f>
        <v>44.2261394379774</v>
      </c>
      <c r="E21" s="290" t="n">
        <f aca="false">+D21+$F$7</f>
        <v>67.9842975826768</v>
      </c>
      <c r="F21" s="291" t="n">
        <f aca="false">+$F$7</f>
        <v>23.7581581446994</v>
      </c>
      <c r="G21" s="279"/>
      <c r="K21" s="280" t="n">
        <v>13</v>
      </c>
      <c r="L21" s="281" t="n">
        <f aca="false">-IF(SUMMARY!$D$21*12&gt;=K21,IPMT(SUMMARY!$D$22/12,K21,SUMMARY!$D$21*12,SUMMARY!$D$20),0)</f>
        <v>661.641032825699</v>
      </c>
      <c r="M21" s="281" t="n">
        <f aca="false">IF(SUMMARY!$D$21*12&gt;=K21,-PPMT(SUMMARY!$D$22/12,K21,SUMMARY!$D$21*12,SUMMARY!$D$20),0)</f>
        <v>186.418727239371</v>
      </c>
      <c r="N21" s="282" t="n">
        <f aca="false">+M21+L21</f>
        <v>848.059760065069</v>
      </c>
      <c r="P21" s="280" t="n">
        <v>13</v>
      </c>
      <c r="Q21" s="283" t="n">
        <f aca="false">IF(SUMMARY!$D$21&gt;=K21,(SUMMARY!$D$24+SUMMARY!$I$17)*12*SUMMARY!$D$6,0)</f>
        <v>15724.8338530979</v>
      </c>
      <c r="R21" s="283" t="n">
        <f aca="false">IF(SUMMARY!$D$21&gt;=K21,SUMMARY!$D$28*12*SUMMARY!$D$6,0)+IF(P21=SUMMARY!$D$21,SUMMARY!$D$29*SUMMARY!$D$15,0)</f>
        <v>21037.92768</v>
      </c>
      <c r="S21" s="284" t="n">
        <f aca="false">+R21-Q21</f>
        <v>5313.09382690208</v>
      </c>
      <c r="T21" s="292"/>
    </row>
    <row r="22" customFormat="false" ht="12.75" hidden="false" customHeight="false" outlineLevel="0" collapsed="false">
      <c r="B22" s="204"/>
      <c r="C22" s="289" t="n">
        <f aca="false">+C21+100</f>
        <v>1400</v>
      </c>
      <c r="D22" s="290" t="n">
        <f aca="false">((SUMMARY!$D$24+SUMMARY!$I$17)*12*1000*IF(PROJECTCONFIGURATION!$A$1,('OPERATIONAL CHARACTERISTICS'!$E$12*PROJECTCONFIGURATION!$B$65),('OPERATIONAL CHARACTERISTICS'!$H$12*PROJECTCONFIGURATION!$B$65)))/($C22*IF(PROJECTCONFIGURATION!$A$1,('OPERATIONAL CHARACTERISTICS'!$E$12*PROJECTCONFIGURATION!$B$65),('OPERATIONAL CHARACTERISTICS'!$H$12*PROJECTCONFIGURATION!$B$65)))</f>
        <v>41.0671294781218</v>
      </c>
      <c r="E22" s="290" t="n">
        <f aca="false">+D22+$F$7</f>
        <v>64.8252876228213</v>
      </c>
      <c r="F22" s="291" t="n">
        <f aca="false">+$F$7</f>
        <v>23.7581581446994</v>
      </c>
      <c r="G22" s="279"/>
      <c r="K22" s="280" t="n">
        <v>14</v>
      </c>
      <c r="L22" s="281" t="n">
        <f aca="false">-IF(SUMMARY!$D$21*12&gt;=K22,IPMT(SUMMARY!$D$22/12,K22,SUMMARY!$D$21*12,SUMMARY!$D$20),0)</f>
        <v>660.398241310769</v>
      </c>
      <c r="M22" s="281" t="n">
        <f aca="false">IF(SUMMARY!$D$21*12&gt;=K22,-PPMT(SUMMARY!$D$22/12,K22,SUMMARY!$D$21*12,SUMMARY!$D$20),0)</f>
        <v>187.6615187543</v>
      </c>
      <c r="N22" s="282" t="n">
        <f aca="false">+M22+L22</f>
        <v>848.059760065069</v>
      </c>
      <c r="P22" s="280" t="n">
        <v>14</v>
      </c>
      <c r="Q22" s="283" t="n">
        <f aca="false">IF(SUMMARY!$D$21&gt;=K22,(SUMMARY!$D$24+SUMMARY!$I$17)*12*SUMMARY!$D$6,0)</f>
        <v>15724.8338530979</v>
      </c>
      <c r="R22" s="283" t="n">
        <f aca="false">IF(SUMMARY!$D$21&gt;=K22,SUMMARY!$D$28*12*SUMMARY!$D$6,0)+IF(P22=SUMMARY!$D$21,SUMMARY!$D$29*SUMMARY!$D$15,0)</f>
        <v>21037.92768</v>
      </c>
      <c r="S22" s="284" t="n">
        <f aca="false">+R22-Q22</f>
        <v>5313.09382690208</v>
      </c>
      <c r="T22" s="292"/>
    </row>
    <row r="23" customFormat="false" ht="12.75" hidden="false" customHeight="false" outlineLevel="0" collapsed="false">
      <c r="B23" s="204"/>
      <c r="C23" s="289" t="n">
        <f aca="false">+C22+100</f>
        <v>1500</v>
      </c>
      <c r="D23" s="290" t="n">
        <f aca="false">((SUMMARY!$D$24+SUMMARY!$I$17)*12*1000*IF(PROJECTCONFIGURATION!$A$1,('OPERATIONAL CHARACTERISTICS'!$E$12*PROJECTCONFIGURATION!$B$65),('OPERATIONAL CHARACTERISTICS'!$H$12*PROJECTCONFIGURATION!$B$65)))/($C23*IF(PROJECTCONFIGURATION!$A$1,('OPERATIONAL CHARACTERISTICS'!$E$12*PROJECTCONFIGURATION!$B$65),('OPERATIONAL CHARACTERISTICS'!$H$12*PROJECTCONFIGURATION!$B$65)))</f>
        <v>38.329320846247</v>
      </c>
      <c r="E23" s="290" t="n">
        <f aca="false">+D23+$F$7</f>
        <v>62.0874789909465</v>
      </c>
      <c r="F23" s="291" t="n">
        <f aca="false">+$F$7</f>
        <v>23.7581581446994</v>
      </c>
      <c r="G23" s="279"/>
      <c r="K23" s="280" t="n">
        <v>15</v>
      </c>
      <c r="L23" s="281" t="n">
        <f aca="false">-IF(SUMMARY!$D$21*12&gt;=K23,IPMT(SUMMARY!$D$22/12,K23,SUMMARY!$D$21*12,SUMMARY!$D$20),0)</f>
        <v>659.147164519074</v>
      </c>
      <c r="M23" s="281" t="n">
        <f aca="false">IF(SUMMARY!$D$21*12&gt;=K23,-PPMT(SUMMARY!$D$22/12,K23,SUMMARY!$D$21*12,SUMMARY!$D$20),0)</f>
        <v>188.912595545995</v>
      </c>
      <c r="N23" s="282" t="n">
        <f aca="false">+M23+L23</f>
        <v>848.059760065069</v>
      </c>
      <c r="P23" s="280" t="n">
        <v>15</v>
      </c>
      <c r="Q23" s="283" t="n">
        <f aca="false">IF(SUMMARY!$D$21&gt;=K23,(SUMMARY!$D$24+SUMMARY!$I$17)*12*SUMMARY!$D$6,0)</f>
        <v>15724.8338530979</v>
      </c>
      <c r="R23" s="283" t="n">
        <f aca="false">IF(SUMMARY!$D$21&gt;=K23,SUMMARY!$D$28*12*SUMMARY!$D$6,0)+IF(P23=SUMMARY!$D$21,SUMMARY!$D$29*SUMMARY!$D$15,0)</f>
        <v>21037.92768</v>
      </c>
      <c r="S23" s="284" t="n">
        <f aca="false">+R23-Q23</f>
        <v>5313.09382690208</v>
      </c>
      <c r="T23" s="292"/>
    </row>
    <row r="24" customFormat="false" ht="12.75" hidden="false" customHeight="false" outlineLevel="0" collapsed="false">
      <c r="B24" s="204"/>
      <c r="C24" s="289" t="n">
        <f aca="false">+C23+500</f>
        <v>2000</v>
      </c>
      <c r="D24" s="290" t="n">
        <f aca="false">((SUMMARY!$D$24+SUMMARY!$I$17)*12*1000*IF(PROJECTCONFIGURATION!$A$1,('OPERATIONAL CHARACTERISTICS'!$E$12*PROJECTCONFIGURATION!$B$65),('OPERATIONAL CHARACTERISTICS'!$H$12*PROJECTCONFIGURATION!$B$65)))/($C24*IF(PROJECTCONFIGURATION!$A$1,('OPERATIONAL CHARACTERISTICS'!$E$12*PROJECTCONFIGURATION!$B$65),('OPERATIONAL CHARACTERISTICS'!$H$12*PROJECTCONFIGURATION!$B$65)))</f>
        <v>28.7469906346853</v>
      </c>
      <c r="E24" s="290" t="n">
        <f aca="false">+D24+$F$7</f>
        <v>52.5051487793847</v>
      </c>
      <c r="F24" s="291" t="n">
        <f aca="false">+$F$7</f>
        <v>23.7581581446994</v>
      </c>
      <c r="G24" s="279"/>
      <c r="K24" s="280" t="n">
        <v>16</v>
      </c>
      <c r="L24" s="281" t="n">
        <f aca="false">-IF(SUMMARY!$D$21*12&gt;=K24,IPMT(SUMMARY!$D$22/12,K24,SUMMARY!$D$21*12,SUMMARY!$D$20),0)</f>
        <v>657.887747215434</v>
      </c>
      <c r="M24" s="281" t="n">
        <f aca="false">IF(SUMMARY!$D$21*12&gt;=K24,-PPMT(SUMMARY!$D$22/12,K24,SUMMARY!$D$21*12,SUMMARY!$D$20),0)</f>
        <v>190.172012849635</v>
      </c>
      <c r="N24" s="282" t="n">
        <f aca="false">+M24+L24</f>
        <v>848.059760065069</v>
      </c>
      <c r="P24" s="280" t="n">
        <v>16</v>
      </c>
      <c r="Q24" s="283" t="n">
        <f aca="false">IF(SUMMARY!$D$21&gt;=K24,(SUMMARY!$D$24+SUMMARY!$I$17)*12*SUMMARY!$D$6,0)</f>
        <v>15724.8338530979</v>
      </c>
      <c r="R24" s="283" t="n">
        <f aca="false">IF(SUMMARY!$D$21&gt;=K24,SUMMARY!$D$28*12*SUMMARY!$D$6,0)+IF(P24=SUMMARY!$D$21,SUMMARY!$D$29*SUMMARY!$D$15,0)</f>
        <v>21037.92768</v>
      </c>
      <c r="S24" s="284" t="n">
        <f aca="false">+R24-Q24</f>
        <v>5313.09382690208</v>
      </c>
      <c r="T24" s="292"/>
    </row>
    <row r="25" customFormat="false" ht="12.75" hidden="false" customHeight="false" outlineLevel="0" collapsed="false">
      <c r="B25" s="204"/>
      <c r="C25" s="289" t="n">
        <f aca="false">+C24+500</f>
        <v>2500</v>
      </c>
      <c r="D25" s="290" t="n">
        <f aca="false">((SUMMARY!$D$24+SUMMARY!$I$17)*12*1000*IF(PROJECTCONFIGURATION!$A$1,('OPERATIONAL CHARACTERISTICS'!$E$12*PROJECTCONFIGURATION!$B$65),('OPERATIONAL CHARACTERISTICS'!$H$12*PROJECTCONFIGURATION!$B$65)))/($C25*IF(PROJECTCONFIGURATION!$A$1,('OPERATIONAL CHARACTERISTICS'!$E$12*PROJECTCONFIGURATION!$B$65),('OPERATIONAL CHARACTERISTICS'!$H$12*PROJECTCONFIGURATION!$B$65)))</f>
        <v>22.9975925077482</v>
      </c>
      <c r="E25" s="290" t="n">
        <f aca="false">+D25+$F$7</f>
        <v>46.7557506524477</v>
      </c>
      <c r="F25" s="293" t="n">
        <f aca="false">+$F$7</f>
        <v>23.7581581446994</v>
      </c>
      <c r="K25" s="280" t="n">
        <v>17</v>
      </c>
      <c r="L25" s="281" t="n">
        <f aca="false">-IF(SUMMARY!$D$21*12&gt;=K25,IPMT(SUMMARY!$D$22/12,K25,SUMMARY!$D$21*12,SUMMARY!$D$20),0)</f>
        <v>656.619933796437</v>
      </c>
      <c r="M25" s="281" t="n">
        <f aca="false">IF(SUMMARY!$D$21*12&gt;=K25,-PPMT(SUMMARY!$D$22/12,K25,SUMMARY!$D$21*12,SUMMARY!$D$20),0)</f>
        <v>191.439826268633</v>
      </c>
      <c r="N25" s="282" t="n">
        <f aca="false">+M25+L25</f>
        <v>848.059760065069</v>
      </c>
      <c r="P25" s="280" t="n">
        <v>17</v>
      </c>
      <c r="Q25" s="283" t="n">
        <f aca="false">IF(SUMMARY!$D$21&gt;=K25,(SUMMARY!$D$24+SUMMARY!$I$17)*12*SUMMARY!$D$6,0)</f>
        <v>15724.8338530979</v>
      </c>
      <c r="R25" s="283" t="n">
        <f aca="false">IF(SUMMARY!$D$21&gt;=K25,SUMMARY!$D$28*12*SUMMARY!$D$6,0)+IF(P25=SUMMARY!$D$21,SUMMARY!$D$29*SUMMARY!$D$15,0)</f>
        <v>21037.92768</v>
      </c>
      <c r="S25" s="284" t="n">
        <f aca="false">+R25-Q25</f>
        <v>5313.09382690208</v>
      </c>
      <c r="T25" s="292"/>
    </row>
    <row r="26" customFormat="false" ht="12.75" hidden="false" customHeight="false" outlineLevel="0" collapsed="false">
      <c r="B26" s="204"/>
      <c r="C26" s="289" t="n">
        <f aca="false">+C25+500</f>
        <v>3000</v>
      </c>
      <c r="D26" s="290" t="n">
        <f aca="false">((SUMMARY!$D$24+SUMMARY!$I$17)*12*1000*IF(PROJECTCONFIGURATION!$A$1,('OPERATIONAL CHARACTERISTICS'!$E$12*PROJECTCONFIGURATION!$B$65),('OPERATIONAL CHARACTERISTICS'!$H$12*PROJECTCONFIGURATION!$B$65)))/($C26*IF(PROJECTCONFIGURATION!$A$1,('OPERATIONAL CHARACTERISTICS'!$E$12*PROJECTCONFIGURATION!$B$65),('OPERATIONAL CHARACTERISTICS'!$H$12*PROJECTCONFIGURATION!$B$65)))</f>
        <v>19.1646604231235</v>
      </c>
      <c r="E26" s="290" t="n">
        <f aca="false">+D26+$F$7</f>
        <v>42.922818567823</v>
      </c>
      <c r="F26" s="293" t="n">
        <f aca="false">+$F$7</f>
        <v>23.7581581446994</v>
      </c>
      <c r="K26" s="280" t="n">
        <v>18</v>
      </c>
      <c r="L26" s="281" t="n">
        <f aca="false">-IF(SUMMARY!$D$21*12&gt;=K26,IPMT(SUMMARY!$D$22/12,K26,SUMMARY!$D$21*12,SUMMARY!$D$20),0)</f>
        <v>655.343668287979</v>
      </c>
      <c r="M26" s="281" t="n">
        <f aca="false">IF(SUMMARY!$D$21*12&gt;=K26,-PPMT(SUMMARY!$D$22/12,K26,SUMMARY!$D$21*12,SUMMARY!$D$20),0)</f>
        <v>192.71609177709</v>
      </c>
      <c r="N26" s="282" t="n">
        <f aca="false">+M26+L26</f>
        <v>848.059760065069</v>
      </c>
      <c r="P26" s="280" t="n">
        <v>18</v>
      </c>
      <c r="Q26" s="283" t="n">
        <f aca="false">IF(SUMMARY!$D$21&gt;=K26,(SUMMARY!$D$24+SUMMARY!$I$17)*12*SUMMARY!$D$6,0)</f>
        <v>15724.8338530979</v>
      </c>
      <c r="R26" s="283" t="n">
        <f aca="false">IF(SUMMARY!$D$21&gt;=K26,SUMMARY!$D$28*12*SUMMARY!$D$6,0)+IF(P26=SUMMARY!$D$21,SUMMARY!$D$29*SUMMARY!$D$15,0)</f>
        <v>21037.92768</v>
      </c>
      <c r="S26" s="284" t="n">
        <f aca="false">+R26-Q26</f>
        <v>5313.09382690208</v>
      </c>
      <c r="T26" s="292"/>
    </row>
    <row r="27" customFormat="false" ht="12.75" hidden="false" customHeight="false" outlineLevel="0" collapsed="false">
      <c r="B27" s="204"/>
      <c r="C27" s="289" t="n">
        <f aca="false">+C26+500</f>
        <v>3500</v>
      </c>
      <c r="D27" s="290" t="n">
        <f aca="false">((SUMMARY!$D$24+SUMMARY!$I$17)*12*1000*IF(PROJECTCONFIGURATION!$A$1,('OPERATIONAL CHARACTERISTICS'!$E$12*PROJECTCONFIGURATION!$B$65),('OPERATIONAL CHARACTERISTICS'!$H$12*PROJECTCONFIGURATION!$B$65)))/($C27*IF(PROJECTCONFIGURATION!$A$1,('OPERATIONAL CHARACTERISTICS'!$E$12*PROJECTCONFIGURATION!$B$65),('OPERATIONAL CHARACTERISTICS'!$H$12*PROJECTCONFIGURATION!$B$65)))</f>
        <v>16.4268517912487</v>
      </c>
      <c r="E27" s="290" t="n">
        <f aca="false">+D27+$F$7</f>
        <v>40.1850099359482</v>
      </c>
      <c r="F27" s="293" t="n">
        <f aca="false">+$F$7</f>
        <v>23.7581581446994</v>
      </c>
      <c r="K27" s="280" t="n">
        <v>19</v>
      </c>
      <c r="L27" s="281" t="n">
        <f aca="false">-IF(SUMMARY!$D$21*12&gt;=K27,IPMT(SUMMARY!$D$22/12,K27,SUMMARY!$D$21*12,SUMMARY!$D$20),0)</f>
        <v>654.058894342798</v>
      </c>
      <c r="M27" s="281" t="n">
        <f aca="false">IF(SUMMARY!$D$21*12&gt;=K27,-PPMT(SUMMARY!$D$22/12,K27,SUMMARY!$D$21*12,SUMMARY!$D$20),0)</f>
        <v>194.000865722271</v>
      </c>
      <c r="N27" s="282" t="n">
        <f aca="false">+M27+L27</f>
        <v>848.059760065069</v>
      </c>
      <c r="P27" s="280" t="n">
        <v>19</v>
      </c>
      <c r="Q27" s="283" t="n">
        <f aca="false">IF(SUMMARY!$D$21&gt;=K27,(SUMMARY!$D$24+SUMMARY!$I$17)*12*SUMMARY!$D$6,0)</f>
        <v>15724.8338530979</v>
      </c>
      <c r="R27" s="283" t="n">
        <f aca="false">IF(SUMMARY!$D$21&gt;=K27,SUMMARY!$D$28*12*SUMMARY!$D$6,0)+IF(P27=SUMMARY!$D$21,SUMMARY!$D$29*SUMMARY!$D$15,0)</f>
        <v>21037.92768</v>
      </c>
      <c r="S27" s="284" t="n">
        <f aca="false">+R27-Q27</f>
        <v>5313.09382690208</v>
      </c>
      <c r="T27" s="292"/>
    </row>
    <row r="28" customFormat="false" ht="13.5" hidden="false" customHeight="false" outlineLevel="0" collapsed="false">
      <c r="B28" s="162"/>
      <c r="C28" s="294" t="n">
        <f aca="false">+C27+500</f>
        <v>4000</v>
      </c>
      <c r="D28" s="295" t="n">
        <f aca="false">((SUMMARY!$D$24+SUMMARY!$I$17)*12*1000*IF(PROJECTCONFIGURATION!$A$1,('OPERATIONAL CHARACTERISTICS'!$E$12*PROJECTCONFIGURATION!$B$65),('OPERATIONAL CHARACTERISTICS'!$H$12*PROJECTCONFIGURATION!$B$65)))/($C28*IF(PROJECTCONFIGURATION!$A$1,('OPERATIONAL CHARACTERISTICS'!$E$12*PROJECTCONFIGURATION!$B$65),('OPERATIONAL CHARACTERISTICS'!$H$12*PROJECTCONFIGURATION!$B$65)))</f>
        <v>14.3734953173426</v>
      </c>
      <c r="E28" s="295" t="n">
        <f aca="false">+D28+$F$7</f>
        <v>38.1316534620421</v>
      </c>
      <c r="F28" s="296" t="n">
        <f aca="false">+$F$7</f>
        <v>23.7581581446994</v>
      </c>
      <c r="K28" s="280" t="n">
        <v>20</v>
      </c>
      <c r="L28" s="281" t="n">
        <f aca="false">-IF(SUMMARY!$D$21*12&gt;=K28,IPMT(SUMMARY!$D$22/12,K28,SUMMARY!$D$21*12,SUMMARY!$D$20),0)</f>
        <v>652.765555237983</v>
      </c>
      <c r="M28" s="281" t="n">
        <f aca="false">IF(SUMMARY!$D$21*12&gt;=K28,-PPMT(SUMMARY!$D$22/12,K28,SUMMARY!$D$21*12,SUMMARY!$D$20),0)</f>
        <v>195.294204827086</v>
      </c>
      <c r="N28" s="282" t="n">
        <f aca="false">+M28+L28</f>
        <v>848.059760065069</v>
      </c>
      <c r="P28" s="280" t="n">
        <v>20</v>
      </c>
      <c r="Q28" s="283" t="n">
        <f aca="false">IF(SUMMARY!$D$21&gt;=K28,(SUMMARY!$D$24+SUMMARY!$I$17)*12*SUMMARY!$D$6,0)</f>
        <v>15724.8338530979</v>
      </c>
      <c r="R28" s="283" t="n">
        <f aca="false">IF(SUMMARY!$D$21&gt;=K28,SUMMARY!$D$28*12*SUMMARY!$D$6,0)+IF(P28=SUMMARY!$D$21,SUMMARY!$D$29*SUMMARY!$D$15,0)</f>
        <v>57248.350514238</v>
      </c>
      <c r="S28" s="284" t="n">
        <f aca="false">+R28-Q28</f>
        <v>41523.5166611401</v>
      </c>
      <c r="T28" s="292"/>
    </row>
    <row r="29" customFormat="false" ht="12.75" hidden="false" customHeight="false" outlineLevel="0" collapsed="false">
      <c r="B29" s="277"/>
      <c r="C29" s="141"/>
      <c r="D29" s="141"/>
      <c r="E29" s="141"/>
      <c r="F29" s="142"/>
      <c r="K29" s="280" t="n">
        <v>21</v>
      </c>
      <c r="L29" s="281" t="n">
        <f aca="false">-IF(SUMMARY!$D$21*12&gt;=K29,IPMT(SUMMARY!$D$22/12,K29,SUMMARY!$D$21*12,SUMMARY!$D$20),0)</f>
        <v>651.463593872469</v>
      </c>
      <c r="M29" s="281" t="n">
        <f aca="false">IF(SUMMARY!$D$21*12&gt;=K29,-PPMT(SUMMARY!$D$22/12,K29,SUMMARY!$D$21*12,SUMMARY!$D$20),0)</f>
        <v>196.5961661926</v>
      </c>
      <c r="N29" s="282" t="n">
        <f aca="false">+M29+L29</f>
        <v>848.059760065069</v>
      </c>
      <c r="P29" s="280" t="n">
        <v>21</v>
      </c>
      <c r="Q29" s="283" t="n">
        <f aca="false">IF(SUMMARY!$D$21&gt;=K29,(SUMMARY!$D$24+SUMMARY!$I$17)*12*SUMMARY!$D$6,0)</f>
        <v>0</v>
      </c>
      <c r="R29" s="283" t="n">
        <f aca="false">IF(SUMMARY!$D$21&gt;=K29,SUMMARY!$D$28*12*SUMMARY!$D$6,0)+IF(P29=SUMMARY!$D$21,SUMMARY!$D$29*SUMMARY!$D$15,0)</f>
        <v>0</v>
      </c>
      <c r="S29" s="284" t="n">
        <f aca="false">+R29-Q29</f>
        <v>0</v>
      </c>
      <c r="T29" s="292"/>
    </row>
    <row r="30" customFormat="false" ht="12.75" hidden="false" customHeight="false" outlineLevel="0" collapsed="false">
      <c r="B30" s="147"/>
      <c r="C30" s="65"/>
      <c r="D30" s="65"/>
      <c r="E30" s="65"/>
      <c r="F30" s="146"/>
      <c r="K30" s="280" t="n">
        <v>22</v>
      </c>
      <c r="L30" s="281" t="n">
        <f aca="false">-IF(SUMMARY!$D$21*12&gt;=K30,IPMT(SUMMARY!$D$22/12,K30,SUMMARY!$D$21*12,SUMMARY!$D$20),0)</f>
        <v>650.152952764519</v>
      </c>
      <c r="M30" s="281" t="n">
        <f aca="false">IF(SUMMARY!$D$21*12&gt;=K30,-PPMT(SUMMARY!$D$22/12,K30,SUMMARY!$D$21*12,SUMMARY!$D$20),0)</f>
        <v>197.906807300551</v>
      </c>
      <c r="N30" s="282" t="n">
        <f aca="false">+M30+L30</f>
        <v>848.059760065069</v>
      </c>
      <c r="P30" s="280" t="n">
        <v>22</v>
      </c>
      <c r="Q30" s="283" t="n">
        <f aca="false">IF(SUMMARY!$D$21&gt;=K30,(SUMMARY!$D$24+SUMMARY!$I$17)*12*SUMMARY!$D$6,0)</f>
        <v>0</v>
      </c>
      <c r="R30" s="283" t="n">
        <f aca="false">IF(SUMMARY!$D$21&gt;=K30,SUMMARY!$D$28*12*SUMMARY!$D$6,0)+IF(P30=SUMMARY!$D$21,SUMMARY!$D$29*SUMMARY!$D$15,0)</f>
        <v>0</v>
      </c>
      <c r="S30" s="284" t="n">
        <f aca="false">+R30-Q30</f>
        <v>0</v>
      </c>
      <c r="T30" s="292"/>
    </row>
    <row r="31" customFormat="false" ht="12.75" hidden="false" customHeight="false" outlineLevel="0" collapsed="false">
      <c r="B31" s="147"/>
      <c r="C31" s="65"/>
      <c r="D31" s="65"/>
      <c r="E31" s="65"/>
      <c r="F31" s="146"/>
      <c r="K31" s="280" t="n">
        <v>23</v>
      </c>
      <c r="L31" s="281" t="n">
        <f aca="false">-IF(SUMMARY!$D$21*12&gt;=K31,IPMT(SUMMARY!$D$22/12,K31,SUMMARY!$D$21*12,SUMMARY!$D$20),0)</f>
        <v>648.833574049182</v>
      </c>
      <c r="M31" s="281" t="n">
        <f aca="false">IF(SUMMARY!$D$21*12&gt;=K31,-PPMT(SUMMARY!$D$22/12,K31,SUMMARY!$D$21*12,SUMMARY!$D$20),0)</f>
        <v>199.226186015888</v>
      </c>
      <c r="N31" s="282" t="n">
        <f aca="false">+M31+L31</f>
        <v>848.059760065069</v>
      </c>
      <c r="P31" s="280" t="n">
        <v>23</v>
      </c>
      <c r="Q31" s="283" t="n">
        <f aca="false">IF(SUMMARY!$D$21&gt;=K31,(SUMMARY!$D$24+SUMMARY!$I$17)*12*SUMMARY!$D$6,0)</f>
        <v>0</v>
      </c>
      <c r="R31" s="283" t="n">
        <f aca="false">IF(SUMMARY!$D$21&gt;=K31,SUMMARY!$D$28*12*SUMMARY!$D$6,0)+IF(P31=SUMMARY!$D$21,SUMMARY!$D$29*SUMMARY!$D$15,0)</f>
        <v>0</v>
      </c>
      <c r="S31" s="284" t="n">
        <f aca="false">+R31-Q31</f>
        <v>0</v>
      </c>
      <c r="T31" s="292"/>
    </row>
    <row r="32" customFormat="false" ht="12.75" hidden="false" customHeight="false" outlineLevel="0" collapsed="false">
      <c r="B32" s="147"/>
      <c r="C32" s="65"/>
      <c r="D32" s="65"/>
      <c r="E32" s="65"/>
      <c r="F32" s="146"/>
      <c r="K32" s="280" t="n">
        <v>24</v>
      </c>
      <c r="L32" s="281" t="n">
        <f aca="false">-IF(SUMMARY!$D$21*12&gt;=K32,IPMT(SUMMARY!$D$22/12,K32,SUMMARY!$D$21*12,SUMMARY!$D$20),0)</f>
        <v>647.505399475743</v>
      </c>
      <c r="M32" s="281" t="n">
        <f aca="false">IF(SUMMARY!$D$21*12&gt;=K32,-PPMT(SUMMARY!$D$22/12,K32,SUMMARY!$D$21*12,SUMMARY!$D$20),0)</f>
        <v>200.554360589327</v>
      </c>
      <c r="N32" s="282" t="n">
        <f aca="false">+M32+L32</f>
        <v>848.059760065069</v>
      </c>
      <c r="P32" s="280" t="n">
        <v>24</v>
      </c>
      <c r="Q32" s="283" t="n">
        <f aca="false">IF(SUMMARY!$D$21&gt;=K32,(SUMMARY!$D$24+SUMMARY!$I$17)*12*SUMMARY!$D$6,0)</f>
        <v>0</v>
      </c>
      <c r="R32" s="283" t="n">
        <f aca="false">IF(SUMMARY!$D$21&gt;=K32,SUMMARY!$D$28*12*SUMMARY!$D$6,0)+IF(P32=SUMMARY!$D$21,SUMMARY!$D$29*SUMMARY!$D$15,0)</f>
        <v>0</v>
      </c>
      <c r="S32" s="284" t="n">
        <f aca="false">+R32-Q32</f>
        <v>0</v>
      </c>
      <c r="T32" s="292"/>
    </row>
    <row r="33" customFormat="false" ht="12.75" hidden="false" customHeight="false" outlineLevel="0" collapsed="false">
      <c r="B33" s="147"/>
      <c r="C33" s="65"/>
      <c r="D33" s="65"/>
      <c r="E33" s="65"/>
      <c r="F33" s="146"/>
      <c r="K33" s="280" t="n">
        <v>25</v>
      </c>
      <c r="L33" s="281" t="n">
        <f aca="false">-IF(SUMMARY!$D$21*12&gt;=K33,IPMT(SUMMARY!$D$22/12,K33,SUMMARY!$D$21*12,SUMMARY!$D$20),0)</f>
        <v>646.168370405147</v>
      </c>
      <c r="M33" s="281" t="n">
        <f aca="false">IF(SUMMARY!$D$21*12&gt;=K33,-PPMT(SUMMARY!$D$22/12,K33,SUMMARY!$D$21*12,SUMMARY!$D$20),0)</f>
        <v>201.891389659922</v>
      </c>
      <c r="N33" s="282" t="n">
        <f aca="false">+M33+L33</f>
        <v>848.059760065069</v>
      </c>
      <c r="P33" s="280" t="n">
        <v>25</v>
      </c>
      <c r="Q33" s="283" t="n">
        <f aca="false">IF(SUMMARY!$D$21&gt;=K33,(SUMMARY!$D$24+SUMMARY!$I$17)*12*SUMMARY!$D$6,0)</f>
        <v>0</v>
      </c>
      <c r="R33" s="283" t="n">
        <f aca="false">IF(SUMMARY!$D$21&gt;=K33,SUMMARY!$D$28*12*SUMMARY!$D$6,0)+IF(P33=SUMMARY!$D$21,SUMMARY!$D$29*SUMMARY!$D$15,0)</f>
        <v>0</v>
      </c>
      <c r="S33" s="284" t="n">
        <f aca="false">+R33-Q33</f>
        <v>0</v>
      </c>
      <c r="T33" s="292"/>
    </row>
    <row r="34" customFormat="false" ht="12.75" hidden="false" customHeight="false" outlineLevel="0" collapsed="false">
      <c r="B34" s="147"/>
      <c r="C34" s="65"/>
      <c r="D34" s="65"/>
      <c r="E34" s="65"/>
      <c r="F34" s="146"/>
      <c r="K34" s="280" t="n">
        <v>26</v>
      </c>
      <c r="L34" s="281" t="n">
        <f aca="false">-IF(SUMMARY!$D$21*12&gt;=K34,IPMT(SUMMARY!$D$22/12,K34,SUMMARY!$D$21*12,SUMMARY!$D$20),0)</f>
        <v>644.822427807414</v>
      </c>
      <c r="M34" s="281" t="n">
        <f aca="false">IF(SUMMARY!$D$21*12&gt;=K34,-PPMT(SUMMARY!$D$22/12,K34,SUMMARY!$D$21*12,SUMMARY!$D$20),0)</f>
        <v>203.237332257655</v>
      </c>
      <c r="N34" s="282" t="n">
        <f aca="false">+M34+L34</f>
        <v>848.059760065069</v>
      </c>
      <c r="P34" s="280" t="n">
        <v>26</v>
      </c>
      <c r="Q34" s="283" t="n">
        <f aca="false">IF(SUMMARY!$D$21&gt;=K34,(SUMMARY!$D$24+SUMMARY!$I$17)*12*SUMMARY!$D$6,0)</f>
        <v>0</v>
      </c>
      <c r="R34" s="283" t="n">
        <f aca="false">IF(SUMMARY!$D$21&gt;=K34,SUMMARY!$D$28*12*SUMMARY!$D$6,0)+IF(P34=SUMMARY!$D$21,SUMMARY!$D$29*SUMMARY!$D$15,0)</f>
        <v>0</v>
      </c>
      <c r="S34" s="284" t="n">
        <f aca="false">+R34-Q34</f>
        <v>0</v>
      </c>
      <c r="T34" s="292"/>
    </row>
    <row r="35" customFormat="false" ht="12.75" hidden="false" customHeight="false" outlineLevel="0" collapsed="false">
      <c r="B35" s="147"/>
      <c r="C35" s="65"/>
      <c r="D35" s="65"/>
      <c r="E35" s="65"/>
      <c r="F35" s="146"/>
      <c r="K35" s="280" t="n">
        <v>27</v>
      </c>
      <c r="L35" s="281" t="n">
        <f aca="false">-IF(SUMMARY!$D$21*12&gt;=K35,IPMT(SUMMARY!$D$22/12,K35,SUMMARY!$D$21*12,SUMMARY!$D$20),0)</f>
        <v>643.46751225903</v>
      </c>
      <c r="M35" s="281" t="n">
        <f aca="false">IF(SUMMARY!$D$21*12&gt;=K35,-PPMT(SUMMARY!$D$22/12,K35,SUMMARY!$D$21*12,SUMMARY!$D$20),0)</f>
        <v>204.59224780604</v>
      </c>
      <c r="N35" s="282" t="n">
        <f aca="false">+M35+L35</f>
        <v>848.059760065069</v>
      </c>
      <c r="P35" s="280" t="n">
        <v>27</v>
      </c>
      <c r="Q35" s="283" t="n">
        <f aca="false">IF(SUMMARY!$D$21&gt;=K35,(SUMMARY!$D$24+SUMMARY!$I$17)*12*SUMMARY!$D$6,0)</f>
        <v>0</v>
      </c>
      <c r="R35" s="283" t="n">
        <f aca="false">IF(SUMMARY!$D$21&gt;=K35,SUMMARY!$D$28*12*SUMMARY!$D$6,0)+IF(P35=SUMMARY!$D$21,SUMMARY!$D$29*SUMMARY!$D$15,0)</f>
        <v>0</v>
      </c>
      <c r="S35" s="284" t="n">
        <f aca="false">+R35-Q35</f>
        <v>0</v>
      </c>
      <c r="T35" s="292"/>
    </row>
    <row r="36" customFormat="false" ht="12.75" hidden="false" customHeight="false" outlineLevel="0" collapsed="false">
      <c r="B36" s="147"/>
      <c r="C36" s="65"/>
      <c r="D36" s="65"/>
      <c r="E36" s="65"/>
      <c r="F36" s="146"/>
      <c r="K36" s="280" t="n">
        <v>28</v>
      </c>
      <c r="L36" s="281" t="n">
        <f aca="false">-IF(SUMMARY!$D$21*12&gt;=K36,IPMT(SUMMARY!$D$22/12,K36,SUMMARY!$D$21*12,SUMMARY!$D$20),0)</f>
        <v>642.103563940323</v>
      </c>
      <c r="M36" s="281" t="n">
        <f aca="false">IF(SUMMARY!$D$21*12&gt;=K36,-PPMT(SUMMARY!$D$22/12,K36,SUMMARY!$D$21*12,SUMMARY!$D$20),0)</f>
        <v>205.956196124746</v>
      </c>
      <c r="N36" s="282" t="n">
        <f aca="false">+M36+L36</f>
        <v>848.059760065069</v>
      </c>
      <c r="P36" s="280" t="n">
        <v>28</v>
      </c>
      <c r="Q36" s="283" t="n">
        <f aca="false">IF(SUMMARY!$D$21&gt;=K36,(SUMMARY!$D$24+SUMMARY!$I$17)*12*SUMMARY!$D$6,0)</f>
        <v>0</v>
      </c>
      <c r="R36" s="283" t="n">
        <f aca="false">IF(SUMMARY!$D$21&gt;=K36,SUMMARY!$D$28*12*SUMMARY!$D$6,0)+IF(P36=SUMMARY!$D$21,SUMMARY!$D$29*SUMMARY!$D$15,0)</f>
        <v>0</v>
      </c>
      <c r="S36" s="284" t="n">
        <f aca="false">+R36-Q36</f>
        <v>0</v>
      </c>
      <c r="T36" s="292"/>
    </row>
    <row r="37" customFormat="false" ht="12.75" hidden="false" customHeight="false" outlineLevel="0" collapsed="false">
      <c r="B37" s="147"/>
      <c r="C37" s="65"/>
      <c r="D37" s="65"/>
      <c r="E37" s="65"/>
      <c r="F37" s="146"/>
      <c r="K37" s="280" t="n">
        <v>29</v>
      </c>
      <c r="L37" s="281" t="n">
        <f aca="false">-IF(SUMMARY!$D$21*12&gt;=K37,IPMT(SUMMARY!$D$22/12,K37,SUMMARY!$D$21*12,SUMMARY!$D$20),0)</f>
        <v>640.730522632825</v>
      </c>
      <c r="M37" s="281" t="n">
        <f aca="false">IF(SUMMARY!$D$21*12&gt;=K37,-PPMT(SUMMARY!$D$22/12,K37,SUMMARY!$D$21*12,SUMMARY!$D$20),0)</f>
        <v>207.329237432245</v>
      </c>
      <c r="N37" s="282" t="n">
        <f aca="false">+M37+L37</f>
        <v>848.059760065069</v>
      </c>
      <c r="P37" s="280" t="n">
        <v>29</v>
      </c>
      <c r="Q37" s="283" t="n">
        <f aca="false">IF(SUMMARY!$D$21&gt;=K37,(SUMMARY!$D$24+SUMMARY!$I$17)*12*SUMMARY!$D$6,0)</f>
        <v>0</v>
      </c>
      <c r="R37" s="283" t="n">
        <f aca="false">IF(SUMMARY!$D$21&gt;=K37,SUMMARY!$D$28*12*SUMMARY!$D$6,0)+IF(P37=SUMMARY!$D$21,SUMMARY!$D$29*SUMMARY!$D$15,0)</f>
        <v>0</v>
      </c>
      <c r="S37" s="284" t="n">
        <f aca="false">+R37-Q37</f>
        <v>0</v>
      </c>
      <c r="T37" s="292"/>
    </row>
    <row r="38" customFormat="false" ht="13.5" hidden="false" customHeight="false" outlineLevel="0" collapsed="false">
      <c r="B38" s="147"/>
      <c r="C38" s="65"/>
      <c r="D38" s="65"/>
      <c r="E38" s="65"/>
      <c r="F38" s="146"/>
      <c r="K38" s="280" t="n">
        <v>30</v>
      </c>
      <c r="L38" s="281" t="n">
        <f aca="false">-IF(SUMMARY!$D$21*12&gt;=K38,IPMT(SUMMARY!$D$22/12,K38,SUMMARY!$D$21*12,SUMMARY!$D$20),0)</f>
        <v>639.34832771661</v>
      </c>
      <c r="M38" s="281" t="n">
        <f aca="false">IF(SUMMARY!$D$21*12&gt;=K38,-PPMT(SUMMARY!$D$22/12,K38,SUMMARY!$D$21*12,SUMMARY!$D$20),0)</f>
        <v>208.71143234846</v>
      </c>
      <c r="N38" s="282" t="n">
        <f aca="false">+M38+L38</f>
        <v>848.059760065069</v>
      </c>
      <c r="P38" s="297" t="n">
        <v>30</v>
      </c>
      <c r="Q38" s="298" t="n">
        <f aca="false">IF(SUMMARY!$D$21&gt;=K38,(SUMMARY!$D$24+SUMMARY!$I$17)*12*SUMMARY!$D$6,0)</f>
        <v>0</v>
      </c>
      <c r="R38" s="298" t="n">
        <f aca="false">IF(SUMMARY!$D$21&gt;=K38,SUMMARY!$D$28*12*SUMMARY!$D$6,0)+IF(P38=SUMMARY!$D$21,SUMMARY!$D$29*SUMMARY!$D$15,0)</f>
        <v>0</v>
      </c>
      <c r="S38" s="299" t="n">
        <f aca="false">+R38-Q38</f>
        <v>0</v>
      </c>
      <c r="T38" s="292"/>
    </row>
    <row r="39" customFormat="false" ht="12.75" hidden="false" customHeight="false" outlineLevel="0" collapsed="false">
      <c r="B39" s="147"/>
      <c r="C39" s="65"/>
      <c r="D39" s="65"/>
      <c r="E39" s="65"/>
      <c r="F39" s="146"/>
      <c r="K39" s="280" t="n">
        <v>31</v>
      </c>
      <c r="L39" s="281" t="n">
        <f aca="false">-IF(SUMMARY!$D$21*12&gt;=K39,IPMT(SUMMARY!$D$22/12,K39,SUMMARY!$D$21*12,SUMMARY!$D$20),0)</f>
        <v>637.95691816762</v>
      </c>
      <c r="M39" s="281" t="n">
        <f aca="false">IF(SUMMARY!$D$21*12&gt;=K39,-PPMT(SUMMARY!$D$22/12,K39,SUMMARY!$D$21*12,SUMMARY!$D$20),0)</f>
        <v>210.102841897449</v>
      </c>
      <c r="N39" s="282" t="n">
        <f aca="false">+M39+L39</f>
        <v>848.059760065069</v>
      </c>
      <c r="P39" s="300"/>
      <c r="Q39" s="301"/>
      <c r="R39" s="301"/>
      <c r="S39" s="301"/>
      <c r="T39" s="292"/>
    </row>
    <row r="40" customFormat="false" ht="12.75" hidden="false" customHeight="false" outlineLevel="0" collapsed="false">
      <c r="B40" s="147"/>
      <c r="C40" s="65"/>
      <c r="D40" s="65"/>
      <c r="E40" s="65"/>
      <c r="F40" s="146"/>
      <c r="K40" s="280" t="n">
        <v>32</v>
      </c>
      <c r="L40" s="281" t="n">
        <f aca="false">-IF(SUMMARY!$D$21*12&gt;=K40,IPMT(SUMMARY!$D$22/12,K40,SUMMARY!$D$21*12,SUMMARY!$D$20),0)</f>
        <v>636.55623255497</v>
      </c>
      <c r="M40" s="281" t="n">
        <f aca="false">IF(SUMMARY!$D$21*12&gt;=K40,-PPMT(SUMMARY!$D$22/12,K40,SUMMARY!$D$21*12,SUMMARY!$D$20),0)</f>
        <v>211.503527510099</v>
      </c>
      <c r="N40" s="282" t="n">
        <f aca="false">+M40+L40</f>
        <v>848.059760065069</v>
      </c>
      <c r="P40" s="300"/>
      <c r="Q40" s="301"/>
      <c r="R40" s="301"/>
      <c r="S40" s="301"/>
      <c r="T40" s="292"/>
    </row>
    <row r="41" customFormat="false" ht="12.75" hidden="false" customHeight="false" outlineLevel="0" collapsed="false">
      <c r="B41" s="147"/>
      <c r="C41" s="65"/>
      <c r="D41" s="65"/>
      <c r="E41" s="65"/>
      <c r="F41" s="146"/>
      <c r="K41" s="280" t="n">
        <v>33</v>
      </c>
      <c r="L41" s="281" t="n">
        <f aca="false">-IF(SUMMARY!$D$21*12&gt;=K41,IPMT(SUMMARY!$D$22/12,K41,SUMMARY!$D$21*12,SUMMARY!$D$20),0)</f>
        <v>635.146209038236</v>
      </c>
      <c r="M41" s="281" t="n">
        <f aca="false">IF(SUMMARY!$D$21*12&gt;=K41,-PPMT(SUMMARY!$D$22/12,K41,SUMMARY!$D$21*12,SUMMARY!$D$20),0)</f>
        <v>212.913551026833</v>
      </c>
      <c r="N41" s="282" t="n">
        <f aca="false">+M41+L41</f>
        <v>848.059760065069</v>
      </c>
      <c r="P41" s="300"/>
      <c r="Q41" s="301"/>
      <c r="R41" s="301"/>
      <c r="S41" s="301"/>
      <c r="T41" s="292"/>
    </row>
    <row r="42" customFormat="false" ht="12.75" hidden="false" customHeight="false" outlineLevel="0" collapsed="false">
      <c r="B42" s="147"/>
      <c r="C42" s="65"/>
      <c r="D42" s="65"/>
      <c r="E42" s="65"/>
      <c r="F42" s="146"/>
      <c r="K42" s="280" t="n">
        <v>34</v>
      </c>
      <c r="L42" s="281" t="n">
        <f aca="false">-IF(SUMMARY!$D$21*12&gt;=K42,IPMT(SUMMARY!$D$22/12,K42,SUMMARY!$D$21*12,SUMMARY!$D$20),0)</f>
        <v>633.726785364724</v>
      </c>
      <c r="M42" s="281" t="n">
        <f aca="false">IF(SUMMARY!$D$21*12&gt;=K42,-PPMT(SUMMARY!$D$22/12,K42,SUMMARY!$D$21*12,SUMMARY!$D$20),0)</f>
        <v>214.332974700345</v>
      </c>
      <c r="N42" s="282" t="n">
        <f aca="false">+M42+L42</f>
        <v>848.059760065069</v>
      </c>
      <c r="P42" s="300"/>
      <c r="Q42" s="301"/>
      <c r="R42" s="301"/>
      <c r="S42" s="301"/>
      <c r="T42" s="292"/>
    </row>
    <row r="43" customFormat="false" ht="12.75" hidden="false" customHeight="false" outlineLevel="0" collapsed="false">
      <c r="B43" s="147"/>
      <c r="C43" s="65"/>
      <c r="D43" s="65"/>
      <c r="E43" s="65"/>
      <c r="F43" s="146"/>
      <c r="K43" s="280" t="n">
        <v>35</v>
      </c>
      <c r="L43" s="281" t="n">
        <f aca="false">-IF(SUMMARY!$D$21*12&gt;=K43,IPMT(SUMMARY!$D$22/12,K43,SUMMARY!$D$21*12,SUMMARY!$D$20),0)</f>
        <v>632.297898866722</v>
      </c>
      <c r="M43" s="281" t="n">
        <f aca="false">IF(SUMMARY!$D$21*12&gt;=K43,-PPMT(SUMMARY!$D$22/12,K43,SUMMARY!$D$21*12,SUMMARY!$D$20),0)</f>
        <v>215.761861198347</v>
      </c>
      <c r="N43" s="282" t="n">
        <f aca="false">+M43+L43</f>
        <v>848.059760065069</v>
      </c>
      <c r="P43" s="300"/>
      <c r="Q43" s="301"/>
      <c r="R43" s="301"/>
      <c r="S43" s="301"/>
      <c r="T43" s="292"/>
    </row>
    <row r="44" customFormat="false" ht="13.5" hidden="false" customHeight="false" outlineLevel="0" collapsed="false">
      <c r="B44" s="162"/>
      <c r="C44" s="158"/>
      <c r="D44" s="158"/>
      <c r="E44" s="158"/>
      <c r="F44" s="159"/>
      <c r="K44" s="280" t="n">
        <v>36</v>
      </c>
      <c r="L44" s="281" t="n">
        <f aca="false">-IF(SUMMARY!$D$21*12&gt;=K44,IPMT(SUMMARY!$D$22/12,K44,SUMMARY!$D$21*12,SUMMARY!$D$20),0)</f>
        <v>630.859486458733</v>
      </c>
      <c r="M44" s="281" t="n">
        <f aca="false">IF(SUMMARY!$D$21*12&gt;=K44,-PPMT(SUMMARY!$D$22/12,K44,SUMMARY!$D$21*12,SUMMARY!$D$20),0)</f>
        <v>217.200273606336</v>
      </c>
      <c r="N44" s="282" t="n">
        <f aca="false">+M44+L44</f>
        <v>848.059760065069</v>
      </c>
      <c r="P44" s="300"/>
      <c r="Q44" s="301"/>
      <c r="R44" s="301"/>
      <c r="S44" s="301"/>
      <c r="T44" s="292"/>
    </row>
    <row r="45" customFormat="false" ht="12.75" hidden="false" customHeight="false" outlineLevel="0" collapsed="false">
      <c r="K45" s="280" t="n">
        <v>37</v>
      </c>
      <c r="L45" s="281" t="n">
        <f aca="false">-IF(SUMMARY!$D$21*12&gt;=K45,IPMT(SUMMARY!$D$22/12,K45,SUMMARY!$D$21*12,SUMMARY!$D$20),0)</f>
        <v>629.411484634691</v>
      </c>
      <c r="M45" s="281" t="n">
        <f aca="false">IF(SUMMARY!$D$21*12&gt;=K45,-PPMT(SUMMARY!$D$22/12,K45,SUMMARY!$D$21*12,SUMMARY!$D$20),0)</f>
        <v>218.648275430379</v>
      </c>
      <c r="N45" s="282" t="n">
        <f aca="false">+M45+L45</f>
        <v>848.059760065069</v>
      </c>
      <c r="P45" s="300"/>
      <c r="Q45" s="301"/>
      <c r="R45" s="301"/>
      <c r="S45" s="301"/>
      <c r="T45" s="292"/>
    </row>
    <row r="46" customFormat="false" ht="12.75" hidden="false" customHeight="false" outlineLevel="0" collapsed="false">
      <c r="K46" s="280" t="n">
        <v>38</v>
      </c>
      <c r="L46" s="281" t="n">
        <f aca="false">-IF(SUMMARY!$D$21*12&gt;=K46,IPMT(SUMMARY!$D$22/12,K46,SUMMARY!$D$21*12,SUMMARY!$D$20),0)</f>
        <v>627.953829465155</v>
      </c>
      <c r="M46" s="281" t="n">
        <f aca="false">IF(SUMMARY!$D$21*12&gt;=K46,-PPMT(SUMMARY!$D$22/12,K46,SUMMARY!$D$21*12,SUMMARY!$D$20),0)</f>
        <v>220.105930599915</v>
      </c>
      <c r="N46" s="282" t="n">
        <f aca="false">+M46+L46</f>
        <v>848.059760065069</v>
      </c>
      <c r="P46" s="300"/>
      <c r="Q46" s="301"/>
      <c r="R46" s="301"/>
      <c r="S46" s="301"/>
      <c r="T46" s="292"/>
    </row>
    <row r="47" customFormat="false" ht="12.75" hidden="false" customHeight="false" outlineLevel="0" collapsed="false">
      <c r="K47" s="280" t="n">
        <v>39</v>
      </c>
      <c r="L47" s="281" t="n">
        <f aca="false">-IF(SUMMARY!$D$21*12&gt;=K47,IPMT(SUMMARY!$D$22/12,K47,SUMMARY!$D$21*12,SUMMARY!$D$20),0)</f>
        <v>626.486456594489</v>
      </c>
      <c r="M47" s="281" t="n">
        <f aca="false">IF(SUMMARY!$D$21*12&gt;=K47,-PPMT(SUMMARY!$D$22/12,K47,SUMMARY!$D$21*12,SUMMARY!$D$20),0)</f>
        <v>221.573303470581</v>
      </c>
      <c r="N47" s="282" t="n">
        <f aca="false">+M47+L47</f>
        <v>848.059760065069</v>
      </c>
      <c r="P47" s="300"/>
      <c r="Q47" s="301"/>
      <c r="R47" s="301"/>
      <c r="S47" s="301"/>
      <c r="T47" s="292"/>
    </row>
    <row r="48" customFormat="false" ht="12.75" hidden="false" customHeight="false" outlineLevel="0" collapsed="false">
      <c r="K48" s="280" t="n">
        <v>40</v>
      </c>
      <c r="L48" s="281" t="n">
        <f aca="false">-IF(SUMMARY!$D$21*12&gt;=K48,IPMT(SUMMARY!$D$22/12,K48,SUMMARY!$D$21*12,SUMMARY!$D$20),0)</f>
        <v>625.009301238018</v>
      </c>
      <c r="M48" s="281" t="n">
        <f aca="false">IF(SUMMARY!$D$21*12&gt;=K48,-PPMT(SUMMARY!$D$22/12,K48,SUMMARY!$D$21*12,SUMMARY!$D$20),0)</f>
        <v>223.050458827051</v>
      </c>
      <c r="N48" s="282" t="n">
        <f aca="false">+M48+L48</f>
        <v>848.059760065069</v>
      </c>
      <c r="P48" s="300"/>
      <c r="Q48" s="301"/>
      <c r="R48" s="301"/>
      <c r="S48" s="301"/>
      <c r="T48" s="292"/>
    </row>
    <row r="49" customFormat="false" ht="12.75" hidden="false" customHeight="false" outlineLevel="0" collapsed="false">
      <c r="K49" s="280" t="n">
        <v>41</v>
      </c>
      <c r="L49" s="281" t="n">
        <f aca="false">-IF(SUMMARY!$D$21*12&gt;=K49,IPMT(SUMMARY!$D$22/12,K49,SUMMARY!$D$21*12,SUMMARY!$D$20),0)</f>
        <v>623.522298179171</v>
      </c>
      <c r="M49" s="281" t="n">
        <f aca="false">IF(SUMMARY!$D$21*12&gt;=K49,-PPMT(SUMMARY!$D$22/12,K49,SUMMARY!$D$21*12,SUMMARY!$D$20),0)</f>
        <v>224.537461885898</v>
      </c>
      <c r="N49" s="282" t="n">
        <f aca="false">+M49+L49</f>
        <v>848.059760065069</v>
      </c>
      <c r="P49" s="300"/>
      <c r="Q49" s="301"/>
      <c r="R49" s="301"/>
      <c r="S49" s="301"/>
      <c r="T49" s="292"/>
    </row>
    <row r="50" customFormat="false" ht="12.75" hidden="false" customHeight="false" outlineLevel="0" collapsed="false">
      <c r="K50" s="280" t="n">
        <v>42</v>
      </c>
      <c r="L50" s="281" t="n">
        <f aca="false">-IF(SUMMARY!$D$21*12&gt;=K50,IPMT(SUMMARY!$D$22/12,K50,SUMMARY!$D$21*12,SUMMARY!$D$20),0)</f>
        <v>622.025381766599</v>
      </c>
      <c r="M50" s="281" t="n">
        <f aca="false">IF(SUMMARY!$D$21*12&gt;=K50,-PPMT(SUMMARY!$D$22/12,K50,SUMMARY!$D$21*12,SUMMARY!$D$20),0)</f>
        <v>226.034378298471</v>
      </c>
      <c r="N50" s="282" t="n">
        <f aca="false">+M50+L50</f>
        <v>848.059760065069</v>
      </c>
      <c r="P50" s="300"/>
      <c r="Q50" s="301"/>
      <c r="R50" s="301"/>
      <c r="S50" s="301"/>
      <c r="T50" s="292"/>
    </row>
    <row r="51" customFormat="false" ht="12.75" hidden="false" customHeight="false" outlineLevel="0" collapsed="false">
      <c r="K51" s="280" t="n">
        <v>43</v>
      </c>
      <c r="L51" s="281" t="n">
        <f aca="false">-IF(SUMMARY!$D$21*12&gt;=K51,IPMT(SUMMARY!$D$22/12,K51,SUMMARY!$D$21*12,SUMMARY!$D$20),0)</f>
        <v>620.518485911275</v>
      </c>
      <c r="M51" s="281" t="n">
        <f aca="false">IF(SUMMARY!$D$21*12&gt;=K51,-PPMT(SUMMARY!$D$22/12,K51,SUMMARY!$D$21*12,SUMMARY!$D$20),0)</f>
        <v>227.541274153794</v>
      </c>
      <c r="N51" s="282" t="n">
        <f aca="false">+M51+L51</f>
        <v>848.059760065069</v>
      </c>
      <c r="P51" s="300"/>
      <c r="Q51" s="301"/>
      <c r="R51" s="301"/>
      <c r="S51" s="301"/>
      <c r="T51" s="292"/>
    </row>
    <row r="52" customFormat="false" ht="12.75" hidden="false" customHeight="false" outlineLevel="0" collapsed="false">
      <c r="K52" s="280" t="n">
        <v>44</v>
      </c>
      <c r="L52" s="281" t="n">
        <f aca="false">-IF(SUMMARY!$D$21*12&gt;=K52,IPMT(SUMMARY!$D$22/12,K52,SUMMARY!$D$21*12,SUMMARY!$D$20),0)</f>
        <v>619.001544083584</v>
      </c>
      <c r="M52" s="281" t="n">
        <f aca="false">IF(SUMMARY!$D$21*12&gt;=K52,-PPMT(SUMMARY!$D$22/12,K52,SUMMARY!$D$21*12,SUMMARY!$D$20),0)</f>
        <v>229.058215981486</v>
      </c>
      <c r="N52" s="282" t="n">
        <f aca="false">+M52+L52</f>
        <v>848.059760065069</v>
      </c>
      <c r="P52" s="300"/>
      <c r="Q52" s="301"/>
      <c r="R52" s="301"/>
      <c r="S52" s="301"/>
      <c r="T52" s="292"/>
    </row>
    <row r="53" customFormat="false" ht="12.75" hidden="false" customHeight="false" outlineLevel="0" collapsed="false">
      <c r="K53" s="280" t="n">
        <v>45</v>
      </c>
      <c r="L53" s="281" t="n">
        <f aca="false">-IF(SUMMARY!$D$21*12&gt;=K53,IPMT(SUMMARY!$D$22/12,K53,SUMMARY!$D$21*12,SUMMARY!$D$20),0)</f>
        <v>617.474489310374</v>
      </c>
      <c r="M53" s="281" t="n">
        <f aca="false">IF(SUMMARY!$D$21*12&gt;=K53,-PPMT(SUMMARY!$D$22/12,K53,SUMMARY!$D$21*12,SUMMARY!$D$20),0)</f>
        <v>230.585270754696</v>
      </c>
      <c r="N53" s="282" t="n">
        <f aca="false">+M53+L53</f>
        <v>848.059760065069</v>
      </c>
      <c r="P53" s="300"/>
      <c r="Q53" s="301"/>
      <c r="R53" s="301"/>
      <c r="S53" s="301"/>
      <c r="T53" s="292"/>
    </row>
    <row r="54" customFormat="false" ht="12.75" hidden="false" customHeight="false" outlineLevel="0" collapsed="false">
      <c r="K54" s="280" t="n">
        <v>46</v>
      </c>
      <c r="L54" s="281" t="n">
        <f aca="false">-IF(SUMMARY!$D$21*12&gt;=K54,IPMT(SUMMARY!$D$22/12,K54,SUMMARY!$D$21*12,SUMMARY!$D$20),0)</f>
        <v>615.937254172009</v>
      </c>
      <c r="M54" s="281" t="n">
        <f aca="false">IF(SUMMARY!$D$21*12&gt;=K54,-PPMT(SUMMARY!$D$22/12,K54,SUMMARY!$D$21*12,SUMMARY!$D$20),0)</f>
        <v>232.12250589306</v>
      </c>
      <c r="N54" s="282" t="n">
        <f aca="false">+M54+L54</f>
        <v>848.059760065069</v>
      </c>
      <c r="P54" s="300"/>
      <c r="Q54" s="301"/>
      <c r="R54" s="301"/>
      <c r="S54" s="301"/>
      <c r="T54" s="292"/>
    </row>
    <row r="55" customFormat="false" ht="12.75" hidden="false" customHeight="false" outlineLevel="0" collapsed="false">
      <c r="K55" s="280" t="n">
        <v>47</v>
      </c>
      <c r="L55" s="281" t="n">
        <f aca="false">-IF(SUMMARY!$D$21*12&gt;=K55,IPMT(SUMMARY!$D$22/12,K55,SUMMARY!$D$21*12,SUMMARY!$D$20),0)</f>
        <v>614.389770799389</v>
      </c>
      <c r="M55" s="281" t="n">
        <f aca="false">IF(SUMMARY!$D$21*12&gt;=K55,-PPMT(SUMMARY!$D$22/12,K55,SUMMARY!$D$21*12,SUMMARY!$D$20),0)</f>
        <v>233.669989265681</v>
      </c>
      <c r="N55" s="282" t="n">
        <f aca="false">+M55+L55</f>
        <v>848.059760065069</v>
      </c>
      <c r="P55" s="300"/>
      <c r="Q55" s="301"/>
      <c r="R55" s="301"/>
      <c r="S55" s="301"/>
      <c r="T55" s="292"/>
    </row>
    <row r="56" customFormat="false" ht="12.75" hidden="false" customHeight="false" outlineLevel="0" collapsed="false">
      <c r="K56" s="280" t="n">
        <v>48</v>
      </c>
      <c r="L56" s="281" t="n">
        <f aca="false">-IF(SUMMARY!$D$21*12&gt;=K56,IPMT(SUMMARY!$D$22/12,K56,SUMMARY!$D$21*12,SUMMARY!$D$20),0)</f>
        <v>612.831970870951</v>
      </c>
      <c r="M56" s="281" t="n">
        <f aca="false">IF(SUMMARY!$D$21*12&gt;=K56,-PPMT(SUMMARY!$D$22/12,K56,SUMMARY!$D$21*12,SUMMARY!$D$20),0)</f>
        <v>235.227789194119</v>
      </c>
      <c r="N56" s="282" t="n">
        <f aca="false">+M56+L56</f>
        <v>848.059760065069</v>
      </c>
      <c r="P56" s="300"/>
      <c r="Q56" s="301"/>
      <c r="R56" s="301"/>
      <c r="S56" s="301"/>
      <c r="T56" s="292"/>
    </row>
    <row r="57" customFormat="false" ht="12.75" hidden="false" customHeight="false" outlineLevel="0" collapsed="false">
      <c r="K57" s="280" t="n">
        <v>49</v>
      </c>
      <c r="L57" s="281" t="n">
        <f aca="false">-IF(SUMMARY!$D$21*12&gt;=K57,IPMT(SUMMARY!$D$22/12,K57,SUMMARY!$D$21*12,SUMMARY!$D$20),0)</f>
        <v>611.263785609657</v>
      </c>
      <c r="M57" s="281" t="n">
        <f aca="false">IF(SUMMARY!$D$21*12&gt;=K57,-PPMT(SUMMARY!$D$22/12,K57,SUMMARY!$D$21*12,SUMMARY!$D$20),0)</f>
        <v>236.795974455413</v>
      </c>
      <c r="N57" s="282" t="n">
        <f aca="false">+M57+L57</f>
        <v>848.059760065069</v>
      </c>
      <c r="P57" s="300"/>
      <c r="Q57" s="301"/>
      <c r="R57" s="301"/>
      <c r="S57" s="301"/>
      <c r="T57" s="292"/>
    </row>
    <row r="58" customFormat="false" ht="12.75" hidden="false" customHeight="false" outlineLevel="0" collapsed="false">
      <c r="K58" s="280" t="n">
        <v>50</v>
      </c>
      <c r="L58" s="281" t="n">
        <f aca="false">-IF(SUMMARY!$D$21*12&gt;=K58,IPMT(SUMMARY!$D$22/12,K58,SUMMARY!$D$21*12,SUMMARY!$D$20),0)</f>
        <v>609.685145779954</v>
      </c>
      <c r="M58" s="281" t="n">
        <f aca="false">IF(SUMMARY!$D$21*12&gt;=K58,-PPMT(SUMMARY!$D$22/12,K58,SUMMARY!$D$21*12,SUMMARY!$D$20),0)</f>
        <v>238.374614285115</v>
      </c>
      <c r="N58" s="282" t="n">
        <f aca="false">+M58+L58</f>
        <v>848.059760065069</v>
      </c>
      <c r="P58" s="300"/>
      <c r="Q58" s="301"/>
      <c r="R58" s="301"/>
      <c r="S58" s="301"/>
      <c r="T58" s="292"/>
    </row>
    <row r="59" customFormat="false" ht="12.75" hidden="false" customHeight="false" outlineLevel="0" collapsed="false">
      <c r="K59" s="280" t="n">
        <v>51</v>
      </c>
      <c r="L59" s="281" t="n">
        <f aca="false">-IF(SUMMARY!$D$21*12&gt;=K59,IPMT(SUMMARY!$D$22/12,K59,SUMMARY!$D$21*12,SUMMARY!$D$20),0)</f>
        <v>608.09598168472</v>
      </c>
      <c r="M59" s="281" t="n">
        <f aca="false">IF(SUMMARY!$D$21*12&gt;=K59,-PPMT(SUMMARY!$D$22/12,K59,SUMMARY!$D$21*12,SUMMARY!$D$20),0)</f>
        <v>239.963778380349</v>
      </c>
      <c r="N59" s="282" t="n">
        <f aca="false">+M59+L59</f>
        <v>848.059760065069</v>
      </c>
      <c r="P59" s="300"/>
      <c r="Q59" s="301"/>
      <c r="R59" s="301"/>
      <c r="S59" s="301"/>
      <c r="T59" s="292"/>
    </row>
    <row r="60" customFormat="false" ht="12.75" hidden="false" customHeight="false" outlineLevel="0" collapsed="false">
      <c r="K60" s="280" t="n">
        <v>52</v>
      </c>
      <c r="L60" s="281" t="n">
        <f aca="false">-IF(SUMMARY!$D$21*12&gt;=K60,IPMT(SUMMARY!$D$22/12,K60,SUMMARY!$D$21*12,SUMMARY!$D$20),0)</f>
        <v>606.496223162184</v>
      </c>
      <c r="M60" s="281" t="n">
        <f aca="false">IF(SUMMARY!$D$21*12&gt;=K60,-PPMT(SUMMARY!$D$22/12,K60,SUMMARY!$D$21*12,SUMMARY!$D$20),0)</f>
        <v>241.563536902885</v>
      </c>
      <c r="N60" s="282" t="n">
        <f aca="false">+M60+L60</f>
        <v>848.059760065069</v>
      </c>
      <c r="P60" s="300"/>
      <c r="Q60" s="301"/>
      <c r="R60" s="301"/>
      <c r="S60" s="301"/>
    </row>
    <row r="61" customFormat="false" ht="12.75" hidden="false" customHeight="false" outlineLevel="0" collapsed="false">
      <c r="K61" s="280" t="n">
        <v>53</v>
      </c>
      <c r="L61" s="281" t="n">
        <f aca="false">-IF(SUMMARY!$D$21*12&gt;=K61,IPMT(SUMMARY!$D$22/12,K61,SUMMARY!$D$21*12,SUMMARY!$D$20),0)</f>
        <v>604.885799582832</v>
      </c>
      <c r="M61" s="281" t="n">
        <f aca="false">IF(SUMMARY!$D$21*12&gt;=K61,-PPMT(SUMMARY!$D$22/12,K61,SUMMARY!$D$21*12,SUMMARY!$D$20),0)</f>
        <v>243.173960482238</v>
      </c>
      <c r="N61" s="282" t="n">
        <f aca="false">+M61+L61</f>
        <v>848.059760065069</v>
      </c>
      <c r="P61" s="300"/>
      <c r="Q61" s="301"/>
      <c r="R61" s="301"/>
      <c r="S61" s="301"/>
    </row>
    <row r="62" customFormat="false" ht="12.75" hidden="false" customHeight="false" outlineLevel="0" collapsed="false">
      <c r="K62" s="280" t="n">
        <v>54</v>
      </c>
      <c r="L62" s="281" t="n">
        <f aca="false">-IF(SUMMARY!$D$21*12&gt;=K62,IPMT(SUMMARY!$D$22/12,K62,SUMMARY!$D$21*12,SUMMARY!$D$20),0)</f>
        <v>603.264639846283</v>
      </c>
      <c r="M62" s="281" t="n">
        <f aca="false">IF(SUMMARY!$D$21*12&gt;=K62,-PPMT(SUMMARY!$D$22/12,K62,SUMMARY!$D$21*12,SUMMARY!$D$20),0)</f>
        <v>244.795120218786</v>
      </c>
      <c r="N62" s="282" t="n">
        <f aca="false">+M62+L62</f>
        <v>848.059760065069</v>
      </c>
      <c r="P62" s="300"/>
      <c r="Q62" s="301"/>
      <c r="R62" s="301"/>
      <c r="S62" s="301"/>
    </row>
    <row r="63" customFormat="false" ht="12.75" hidden="false" customHeight="false" outlineLevel="0" collapsed="false">
      <c r="K63" s="280" t="n">
        <v>55</v>
      </c>
      <c r="L63" s="281" t="n">
        <f aca="false">-IF(SUMMARY!$D$21*12&gt;=K63,IPMT(SUMMARY!$D$22/12,K63,SUMMARY!$D$21*12,SUMMARY!$D$20),0)</f>
        <v>601.632672378158</v>
      </c>
      <c r="M63" s="281" t="n">
        <f aca="false">IF(SUMMARY!$D$21*12&gt;=K63,-PPMT(SUMMARY!$D$22/12,K63,SUMMARY!$D$21*12,SUMMARY!$D$20),0)</f>
        <v>246.427087686911</v>
      </c>
      <c r="N63" s="282" t="n">
        <f aca="false">+M63+L63</f>
        <v>848.059760065069</v>
      </c>
      <c r="P63" s="300"/>
      <c r="Q63" s="301"/>
      <c r="R63" s="301"/>
      <c r="S63" s="301"/>
    </row>
    <row r="64" customFormat="false" ht="12.75" hidden="false" customHeight="false" outlineLevel="0" collapsed="false">
      <c r="K64" s="280" t="n">
        <v>56</v>
      </c>
      <c r="L64" s="281" t="n">
        <f aca="false">-IF(SUMMARY!$D$21*12&gt;=K64,IPMT(SUMMARY!$D$22/12,K64,SUMMARY!$D$21*12,SUMMARY!$D$20),0)</f>
        <v>599.989825126912</v>
      </c>
      <c r="M64" s="281" t="n">
        <f aca="false">IF(SUMMARY!$D$21*12&gt;=K64,-PPMT(SUMMARY!$D$22/12,K64,SUMMARY!$D$21*12,SUMMARY!$D$20),0)</f>
        <v>248.069934938157</v>
      </c>
      <c r="N64" s="282" t="n">
        <f aca="false">+M64+L64</f>
        <v>848.059760065069</v>
      </c>
      <c r="P64" s="300"/>
      <c r="Q64" s="301"/>
      <c r="R64" s="301"/>
      <c r="S64" s="301"/>
    </row>
    <row r="65" customFormat="false" ht="12.75" hidden="false" customHeight="false" outlineLevel="0" collapsed="false">
      <c r="K65" s="280" t="n">
        <v>57</v>
      </c>
      <c r="L65" s="281" t="n">
        <f aca="false">-IF(SUMMARY!$D$21*12&gt;=K65,IPMT(SUMMARY!$D$22/12,K65,SUMMARY!$D$21*12,SUMMARY!$D$20),0)</f>
        <v>598.336025560658</v>
      </c>
      <c r="M65" s="281" t="n">
        <f aca="false">IF(SUMMARY!$D$21*12&gt;=K65,-PPMT(SUMMARY!$D$22/12,K65,SUMMARY!$D$21*12,SUMMARY!$D$20),0)</f>
        <v>249.723734504412</v>
      </c>
      <c r="N65" s="282" t="n">
        <f aca="false">+M65+L65</f>
        <v>848.059760065069</v>
      </c>
      <c r="P65" s="300"/>
      <c r="Q65" s="301"/>
      <c r="R65" s="301"/>
      <c r="S65" s="301"/>
    </row>
    <row r="66" customFormat="false" ht="12.75" hidden="false" customHeight="false" outlineLevel="0" collapsed="false">
      <c r="K66" s="280" t="n">
        <v>58</v>
      </c>
      <c r="L66" s="281" t="n">
        <f aca="false">-IF(SUMMARY!$D$21*12&gt;=K66,IPMT(SUMMARY!$D$22/12,K66,SUMMARY!$D$21*12,SUMMARY!$D$20),0)</f>
        <v>596.671200663962</v>
      </c>
      <c r="M66" s="281" t="n">
        <f aca="false">IF(SUMMARY!$D$21*12&gt;=K66,-PPMT(SUMMARY!$D$22/12,K66,SUMMARY!$D$21*12,SUMMARY!$D$20),0)</f>
        <v>251.388559401108</v>
      </c>
      <c r="N66" s="282" t="n">
        <f aca="false">+M66+L66</f>
        <v>848.059760065069</v>
      </c>
      <c r="P66" s="300"/>
      <c r="Q66" s="301"/>
      <c r="R66" s="301"/>
      <c r="S66" s="301"/>
    </row>
    <row r="67" customFormat="false" ht="12.75" hidden="false" customHeight="false" outlineLevel="0" collapsed="false">
      <c r="K67" s="280" t="n">
        <v>59</v>
      </c>
      <c r="L67" s="281" t="n">
        <f aca="false">-IF(SUMMARY!$D$21*12&gt;=K67,IPMT(SUMMARY!$D$22/12,K67,SUMMARY!$D$21*12,SUMMARY!$D$20),0)</f>
        <v>594.995276934621</v>
      </c>
      <c r="M67" s="281" t="n">
        <f aca="false">IF(SUMMARY!$D$21*12&gt;=K67,-PPMT(SUMMARY!$D$22/12,K67,SUMMARY!$D$21*12,SUMMARY!$D$20),0)</f>
        <v>253.064483130448</v>
      </c>
      <c r="N67" s="282" t="n">
        <f aca="false">+M67+L67</f>
        <v>848.059760065069</v>
      </c>
      <c r="P67" s="300"/>
      <c r="Q67" s="301"/>
      <c r="R67" s="301"/>
      <c r="S67" s="301"/>
    </row>
    <row r="68" customFormat="false" ht="12.75" hidden="false" customHeight="false" outlineLevel="0" collapsed="false">
      <c r="K68" s="280" t="n">
        <v>60</v>
      </c>
      <c r="L68" s="281" t="n">
        <f aca="false">-IF(SUMMARY!$D$21*12&gt;=K68,IPMT(SUMMARY!$D$22/12,K68,SUMMARY!$D$21*12,SUMMARY!$D$20),0)</f>
        <v>593.308180380418</v>
      </c>
      <c r="M68" s="281" t="n">
        <f aca="false">IF(SUMMARY!$D$21*12&gt;=K68,-PPMT(SUMMARY!$D$22/12,K68,SUMMARY!$D$21*12,SUMMARY!$D$20),0)</f>
        <v>254.751579684651</v>
      </c>
      <c r="N68" s="282" t="n">
        <f aca="false">+M68+L68</f>
        <v>848.059760065069</v>
      </c>
      <c r="P68" s="300"/>
      <c r="Q68" s="301"/>
      <c r="R68" s="301"/>
      <c r="S68" s="301"/>
    </row>
    <row r="69" customFormat="false" ht="12.75" hidden="false" customHeight="false" outlineLevel="0" collapsed="false">
      <c r="K69" s="280" t="n">
        <v>61</v>
      </c>
      <c r="L69" s="281" t="n">
        <f aca="false">-IF(SUMMARY!$D$21*12&gt;=K69,IPMT(SUMMARY!$D$22/12,K69,SUMMARY!$D$21*12,SUMMARY!$D$20),0)</f>
        <v>591.609836515854</v>
      </c>
      <c r="M69" s="281" t="n">
        <f aca="false">IF(SUMMARY!$D$21*12&gt;=K69,-PPMT(SUMMARY!$D$22/12,K69,SUMMARY!$D$21*12,SUMMARY!$D$20),0)</f>
        <v>256.449923549216</v>
      </c>
      <c r="N69" s="282" t="n">
        <f aca="false">+M69+L69</f>
        <v>848.059760065069</v>
      </c>
      <c r="P69" s="300"/>
      <c r="Q69" s="301"/>
      <c r="R69" s="301"/>
      <c r="S69" s="301"/>
    </row>
    <row r="70" customFormat="false" ht="12.75" hidden="false" customHeight="false" outlineLevel="0" collapsed="false">
      <c r="K70" s="280" t="n">
        <v>62</v>
      </c>
      <c r="L70" s="281" t="n">
        <f aca="false">-IF(SUMMARY!$D$21*12&gt;=K70,IPMT(SUMMARY!$D$22/12,K70,SUMMARY!$D$21*12,SUMMARY!$D$20),0)</f>
        <v>589.900170358859</v>
      </c>
      <c r="M70" s="281" t="n">
        <f aca="false">IF(SUMMARY!$D$21*12&gt;=K70,-PPMT(SUMMARY!$D$22/12,K70,SUMMARY!$D$21*12,SUMMARY!$D$20),0)</f>
        <v>258.15958970621</v>
      </c>
      <c r="N70" s="282" t="n">
        <f aca="false">+M70+L70</f>
        <v>848.059760065069</v>
      </c>
      <c r="P70" s="300"/>
      <c r="Q70" s="301"/>
      <c r="R70" s="301"/>
      <c r="S70" s="301"/>
    </row>
    <row r="71" customFormat="false" ht="12.75" hidden="false" customHeight="false" outlineLevel="0" collapsed="false">
      <c r="K71" s="280" t="n">
        <v>63</v>
      </c>
      <c r="L71" s="281" t="n">
        <f aca="false">-IF(SUMMARY!$D$21*12&gt;=K71,IPMT(SUMMARY!$D$22/12,K71,SUMMARY!$D$21*12,SUMMARY!$D$20),0)</f>
        <v>588.179106427484</v>
      </c>
      <c r="M71" s="281" t="n">
        <f aca="false">IF(SUMMARY!$D$21*12&gt;=K71,-PPMT(SUMMARY!$D$22/12,K71,SUMMARY!$D$21*12,SUMMARY!$D$20),0)</f>
        <v>259.880653637585</v>
      </c>
      <c r="N71" s="282" t="n">
        <f aca="false">+M71+L71</f>
        <v>848.059760065069</v>
      </c>
      <c r="P71" s="300"/>
      <c r="Q71" s="301"/>
      <c r="R71" s="301"/>
      <c r="S71" s="301"/>
    </row>
    <row r="72" customFormat="false" ht="12.75" hidden="false" customHeight="false" outlineLevel="0" collapsed="false">
      <c r="K72" s="280" t="n">
        <v>64</v>
      </c>
      <c r="L72" s="281" t="n">
        <f aca="false">-IF(SUMMARY!$D$21*12&gt;=K72,IPMT(SUMMARY!$D$22/12,K72,SUMMARY!$D$21*12,SUMMARY!$D$20),0)</f>
        <v>586.446568736567</v>
      </c>
      <c r="M72" s="281" t="n">
        <f aca="false">IF(SUMMARY!$D$21*12&gt;=K72,-PPMT(SUMMARY!$D$22/12,K72,SUMMARY!$D$21*12,SUMMARY!$D$20),0)</f>
        <v>261.613191328502</v>
      </c>
      <c r="N72" s="282" t="n">
        <f aca="false">+M72+L72</f>
        <v>848.059760065069</v>
      </c>
      <c r="P72" s="300"/>
      <c r="Q72" s="301"/>
      <c r="R72" s="301"/>
      <c r="S72" s="301"/>
    </row>
    <row r="73" customFormat="false" ht="12.75" hidden="false" customHeight="false" outlineLevel="0" collapsed="false">
      <c r="K73" s="280" t="n">
        <v>65</v>
      </c>
      <c r="L73" s="281" t="n">
        <f aca="false">-IF(SUMMARY!$D$21*12&gt;=K73,IPMT(SUMMARY!$D$22/12,K73,SUMMARY!$D$21*12,SUMMARY!$D$20),0)</f>
        <v>584.702480794377</v>
      </c>
      <c r="M73" s="281" t="n">
        <f aca="false">IF(SUMMARY!$D$21*12&gt;=K73,-PPMT(SUMMARY!$D$22/12,K73,SUMMARY!$D$21*12,SUMMARY!$D$20),0)</f>
        <v>263.357279270692</v>
      </c>
      <c r="N73" s="282" t="n">
        <f aca="false">+M73+L73</f>
        <v>848.059760065069</v>
      </c>
      <c r="P73" s="300"/>
      <c r="Q73" s="301"/>
      <c r="R73" s="301"/>
      <c r="S73" s="301"/>
    </row>
    <row r="74" customFormat="false" ht="12.75" hidden="false" customHeight="false" outlineLevel="0" collapsed="false">
      <c r="K74" s="280" t="n">
        <v>66</v>
      </c>
      <c r="L74" s="281" t="n">
        <f aca="false">-IF(SUMMARY!$D$21*12&gt;=K74,IPMT(SUMMARY!$D$22/12,K74,SUMMARY!$D$21*12,SUMMARY!$D$20),0)</f>
        <v>582.946765599239</v>
      </c>
      <c r="M74" s="281" t="n">
        <f aca="false">IF(SUMMARY!$D$21*12&gt;=K74,-PPMT(SUMMARY!$D$22/12,K74,SUMMARY!$D$21*12,SUMMARY!$D$20),0)</f>
        <v>265.11299446583</v>
      </c>
      <c r="N74" s="282" t="n">
        <f aca="false">+M74+L74</f>
        <v>848.059760065069</v>
      </c>
      <c r="P74" s="300"/>
      <c r="Q74" s="301"/>
      <c r="R74" s="301"/>
      <c r="S74" s="301"/>
    </row>
    <row r="75" customFormat="false" ht="12.75" hidden="false" customHeight="false" outlineLevel="0" collapsed="false">
      <c r="K75" s="280" t="n">
        <v>67</v>
      </c>
      <c r="L75" s="281" t="n">
        <f aca="false">-IF(SUMMARY!$D$21*12&gt;=K75,IPMT(SUMMARY!$D$22/12,K75,SUMMARY!$D$21*12,SUMMARY!$D$20),0)</f>
        <v>581.179345636134</v>
      </c>
      <c r="M75" s="281" t="n">
        <f aca="false">IF(SUMMARY!$D$21*12&gt;=K75,-PPMT(SUMMARY!$D$22/12,K75,SUMMARY!$D$21*12,SUMMARY!$D$20),0)</f>
        <v>266.880414428936</v>
      </c>
      <c r="N75" s="282" t="n">
        <f aca="false">+M75+L75</f>
        <v>848.059760065069</v>
      </c>
      <c r="P75" s="300"/>
      <c r="Q75" s="301"/>
      <c r="R75" s="301"/>
      <c r="S75" s="301"/>
    </row>
    <row r="76" customFormat="false" ht="12.75" hidden="false" customHeight="false" outlineLevel="0" collapsed="false">
      <c r="K76" s="280" t="n">
        <v>68</v>
      </c>
      <c r="L76" s="281" t="n">
        <f aca="false">-IF(SUMMARY!$D$21*12&gt;=K76,IPMT(SUMMARY!$D$22/12,K76,SUMMARY!$D$21*12,SUMMARY!$D$20),0)</f>
        <v>579.400142873274</v>
      </c>
      <c r="M76" s="281" t="n">
        <f aca="false">IF(SUMMARY!$D$21*12&gt;=K76,-PPMT(SUMMARY!$D$22/12,K76,SUMMARY!$D$21*12,SUMMARY!$D$20),0)</f>
        <v>268.659617191795</v>
      </c>
      <c r="N76" s="282" t="n">
        <f aca="false">+M76+L76</f>
        <v>848.059760065069</v>
      </c>
      <c r="P76" s="300"/>
      <c r="Q76" s="301"/>
      <c r="R76" s="301"/>
      <c r="S76" s="301"/>
    </row>
    <row r="77" customFormat="false" ht="12.75" hidden="false" customHeight="false" outlineLevel="0" collapsed="false">
      <c r="K77" s="280" t="n">
        <v>69</v>
      </c>
      <c r="L77" s="281" t="n">
        <f aca="false">-IF(SUMMARY!$D$21*12&gt;=K77,IPMT(SUMMARY!$D$22/12,K77,SUMMARY!$D$21*12,SUMMARY!$D$20),0)</f>
        <v>577.609078758662</v>
      </c>
      <c r="M77" s="281" t="n">
        <f aca="false">IF(SUMMARY!$D$21*12&gt;=K77,-PPMT(SUMMARY!$D$22/12,K77,SUMMARY!$D$21*12,SUMMARY!$D$20),0)</f>
        <v>270.450681306407</v>
      </c>
      <c r="N77" s="282" t="n">
        <f aca="false">+M77+L77</f>
        <v>848.059760065069</v>
      </c>
      <c r="P77" s="300"/>
      <c r="Q77" s="301"/>
      <c r="R77" s="301"/>
      <c r="S77" s="301"/>
    </row>
    <row r="78" customFormat="false" ht="12.75" hidden="false" customHeight="false" outlineLevel="0" collapsed="false">
      <c r="K78" s="280" t="n">
        <v>70</v>
      </c>
      <c r="L78" s="281" t="n">
        <f aca="false">-IF(SUMMARY!$D$21*12&gt;=K78,IPMT(SUMMARY!$D$22/12,K78,SUMMARY!$D$21*12,SUMMARY!$D$20),0)</f>
        <v>575.806074216619</v>
      </c>
      <c r="M78" s="281" t="n">
        <f aca="false">IF(SUMMARY!$D$21*12&gt;=K78,-PPMT(SUMMARY!$D$22/12,K78,SUMMARY!$D$21*12,SUMMARY!$D$20),0)</f>
        <v>272.25368584845</v>
      </c>
      <c r="N78" s="282" t="n">
        <f aca="false">+M78+L78</f>
        <v>848.059760065069</v>
      </c>
      <c r="P78" s="300"/>
      <c r="Q78" s="301"/>
      <c r="R78" s="301"/>
      <c r="S78" s="301"/>
    </row>
    <row r="79" customFormat="false" ht="12.75" hidden="false" customHeight="false" outlineLevel="0" collapsed="false">
      <c r="K79" s="280" t="n">
        <v>71</v>
      </c>
      <c r="L79" s="281" t="n">
        <f aca="false">-IF(SUMMARY!$D$21*12&gt;=K79,IPMT(SUMMARY!$D$22/12,K79,SUMMARY!$D$21*12,SUMMARY!$D$20),0)</f>
        <v>573.991049644296</v>
      </c>
      <c r="M79" s="281" t="n">
        <f aca="false">IF(SUMMARY!$D$21*12&gt;=K79,-PPMT(SUMMARY!$D$22/12,K79,SUMMARY!$D$21*12,SUMMARY!$D$20),0)</f>
        <v>274.068710420773</v>
      </c>
      <c r="N79" s="282" t="n">
        <f aca="false">+M79+L79</f>
        <v>848.059760065069</v>
      </c>
      <c r="P79" s="300"/>
      <c r="Q79" s="301"/>
      <c r="R79" s="301"/>
      <c r="S79" s="301"/>
    </row>
    <row r="80" customFormat="false" ht="12.75" hidden="false" customHeight="false" outlineLevel="0" collapsed="false">
      <c r="K80" s="280" t="n">
        <v>72</v>
      </c>
      <c r="L80" s="281" t="n">
        <f aca="false">-IF(SUMMARY!$D$21*12&gt;=K80,IPMT(SUMMARY!$D$22/12,K80,SUMMARY!$D$21*12,SUMMARY!$D$20),0)</f>
        <v>572.163924908158</v>
      </c>
      <c r="M80" s="281" t="n">
        <f aca="false">IF(SUMMARY!$D$21*12&gt;=K80,-PPMT(SUMMARY!$D$22/12,K80,SUMMARY!$D$21*12,SUMMARY!$D$20),0)</f>
        <v>275.895835156911</v>
      </c>
      <c r="N80" s="282" t="n">
        <f aca="false">+M80+L80</f>
        <v>848.059760065069</v>
      </c>
      <c r="P80" s="300"/>
      <c r="Q80" s="301"/>
      <c r="R80" s="301"/>
      <c r="S80" s="301"/>
    </row>
    <row r="81" customFormat="false" ht="12.75" hidden="false" customHeight="false" outlineLevel="0" collapsed="false">
      <c r="K81" s="280" t="n">
        <v>73</v>
      </c>
      <c r="L81" s="281" t="n">
        <f aca="false">-IF(SUMMARY!$D$21*12&gt;=K81,IPMT(SUMMARY!$D$22/12,K81,SUMMARY!$D$21*12,SUMMARY!$D$20),0)</f>
        <v>570.324619340445</v>
      </c>
      <c r="M81" s="281" t="n">
        <f aca="false">IF(SUMMARY!$D$21*12&gt;=K81,-PPMT(SUMMARY!$D$22/12,K81,SUMMARY!$D$21*12,SUMMARY!$D$20),0)</f>
        <v>277.735140724624</v>
      </c>
      <c r="N81" s="282" t="n">
        <f aca="false">+M81+L81</f>
        <v>848.059760065069</v>
      </c>
      <c r="P81" s="300"/>
      <c r="Q81" s="301"/>
      <c r="R81" s="301"/>
      <c r="S81" s="301"/>
    </row>
    <row r="82" customFormat="false" ht="12.75" hidden="false" customHeight="false" outlineLevel="0" collapsed="false">
      <c r="K82" s="280" t="n">
        <v>74</v>
      </c>
      <c r="L82" s="281" t="n">
        <f aca="false">-IF(SUMMARY!$D$21*12&gt;=K82,IPMT(SUMMARY!$D$22/12,K82,SUMMARY!$D$21*12,SUMMARY!$D$20),0)</f>
        <v>568.473051735614</v>
      </c>
      <c r="M82" s="281" t="n">
        <f aca="false">IF(SUMMARY!$D$21*12&gt;=K82,-PPMT(SUMMARY!$D$22/12,K82,SUMMARY!$D$21*12,SUMMARY!$D$20),0)</f>
        <v>279.586708329455</v>
      </c>
      <c r="N82" s="282" t="n">
        <f aca="false">+M82+L82</f>
        <v>848.059760065069</v>
      </c>
      <c r="P82" s="300"/>
      <c r="Q82" s="301"/>
      <c r="R82" s="301"/>
      <c r="S82" s="301"/>
    </row>
    <row r="83" customFormat="false" ht="12.75" hidden="false" customHeight="false" outlineLevel="0" collapsed="false">
      <c r="K83" s="280" t="n">
        <v>75</v>
      </c>
      <c r="L83" s="281" t="n">
        <f aca="false">-IF(SUMMARY!$D$21*12&gt;=K83,IPMT(SUMMARY!$D$22/12,K83,SUMMARY!$D$21*12,SUMMARY!$D$20),0)</f>
        <v>566.609140346751</v>
      </c>
      <c r="M83" s="281" t="n">
        <f aca="false">IF(SUMMARY!$D$21*12&gt;=K83,-PPMT(SUMMARY!$D$22/12,K83,SUMMARY!$D$21*12,SUMMARY!$D$20),0)</f>
        <v>281.450619718318</v>
      </c>
      <c r="N83" s="282" t="n">
        <f aca="false">+M83+L83</f>
        <v>848.059760065069</v>
      </c>
      <c r="P83" s="300"/>
      <c r="Q83" s="301"/>
      <c r="R83" s="301"/>
      <c r="S83" s="301"/>
    </row>
    <row r="84" customFormat="false" ht="12.75" hidden="false" customHeight="false" outlineLevel="0" collapsed="false">
      <c r="K84" s="280" t="n">
        <v>76</v>
      </c>
      <c r="L84" s="281" t="n">
        <f aca="false">-IF(SUMMARY!$D$21*12&gt;=K84,IPMT(SUMMARY!$D$22/12,K84,SUMMARY!$D$21*12,SUMMARY!$D$20),0)</f>
        <v>564.732802881963</v>
      </c>
      <c r="M84" s="281" t="n">
        <f aca="false">IF(SUMMARY!$D$21*12&gt;=K84,-PPMT(SUMMARY!$D$22/12,K84,SUMMARY!$D$21*12,SUMMARY!$D$20),0)</f>
        <v>283.326957183107</v>
      </c>
      <c r="N84" s="282" t="n">
        <f aca="false">+M84+L84</f>
        <v>848.059760065069</v>
      </c>
      <c r="P84" s="300"/>
      <c r="Q84" s="301"/>
      <c r="R84" s="301"/>
      <c r="S84" s="301"/>
    </row>
    <row r="85" customFormat="false" ht="12.75" hidden="false" customHeight="false" outlineLevel="0" collapsed="false">
      <c r="K85" s="280" t="n">
        <v>77</v>
      </c>
      <c r="L85" s="281" t="n">
        <f aca="false">-IF(SUMMARY!$D$21*12&gt;=K85,IPMT(SUMMARY!$D$22/12,K85,SUMMARY!$D$21*12,SUMMARY!$D$20),0)</f>
        <v>562.843956500742</v>
      </c>
      <c r="M85" s="281" t="n">
        <f aca="false">IF(SUMMARY!$D$21*12&gt;=K85,-PPMT(SUMMARY!$D$22/12,K85,SUMMARY!$D$21*12,SUMMARY!$D$20),0)</f>
        <v>285.215803564328</v>
      </c>
      <c r="N85" s="282" t="n">
        <f aca="false">+M85+L85</f>
        <v>848.059760065069</v>
      </c>
      <c r="P85" s="300"/>
      <c r="Q85" s="301"/>
      <c r="R85" s="301"/>
      <c r="S85" s="301"/>
    </row>
    <row r="86" customFormat="false" ht="12.75" hidden="false" customHeight="false" outlineLevel="0" collapsed="false">
      <c r="K86" s="280" t="n">
        <v>78</v>
      </c>
      <c r="L86" s="281" t="n">
        <f aca="false">-IF(SUMMARY!$D$21*12&gt;=K86,IPMT(SUMMARY!$D$22/12,K86,SUMMARY!$D$21*12,SUMMARY!$D$20),0)</f>
        <v>560.942517810313</v>
      </c>
      <c r="M86" s="281" t="n">
        <f aca="false">IF(SUMMARY!$D$21*12&gt;=K86,-PPMT(SUMMARY!$D$22/12,K86,SUMMARY!$D$21*12,SUMMARY!$D$20),0)</f>
        <v>287.117242254756</v>
      </c>
      <c r="N86" s="282" t="n">
        <f aca="false">+M86+L86</f>
        <v>848.059760065069</v>
      </c>
      <c r="P86" s="300"/>
      <c r="Q86" s="301"/>
      <c r="R86" s="301"/>
      <c r="S86" s="301"/>
    </row>
    <row r="87" customFormat="false" ht="12.75" hidden="false" customHeight="false" outlineLevel="0" collapsed="false">
      <c r="K87" s="280" t="n">
        <v>79</v>
      </c>
      <c r="L87" s="281" t="n">
        <f aca="false">-IF(SUMMARY!$D$21*12&gt;=K87,IPMT(SUMMARY!$D$22/12,K87,SUMMARY!$D$21*12,SUMMARY!$D$20),0)</f>
        <v>559.028402861948</v>
      </c>
      <c r="M87" s="281" t="n">
        <f aca="false">IF(SUMMARY!$D$21*12&gt;=K87,-PPMT(SUMMARY!$D$22/12,K87,SUMMARY!$D$21*12,SUMMARY!$D$20),0)</f>
        <v>289.031357203121</v>
      </c>
      <c r="N87" s="282" t="n">
        <f aca="false">+M87+L87</f>
        <v>848.059760065069</v>
      </c>
      <c r="P87" s="300"/>
      <c r="Q87" s="301"/>
      <c r="R87" s="301"/>
      <c r="S87" s="301"/>
    </row>
    <row r="88" customFormat="false" ht="12.75" hidden="false" customHeight="false" outlineLevel="0" collapsed="false">
      <c r="K88" s="280" t="n">
        <v>80</v>
      </c>
      <c r="L88" s="281" t="n">
        <f aca="false">-IF(SUMMARY!$D$21*12&gt;=K88,IPMT(SUMMARY!$D$22/12,K88,SUMMARY!$D$21*12,SUMMARY!$D$20),0)</f>
        <v>557.101527147261</v>
      </c>
      <c r="M88" s="281" t="n">
        <f aca="false">IF(SUMMARY!$D$21*12&gt;=K88,-PPMT(SUMMARY!$D$22/12,K88,SUMMARY!$D$21*12,SUMMARY!$D$20),0)</f>
        <v>290.958232917809</v>
      </c>
      <c r="N88" s="282" t="n">
        <f aca="false">+M88+L88</f>
        <v>848.059760065069</v>
      </c>
      <c r="P88" s="300"/>
      <c r="Q88" s="301"/>
      <c r="R88" s="301"/>
      <c r="S88" s="301"/>
    </row>
    <row r="89" customFormat="false" ht="12.75" hidden="false" customHeight="false" outlineLevel="0" collapsed="false">
      <c r="K89" s="280" t="n">
        <v>81</v>
      </c>
      <c r="L89" s="281" t="n">
        <f aca="false">-IF(SUMMARY!$D$21*12&gt;=K89,IPMT(SUMMARY!$D$22/12,K89,SUMMARY!$D$21*12,SUMMARY!$D$20),0)</f>
        <v>555.161805594475</v>
      </c>
      <c r="M89" s="281" t="n">
        <f aca="false">IF(SUMMARY!$D$21*12&gt;=K89,-PPMT(SUMMARY!$D$22/12,K89,SUMMARY!$D$21*12,SUMMARY!$D$20),0)</f>
        <v>292.897954470594</v>
      </c>
      <c r="N89" s="282" t="n">
        <f aca="false">+M89+L89</f>
        <v>848.059760065069</v>
      </c>
      <c r="P89" s="300"/>
      <c r="Q89" s="301"/>
      <c r="R89" s="301"/>
      <c r="S89" s="301"/>
    </row>
    <row r="90" customFormat="false" ht="12.75" hidden="false" customHeight="false" outlineLevel="0" collapsed="false">
      <c r="K90" s="280" t="n">
        <v>82</v>
      </c>
      <c r="L90" s="281" t="n">
        <f aca="false">-IF(SUMMARY!$D$21*12&gt;=K90,IPMT(SUMMARY!$D$22/12,K90,SUMMARY!$D$21*12,SUMMARY!$D$20),0)</f>
        <v>553.209152564671</v>
      </c>
      <c r="M90" s="281" t="n">
        <f aca="false">IF(SUMMARY!$D$21*12&gt;=K90,-PPMT(SUMMARY!$D$22/12,K90,SUMMARY!$D$21*12,SUMMARY!$D$20),0)</f>
        <v>294.850607500398</v>
      </c>
      <c r="N90" s="282" t="n">
        <f aca="false">+M90+L90</f>
        <v>848.059760065069</v>
      </c>
      <c r="P90" s="300"/>
      <c r="Q90" s="301"/>
      <c r="R90" s="301"/>
      <c r="S90" s="301"/>
    </row>
    <row r="91" customFormat="false" ht="12.75" hidden="false" customHeight="false" outlineLevel="0" collapsed="false">
      <c r="K91" s="280" t="n">
        <v>83</v>
      </c>
      <c r="L91" s="281" t="n">
        <f aca="false">-IF(SUMMARY!$D$21*12&gt;=K91,IPMT(SUMMARY!$D$22/12,K91,SUMMARY!$D$21*12,SUMMARY!$D$20),0)</f>
        <v>551.243481848002</v>
      </c>
      <c r="M91" s="281" t="n">
        <f aca="false">IF(SUMMARY!$D$21*12&gt;=K91,-PPMT(SUMMARY!$D$22/12,K91,SUMMARY!$D$21*12,SUMMARY!$D$20),0)</f>
        <v>296.816278217067</v>
      </c>
      <c r="N91" s="282" t="n">
        <f aca="false">+M91+L91</f>
        <v>848.059760065069</v>
      </c>
      <c r="P91" s="300"/>
      <c r="Q91" s="301"/>
      <c r="R91" s="301"/>
      <c r="S91" s="301"/>
    </row>
    <row r="92" customFormat="false" ht="12.75" hidden="false" customHeight="false" outlineLevel="0" collapsed="false">
      <c r="K92" s="280" t="n">
        <v>84</v>
      </c>
      <c r="L92" s="281" t="n">
        <f aca="false">-IF(SUMMARY!$D$21*12&gt;=K92,IPMT(SUMMARY!$D$22/12,K92,SUMMARY!$D$21*12,SUMMARY!$D$20),0)</f>
        <v>549.264706659888</v>
      </c>
      <c r="M92" s="281" t="n">
        <f aca="false">IF(SUMMARY!$D$21*12&gt;=K92,-PPMT(SUMMARY!$D$22/12,K92,SUMMARY!$D$21*12,SUMMARY!$D$20),0)</f>
        <v>298.795053405181</v>
      </c>
      <c r="N92" s="282" t="n">
        <f aca="false">+M92+L92</f>
        <v>848.059760065069</v>
      </c>
      <c r="P92" s="300"/>
      <c r="Q92" s="301"/>
      <c r="R92" s="301"/>
      <c r="S92" s="301"/>
    </row>
    <row r="93" customFormat="false" ht="12.75" hidden="false" customHeight="false" outlineLevel="0" collapsed="false">
      <c r="K93" s="280" t="n">
        <v>85</v>
      </c>
      <c r="L93" s="281" t="n">
        <f aca="false">-IF(SUMMARY!$D$21*12&gt;=K93,IPMT(SUMMARY!$D$22/12,K93,SUMMARY!$D$21*12,SUMMARY!$D$20),0)</f>
        <v>547.272739637187</v>
      </c>
      <c r="M93" s="281" t="n">
        <f aca="false">IF(SUMMARY!$D$21*12&gt;=K93,-PPMT(SUMMARY!$D$22/12,K93,SUMMARY!$D$21*12,SUMMARY!$D$20),0)</f>
        <v>300.787020427882</v>
      </c>
      <c r="N93" s="282" t="n">
        <f aca="false">+M93+L93</f>
        <v>848.059760065069</v>
      </c>
      <c r="P93" s="300"/>
      <c r="Q93" s="301"/>
      <c r="R93" s="301"/>
      <c r="S93" s="301"/>
    </row>
    <row r="94" customFormat="false" ht="12.75" hidden="false" customHeight="false" outlineLevel="0" collapsed="false">
      <c r="K94" s="280" t="n">
        <v>86</v>
      </c>
      <c r="L94" s="281" t="n">
        <f aca="false">-IF(SUMMARY!$D$21*12&gt;=K94,IPMT(SUMMARY!$D$22/12,K94,SUMMARY!$D$21*12,SUMMARY!$D$20),0)</f>
        <v>545.267492834334</v>
      </c>
      <c r="M94" s="281" t="n">
        <f aca="false">IF(SUMMARY!$D$21*12&gt;=K94,-PPMT(SUMMARY!$D$22/12,K94,SUMMARY!$D$21*12,SUMMARY!$D$20),0)</f>
        <v>302.792267230735</v>
      </c>
      <c r="N94" s="282" t="n">
        <f aca="false">+M94+L94</f>
        <v>848.059760065069</v>
      </c>
      <c r="P94" s="300"/>
      <c r="Q94" s="301"/>
      <c r="R94" s="301"/>
      <c r="S94" s="301"/>
    </row>
    <row r="95" customFormat="false" ht="12.75" hidden="false" customHeight="false" outlineLevel="0" collapsed="false">
      <c r="K95" s="280" t="n">
        <v>87</v>
      </c>
      <c r="L95" s="281" t="n">
        <f aca="false">-IF(SUMMARY!$D$21*12&gt;=K95,IPMT(SUMMARY!$D$22/12,K95,SUMMARY!$D$21*12,SUMMARY!$D$20),0)</f>
        <v>543.248877719463</v>
      </c>
      <c r="M95" s="281" t="n">
        <f aca="false">IF(SUMMARY!$D$21*12&gt;=K95,-PPMT(SUMMARY!$D$22/12,K95,SUMMARY!$D$21*12,SUMMARY!$D$20),0)</f>
        <v>304.810882345606</v>
      </c>
      <c r="N95" s="282" t="n">
        <f aca="false">+M95+L95</f>
        <v>848.059760065069</v>
      </c>
      <c r="P95" s="300"/>
      <c r="Q95" s="301"/>
      <c r="R95" s="301"/>
      <c r="S95" s="301"/>
    </row>
    <row r="96" customFormat="false" ht="12.75" hidden="false" customHeight="false" outlineLevel="0" collapsed="false">
      <c r="K96" s="280" t="n">
        <v>88</v>
      </c>
      <c r="L96" s="281" t="n">
        <f aca="false">-IF(SUMMARY!$D$21*12&gt;=K96,IPMT(SUMMARY!$D$22/12,K96,SUMMARY!$D$21*12,SUMMARY!$D$20),0)</f>
        <v>541.216805170492</v>
      </c>
      <c r="M96" s="281" t="n">
        <f aca="false">IF(SUMMARY!$D$21*12&gt;=K96,-PPMT(SUMMARY!$D$22/12,K96,SUMMARY!$D$21*12,SUMMARY!$D$20),0)</f>
        <v>306.842954894577</v>
      </c>
      <c r="N96" s="282" t="n">
        <f aca="false">+M96+L96</f>
        <v>848.059760065069</v>
      </c>
      <c r="P96" s="300"/>
      <c r="Q96" s="301"/>
      <c r="R96" s="301"/>
      <c r="S96" s="301"/>
    </row>
    <row r="97" customFormat="false" ht="12.75" hidden="false" customHeight="false" outlineLevel="0" collapsed="false">
      <c r="K97" s="280" t="n">
        <v>89</v>
      </c>
      <c r="L97" s="281" t="n">
        <f aca="false">-IF(SUMMARY!$D$21*12&gt;=K97,IPMT(SUMMARY!$D$22/12,K97,SUMMARY!$D$21*12,SUMMARY!$D$20),0)</f>
        <v>539.171185471195</v>
      </c>
      <c r="M97" s="281" t="n">
        <f aca="false">IF(SUMMARY!$D$21*12&gt;=K97,-PPMT(SUMMARY!$D$22/12,K97,SUMMARY!$D$21*12,SUMMARY!$D$20),0)</f>
        <v>308.888574593874</v>
      </c>
      <c r="N97" s="282" t="n">
        <f aca="false">+M97+L97</f>
        <v>848.059760065069</v>
      </c>
      <c r="P97" s="300"/>
      <c r="Q97" s="301"/>
      <c r="R97" s="301"/>
      <c r="S97" s="301"/>
    </row>
    <row r="98" customFormat="false" ht="12.75" hidden="false" customHeight="false" outlineLevel="0" collapsed="false">
      <c r="K98" s="280" t="n">
        <v>90</v>
      </c>
      <c r="L98" s="281" t="n">
        <f aca="false">-IF(SUMMARY!$D$21*12&gt;=K98,IPMT(SUMMARY!$D$22/12,K98,SUMMARY!$D$21*12,SUMMARY!$D$20),0)</f>
        <v>537.111928307236</v>
      </c>
      <c r="M98" s="281" t="n">
        <f aca="false">IF(SUMMARY!$D$21*12&gt;=K98,-PPMT(SUMMARY!$D$22/12,K98,SUMMARY!$D$21*12,SUMMARY!$D$20),0)</f>
        <v>310.947831757833</v>
      </c>
      <c r="N98" s="282" t="n">
        <f aca="false">+M98+L98</f>
        <v>848.059760065069</v>
      </c>
      <c r="P98" s="300"/>
      <c r="Q98" s="301"/>
      <c r="R98" s="301"/>
      <c r="S98" s="301"/>
    </row>
    <row r="99" customFormat="false" ht="12.75" hidden="false" customHeight="false" outlineLevel="0" collapsed="false">
      <c r="K99" s="280" t="n">
        <v>91</v>
      </c>
      <c r="L99" s="281" t="n">
        <f aca="false">-IF(SUMMARY!$D$21*12&gt;=K99,IPMT(SUMMARY!$D$22/12,K99,SUMMARY!$D$21*12,SUMMARY!$D$20),0)</f>
        <v>535.038942762184</v>
      </c>
      <c r="M99" s="281" t="n">
        <f aca="false">IF(SUMMARY!$D$21*12&gt;=K99,-PPMT(SUMMARY!$D$22/12,K99,SUMMARY!$D$21*12,SUMMARY!$D$20),0)</f>
        <v>313.020817302886</v>
      </c>
      <c r="N99" s="282" t="n">
        <f aca="false">+M99+L99</f>
        <v>848.059760065069</v>
      </c>
      <c r="P99" s="300"/>
      <c r="Q99" s="301"/>
      <c r="R99" s="301"/>
      <c r="S99" s="301"/>
    </row>
    <row r="100" customFormat="false" ht="12.75" hidden="false" customHeight="false" outlineLevel="0" collapsed="false">
      <c r="K100" s="280" t="n">
        <v>92</v>
      </c>
      <c r="L100" s="281" t="n">
        <f aca="false">-IF(SUMMARY!$D$21*12&gt;=K100,IPMT(SUMMARY!$D$22/12,K100,SUMMARY!$D$21*12,SUMMARY!$D$20),0)</f>
        <v>532.952137313498</v>
      </c>
      <c r="M100" s="281" t="n">
        <f aca="false">IF(SUMMARY!$D$21*12&gt;=K100,-PPMT(SUMMARY!$D$22/12,K100,SUMMARY!$D$21*12,SUMMARY!$D$20),0)</f>
        <v>315.107622751571</v>
      </c>
      <c r="N100" s="282" t="n">
        <f aca="false">+M100+L100</f>
        <v>848.059760065069</v>
      </c>
      <c r="P100" s="300"/>
      <c r="Q100" s="301"/>
      <c r="R100" s="301"/>
      <c r="S100" s="301"/>
    </row>
    <row r="101" customFormat="false" ht="12.75" hidden="false" customHeight="false" outlineLevel="0" collapsed="false">
      <c r="K101" s="280" t="n">
        <v>93</v>
      </c>
      <c r="L101" s="281" t="n">
        <f aca="false">-IF(SUMMARY!$D$21*12&gt;=K101,IPMT(SUMMARY!$D$22/12,K101,SUMMARY!$D$21*12,SUMMARY!$D$20),0)</f>
        <v>530.851419828488</v>
      </c>
      <c r="M101" s="281" t="n">
        <f aca="false">IF(SUMMARY!$D$21*12&gt;=K101,-PPMT(SUMMARY!$D$22/12,K101,SUMMARY!$D$21*12,SUMMARY!$D$20),0)</f>
        <v>317.208340236582</v>
      </c>
      <c r="N101" s="282" t="n">
        <f aca="false">+M101+L101</f>
        <v>848.059760065069</v>
      </c>
      <c r="P101" s="300"/>
      <c r="Q101" s="301"/>
      <c r="R101" s="301"/>
      <c r="S101" s="301"/>
    </row>
    <row r="102" customFormat="false" ht="12.75" hidden="false" customHeight="false" outlineLevel="0" collapsed="false">
      <c r="K102" s="280" t="n">
        <v>94</v>
      </c>
      <c r="L102" s="281" t="n">
        <f aca="false">-IF(SUMMARY!$D$21*12&gt;=K102,IPMT(SUMMARY!$D$22/12,K102,SUMMARY!$D$21*12,SUMMARY!$D$20),0)</f>
        <v>528.736697560244</v>
      </c>
      <c r="M102" s="281" t="n">
        <f aca="false">IF(SUMMARY!$D$21*12&gt;=K102,-PPMT(SUMMARY!$D$22/12,K102,SUMMARY!$D$21*12,SUMMARY!$D$20),0)</f>
        <v>319.323062504826</v>
      </c>
      <c r="N102" s="282" t="n">
        <f aca="false">+M102+L102</f>
        <v>848.059760065069</v>
      </c>
      <c r="P102" s="300"/>
      <c r="Q102" s="301"/>
      <c r="R102" s="301"/>
      <c r="S102" s="301"/>
    </row>
    <row r="103" customFormat="false" ht="12.75" hidden="false" customHeight="false" outlineLevel="0" collapsed="false">
      <c r="K103" s="280" t="n">
        <v>95</v>
      </c>
      <c r="L103" s="281" t="n">
        <f aca="false">-IF(SUMMARY!$D$21*12&gt;=K103,IPMT(SUMMARY!$D$22/12,K103,SUMMARY!$D$21*12,SUMMARY!$D$20),0)</f>
        <v>526.607877143545</v>
      </c>
      <c r="M103" s="281" t="n">
        <f aca="false">IF(SUMMARY!$D$21*12&gt;=K103,-PPMT(SUMMARY!$D$22/12,K103,SUMMARY!$D$21*12,SUMMARY!$D$20),0)</f>
        <v>321.451882921525</v>
      </c>
      <c r="N103" s="282" t="n">
        <f aca="false">+M103+L103</f>
        <v>848.059760065069</v>
      </c>
      <c r="P103" s="300"/>
      <c r="Q103" s="301"/>
      <c r="R103" s="301"/>
      <c r="S103" s="301"/>
    </row>
    <row r="104" customFormat="false" ht="12.75" hidden="false" customHeight="false" outlineLevel="0" collapsed="false">
      <c r="K104" s="280" t="n">
        <v>96</v>
      </c>
      <c r="L104" s="281" t="n">
        <f aca="false">-IF(SUMMARY!$D$21*12&gt;=K104,IPMT(SUMMARY!$D$22/12,K104,SUMMARY!$D$21*12,SUMMARY!$D$20),0)</f>
        <v>524.464864590735</v>
      </c>
      <c r="M104" s="281" t="n">
        <f aca="false">IF(SUMMARY!$D$21*12&gt;=K104,-PPMT(SUMMARY!$D$22/12,K104,SUMMARY!$D$21*12,SUMMARY!$D$20),0)</f>
        <v>323.594895474335</v>
      </c>
      <c r="N104" s="282" t="n">
        <f aca="false">+M104+L104</f>
        <v>848.059760065069</v>
      </c>
      <c r="P104" s="300"/>
      <c r="Q104" s="301"/>
      <c r="R104" s="301"/>
      <c r="S104" s="301"/>
    </row>
    <row r="105" customFormat="false" ht="12.75" hidden="false" customHeight="false" outlineLevel="0" collapsed="false">
      <c r="K105" s="280" t="n">
        <v>97</v>
      </c>
      <c r="L105" s="281" t="n">
        <f aca="false">-IF(SUMMARY!$D$21*12&gt;=K105,IPMT(SUMMARY!$D$22/12,K105,SUMMARY!$D$21*12,SUMMARY!$D$20),0)</f>
        <v>522.307565287572</v>
      </c>
      <c r="M105" s="281" t="n">
        <f aca="false">IF(SUMMARY!$D$21*12&gt;=K105,-PPMT(SUMMARY!$D$22/12,K105,SUMMARY!$D$21*12,SUMMARY!$D$20),0)</f>
        <v>325.752194777497</v>
      </c>
      <c r="N105" s="282" t="n">
        <f aca="false">+M105+L105</f>
        <v>848.059760065069</v>
      </c>
      <c r="P105" s="300"/>
      <c r="Q105" s="301"/>
      <c r="R105" s="301"/>
      <c r="S105" s="301"/>
    </row>
    <row r="106" customFormat="false" ht="12.75" hidden="false" customHeight="false" outlineLevel="0" collapsed="false">
      <c r="K106" s="280" t="n">
        <v>98</v>
      </c>
      <c r="L106" s="281" t="n">
        <f aca="false">-IF(SUMMARY!$D$21*12&gt;=K106,IPMT(SUMMARY!$D$22/12,K106,SUMMARY!$D$21*12,SUMMARY!$D$20),0)</f>
        <v>520.135883989056</v>
      </c>
      <c r="M106" s="281" t="n">
        <f aca="false">IF(SUMMARY!$D$21*12&gt;=K106,-PPMT(SUMMARY!$D$22/12,K106,SUMMARY!$D$21*12,SUMMARY!$D$20),0)</f>
        <v>327.923876076014</v>
      </c>
      <c r="N106" s="282" t="n">
        <f aca="false">+M106+L106</f>
        <v>848.059760065069</v>
      </c>
      <c r="P106" s="300"/>
      <c r="Q106" s="301"/>
      <c r="R106" s="301"/>
      <c r="S106" s="301"/>
    </row>
    <row r="107" customFormat="false" ht="12.75" hidden="false" customHeight="false" outlineLevel="0" collapsed="false">
      <c r="K107" s="280" t="n">
        <v>99</v>
      </c>
      <c r="L107" s="281" t="n">
        <f aca="false">-IF(SUMMARY!$D$21*12&gt;=K107,IPMT(SUMMARY!$D$22/12,K107,SUMMARY!$D$21*12,SUMMARY!$D$20),0)</f>
        <v>517.949724815216</v>
      </c>
      <c r="M107" s="281" t="n">
        <f aca="false">IF(SUMMARY!$D$21*12&gt;=K107,-PPMT(SUMMARY!$D$22/12,K107,SUMMARY!$D$21*12,SUMMARY!$D$20),0)</f>
        <v>330.110035249854</v>
      </c>
      <c r="N107" s="282" t="n">
        <f aca="false">+M107+L107</f>
        <v>848.059760065069</v>
      </c>
      <c r="P107" s="300"/>
      <c r="Q107" s="301"/>
      <c r="R107" s="301"/>
      <c r="S107" s="301"/>
    </row>
    <row r="108" customFormat="false" ht="12.75" hidden="false" customHeight="false" outlineLevel="0" collapsed="false">
      <c r="K108" s="280" t="n">
        <v>100</v>
      </c>
      <c r="L108" s="281" t="n">
        <f aca="false">-IF(SUMMARY!$D$21*12&gt;=K108,IPMT(SUMMARY!$D$22/12,K108,SUMMARY!$D$21*12,SUMMARY!$D$20),0)</f>
        <v>515.748991246883</v>
      </c>
      <c r="M108" s="281" t="n">
        <f aca="false">IF(SUMMARY!$D$21*12&gt;=K108,-PPMT(SUMMARY!$D$22/12,K108,SUMMARY!$D$21*12,SUMMARY!$D$20),0)</f>
        <v>332.310768818186</v>
      </c>
      <c r="N108" s="282" t="n">
        <f aca="false">+M108+L108</f>
        <v>848.059760065069</v>
      </c>
      <c r="P108" s="300"/>
      <c r="Q108" s="301"/>
      <c r="R108" s="301"/>
      <c r="S108" s="301"/>
    </row>
    <row r="109" customFormat="false" ht="12.75" hidden="false" customHeight="false" outlineLevel="0" collapsed="false">
      <c r="K109" s="280" t="n">
        <v>101</v>
      </c>
      <c r="L109" s="281" t="n">
        <f aca="false">-IF(SUMMARY!$D$21*12&gt;=K109,IPMT(SUMMARY!$D$22/12,K109,SUMMARY!$D$21*12,SUMMARY!$D$20),0)</f>
        <v>513.533586121429</v>
      </c>
      <c r="M109" s="281" t="n">
        <f aca="false">IF(SUMMARY!$D$21*12&gt;=K109,-PPMT(SUMMARY!$D$22/12,K109,SUMMARY!$D$21*12,SUMMARY!$D$20),0)</f>
        <v>334.526173943641</v>
      </c>
      <c r="N109" s="282" t="n">
        <f aca="false">+M109+L109</f>
        <v>848.059760065069</v>
      </c>
      <c r="P109" s="300"/>
      <c r="Q109" s="301"/>
      <c r="R109" s="301"/>
      <c r="S109" s="301"/>
    </row>
    <row r="110" customFormat="false" ht="12.75" hidden="false" customHeight="false" outlineLevel="0" collapsed="false">
      <c r="K110" s="280" t="n">
        <v>102</v>
      </c>
      <c r="L110" s="281" t="n">
        <f aca="false">-IF(SUMMARY!$D$21*12&gt;=K110,IPMT(SUMMARY!$D$22/12,K110,SUMMARY!$D$21*12,SUMMARY!$D$20),0)</f>
        <v>511.303411628471</v>
      </c>
      <c r="M110" s="281" t="n">
        <f aca="false">IF(SUMMARY!$D$21*12&gt;=K110,-PPMT(SUMMARY!$D$22/12,K110,SUMMARY!$D$21*12,SUMMARY!$D$20),0)</f>
        <v>336.756348436598</v>
      </c>
      <c r="N110" s="282" t="n">
        <f aca="false">+M110+L110</f>
        <v>848.059760065069</v>
      </c>
      <c r="P110" s="300"/>
      <c r="Q110" s="301"/>
      <c r="R110" s="301"/>
      <c r="S110" s="301"/>
    </row>
    <row r="111" customFormat="false" ht="12.75" hidden="false" customHeight="false" outlineLevel="0" collapsed="false">
      <c r="K111" s="280" t="n">
        <v>103</v>
      </c>
      <c r="L111" s="281" t="n">
        <f aca="false">-IF(SUMMARY!$D$21*12&gt;=K111,IPMT(SUMMARY!$D$22/12,K111,SUMMARY!$D$21*12,SUMMARY!$D$20),0)</f>
        <v>509.058369305561</v>
      </c>
      <c r="M111" s="281" t="n">
        <f aca="false">IF(SUMMARY!$D$21*12&gt;=K111,-PPMT(SUMMARY!$D$22/12,K111,SUMMARY!$D$21*12,SUMMARY!$D$20),0)</f>
        <v>339.001390759509</v>
      </c>
      <c r="N111" s="282" t="n">
        <f aca="false">+M111+L111</f>
        <v>848.059760065069</v>
      </c>
      <c r="P111" s="300"/>
      <c r="Q111" s="301"/>
      <c r="R111" s="301"/>
      <c r="S111" s="301"/>
    </row>
    <row r="112" customFormat="false" ht="12.75" hidden="false" customHeight="false" outlineLevel="0" collapsed="false">
      <c r="K112" s="280" t="n">
        <v>104</v>
      </c>
      <c r="L112" s="281" t="n">
        <f aca="false">-IF(SUMMARY!$D$21*12&gt;=K112,IPMT(SUMMARY!$D$22/12,K112,SUMMARY!$D$21*12,SUMMARY!$D$20),0)</f>
        <v>506.79836003383</v>
      </c>
      <c r="M112" s="281" t="n">
        <f aca="false">IF(SUMMARY!$D$21*12&gt;=K112,-PPMT(SUMMARY!$D$22/12,K112,SUMMARY!$D$21*12,SUMMARY!$D$20),0)</f>
        <v>341.261400031239</v>
      </c>
      <c r="N112" s="282" t="n">
        <f aca="false">+M112+L112</f>
        <v>848.059760065069</v>
      </c>
      <c r="P112" s="300"/>
      <c r="Q112" s="301"/>
      <c r="R112" s="301"/>
      <c r="S112" s="301"/>
    </row>
    <row r="113" customFormat="false" ht="12.75" hidden="false" customHeight="false" outlineLevel="0" collapsed="false">
      <c r="K113" s="280" t="n">
        <v>105</v>
      </c>
      <c r="L113" s="281" t="n">
        <f aca="false">-IF(SUMMARY!$D$21*12&gt;=K113,IPMT(SUMMARY!$D$22/12,K113,SUMMARY!$D$21*12,SUMMARY!$D$20),0)</f>
        <v>504.523284033622</v>
      </c>
      <c r="M113" s="281" t="n">
        <f aca="false">IF(SUMMARY!$D$21*12&gt;=K113,-PPMT(SUMMARY!$D$22/12,K113,SUMMARY!$D$21*12,SUMMARY!$D$20),0)</f>
        <v>343.536476031447</v>
      </c>
      <c r="N113" s="282" t="n">
        <f aca="false">+M113+L113</f>
        <v>848.059760065069</v>
      </c>
      <c r="P113" s="300"/>
      <c r="Q113" s="301"/>
      <c r="R113" s="301"/>
      <c r="S113" s="301"/>
    </row>
    <row r="114" customFormat="false" ht="12.75" hidden="false" customHeight="false" outlineLevel="0" collapsed="false">
      <c r="K114" s="280" t="n">
        <v>106</v>
      </c>
      <c r="L114" s="281" t="n">
        <f aca="false">-IF(SUMMARY!$D$21*12&gt;=K114,IPMT(SUMMARY!$D$22/12,K114,SUMMARY!$D$21*12,SUMMARY!$D$20),0)</f>
        <v>502.233040860079</v>
      </c>
      <c r="M114" s="281" t="n">
        <f aca="false">IF(SUMMARY!$D$21*12&gt;=K114,-PPMT(SUMMARY!$D$22/12,K114,SUMMARY!$D$21*12,SUMMARY!$D$20),0)</f>
        <v>345.82671920499</v>
      </c>
      <c r="N114" s="282" t="n">
        <f aca="false">+M114+L114</f>
        <v>848.059760065069</v>
      </c>
      <c r="P114" s="300"/>
      <c r="Q114" s="301"/>
      <c r="R114" s="301"/>
      <c r="S114" s="301"/>
    </row>
    <row r="115" customFormat="false" ht="12.75" hidden="false" customHeight="false" outlineLevel="0" collapsed="false">
      <c r="K115" s="280" t="n">
        <v>107</v>
      </c>
      <c r="L115" s="281" t="n">
        <f aca="false">-IF(SUMMARY!$D$21*12&gt;=K115,IPMT(SUMMARY!$D$22/12,K115,SUMMARY!$D$21*12,SUMMARY!$D$20),0)</f>
        <v>499.927529398713</v>
      </c>
      <c r="M115" s="281" t="n">
        <f aca="false">IF(SUMMARY!$D$21*12&gt;=K115,-PPMT(SUMMARY!$D$22/12,K115,SUMMARY!$D$21*12,SUMMARY!$D$20),0)</f>
        <v>348.132230666357</v>
      </c>
      <c r="N115" s="282" t="n">
        <f aca="false">+M115+L115</f>
        <v>848.059760065069</v>
      </c>
      <c r="P115" s="300"/>
      <c r="Q115" s="301"/>
      <c r="R115" s="301"/>
      <c r="S115" s="301"/>
    </row>
    <row r="116" customFormat="false" ht="12.75" hidden="false" customHeight="false" outlineLevel="0" collapsed="false">
      <c r="K116" s="280" t="n">
        <v>108</v>
      </c>
      <c r="L116" s="281" t="n">
        <f aca="false">-IF(SUMMARY!$D$21*12&gt;=K116,IPMT(SUMMARY!$D$22/12,K116,SUMMARY!$D$21*12,SUMMARY!$D$20),0)</f>
        <v>497.606647860937</v>
      </c>
      <c r="M116" s="281" t="n">
        <f aca="false">IF(SUMMARY!$D$21*12&gt;=K116,-PPMT(SUMMARY!$D$22/12,K116,SUMMARY!$D$21*12,SUMMARY!$D$20),0)</f>
        <v>350.453112204132</v>
      </c>
      <c r="N116" s="282" t="n">
        <f aca="false">+M116+L116</f>
        <v>848.059760065069</v>
      </c>
      <c r="P116" s="300"/>
      <c r="Q116" s="301"/>
      <c r="R116" s="301"/>
      <c r="S116" s="301"/>
    </row>
    <row r="117" customFormat="false" ht="12.75" hidden="false" customHeight="false" outlineLevel="0" collapsed="false">
      <c r="K117" s="280" t="n">
        <v>109</v>
      </c>
      <c r="L117" s="281" t="n">
        <f aca="false">-IF(SUMMARY!$D$21*12&gt;=K117,IPMT(SUMMARY!$D$22/12,K117,SUMMARY!$D$21*12,SUMMARY!$D$20),0)</f>
        <v>495.270293779576</v>
      </c>
      <c r="M117" s="281" t="n">
        <f aca="false">IF(SUMMARY!$D$21*12&gt;=K117,-PPMT(SUMMARY!$D$22/12,K117,SUMMARY!$D$21*12,SUMMARY!$D$20),0)</f>
        <v>352.789466285493</v>
      </c>
      <c r="N117" s="282" t="n">
        <f aca="false">+M117+L117</f>
        <v>848.059760065069</v>
      </c>
      <c r="P117" s="300"/>
      <c r="Q117" s="301"/>
      <c r="R117" s="301"/>
      <c r="S117" s="301"/>
    </row>
    <row r="118" customFormat="false" ht="12.75" hidden="false" customHeight="false" outlineLevel="0" collapsed="false">
      <c r="K118" s="280" t="n">
        <v>110</v>
      </c>
      <c r="L118" s="281" t="n">
        <f aca="false">-IF(SUMMARY!$D$21*12&gt;=K118,IPMT(SUMMARY!$D$22/12,K118,SUMMARY!$D$21*12,SUMMARY!$D$20),0)</f>
        <v>492.91836400434</v>
      </c>
      <c r="M118" s="281" t="n">
        <f aca="false">IF(SUMMARY!$D$21*12&gt;=K118,-PPMT(SUMMARY!$D$22/12,K118,SUMMARY!$D$21*12,SUMMARY!$D$20),0)</f>
        <v>355.14139606073</v>
      </c>
      <c r="N118" s="282" t="n">
        <f aca="false">+M118+L118</f>
        <v>848.059760065069</v>
      </c>
      <c r="P118" s="300"/>
      <c r="Q118" s="301"/>
      <c r="R118" s="301"/>
      <c r="S118" s="301"/>
    </row>
    <row r="119" customFormat="false" ht="12.75" hidden="false" customHeight="false" outlineLevel="0" collapsed="false">
      <c r="K119" s="280" t="n">
        <v>111</v>
      </c>
      <c r="L119" s="281" t="n">
        <f aca="false">-IF(SUMMARY!$D$21*12&gt;=K119,IPMT(SUMMARY!$D$22/12,K119,SUMMARY!$D$21*12,SUMMARY!$D$20),0)</f>
        <v>490.550754697268</v>
      </c>
      <c r="M119" s="281" t="n">
        <f aca="false">IF(SUMMARY!$D$21*12&gt;=K119,-PPMT(SUMMARY!$D$22/12,K119,SUMMARY!$D$21*12,SUMMARY!$D$20),0)</f>
        <v>357.509005367801</v>
      </c>
      <c r="N119" s="282" t="n">
        <f aca="false">+M119+L119</f>
        <v>848.059760065069</v>
      </c>
      <c r="P119" s="300"/>
      <c r="Q119" s="301"/>
      <c r="R119" s="301"/>
      <c r="S119" s="301"/>
    </row>
    <row r="120" customFormat="false" ht="12.75" hidden="false" customHeight="false" outlineLevel="0" collapsed="false">
      <c r="K120" s="280" t="n">
        <v>112</v>
      </c>
      <c r="L120" s="281" t="n">
        <f aca="false">-IF(SUMMARY!$D$21*12&gt;=K120,IPMT(SUMMARY!$D$22/12,K120,SUMMARY!$D$21*12,SUMMARY!$D$20),0)</f>
        <v>488.16736132815</v>
      </c>
      <c r="M120" s="281" t="n">
        <f aca="false">IF(SUMMARY!$D$21*12&gt;=K120,-PPMT(SUMMARY!$D$22/12,K120,SUMMARY!$D$21*12,SUMMARY!$D$20),0)</f>
        <v>359.89239873692</v>
      </c>
      <c r="N120" s="282" t="n">
        <f aca="false">+M120+L120</f>
        <v>848.059760065069</v>
      </c>
      <c r="P120" s="300"/>
      <c r="Q120" s="301"/>
      <c r="R120" s="301"/>
      <c r="S120" s="301"/>
    </row>
    <row r="121" customFormat="false" ht="12.75" hidden="false" customHeight="false" outlineLevel="0" collapsed="false">
      <c r="K121" s="280" t="n">
        <v>113</v>
      </c>
      <c r="L121" s="281" t="n">
        <f aca="false">-IF(SUMMARY!$D$21*12&gt;=K121,IPMT(SUMMARY!$D$22/12,K121,SUMMARY!$D$21*12,SUMMARY!$D$20),0)</f>
        <v>485.768078669903</v>
      </c>
      <c r="M121" s="281" t="n">
        <f aca="false">IF(SUMMARY!$D$21*12&gt;=K121,-PPMT(SUMMARY!$D$22/12,K121,SUMMARY!$D$21*12,SUMMARY!$D$20),0)</f>
        <v>362.291681395166</v>
      </c>
      <c r="N121" s="282" t="n">
        <f aca="false">+M121+L121</f>
        <v>848.059760065069</v>
      </c>
      <c r="P121" s="300"/>
      <c r="Q121" s="301"/>
      <c r="R121" s="301"/>
      <c r="S121" s="301"/>
    </row>
    <row r="122" customFormat="false" ht="12.75" hidden="false" customHeight="false" outlineLevel="0" collapsed="false">
      <c r="K122" s="280" t="n">
        <v>114</v>
      </c>
      <c r="L122" s="281" t="n">
        <f aca="false">-IF(SUMMARY!$D$21*12&gt;=K122,IPMT(SUMMARY!$D$22/12,K122,SUMMARY!$D$21*12,SUMMARY!$D$20),0)</f>
        <v>483.352800793936</v>
      </c>
      <c r="M122" s="281" t="n">
        <f aca="false">IF(SUMMARY!$D$21*12&gt;=K122,-PPMT(SUMMARY!$D$22/12,K122,SUMMARY!$D$21*12,SUMMARY!$D$20),0)</f>
        <v>364.706959271134</v>
      </c>
      <c r="N122" s="282" t="n">
        <f aca="false">+M122+L122</f>
        <v>848.059760065069</v>
      </c>
      <c r="P122" s="300"/>
      <c r="Q122" s="301"/>
      <c r="R122" s="301"/>
      <c r="S122" s="301"/>
    </row>
    <row r="123" customFormat="false" ht="12.75" hidden="false" customHeight="false" outlineLevel="0" collapsed="false">
      <c r="K123" s="280" t="n">
        <v>115</v>
      </c>
      <c r="L123" s="281" t="n">
        <f aca="false">-IF(SUMMARY!$D$21*12&gt;=K123,IPMT(SUMMARY!$D$22/12,K123,SUMMARY!$D$21*12,SUMMARY!$D$20),0)</f>
        <v>480.921421065461</v>
      </c>
      <c r="M123" s="281" t="n">
        <f aca="false">IF(SUMMARY!$D$21*12&gt;=K123,-PPMT(SUMMARY!$D$22/12,K123,SUMMARY!$D$21*12,SUMMARY!$D$20),0)</f>
        <v>367.138338999608</v>
      </c>
      <c r="N123" s="282" t="n">
        <f aca="false">+M123+L123</f>
        <v>848.059760065069</v>
      </c>
      <c r="P123" s="300"/>
      <c r="Q123" s="301"/>
      <c r="R123" s="301"/>
      <c r="S123" s="301"/>
    </row>
    <row r="124" customFormat="false" ht="12.75" hidden="false" customHeight="false" outlineLevel="0" collapsed="false">
      <c r="K124" s="280" t="n">
        <v>116</v>
      </c>
      <c r="L124" s="281" t="n">
        <f aca="false">-IF(SUMMARY!$D$21*12&gt;=K124,IPMT(SUMMARY!$D$22/12,K124,SUMMARY!$D$21*12,SUMMARY!$D$20),0)</f>
        <v>478.473832138797</v>
      </c>
      <c r="M124" s="281" t="n">
        <f aca="false">IF(SUMMARY!$D$21*12&gt;=K124,-PPMT(SUMMARY!$D$22/12,K124,SUMMARY!$D$21*12,SUMMARY!$D$20),0)</f>
        <v>369.585927926272</v>
      </c>
      <c r="N124" s="282" t="n">
        <f aca="false">+M124+L124</f>
        <v>848.059760065069</v>
      </c>
      <c r="P124" s="300"/>
      <c r="Q124" s="301"/>
      <c r="R124" s="301"/>
      <c r="S124" s="301"/>
    </row>
    <row r="125" customFormat="false" ht="12.75" hidden="false" customHeight="false" outlineLevel="0" collapsed="false">
      <c r="K125" s="280" t="n">
        <v>117</v>
      </c>
      <c r="L125" s="281" t="n">
        <f aca="false">-IF(SUMMARY!$D$21*12&gt;=K125,IPMT(SUMMARY!$D$22/12,K125,SUMMARY!$D$21*12,SUMMARY!$D$20),0)</f>
        <v>476.009925952622</v>
      </c>
      <c r="M125" s="281" t="n">
        <f aca="false">IF(SUMMARY!$D$21*12&gt;=K125,-PPMT(SUMMARY!$D$22/12,K125,SUMMARY!$D$21*12,SUMMARY!$D$20),0)</f>
        <v>372.049834112447</v>
      </c>
      <c r="N125" s="282" t="n">
        <f aca="false">+M125+L125</f>
        <v>848.059760065069</v>
      </c>
      <c r="P125" s="300"/>
      <c r="Q125" s="301"/>
      <c r="R125" s="301"/>
      <c r="S125" s="301"/>
    </row>
    <row r="126" customFormat="false" ht="12.75" hidden="false" customHeight="false" outlineLevel="0" collapsed="false">
      <c r="K126" s="280" t="n">
        <v>118</v>
      </c>
      <c r="L126" s="281" t="n">
        <f aca="false">-IF(SUMMARY!$D$21*12&gt;=K126,IPMT(SUMMARY!$D$22/12,K126,SUMMARY!$D$21*12,SUMMARY!$D$20),0)</f>
        <v>473.529593725206</v>
      </c>
      <c r="M126" s="281" t="n">
        <f aca="false">IF(SUMMARY!$D$21*12&gt;=K126,-PPMT(SUMMARY!$D$22/12,K126,SUMMARY!$D$21*12,SUMMARY!$D$20),0)</f>
        <v>374.530166339863</v>
      </c>
      <c r="N126" s="282" t="n">
        <f aca="false">+M126+L126</f>
        <v>848.059760065069</v>
      </c>
      <c r="P126" s="300"/>
      <c r="Q126" s="301"/>
      <c r="R126" s="301"/>
      <c r="S126" s="301"/>
    </row>
    <row r="127" customFormat="false" ht="12.75" hidden="false" customHeight="false" outlineLevel="0" collapsed="false">
      <c r="K127" s="280" t="n">
        <v>119</v>
      </c>
      <c r="L127" s="281" t="n">
        <f aca="false">-IF(SUMMARY!$D$21*12&gt;=K127,IPMT(SUMMARY!$D$22/12,K127,SUMMARY!$D$21*12,SUMMARY!$D$20),0)</f>
        <v>471.032725949607</v>
      </c>
      <c r="M127" s="281" t="n">
        <f aca="false">IF(SUMMARY!$D$21*12&gt;=K127,-PPMT(SUMMARY!$D$22/12,K127,SUMMARY!$D$21*12,SUMMARY!$D$20),0)</f>
        <v>377.027034115462</v>
      </c>
      <c r="N127" s="282" t="n">
        <f aca="false">+M127+L127</f>
        <v>848.059760065069</v>
      </c>
      <c r="P127" s="300"/>
      <c r="Q127" s="301"/>
      <c r="R127" s="301"/>
      <c r="S127" s="301"/>
    </row>
    <row r="128" customFormat="false" ht="12.75" hidden="false" customHeight="false" outlineLevel="0" collapsed="false">
      <c r="K128" s="280" t="n">
        <v>120</v>
      </c>
      <c r="L128" s="281" t="n">
        <f aca="false">-IF(SUMMARY!$D$21*12&gt;=K128,IPMT(SUMMARY!$D$22/12,K128,SUMMARY!$D$21*12,SUMMARY!$D$20),0)</f>
        <v>468.519212388837</v>
      </c>
      <c r="M128" s="281" t="n">
        <f aca="false">IF(SUMMARY!$D$21*12&gt;=K128,-PPMT(SUMMARY!$D$22/12,K128,SUMMARY!$D$21*12,SUMMARY!$D$20),0)</f>
        <v>379.540547676232</v>
      </c>
      <c r="N128" s="282" t="n">
        <f aca="false">+M128+L128</f>
        <v>848.059760065069</v>
      </c>
      <c r="P128" s="300"/>
      <c r="Q128" s="301"/>
      <c r="R128" s="301"/>
      <c r="S128" s="301"/>
    </row>
    <row r="129" customFormat="false" ht="12.75" hidden="false" customHeight="false" outlineLevel="0" collapsed="false">
      <c r="K129" s="280" t="n">
        <v>121</v>
      </c>
      <c r="L129" s="281" t="n">
        <f aca="false">-IF(SUMMARY!$D$21*12&gt;=K129,IPMT(SUMMARY!$D$22/12,K129,SUMMARY!$D$21*12,SUMMARY!$D$20),0)</f>
        <v>465.988942070996</v>
      </c>
      <c r="M129" s="281" t="n">
        <f aca="false">IF(SUMMARY!$D$21*12&gt;=K129,-PPMT(SUMMARY!$D$22/12,K129,SUMMARY!$D$21*12,SUMMARY!$D$20),0)</f>
        <v>382.070817994074</v>
      </c>
      <c r="N129" s="282" t="n">
        <f aca="false">+M129+L129</f>
        <v>848.059760065069</v>
      </c>
      <c r="P129" s="300"/>
      <c r="Q129" s="301"/>
      <c r="R129" s="301"/>
      <c r="S129" s="301"/>
    </row>
    <row r="130" customFormat="false" ht="12.75" hidden="false" customHeight="false" outlineLevel="0" collapsed="false">
      <c r="K130" s="280" t="n">
        <v>122</v>
      </c>
      <c r="L130" s="281" t="n">
        <f aca="false">-IF(SUMMARY!$D$21*12&gt;=K130,IPMT(SUMMARY!$D$22/12,K130,SUMMARY!$D$21*12,SUMMARY!$D$20),0)</f>
        <v>463.441803284369</v>
      </c>
      <c r="M130" s="281" t="n">
        <f aca="false">IF(SUMMARY!$D$21*12&gt;=K130,-PPMT(SUMMARY!$D$22/12,K130,SUMMARY!$D$21*12,SUMMARY!$D$20),0)</f>
        <v>384.617956780701</v>
      </c>
      <c r="N130" s="282" t="n">
        <f aca="false">+M130+L130</f>
        <v>848.059760065069</v>
      </c>
      <c r="P130" s="300"/>
      <c r="Q130" s="301"/>
      <c r="R130" s="301"/>
      <c r="S130" s="301"/>
    </row>
    <row r="131" customFormat="false" ht="12.75" hidden="false" customHeight="false" outlineLevel="0" collapsed="false">
      <c r="K131" s="280" t="n">
        <v>123</v>
      </c>
      <c r="L131" s="281" t="n">
        <f aca="false">-IF(SUMMARY!$D$21*12&gt;=K131,IPMT(SUMMARY!$D$22/12,K131,SUMMARY!$D$21*12,SUMMARY!$D$20),0)</f>
        <v>460.877683572497</v>
      </c>
      <c r="M131" s="281" t="n">
        <f aca="false">IF(SUMMARY!$D$21*12&gt;=K131,-PPMT(SUMMARY!$D$22/12,K131,SUMMARY!$D$21*12,SUMMARY!$D$20),0)</f>
        <v>387.182076492572</v>
      </c>
      <c r="N131" s="282" t="n">
        <f aca="false">+M131+L131</f>
        <v>848.059760065069</v>
      </c>
      <c r="P131" s="300"/>
      <c r="Q131" s="301"/>
      <c r="R131" s="301"/>
      <c r="S131" s="301"/>
    </row>
    <row r="132" customFormat="false" ht="12.75" hidden="false" customHeight="false" outlineLevel="0" collapsed="false">
      <c r="K132" s="280" t="n">
        <v>124</v>
      </c>
      <c r="L132" s="281" t="n">
        <f aca="false">-IF(SUMMARY!$D$21*12&gt;=K132,IPMT(SUMMARY!$D$22/12,K132,SUMMARY!$D$21*12,SUMMARY!$D$20),0)</f>
        <v>458.296469729214</v>
      </c>
      <c r="M132" s="281" t="n">
        <f aca="false">IF(SUMMARY!$D$21*12&gt;=K132,-PPMT(SUMMARY!$D$22/12,K132,SUMMARY!$D$21*12,SUMMARY!$D$20),0)</f>
        <v>389.763290335856</v>
      </c>
      <c r="N132" s="282" t="n">
        <f aca="false">+M132+L132</f>
        <v>848.059760065069</v>
      </c>
      <c r="P132" s="300"/>
      <c r="Q132" s="301"/>
      <c r="R132" s="301"/>
      <c r="S132" s="301"/>
    </row>
    <row r="133" customFormat="false" ht="12.75" hidden="false" customHeight="false" outlineLevel="0" collapsed="false">
      <c r="K133" s="280" t="n">
        <v>125</v>
      </c>
      <c r="L133" s="281" t="n">
        <f aca="false">-IF(SUMMARY!$D$21*12&gt;=K133,IPMT(SUMMARY!$D$22/12,K133,SUMMARY!$D$21*12,SUMMARY!$D$20),0)</f>
        <v>455.698047793641</v>
      </c>
      <c r="M133" s="281" t="n">
        <f aca="false">IF(SUMMARY!$D$21*12&gt;=K133,-PPMT(SUMMARY!$D$22/12,K133,SUMMARY!$D$21*12,SUMMARY!$D$20),0)</f>
        <v>392.361712271428</v>
      </c>
      <c r="N133" s="282" t="n">
        <f aca="false">+M133+L133</f>
        <v>848.059760065069</v>
      </c>
      <c r="P133" s="300"/>
      <c r="Q133" s="301"/>
      <c r="R133" s="301"/>
      <c r="S133" s="301"/>
    </row>
    <row r="134" customFormat="false" ht="12.75" hidden="false" customHeight="false" outlineLevel="0" collapsed="false">
      <c r="K134" s="280" t="n">
        <v>126</v>
      </c>
      <c r="L134" s="281" t="n">
        <f aca="false">-IF(SUMMARY!$D$21*12&gt;=K134,IPMT(SUMMARY!$D$22/12,K134,SUMMARY!$D$21*12,SUMMARY!$D$20),0)</f>
        <v>453.082303045165</v>
      </c>
      <c r="M134" s="281" t="n">
        <f aca="false">IF(SUMMARY!$D$21*12&gt;=K134,-PPMT(SUMMARY!$D$22/12,K134,SUMMARY!$D$21*12,SUMMARY!$D$20),0)</f>
        <v>394.977457019905</v>
      </c>
      <c r="N134" s="282" t="n">
        <f aca="false">+M134+L134</f>
        <v>848.059760065069</v>
      </c>
      <c r="P134" s="300"/>
      <c r="Q134" s="301"/>
      <c r="R134" s="301"/>
      <c r="S134" s="301"/>
    </row>
    <row r="135" customFormat="false" ht="12.75" hidden="false" customHeight="false" outlineLevel="0" collapsed="false">
      <c r="K135" s="280" t="n">
        <v>127</v>
      </c>
      <c r="L135" s="281" t="n">
        <f aca="false">-IF(SUMMARY!$D$21*12&gt;=K135,IPMT(SUMMARY!$D$22/12,K135,SUMMARY!$D$21*12,SUMMARY!$D$20),0)</f>
        <v>450.449119998366</v>
      </c>
      <c r="M135" s="281" t="n">
        <f aca="false">IF(SUMMARY!$D$21*12&gt;=K135,-PPMT(SUMMARY!$D$22/12,K135,SUMMARY!$D$21*12,SUMMARY!$D$20),0)</f>
        <v>397.610640066704</v>
      </c>
      <c r="N135" s="282" t="n">
        <f aca="false">+M135+L135</f>
        <v>848.059760065069</v>
      </c>
      <c r="P135" s="300"/>
      <c r="Q135" s="301"/>
      <c r="R135" s="301"/>
      <c r="S135" s="301"/>
    </row>
    <row r="136" customFormat="false" ht="12.75" hidden="false" customHeight="false" outlineLevel="0" collapsed="false">
      <c r="K136" s="280" t="n">
        <v>128</v>
      </c>
      <c r="L136" s="281" t="n">
        <f aca="false">-IF(SUMMARY!$D$21*12&gt;=K136,IPMT(SUMMARY!$D$22/12,K136,SUMMARY!$D$21*12,SUMMARY!$D$20),0)</f>
        <v>447.798382397921</v>
      </c>
      <c r="M136" s="281" t="n">
        <f aca="false">IF(SUMMARY!$D$21*12&gt;=K136,-PPMT(SUMMARY!$D$22/12,K136,SUMMARY!$D$21*12,SUMMARY!$D$20),0)</f>
        <v>400.261377667148</v>
      </c>
      <c r="N136" s="282" t="n">
        <f aca="false">+M136+L136</f>
        <v>848.059760065069</v>
      </c>
      <c r="P136" s="300"/>
      <c r="Q136" s="301"/>
      <c r="R136" s="301"/>
      <c r="S136" s="301"/>
    </row>
    <row r="137" customFormat="false" ht="12.75" hidden="false" customHeight="false" outlineLevel="0" collapsed="false">
      <c r="K137" s="280" t="n">
        <v>129</v>
      </c>
      <c r="L137" s="281" t="n">
        <f aca="false">-IF(SUMMARY!$D$21*12&gt;=K137,IPMT(SUMMARY!$D$22/12,K137,SUMMARY!$D$21*12,SUMMARY!$D$20),0)</f>
        <v>445.129973213473</v>
      </c>
      <c r="M137" s="281" t="n">
        <f aca="false">IF(SUMMARY!$D$21*12&gt;=K137,-PPMT(SUMMARY!$D$22/12,K137,SUMMARY!$D$21*12,SUMMARY!$D$20),0)</f>
        <v>402.929786851596</v>
      </c>
      <c r="N137" s="282" t="n">
        <f aca="false">+M137+L137</f>
        <v>848.059760065069</v>
      </c>
      <c r="P137" s="300"/>
      <c r="Q137" s="301"/>
      <c r="R137" s="301"/>
      <c r="S137" s="301"/>
    </row>
    <row r="138" customFormat="false" ht="12.75" hidden="false" customHeight="false" outlineLevel="0" collapsed="false">
      <c r="K138" s="280" t="n">
        <v>130</v>
      </c>
      <c r="L138" s="281" t="n">
        <f aca="false">-IF(SUMMARY!$D$21*12&gt;=K138,IPMT(SUMMARY!$D$22/12,K138,SUMMARY!$D$21*12,SUMMARY!$D$20),0)</f>
        <v>442.443774634463</v>
      </c>
      <c r="M138" s="281" t="n">
        <f aca="false">IF(SUMMARY!$D$21*12&gt;=K138,-PPMT(SUMMARY!$D$22/12,K138,SUMMARY!$D$21*12,SUMMARY!$D$20),0)</f>
        <v>405.615985430607</v>
      </c>
      <c r="N138" s="282" t="n">
        <f aca="false">+M138+L138</f>
        <v>848.059760065069</v>
      </c>
      <c r="P138" s="300"/>
      <c r="Q138" s="301"/>
      <c r="R138" s="301"/>
      <c r="S138" s="301"/>
    </row>
    <row r="139" customFormat="false" ht="12.75" hidden="false" customHeight="false" outlineLevel="0" collapsed="false">
      <c r="K139" s="280" t="n">
        <v>131</v>
      </c>
      <c r="L139" s="281" t="n">
        <f aca="false">-IF(SUMMARY!$D$21*12&gt;=K139,IPMT(SUMMARY!$D$22/12,K139,SUMMARY!$D$21*12,SUMMARY!$D$20),0)</f>
        <v>439.739668064925</v>
      </c>
      <c r="M139" s="281" t="n">
        <f aca="false">IF(SUMMARY!$D$21*12&gt;=K139,-PPMT(SUMMARY!$D$22/12,K139,SUMMARY!$D$21*12,SUMMARY!$D$20),0)</f>
        <v>408.320092000144</v>
      </c>
      <c r="N139" s="282" t="n">
        <f aca="false">+M139+L139</f>
        <v>848.059760065069</v>
      </c>
      <c r="P139" s="300"/>
      <c r="Q139" s="301"/>
      <c r="R139" s="301"/>
      <c r="S139" s="301"/>
    </row>
    <row r="140" customFormat="false" ht="12.75" hidden="false" customHeight="false" outlineLevel="0" collapsed="false">
      <c r="K140" s="280" t="n">
        <v>132</v>
      </c>
      <c r="L140" s="281" t="n">
        <f aca="false">-IF(SUMMARY!$D$21*12&gt;=K140,IPMT(SUMMARY!$D$22/12,K140,SUMMARY!$D$21*12,SUMMARY!$D$20),0)</f>
        <v>437.017534118258</v>
      </c>
      <c r="M140" s="281" t="n">
        <f aca="false">IF(SUMMARY!$D$21*12&gt;=K140,-PPMT(SUMMARY!$D$22/12,K140,SUMMARY!$D$21*12,SUMMARY!$D$20),0)</f>
        <v>411.042225946812</v>
      </c>
      <c r="N140" s="282" t="n">
        <f aca="false">+M140+L140</f>
        <v>848.059760065069</v>
      </c>
      <c r="P140" s="300"/>
      <c r="Q140" s="301"/>
      <c r="R140" s="301"/>
      <c r="S140" s="301"/>
    </row>
    <row r="141" customFormat="false" ht="12.75" hidden="false" customHeight="false" outlineLevel="0" collapsed="false">
      <c r="K141" s="280" t="n">
        <v>133</v>
      </c>
      <c r="L141" s="281" t="n">
        <f aca="false">-IF(SUMMARY!$D$21*12&gt;=K141,IPMT(SUMMARY!$D$22/12,K141,SUMMARY!$D$21*12,SUMMARY!$D$20),0)</f>
        <v>434.277252611946</v>
      </c>
      <c r="M141" s="281" t="n">
        <f aca="false">IF(SUMMARY!$D$21*12&gt;=K141,-PPMT(SUMMARY!$D$22/12,K141,SUMMARY!$D$21*12,SUMMARY!$D$20),0)</f>
        <v>413.782507453124</v>
      </c>
      <c r="N141" s="282" t="n">
        <f aca="false">+M141+L141</f>
        <v>848.059760065069</v>
      </c>
      <c r="P141" s="300"/>
      <c r="Q141" s="301"/>
      <c r="R141" s="301"/>
      <c r="S141" s="301"/>
    </row>
    <row r="142" customFormat="false" ht="12.75" hidden="false" customHeight="false" outlineLevel="0" collapsed="false">
      <c r="K142" s="280" t="n">
        <v>134</v>
      </c>
      <c r="L142" s="281" t="n">
        <f aca="false">-IF(SUMMARY!$D$21*12&gt;=K142,IPMT(SUMMARY!$D$22/12,K142,SUMMARY!$D$21*12,SUMMARY!$D$20),0)</f>
        <v>431.518702562258</v>
      </c>
      <c r="M142" s="281" t="n">
        <f aca="false">IF(SUMMARY!$D$21*12&gt;=K142,-PPMT(SUMMARY!$D$22/12,K142,SUMMARY!$D$21*12,SUMMARY!$D$20),0)</f>
        <v>416.541057502811</v>
      </c>
      <c r="N142" s="282" t="n">
        <f aca="false">+M142+L142</f>
        <v>848.059760065069</v>
      </c>
      <c r="P142" s="300"/>
      <c r="Q142" s="301"/>
      <c r="R142" s="301"/>
      <c r="S142" s="301"/>
    </row>
    <row r="143" customFormat="false" ht="12.75" hidden="false" customHeight="false" outlineLevel="0" collapsed="false">
      <c r="K143" s="280" t="n">
        <v>135</v>
      </c>
      <c r="L143" s="281" t="n">
        <f aca="false">-IF(SUMMARY!$D$21*12&gt;=K143,IPMT(SUMMARY!$D$22/12,K143,SUMMARY!$D$21*12,SUMMARY!$D$20),0)</f>
        <v>428.741762178906</v>
      </c>
      <c r="M143" s="281" t="n">
        <f aca="false">IF(SUMMARY!$D$21*12&gt;=K143,-PPMT(SUMMARY!$D$22/12,K143,SUMMARY!$D$21*12,SUMMARY!$D$20),0)</f>
        <v>419.317997886163</v>
      </c>
      <c r="N143" s="282" t="n">
        <f aca="false">+M143+L143</f>
        <v>848.059760065069</v>
      </c>
      <c r="P143" s="300"/>
      <c r="Q143" s="301"/>
      <c r="R143" s="301"/>
      <c r="S143" s="301"/>
    </row>
    <row r="144" customFormat="false" ht="12.75" hidden="false" customHeight="false" outlineLevel="0" collapsed="false">
      <c r="K144" s="280" t="n">
        <v>136</v>
      </c>
      <c r="L144" s="281" t="n">
        <f aca="false">-IF(SUMMARY!$D$21*12&gt;=K144,IPMT(SUMMARY!$D$22/12,K144,SUMMARY!$D$21*12,SUMMARY!$D$20),0)</f>
        <v>425.946308859665</v>
      </c>
      <c r="M144" s="281" t="n">
        <f aca="false">IF(SUMMARY!$D$21*12&gt;=K144,-PPMT(SUMMARY!$D$22/12,K144,SUMMARY!$D$21*12,SUMMARY!$D$20),0)</f>
        <v>422.113451205404</v>
      </c>
      <c r="N144" s="282" t="n">
        <f aca="false">+M144+L144</f>
        <v>848.059760065069</v>
      </c>
      <c r="P144" s="300"/>
      <c r="Q144" s="301"/>
      <c r="R144" s="301"/>
      <c r="S144" s="301"/>
    </row>
    <row r="145" customFormat="false" ht="12.75" hidden="false" customHeight="false" outlineLevel="0" collapsed="false">
      <c r="K145" s="280" t="n">
        <v>137</v>
      </c>
      <c r="L145" s="281" t="n">
        <f aca="false">-IF(SUMMARY!$D$21*12&gt;=K145,IPMT(SUMMARY!$D$22/12,K145,SUMMARY!$D$21*12,SUMMARY!$D$20),0)</f>
        <v>423.132219184963</v>
      </c>
      <c r="M145" s="281" t="n">
        <f aca="false">IF(SUMMARY!$D$21*12&gt;=K145,-PPMT(SUMMARY!$D$22/12,K145,SUMMARY!$D$21*12,SUMMARY!$D$20),0)</f>
        <v>424.927540880107</v>
      </c>
      <c r="N145" s="282" t="n">
        <f aca="false">+M145+L145</f>
        <v>848.059760065069</v>
      </c>
      <c r="P145" s="300"/>
      <c r="Q145" s="301"/>
      <c r="R145" s="301"/>
      <c r="S145" s="301"/>
    </row>
    <row r="146" customFormat="false" ht="12.75" hidden="false" customHeight="false" outlineLevel="0" collapsed="false">
      <c r="K146" s="280" t="n">
        <v>138</v>
      </c>
      <c r="L146" s="281" t="n">
        <f aca="false">-IF(SUMMARY!$D$21*12&gt;=K146,IPMT(SUMMARY!$D$22/12,K146,SUMMARY!$D$21*12,SUMMARY!$D$20),0)</f>
        <v>420.299368912428</v>
      </c>
      <c r="M146" s="281" t="n">
        <f aca="false">IF(SUMMARY!$D$21*12&gt;=K146,-PPMT(SUMMARY!$D$22/12,K146,SUMMARY!$D$21*12,SUMMARY!$D$20),0)</f>
        <v>427.760391152641</v>
      </c>
      <c r="N146" s="282" t="n">
        <f aca="false">+M146+L146</f>
        <v>848.059760065069</v>
      </c>
      <c r="P146" s="300"/>
      <c r="Q146" s="301"/>
      <c r="R146" s="301"/>
      <c r="S146" s="301"/>
    </row>
    <row r="147" customFormat="false" ht="12.75" hidden="false" customHeight="false" outlineLevel="0" collapsed="false">
      <c r="K147" s="280" t="n">
        <v>139</v>
      </c>
      <c r="L147" s="281" t="n">
        <f aca="false">-IF(SUMMARY!$D$21*12&gt;=K147,IPMT(SUMMARY!$D$22/12,K147,SUMMARY!$D$21*12,SUMMARY!$D$20),0)</f>
        <v>417.447632971411</v>
      </c>
      <c r="M147" s="281" t="n">
        <f aca="false">IF(SUMMARY!$D$21*12&gt;=K147,-PPMT(SUMMARY!$D$22/12,K147,SUMMARY!$D$21*12,SUMMARY!$D$20),0)</f>
        <v>430.612127093658</v>
      </c>
      <c r="N147" s="282" t="n">
        <f aca="false">+M147+L147</f>
        <v>848.059760065069</v>
      </c>
      <c r="P147" s="300"/>
      <c r="Q147" s="301"/>
      <c r="R147" s="301"/>
      <c r="S147" s="301"/>
    </row>
    <row r="148" customFormat="false" ht="12.75" hidden="false" customHeight="false" outlineLevel="0" collapsed="false">
      <c r="K148" s="280" t="n">
        <v>140</v>
      </c>
      <c r="L148" s="281" t="n">
        <f aca="false">-IF(SUMMARY!$D$21*12&gt;=K148,IPMT(SUMMARY!$D$22/12,K148,SUMMARY!$D$21*12,SUMMARY!$D$20),0)</f>
        <v>414.576885457453</v>
      </c>
      <c r="M148" s="281" t="n">
        <f aca="false">IF(SUMMARY!$D$21*12&gt;=K148,-PPMT(SUMMARY!$D$22/12,K148,SUMMARY!$D$21*12,SUMMARY!$D$20),0)</f>
        <v>433.482874607616</v>
      </c>
      <c r="N148" s="282" t="n">
        <f aca="false">+M148+L148</f>
        <v>848.059760065069</v>
      </c>
      <c r="P148" s="300"/>
      <c r="Q148" s="301"/>
      <c r="R148" s="301"/>
      <c r="S148" s="301"/>
    </row>
    <row r="149" customFormat="false" ht="12.75" hidden="false" customHeight="false" outlineLevel="0" collapsed="false">
      <c r="K149" s="280" t="n">
        <v>141</v>
      </c>
      <c r="L149" s="281" t="n">
        <f aca="false">-IF(SUMMARY!$D$21*12&gt;=K149,IPMT(SUMMARY!$D$22/12,K149,SUMMARY!$D$21*12,SUMMARY!$D$20),0)</f>
        <v>411.686999626736</v>
      </c>
      <c r="M149" s="281" t="n">
        <f aca="false">IF(SUMMARY!$D$21*12&gt;=K149,-PPMT(SUMMARY!$D$22/12,K149,SUMMARY!$D$21*12,SUMMARY!$D$20),0)</f>
        <v>436.372760438334</v>
      </c>
      <c r="N149" s="282" t="n">
        <f aca="false">+M149+L149</f>
        <v>848.059760065069</v>
      </c>
      <c r="P149" s="300"/>
      <c r="Q149" s="301"/>
      <c r="R149" s="301"/>
      <c r="S149" s="301"/>
    </row>
    <row r="150" customFormat="false" ht="12.75" hidden="false" customHeight="false" outlineLevel="0" collapsed="false">
      <c r="K150" s="280" t="n">
        <v>142</v>
      </c>
      <c r="L150" s="281" t="n">
        <f aca="false">-IF(SUMMARY!$D$21*12&gt;=K150,IPMT(SUMMARY!$D$22/12,K150,SUMMARY!$D$21*12,SUMMARY!$D$20),0)</f>
        <v>408.77784789048</v>
      </c>
      <c r="M150" s="281" t="n">
        <f aca="false">IF(SUMMARY!$D$21*12&gt;=K150,-PPMT(SUMMARY!$D$22/12,K150,SUMMARY!$D$21*12,SUMMARY!$D$20),0)</f>
        <v>439.281912174589</v>
      </c>
      <c r="N150" s="282" t="n">
        <f aca="false">+M150+L150</f>
        <v>848.059760065069</v>
      </c>
      <c r="P150" s="300"/>
      <c r="Q150" s="301"/>
      <c r="R150" s="301"/>
      <c r="S150" s="301"/>
    </row>
    <row r="151" customFormat="false" ht="12.75" hidden="false" customHeight="false" outlineLevel="0" collapsed="false">
      <c r="K151" s="280" t="n">
        <v>143</v>
      </c>
      <c r="L151" s="281" t="n">
        <f aca="false">-IF(SUMMARY!$D$21*12&gt;=K151,IPMT(SUMMARY!$D$22/12,K151,SUMMARY!$D$21*12,SUMMARY!$D$20),0)</f>
        <v>405.849301809316</v>
      </c>
      <c r="M151" s="281" t="n">
        <f aca="false">IF(SUMMARY!$D$21*12&gt;=K151,-PPMT(SUMMARY!$D$22/12,K151,SUMMARY!$D$21*12,SUMMARY!$D$20),0)</f>
        <v>442.210458255753</v>
      </c>
      <c r="N151" s="282" t="n">
        <f aca="false">+M151+L151</f>
        <v>848.059760065069</v>
      </c>
      <c r="P151" s="300"/>
      <c r="Q151" s="301"/>
      <c r="R151" s="301"/>
      <c r="S151" s="301"/>
    </row>
    <row r="152" customFormat="false" ht="12.75" hidden="false" customHeight="false" outlineLevel="0" collapsed="false">
      <c r="K152" s="280" t="n">
        <v>144</v>
      </c>
      <c r="L152" s="281" t="n">
        <f aca="false">-IF(SUMMARY!$D$21*12&gt;=K152,IPMT(SUMMARY!$D$22/12,K152,SUMMARY!$D$21*12,SUMMARY!$D$20),0)</f>
        <v>402.901232087611</v>
      </c>
      <c r="M152" s="281" t="n">
        <f aca="false">IF(SUMMARY!$D$21*12&gt;=K152,-PPMT(SUMMARY!$D$22/12,K152,SUMMARY!$D$21*12,SUMMARY!$D$20),0)</f>
        <v>445.158527977458</v>
      </c>
      <c r="N152" s="282" t="n">
        <f aca="false">+M152+L152</f>
        <v>848.059760065069</v>
      </c>
      <c r="P152" s="300"/>
      <c r="Q152" s="301"/>
      <c r="R152" s="301"/>
      <c r="S152" s="301"/>
    </row>
    <row r="153" customFormat="false" ht="12.75" hidden="false" customHeight="false" outlineLevel="0" collapsed="false">
      <c r="K153" s="280" t="n">
        <v>145</v>
      </c>
      <c r="L153" s="281" t="n">
        <f aca="false">-IF(SUMMARY!$D$21*12&gt;=K153,IPMT(SUMMARY!$D$22/12,K153,SUMMARY!$D$21*12,SUMMARY!$D$20),0)</f>
        <v>399.933508567762</v>
      </c>
      <c r="M153" s="281" t="n">
        <f aca="false">IF(SUMMARY!$D$21*12&gt;=K153,-PPMT(SUMMARY!$D$22/12,K153,SUMMARY!$D$21*12,SUMMARY!$D$20),0)</f>
        <v>448.126251497308</v>
      </c>
      <c r="N153" s="282" t="n">
        <f aca="false">+M153+L153</f>
        <v>848.059760065069</v>
      </c>
      <c r="P153" s="300"/>
      <c r="Q153" s="301"/>
      <c r="R153" s="301"/>
      <c r="S153" s="301"/>
    </row>
    <row r="154" customFormat="false" ht="12.75" hidden="false" customHeight="false" outlineLevel="0" collapsed="false">
      <c r="K154" s="280" t="n">
        <v>146</v>
      </c>
      <c r="L154" s="281" t="n">
        <f aca="false">-IF(SUMMARY!$D$21*12&gt;=K154,IPMT(SUMMARY!$D$22/12,K154,SUMMARY!$D$21*12,SUMMARY!$D$20),0)</f>
        <v>396.946000224446</v>
      </c>
      <c r="M154" s="281" t="n">
        <f aca="false">IF(SUMMARY!$D$21*12&gt;=K154,-PPMT(SUMMARY!$D$22/12,K154,SUMMARY!$D$21*12,SUMMARY!$D$20),0)</f>
        <v>451.113759840623</v>
      </c>
      <c r="N154" s="282" t="n">
        <f aca="false">+M154+L154</f>
        <v>848.059760065069</v>
      </c>
      <c r="P154" s="300"/>
      <c r="Q154" s="301"/>
      <c r="R154" s="301"/>
      <c r="S154" s="301"/>
    </row>
    <row r="155" customFormat="false" ht="12.75" hidden="false" customHeight="false" outlineLevel="0" collapsed="false">
      <c r="K155" s="280" t="n">
        <v>147</v>
      </c>
      <c r="L155" s="281" t="n">
        <f aca="false">-IF(SUMMARY!$D$21*12&gt;=K155,IPMT(SUMMARY!$D$22/12,K155,SUMMARY!$D$21*12,SUMMARY!$D$20),0)</f>
        <v>393.938575158842</v>
      </c>
      <c r="M155" s="281" t="n">
        <f aca="false">IF(SUMMARY!$D$21*12&gt;=K155,-PPMT(SUMMARY!$D$22/12,K155,SUMMARY!$D$21*12,SUMMARY!$D$20),0)</f>
        <v>454.121184906227</v>
      </c>
      <c r="N155" s="282" t="n">
        <f aca="false">+M155+L155</f>
        <v>848.059760065069</v>
      </c>
      <c r="P155" s="300"/>
      <c r="Q155" s="301"/>
      <c r="R155" s="301"/>
      <c r="S155" s="301"/>
    </row>
    <row r="156" customFormat="false" ht="12.75" hidden="false" customHeight="false" outlineLevel="0" collapsed="false">
      <c r="K156" s="280" t="n">
        <v>148</v>
      </c>
      <c r="L156" s="281" t="n">
        <f aca="false">-IF(SUMMARY!$D$21*12&gt;=K156,IPMT(SUMMARY!$D$22/12,K156,SUMMARY!$D$21*12,SUMMARY!$D$20),0)</f>
        <v>390.911100592801</v>
      </c>
      <c r="M156" s="281" t="n">
        <f aca="false">IF(SUMMARY!$D$21*12&gt;=K156,-PPMT(SUMMARY!$D$22/12,K156,SUMMARY!$D$21*12,SUMMARY!$D$20),0)</f>
        <v>457.148659472269</v>
      </c>
      <c r="N156" s="282" t="n">
        <f aca="false">+M156+L156</f>
        <v>848.059760065069</v>
      </c>
      <c r="P156" s="300"/>
      <c r="Q156" s="301"/>
      <c r="R156" s="301"/>
      <c r="S156" s="301"/>
    </row>
    <row r="157" customFormat="false" ht="12.75" hidden="false" customHeight="false" outlineLevel="0" collapsed="false">
      <c r="K157" s="280" t="n">
        <v>149</v>
      </c>
      <c r="L157" s="281" t="n">
        <f aca="false">-IF(SUMMARY!$D$21*12&gt;=K157,IPMT(SUMMARY!$D$22/12,K157,SUMMARY!$D$21*12,SUMMARY!$D$20),0)</f>
        <v>387.863442862986</v>
      </c>
      <c r="M157" s="281" t="n">
        <f aca="false">IF(SUMMARY!$D$21*12&gt;=K157,-PPMT(SUMMARY!$D$22/12,K157,SUMMARY!$D$21*12,SUMMARY!$D$20),0)</f>
        <v>460.196317202084</v>
      </c>
      <c r="N157" s="282" t="n">
        <f aca="false">+M157+L157</f>
        <v>848.059760065069</v>
      </c>
      <c r="P157" s="300"/>
      <c r="Q157" s="301"/>
      <c r="R157" s="301"/>
      <c r="S157" s="301"/>
    </row>
    <row r="158" customFormat="false" ht="12.75" hidden="false" customHeight="false" outlineLevel="0" collapsed="false">
      <c r="K158" s="280" t="n">
        <v>150</v>
      </c>
      <c r="L158" s="281" t="n">
        <f aca="false">-IF(SUMMARY!$D$21*12&gt;=K158,IPMT(SUMMARY!$D$22/12,K158,SUMMARY!$D$21*12,SUMMARY!$D$20),0)</f>
        <v>384.795467414972</v>
      </c>
      <c r="M158" s="281" t="n">
        <f aca="false">IF(SUMMARY!$D$21*12&gt;=K158,-PPMT(SUMMARY!$D$22/12,K158,SUMMARY!$D$21*12,SUMMARY!$D$20),0)</f>
        <v>463.264292650097</v>
      </c>
      <c r="N158" s="282" t="n">
        <f aca="false">+M158+L158</f>
        <v>848.059760065069</v>
      </c>
      <c r="P158" s="300"/>
      <c r="Q158" s="301"/>
      <c r="R158" s="301"/>
      <c r="S158" s="301"/>
    </row>
    <row r="159" customFormat="false" ht="12.75" hidden="false" customHeight="false" outlineLevel="0" collapsed="false">
      <c r="K159" s="280" t="n">
        <v>151</v>
      </c>
      <c r="L159" s="281" t="n">
        <f aca="false">-IF(SUMMARY!$D$21*12&gt;=K159,IPMT(SUMMARY!$D$22/12,K159,SUMMARY!$D$21*12,SUMMARY!$D$20),0)</f>
        <v>381.707038797304</v>
      </c>
      <c r="M159" s="281" t="n">
        <f aca="false">IF(SUMMARY!$D$21*12&gt;=K159,-PPMT(SUMMARY!$D$22/12,K159,SUMMARY!$D$21*12,SUMMARY!$D$20),0)</f>
        <v>466.352721267765</v>
      </c>
      <c r="N159" s="282" t="n">
        <f aca="false">+M159+L159</f>
        <v>848.059760065069</v>
      </c>
      <c r="P159" s="300"/>
      <c r="Q159" s="301"/>
      <c r="R159" s="301"/>
      <c r="S159" s="301"/>
    </row>
    <row r="160" customFormat="false" ht="12.75" hidden="false" customHeight="false" outlineLevel="0" collapsed="false">
      <c r="K160" s="280" t="n">
        <v>152</v>
      </c>
      <c r="L160" s="281" t="n">
        <f aca="false">-IF(SUMMARY!$D$21*12&gt;=K160,IPMT(SUMMARY!$D$22/12,K160,SUMMARY!$D$21*12,SUMMARY!$D$20),0)</f>
        <v>378.598020655519</v>
      </c>
      <c r="M160" s="281" t="n">
        <f aca="false">IF(SUMMARY!$D$21*12&gt;=K160,-PPMT(SUMMARY!$D$22/12,K160,SUMMARY!$D$21*12,SUMMARY!$D$20),0)</f>
        <v>469.46173940955</v>
      </c>
      <c r="N160" s="282" t="n">
        <f aca="false">+M160+L160</f>
        <v>848.059760065069</v>
      </c>
      <c r="P160" s="300"/>
      <c r="Q160" s="301"/>
      <c r="R160" s="301"/>
      <c r="S160" s="301"/>
    </row>
    <row r="161" customFormat="false" ht="12.75" hidden="false" customHeight="false" outlineLevel="0" collapsed="false">
      <c r="K161" s="280" t="n">
        <v>153</v>
      </c>
      <c r="L161" s="281" t="n">
        <f aca="false">-IF(SUMMARY!$D$21*12&gt;=K161,IPMT(SUMMARY!$D$22/12,K161,SUMMARY!$D$21*12,SUMMARY!$D$20),0)</f>
        <v>375.468275726123</v>
      </c>
      <c r="M161" s="281" t="n">
        <f aca="false">IF(SUMMARY!$D$21*12&gt;=K161,-PPMT(SUMMARY!$D$22/12,K161,SUMMARY!$D$21*12,SUMMARY!$D$20),0)</f>
        <v>472.591484338947</v>
      </c>
      <c r="N161" s="282" t="n">
        <f aca="false">+M161+L161</f>
        <v>848.059760065069</v>
      </c>
      <c r="P161" s="300"/>
      <c r="Q161" s="301"/>
      <c r="R161" s="301"/>
      <c r="S161" s="301"/>
    </row>
    <row r="162" customFormat="false" ht="12.75" hidden="false" customHeight="false" outlineLevel="0" collapsed="false">
      <c r="K162" s="280" t="n">
        <v>154</v>
      </c>
      <c r="L162" s="281" t="n">
        <f aca="false">-IF(SUMMARY!$D$21*12&gt;=K162,IPMT(SUMMARY!$D$22/12,K162,SUMMARY!$D$21*12,SUMMARY!$D$20),0)</f>
        <v>372.31766583053</v>
      </c>
      <c r="M162" s="281" t="n">
        <f aca="false">IF(SUMMARY!$D$21*12&gt;=K162,-PPMT(SUMMARY!$D$22/12,K162,SUMMARY!$D$21*12,SUMMARY!$D$20),0)</f>
        <v>475.74209423454</v>
      </c>
      <c r="N162" s="282" t="n">
        <f aca="false">+M162+L162</f>
        <v>848.059760065069</v>
      </c>
      <c r="P162" s="300"/>
      <c r="Q162" s="301"/>
      <c r="R162" s="301"/>
      <c r="S162" s="301"/>
    </row>
    <row r="163" customFormat="false" ht="12.75" hidden="false" customHeight="false" outlineLevel="0" collapsed="false">
      <c r="K163" s="280" t="n">
        <v>155</v>
      </c>
      <c r="L163" s="281" t="n">
        <f aca="false">-IF(SUMMARY!$D$21*12&gt;=K163,IPMT(SUMMARY!$D$22/12,K163,SUMMARY!$D$21*12,SUMMARY!$D$20),0)</f>
        <v>369.146051868966</v>
      </c>
      <c r="M163" s="281" t="n">
        <f aca="false">IF(SUMMARY!$D$21*12&gt;=K163,-PPMT(SUMMARY!$D$22/12,K163,SUMMARY!$D$21*12,SUMMARY!$D$20),0)</f>
        <v>478.913708196103</v>
      </c>
      <c r="N163" s="282" t="n">
        <f aca="false">+M163+L163</f>
        <v>848.059760065069</v>
      </c>
      <c r="P163" s="300"/>
      <c r="Q163" s="301"/>
      <c r="R163" s="301"/>
      <c r="S163" s="301"/>
    </row>
    <row r="164" customFormat="false" ht="12.75" hidden="false" customHeight="false" outlineLevel="0" collapsed="false">
      <c r="K164" s="280" t="n">
        <v>156</v>
      </c>
      <c r="L164" s="281" t="n">
        <f aca="false">-IF(SUMMARY!$D$21*12&gt;=K164,IPMT(SUMMARY!$D$22/12,K164,SUMMARY!$D$21*12,SUMMARY!$D$20),0)</f>
        <v>365.953293814325</v>
      </c>
      <c r="M164" s="281" t="n">
        <f aca="false">IF(SUMMARY!$D$21*12&gt;=K164,-PPMT(SUMMARY!$D$22/12,K164,SUMMARY!$D$21*12,SUMMARY!$D$20),0)</f>
        <v>482.106466250744</v>
      </c>
      <c r="N164" s="282" t="n">
        <f aca="false">+M164+L164</f>
        <v>848.059760065069</v>
      </c>
      <c r="P164" s="300"/>
      <c r="Q164" s="301"/>
      <c r="R164" s="301"/>
      <c r="S164" s="301"/>
    </row>
    <row r="165" customFormat="false" ht="12.75" hidden="false" customHeight="false" outlineLevel="0" collapsed="false">
      <c r="K165" s="280" t="n">
        <v>157</v>
      </c>
      <c r="L165" s="281" t="n">
        <f aca="false">-IF(SUMMARY!$D$21*12&gt;=K165,IPMT(SUMMARY!$D$22/12,K165,SUMMARY!$D$21*12,SUMMARY!$D$20),0)</f>
        <v>362.739250705987</v>
      </c>
      <c r="M165" s="281" t="n">
        <f aca="false">IF(SUMMARY!$D$21*12&gt;=K165,-PPMT(SUMMARY!$D$22/12,K165,SUMMARY!$D$21*12,SUMMARY!$D$20),0)</f>
        <v>485.320509359082</v>
      </c>
      <c r="N165" s="282" t="n">
        <f aca="false">+M165+L165</f>
        <v>848.059760065069</v>
      </c>
      <c r="P165" s="300"/>
      <c r="Q165" s="301"/>
      <c r="R165" s="301"/>
      <c r="S165" s="301"/>
    </row>
    <row r="166" customFormat="false" ht="12.75" hidden="false" customHeight="false" outlineLevel="0" collapsed="false">
      <c r="K166" s="280" t="n">
        <v>158</v>
      </c>
      <c r="L166" s="281" t="n">
        <f aca="false">-IF(SUMMARY!$D$21*12&gt;=K166,IPMT(SUMMARY!$D$22/12,K166,SUMMARY!$D$21*12,SUMMARY!$D$20),0)</f>
        <v>359.503780643593</v>
      </c>
      <c r="M166" s="281" t="n">
        <f aca="false">IF(SUMMARY!$D$21*12&gt;=K166,-PPMT(SUMMARY!$D$22/12,K166,SUMMARY!$D$21*12,SUMMARY!$D$20),0)</f>
        <v>488.555979421476</v>
      </c>
      <c r="N166" s="282" t="n">
        <f aca="false">+M166+L166</f>
        <v>848.059760065069</v>
      </c>
      <c r="P166" s="300"/>
      <c r="Q166" s="301"/>
      <c r="R166" s="301"/>
      <c r="S166" s="301"/>
    </row>
    <row r="167" customFormat="false" ht="12.75" hidden="false" customHeight="false" outlineLevel="0" collapsed="false">
      <c r="K167" s="280" t="n">
        <v>159</v>
      </c>
      <c r="L167" s="281" t="n">
        <f aca="false">-IF(SUMMARY!$D$21*12&gt;=K167,IPMT(SUMMARY!$D$22/12,K167,SUMMARY!$D$21*12,SUMMARY!$D$20),0)</f>
        <v>356.246740780783</v>
      </c>
      <c r="M167" s="281" t="n">
        <f aca="false">IF(SUMMARY!$D$21*12&gt;=K167,-PPMT(SUMMARY!$D$22/12,K167,SUMMARY!$D$21*12,SUMMARY!$D$20),0)</f>
        <v>491.813019284286</v>
      </c>
      <c r="N167" s="282" t="n">
        <f aca="false">+M167+L167</f>
        <v>848.059760065069</v>
      </c>
      <c r="P167" s="300"/>
      <c r="Q167" s="301"/>
      <c r="R167" s="301"/>
      <c r="S167" s="301"/>
    </row>
    <row r="168" customFormat="false" ht="12.75" hidden="false" customHeight="false" outlineLevel="0" collapsed="false">
      <c r="K168" s="280" t="n">
        <v>160</v>
      </c>
      <c r="L168" s="281" t="n">
        <f aca="false">-IF(SUMMARY!$D$21*12&gt;=K168,IPMT(SUMMARY!$D$22/12,K168,SUMMARY!$D$21*12,SUMMARY!$D$20),0)</f>
        <v>352.967987318888</v>
      </c>
      <c r="M168" s="281" t="n">
        <f aca="false">IF(SUMMARY!$D$21*12&gt;=K168,-PPMT(SUMMARY!$D$22/12,K168,SUMMARY!$D$21*12,SUMMARY!$D$20),0)</f>
        <v>495.091772746181</v>
      </c>
      <c r="N168" s="282" t="n">
        <f aca="false">+M168+L168</f>
        <v>848.059760065069</v>
      </c>
      <c r="P168" s="300"/>
      <c r="Q168" s="301"/>
      <c r="R168" s="301"/>
      <c r="S168" s="301"/>
    </row>
    <row r="169" customFormat="false" ht="12.75" hidden="false" customHeight="false" outlineLevel="0" collapsed="false">
      <c r="K169" s="280" t="n">
        <v>161</v>
      </c>
      <c r="L169" s="281" t="n">
        <f aca="false">-IF(SUMMARY!$D$21*12&gt;=K169,IPMT(SUMMARY!$D$22/12,K169,SUMMARY!$D$21*12,SUMMARY!$D$20),0)</f>
        <v>349.66737550058</v>
      </c>
      <c r="M169" s="281" t="n">
        <f aca="false">IF(SUMMARY!$D$21*12&gt;=K169,-PPMT(SUMMARY!$D$22/12,K169,SUMMARY!$D$21*12,SUMMARY!$D$20),0)</f>
        <v>498.392384564489</v>
      </c>
      <c r="N169" s="282" t="n">
        <f aca="false">+M169+L169</f>
        <v>848.059760065069</v>
      </c>
      <c r="P169" s="300"/>
      <c r="Q169" s="301"/>
      <c r="R169" s="301"/>
      <c r="S169" s="301"/>
    </row>
    <row r="170" customFormat="false" ht="12.75" hidden="false" customHeight="false" outlineLevel="0" collapsed="false">
      <c r="K170" s="280" t="n">
        <v>162</v>
      </c>
      <c r="L170" s="281" t="n">
        <f aca="false">-IF(SUMMARY!$D$21*12&gt;=K170,IPMT(SUMMARY!$D$22/12,K170,SUMMARY!$D$21*12,SUMMARY!$D$20),0)</f>
        <v>346.344759603484</v>
      </c>
      <c r="M170" s="281" t="n">
        <f aca="false">IF(SUMMARY!$D$21*12&gt;=K170,-PPMT(SUMMARY!$D$22/12,K170,SUMMARY!$D$21*12,SUMMARY!$D$20),0)</f>
        <v>501.715000461585</v>
      </c>
      <c r="N170" s="282" t="n">
        <f aca="false">+M170+L170</f>
        <v>848.059760065069</v>
      </c>
      <c r="P170" s="300"/>
      <c r="Q170" s="301"/>
      <c r="R170" s="301"/>
      <c r="S170" s="301"/>
    </row>
    <row r="171" customFormat="false" ht="12.75" hidden="false" customHeight="false" outlineLevel="0" collapsed="false">
      <c r="K171" s="280" t="n">
        <v>163</v>
      </c>
      <c r="L171" s="281" t="n">
        <f aca="false">-IF(SUMMARY!$D$21*12&gt;=K171,IPMT(SUMMARY!$D$22/12,K171,SUMMARY!$D$21*12,SUMMARY!$D$20),0)</f>
        <v>342.99999293374</v>
      </c>
      <c r="M171" s="281" t="n">
        <f aca="false">IF(SUMMARY!$D$21*12&gt;=K171,-PPMT(SUMMARY!$D$22/12,K171,SUMMARY!$D$21*12,SUMMARY!$D$20),0)</f>
        <v>505.059767131329</v>
      </c>
      <c r="N171" s="282" t="n">
        <f aca="false">+M171+L171</f>
        <v>848.059760065069</v>
      </c>
      <c r="P171" s="300"/>
      <c r="Q171" s="301"/>
      <c r="R171" s="301"/>
      <c r="S171" s="301"/>
    </row>
    <row r="172" customFormat="false" ht="12.75" hidden="false" customHeight="false" outlineLevel="0" collapsed="false">
      <c r="K172" s="280" t="n">
        <v>164</v>
      </c>
      <c r="L172" s="281" t="n">
        <f aca="false">-IF(SUMMARY!$D$21*12&gt;=K172,IPMT(SUMMARY!$D$22/12,K172,SUMMARY!$D$21*12,SUMMARY!$D$20),0)</f>
        <v>339.632927819531</v>
      </c>
      <c r="M172" s="281" t="n">
        <f aca="false">IF(SUMMARY!$D$21*12&gt;=K172,-PPMT(SUMMARY!$D$22/12,K172,SUMMARY!$D$21*12,SUMMARY!$D$20),0)</f>
        <v>508.426832245538</v>
      </c>
      <c r="N172" s="282" t="n">
        <f aca="false">+M172+L172</f>
        <v>848.059760065069</v>
      </c>
      <c r="P172" s="300"/>
      <c r="Q172" s="301"/>
      <c r="R172" s="301"/>
      <c r="S172" s="301"/>
    </row>
    <row r="173" customFormat="false" ht="12.75" hidden="false" customHeight="false" outlineLevel="0" collapsed="false">
      <c r="K173" s="280" t="n">
        <v>165</v>
      </c>
      <c r="L173" s="281" t="n">
        <f aca="false">-IF(SUMMARY!$D$21*12&gt;=K173,IPMT(SUMMARY!$D$22/12,K173,SUMMARY!$D$21*12,SUMMARY!$D$20),0)</f>
        <v>336.243415604561</v>
      </c>
      <c r="M173" s="281" t="n">
        <f aca="false">IF(SUMMARY!$D$21*12&gt;=K173,-PPMT(SUMMARY!$D$22/12,K173,SUMMARY!$D$21*12,SUMMARY!$D$20),0)</f>
        <v>511.816344460508</v>
      </c>
      <c r="N173" s="282" t="n">
        <f aca="false">+M173+L173</f>
        <v>848.059760065069</v>
      </c>
      <c r="P173" s="300"/>
      <c r="Q173" s="301"/>
      <c r="R173" s="301"/>
      <c r="S173" s="301"/>
    </row>
    <row r="174" customFormat="false" ht="12.75" hidden="false" customHeight="false" outlineLevel="0" collapsed="false">
      <c r="K174" s="280" t="n">
        <v>166</v>
      </c>
      <c r="L174" s="281" t="n">
        <f aca="false">-IF(SUMMARY!$D$21*12&gt;=K174,IPMT(SUMMARY!$D$22/12,K174,SUMMARY!$D$21*12,SUMMARY!$D$20),0)</f>
        <v>332.831306641491</v>
      </c>
      <c r="M174" s="281" t="n">
        <f aca="false">IF(SUMMARY!$D$21*12&gt;=K174,-PPMT(SUMMARY!$D$22/12,K174,SUMMARY!$D$21*12,SUMMARY!$D$20),0)</f>
        <v>515.228453423579</v>
      </c>
      <c r="N174" s="282" t="n">
        <f aca="false">+M174+L174</f>
        <v>848.059760065069</v>
      </c>
      <c r="P174" s="300"/>
      <c r="Q174" s="301"/>
      <c r="R174" s="301"/>
      <c r="S174" s="301"/>
    </row>
    <row r="175" customFormat="false" ht="12.75" hidden="false" customHeight="false" outlineLevel="0" collapsed="false">
      <c r="K175" s="280" t="n">
        <v>167</v>
      </c>
      <c r="L175" s="281" t="n">
        <f aca="false">-IF(SUMMARY!$D$21*12&gt;=K175,IPMT(SUMMARY!$D$22/12,K175,SUMMARY!$D$21*12,SUMMARY!$D$20),0)</f>
        <v>329.396450285334</v>
      </c>
      <c r="M175" s="281" t="n">
        <f aca="false">IF(SUMMARY!$D$21*12&gt;=K175,-PPMT(SUMMARY!$D$22/12,K175,SUMMARY!$D$21*12,SUMMARY!$D$20),0)</f>
        <v>518.663309779736</v>
      </c>
      <c r="N175" s="282" t="n">
        <f aca="false">+M175+L175</f>
        <v>848.059760065069</v>
      </c>
      <c r="P175" s="300"/>
      <c r="Q175" s="301"/>
      <c r="R175" s="301"/>
      <c r="S175" s="301"/>
    </row>
    <row r="176" customFormat="false" ht="12.75" hidden="false" customHeight="false" outlineLevel="0" collapsed="false">
      <c r="K176" s="280" t="n">
        <v>168</v>
      </c>
      <c r="L176" s="281" t="n">
        <f aca="false">-IF(SUMMARY!$D$21*12&gt;=K176,IPMT(SUMMARY!$D$22/12,K176,SUMMARY!$D$21*12,SUMMARY!$D$20),0)</f>
        <v>325.938694886802</v>
      </c>
      <c r="M176" s="281" t="n">
        <f aca="false">IF(SUMMARY!$D$21*12&gt;=K176,-PPMT(SUMMARY!$D$22/12,K176,SUMMARY!$D$21*12,SUMMARY!$D$20),0)</f>
        <v>522.121065178267</v>
      </c>
      <c r="N176" s="282" t="n">
        <f aca="false">+M176+L176</f>
        <v>848.059760065069</v>
      </c>
      <c r="P176" s="300"/>
      <c r="Q176" s="301"/>
      <c r="R176" s="301"/>
      <c r="S176" s="301"/>
    </row>
    <row r="177" customFormat="false" ht="12.75" hidden="false" customHeight="false" outlineLevel="0" collapsed="false">
      <c r="K177" s="280" t="n">
        <v>169</v>
      </c>
      <c r="L177" s="281" t="n">
        <f aca="false">-IF(SUMMARY!$D$21*12&gt;=K177,IPMT(SUMMARY!$D$22/12,K177,SUMMARY!$D$21*12,SUMMARY!$D$20),0)</f>
        <v>322.457887785614</v>
      </c>
      <c r="M177" s="281" t="n">
        <f aca="false">IF(SUMMARY!$D$21*12&gt;=K177,-PPMT(SUMMARY!$D$22/12,K177,SUMMARY!$D$21*12,SUMMARY!$D$20),0)</f>
        <v>525.601872279456</v>
      </c>
      <c r="N177" s="282" t="n">
        <f aca="false">+M177+L177</f>
        <v>848.059760065069</v>
      </c>
      <c r="P177" s="300"/>
      <c r="Q177" s="301"/>
      <c r="R177" s="301"/>
      <c r="S177" s="301"/>
    </row>
    <row r="178" customFormat="false" ht="12.75" hidden="false" customHeight="false" outlineLevel="0" collapsed="false">
      <c r="K178" s="280" t="n">
        <v>170</v>
      </c>
      <c r="L178" s="281" t="n">
        <f aca="false">-IF(SUMMARY!$D$21*12&gt;=K178,IPMT(SUMMARY!$D$22/12,K178,SUMMARY!$D$21*12,SUMMARY!$D$20),0)</f>
        <v>318.953875303751</v>
      </c>
      <c r="M178" s="281" t="n">
        <f aca="false">IF(SUMMARY!$D$21*12&gt;=K178,-PPMT(SUMMARY!$D$22/12,K178,SUMMARY!$D$21*12,SUMMARY!$D$20),0)</f>
        <v>529.105884761319</v>
      </c>
      <c r="N178" s="282" t="n">
        <f aca="false">+M178+L178</f>
        <v>848.059760065069</v>
      </c>
      <c r="P178" s="300"/>
      <c r="Q178" s="301"/>
      <c r="R178" s="301"/>
      <c r="S178" s="301"/>
    </row>
    <row r="179" customFormat="false" ht="12.75" hidden="false" customHeight="false" outlineLevel="0" collapsed="false">
      <c r="K179" s="280" t="n">
        <v>171</v>
      </c>
      <c r="L179" s="281" t="n">
        <f aca="false">-IF(SUMMARY!$D$21*12&gt;=K179,IPMT(SUMMARY!$D$22/12,K179,SUMMARY!$D$21*12,SUMMARY!$D$20),0)</f>
        <v>315.426502738675</v>
      </c>
      <c r="M179" s="281" t="n">
        <f aca="false">IF(SUMMARY!$D$21*12&gt;=K179,-PPMT(SUMMARY!$D$22/12,K179,SUMMARY!$D$21*12,SUMMARY!$D$20),0)</f>
        <v>532.633257326394</v>
      </c>
      <c r="N179" s="282" t="n">
        <f aca="false">+M179+L179</f>
        <v>848.059760065069</v>
      </c>
      <c r="P179" s="300"/>
      <c r="Q179" s="301"/>
      <c r="R179" s="301"/>
      <c r="S179" s="301"/>
    </row>
    <row r="180" customFormat="false" ht="12.75" hidden="false" customHeight="false" outlineLevel="0" collapsed="false">
      <c r="K180" s="280" t="n">
        <v>172</v>
      </c>
      <c r="L180" s="281" t="n">
        <f aca="false">-IF(SUMMARY!$D$21*12&gt;=K180,IPMT(SUMMARY!$D$22/12,K180,SUMMARY!$D$21*12,SUMMARY!$D$20),0)</f>
        <v>311.875614356499</v>
      </c>
      <c r="M180" s="281" t="n">
        <f aca="false">IF(SUMMARY!$D$21*12&gt;=K180,-PPMT(SUMMARY!$D$22/12,K180,SUMMARY!$D$21*12,SUMMARY!$D$20),0)</f>
        <v>536.18414570857</v>
      </c>
      <c r="N180" s="282" t="n">
        <f aca="false">+M180+L180</f>
        <v>848.059760065069</v>
      </c>
      <c r="P180" s="300"/>
      <c r="Q180" s="301"/>
      <c r="R180" s="301"/>
      <c r="S180" s="301"/>
    </row>
    <row r="181" customFormat="false" ht="12.75" hidden="false" customHeight="false" outlineLevel="0" collapsed="false">
      <c r="K181" s="280" t="n">
        <v>173</v>
      </c>
      <c r="L181" s="281" t="n">
        <f aca="false">-IF(SUMMARY!$D$21*12&gt;=K181,IPMT(SUMMARY!$D$22/12,K181,SUMMARY!$D$21*12,SUMMARY!$D$20),0)</f>
        <v>308.301053385109</v>
      </c>
      <c r="M181" s="281" t="n">
        <f aca="false">IF(SUMMARY!$D$21*12&gt;=K181,-PPMT(SUMMARY!$D$22/12,K181,SUMMARY!$D$21*12,SUMMARY!$D$20),0)</f>
        <v>539.758706679961</v>
      </c>
      <c r="N181" s="282" t="n">
        <f aca="false">+M181+L181</f>
        <v>848.059760065069</v>
      </c>
      <c r="P181" s="300"/>
      <c r="Q181" s="301"/>
      <c r="R181" s="301"/>
      <c r="S181" s="301"/>
    </row>
    <row r="182" customFormat="false" ht="12.75" hidden="false" customHeight="false" outlineLevel="0" collapsed="false">
      <c r="K182" s="280" t="n">
        <v>174</v>
      </c>
      <c r="L182" s="281" t="n">
        <f aca="false">-IF(SUMMARY!$D$21*12&gt;=K182,IPMT(SUMMARY!$D$22/12,K182,SUMMARY!$D$21*12,SUMMARY!$D$20),0)</f>
        <v>304.702662007243</v>
      </c>
      <c r="M182" s="281" t="n">
        <f aca="false">IF(SUMMARY!$D$21*12&gt;=K182,-PPMT(SUMMARY!$D$22/12,K182,SUMMARY!$D$21*12,SUMMARY!$D$20),0)</f>
        <v>543.357098057827</v>
      </c>
      <c r="N182" s="282" t="n">
        <f aca="false">+M182+L182</f>
        <v>848.059760065069</v>
      </c>
      <c r="P182" s="300"/>
      <c r="Q182" s="301"/>
      <c r="R182" s="301"/>
      <c r="S182" s="301"/>
    </row>
    <row r="183" customFormat="false" ht="12.75" hidden="false" customHeight="false" outlineLevel="0" collapsed="false">
      <c r="K183" s="280" t="n">
        <v>175</v>
      </c>
      <c r="L183" s="281" t="n">
        <f aca="false">-IF(SUMMARY!$D$21*12&gt;=K183,IPMT(SUMMARY!$D$22/12,K183,SUMMARY!$D$21*12,SUMMARY!$D$20),0)</f>
        <v>301.080281353524</v>
      </c>
      <c r="M183" s="281" t="n">
        <f aca="false">IF(SUMMARY!$D$21*12&gt;=K183,-PPMT(SUMMARY!$D$22/12,K183,SUMMARY!$D$21*12,SUMMARY!$D$20),0)</f>
        <v>546.979478711545</v>
      </c>
      <c r="N183" s="282" t="n">
        <f aca="false">+M183+L183</f>
        <v>848.059760065069</v>
      </c>
      <c r="P183" s="300"/>
      <c r="Q183" s="301"/>
      <c r="R183" s="301"/>
      <c r="S183" s="301"/>
    </row>
    <row r="184" customFormat="false" ht="12.75" hidden="false" customHeight="false" outlineLevel="0" collapsed="false">
      <c r="K184" s="280" t="n">
        <v>176</v>
      </c>
      <c r="L184" s="281" t="n">
        <f aca="false">-IF(SUMMARY!$D$21*12&gt;=K184,IPMT(SUMMARY!$D$22/12,K184,SUMMARY!$D$21*12,SUMMARY!$D$20),0)</f>
        <v>297.433751495447</v>
      </c>
      <c r="M184" s="281" t="n">
        <f aca="false">IF(SUMMARY!$D$21*12&gt;=K184,-PPMT(SUMMARY!$D$22/12,K184,SUMMARY!$D$21*12,SUMMARY!$D$20),0)</f>
        <v>550.626008569623</v>
      </c>
      <c r="N184" s="282" t="n">
        <f aca="false">+M184+L184</f>
        <v>848.059760065069</v>
      </c>
      <c r="P184" s="300"/>
      <c r="Q184" s="301"/>
      <c r="R184" s="301"/>
      <c r="S184" s="301"/>
    </row>
    <row r="185" customFormat="false" ht="12.75" hidden="false" customHeight="false" outlineLevel="0" collapsed="false">
      <c r="K185" s="280" t="n">
        <v>177</v>
      </c>
      <c r="L185" s="281" t="n">
        <f aca="false">-IF(SUMMARY!$D$21*12&gt;=K185,IPMT(SUMMARY!$D$22/12,K185,SUMMARY!$D$21*12,SUMMARY!$D$20),0)</f>
        <v>293.762911438316</v>
      </c>
      <c r="M185" s="281" t="n">
        <f aca="false">IF(SUMMARY!$D$21*12&gt;=K185,-PPMT(SUMMARY!$D$22/12,K185,SUMMARY!$D$21*12,SUMMARY!$D$20),0)</f>
        <v>554.296848626753</v>
      </c>
      <c r="N185" s="282" t="n">
        <f aca="false">+M185+L185</f>
        <v>848.059760065069</v>
      </c>
      <c r="P185" s="300"/>
      <c r="Q185" s="301"/>
      <c r="R185" s="301"/>
      <c r="S185" s="301"/>
    </row>
    <row r="186" customFormat="false" ht="12.75" hidden="false" customHeight="false" outlineLevel="0" collapsed="false">
      <c r="K186" s="280" t="n">
        <v>178</v>
      </c>
      <c r="L186" s="281" t="n">
        <f aca="false">-IF(SUMMARY!$D$21*12&gt;=K186,IPMT(SUMMARY!$D$22/12,K186,SUMMARY!$D$21*12,SUMMARY!$D$20),0)</f>
        <v>290.067599114138</v>
      </c>
      <c r="M186" s="281" t="n">
        <f aca="false">IF(SUMMARY!$D$21*12&gt;=K186,-PPMT(SUMMARY!$D$22/12,K186,SUMMARY!$D$21*12,SUMMARY!$D$20),0)</f>
        <v>557.992160950932</v>
      </c>
      <c r="N186" s="282" t="n">
        <f aca="false">+M186+L186</f>
        <v>848.059760065069</v>
      </c>
      <c r="P186" s="300"/>
      <c r="Q186" s="301"/>
      <c r="R186" s="301"/>
      <c r="S186" s="301"/>
    </row>
    <row r="187" customFormat="false" ht="12.75" hidden="false" customHeight="false" outlineLevel="0" collapsed="false">
      <c r="K187" s="280" t="n">
        <v>179</v>
      </c>
      <c r="L187" s="281" t="n">
        <f aca="false">-IF(SUMMARY!$D$21*12&gt;=K187,IPMT(SUMMARY!$D$22/12,K187,SUMMARY!$D$21*12,SUMMARY!$D$20),0)</f>
        <v>286.347651374465</v>
      </c>
      <c r="M187" s="281" t="n">
        <f aca="false">IF(SUMMARY!$D$21*12&gt;=K187,-PPMT(SUMMARY!$D$22/12,K187,SUMMARY!$D$21*12,SUMMARY!$D$20),0)</f>
        <v>561.712108690605</v>
      </c>
      <c r="N187" s="282" t="n">
        <f aca="false">+M187+L187</f>
        <v>848.059760065069</v>
      </c>
      <c r="P187" s="300"/>
      <c r="Q187" s="301"/>
      <c r="R187" s="301"/>
      <c r="S187" s="301"/>
    </row>
    <row r="188" customFormat="false" ht="12.75" hidden="false" customHeight="false" outlineLevel="0" collapsed="false">
      <c r="K188" s="280" t="n">
        <v>180</v>
      </c>
      <c r="L188" s="281" t="n">
        <f aca="false">-IF(SUMMARY!$D$21*12&gt;=K188,IPMT(SUMMARY!$D$22/12,K188,SUMMARY!$D$21*12,SUMMARY!$D$20),0)</f>
        <v>282.602903983195</v>
      </c>
      <c r="M188" s="281" t="n">
        <f aca="false">IF(SUMMARY!$D$21*12&gt;=K188,-PPMT(SUMMARY!$D$22/12,K188,SUMMARY!$D$21*12,SUMMARY!$D$20),0)</f>
        <v>565.456856081875</v>
      </c>
      <c r="N188" s="282" t="n">
        <f aca="false">+M188+L188</f>
        <v>848.059760065069</v>
      </c>
      <c r="P188" s="300"/>
      <c r="Q188" s="301"/>
      <c r="R188" s="301"/>
      <c r="S188" s="301"/>
    </row>
    <row r="189" customFormat="false" ht="12.75" hidden="false" customHeight="false" outlineLevel="0" collapsed="false">
      <c r="K189" s="280" t="n">
        <v>181</v>
      </c>
      <c r="L189" s="281" t="n">
        <f aca="false">-IF(SUMMARY!$D$21*12&gt;=K189,IPMT(SUMMARY!$D$22/12,K189,SUMMARY!$D$21*12,SUMMARY!$D$20),0)</f>
        <v>278.833191609315</v>
      </c>
      <c r="M189" s="281" t="n">
        <f aca="false">IF(SUMMARY!$D$21*12&gt;=K189,-PPMT(SUMMARY!$D$22/12,K189,SUMMARY!$D$21*12,SUMMARY!$D$20),0)</f>
        <v>569.226568455754</v>
      </c>
      <c r="N189" s="282" t="n">
        <f aca="false">+M189+L189</f>
        <v>848.059760065069</v>
      </c>
      <c r="P189" s="300"/>
      <c r="Q189" s="301"/>
      <c r="R189" s="301"/>
      <c r="S189" s="301"/>
    </row>
    <row r="190" customFormat="false" ht="12.75" hidden="false" customHeight="false" outlineLevel="0" collapsed="false">
      <c r="K190" s="280" t="n">
        <v>182</v>
      </c>
      <c r="L190" s="281" t="n">
        <f aca="false">-IF(SUMMARY!$D$21*12&gt;=K190,IPMT(SUMMARY!$D$22/12,K190,SUMMARY!$D$21*12,SUMMARY!$D$20),0)</f>
        <v>275.03834781961</v>
      </c>
      <c r="M190" s="281" t="n">
        <f aca="false">IF(SUMMARY!$D$21*12&gt;=K190,-PPMT(SUMMARY!$D$22/12,K190,SUMMARY!$D$21*12,SUMMARY!$D$20),0)</f>
        <v>573.021412245459</v>
      </c>
      <c r="N190" s="282" t="n">
        <f aca="false">+M190+L190</f>
        <v>848.059760065069</v>
      </c>
      <c r="P190" s="300"/>
      <c r="Q190" s="301"/>
      <c r="R190" s="301"/>
      <c r="S190" s="301"/>
    </row>
    <row r="191" customFormat="false" ht="12.75" hidden="false" customHeight="false" outlineLevel="0" collapsed="false">
      <c r="K191" s="280" t="n">
        <v>183</v>
      </c>
      <c r="L191" s="281" t="n">
        <f aca="false">-IF(SUMMARY!$D$21*12&gt;=K191,IPMT(SUMMARY!$D$22/12,K191,SUMMARY!$D$21*12,SUMMARY!$D$20),0)</f>
        <v>271.218205071307</v>
      </c>
      <c r="M191" s="281" t="n">
        <f aca="false">IF(SUMMARY!$D$21*12&gt;=K191,-PPMT(SUMMARY!$D$22/12,K191,SUMMARY!$D$21*12,SUMMARY!$D$20),0)</f>
        <v>576.841554993762</v>
      </c>
      <c r="N191" s="282" t="n">
        <f aca="false">+M191+L191</f>
        <v>848.059760065069</v>
      </c>
      <c r="P191" s="300"/>
      <c r="Q191" s="301"/>
      <c r="R191" s="301"/>
      <c r="S191" s="301"/>
    </row>
    <row r="192" customFormat="false" ht="12.75" hidden="false" customHeight="false" outlineLevel="0" collapsed="false">
      <c r="K192" s="280" t="n">
        <v>184</v>
      </c>
      <c r="L192" s="281" t="n">
        <f aca="false">-IF(SUMMARY!$D$21*12&gt;=K192,IPMT(SUMMARY!$D$22/12,K192,SUMMARY!$D$21*12,SUMMARY!$D$20),0)</f>
        <v>267.372594704682</v>
      </c>
      <c r="M192" s="281" t="n">
        <f aca="false">IF(SUMMARY!$D$21*12&gt;=K192,-PPMT(SUMMARY!$D$22/12,K192,SUMMARY!$D$21*12,SUMMARY!$D$20),0)</f>
        <v>580.687165360387</v>
      </c>
      <c r="N192" s="282" t="n">
        <f aca="false">+M192+L192</f>
        <v>848.059760065069</v>
      </c>
      <c r="P192" s="300"/>
      <c r="Q192" s="301"/>
      <c r="R192" s="301"/>
      <c r="S192" s="301"/>
    </row>
    <row r="193" customFormat="false" ht="12.75" hidden="false" customHeight="false" outlineLevel="0" collapsed="false">
      <c r="K193" s="280" t="n">
        <v>185</v>
      </c>
      <c r="L193" s="281" t="n">
        <f aca="false">-IF(SUMMARY!$D$21*12&gt;=K193,IPMT(SUMMARY!$D$22/12,K193,SUMMARY!$D$21*12,SUMMARY!$D$20),0)</f>
        <v>263.501346935613</v>
      </c>
      <c r="M193" s="281" t="n">
        <f aca="false">IF(SUMMARY!$D$21*12&gt;=K193,-PPMT(SUMMARY!$D$22/12,K193,SUMMARY!$D$21*12,SUMMARY!$D$20),0)</f>
        <v>584.558413129457</v>
      </c>
      <c r="N193" s="282" t="n">
        <f aca="false">+M193+L193</f>
        <v>848.059760065069</v>
      </c>
      <c r="P193" s="300"/>
      <c r="Q193" s="301"/>
      <c r="R193" s="301"/>
      <c r="S193" s="301"/>
    </row>
    <row r="194" customFormat="false" ht="12.75" hidden="false" customHeight="false" outlineLevel="0" collapsed="false">
      <c r="K194" s="280" t="n">
        <v>186</v>
      </c>
      <c r="L194" s="281" t="n">
        <f aca="false">-IF(SUMMARY!$D$21*12&gt;=K194,IPMT(SUMMARY!$D$22/12,K194,SUMMARY!$D$21*12,SUMMARY!$D$20),0)</f>
        <v>259.604290848083</v>
      </c>
      <c r="M194" s="281" t="n">
        <f aca="false">IF(SUMMARY!$D$21*12&gt;=K194,-PPMT(SUMMARY!$D$22/12,K194,SUMMARY!$D$21*12,SUMMARY!$D$20),0)</f>
        <v>588.455469216986</v>
      </c>
      <c r="N194" s="282" t="n">
        <f aca="false">+M194+L194</f>
        <v>848.059760065069</v>
      </c>
      <c r="P194" s="300"/>
      <c r="Q194" s="301"/>
      <c r="R194" s="301"/>
      <c r="S194" s="301"/>
    </row>
    <row r="195" customFormat="false" ht="12.75" hidden="false" customHeight="false" outlineLevel="0" collapsed="false">
      <c r="K195" s="280" t="n">
        <v>187</v>
      </c>
      <c r="L195" s="281" t="n">
        <f aca="false">-IF(SUMMARY!$D$21*12&gt;=K195,IPMT(SUMMARY!$D$22/12,K195,SUMMARY!$D$21*12,SUMMARY!$D$20),0)</f>
        <v>255.681254386637</v>
      </c>
      <c r="M195" s="281" t="n">
        <f aca="false">IF(SUMMARY!$D$21*12&gt;=K195,-PPMT(SUMMARY!$D$22/12,K195,SUMMARY!$D$21*12,SUMMARY!$D$20),0)</f>
        <v>592.378505678433</v>
      </c>
      <c r="N195" s="282" t="n">
        <f aca="false">+M195+L195</f>
        <v>848.059760065069</v>
      </c>
      <c r="P195" s="300"/>
      <c r="Q195" s="301"/>
      <c r="R195" s="301"/>
      <c r="S195" s="301"/>
    </row>
    <row r="196" customFormat="false" ht="12.75" hidden="false" customHeight="false" outlineLevel="0" collapsed="false">
      <c r="K196" s="280" t="n">
        <v>188</v>
      </c>
      <c r="L196" s="281" t="n">
        <f aca="false">-IF(SUMMARY!$D$21*12&gt;=K196,IPMT(SUMMARY!$D$22/12,K196,SUMMARY!$D$21*12,SUMMARY!$D$20),0)</f>
        <v>251.73206434878</v>
      </c>
      <c r="M196" s="281" t="n">
        <f aca="false">IF(SUMMARY!$D$21*12&gt;=K196,-PPMT(SUMMARY!$D$22/12,K196,SUMMARY!$D$21*12,SUMMARY!$D$20),0)</f>
        <v>596.327695716289</v>
      </c>
      <c r="N196" s="282" t="n">
        <f aca="false">+M196+L196</f>
        <v>848.059760065069</v>
      </c>
      <c r="P196" s="300"/>
      <c r="Q196" s="301"/>
      <c r="R196" s="301"/>
      <c r="S196" s="301"/>
    </row>
    <row r="197" customFormat="false" ht="12.75" hidden="false" customHeight="false" outlineLevel="0" collapsed="false">
      <c r="K197" s="280" t="n">
        <v>189</v>
      </c>
      <c r="L197" s="281" t="n">
        <f aca="false">-IF(SUMMARY!$D$21*12&gt;=K197,IPMT(SUMMARY!$D$22/12,K197,SUMMARY!$D$21*12,SUMMARY!$D$20),0)</f>
        <v>247.756546377339</v>
      </c>
      <c r="M197" s="281" t="n">
        <f aca="false">IF(SUMMARY!$D$21*12&gt;=K197,-PPMT(SUMMARY!$D$22/12,K197,SUMMARY!$D$21*12,SUMMARY!$D$20),0)</f>
        <v>600.30321368773</v>
      </c>
      <c r="N197" s="282" t="n">
        <f aca="false">+M197+L197</f>
        <v>848.059760065069</v>
      </c>
      <c r="P197" s="300"/>
      <c r="Q197" s="301"/>
      <c r="R197" s="301"/>
      <c r="S197" s="301"/>
    </row>
    <row r="198" customFormat="false" ht="12.75" hidden="false" customHeight="false" outlineLevel="0" collapsed="false">
      <c r="K198" s="280" t="n">
        <v>190</v>
      </c>
      <c r="L198" s="281" t="n">
        <f aca="false">-IF(SUMMARY!$D$21*12&gt;=K198,IPMT(SUMMARY!$D$22/12,K198,SUMMARY!$D$21*12,SUMMARY!$D$20),0)</f>
        <v>243.754524952754</v>
      </c>
      <c r="M198" s="281" t="n">
        <f aca="false">IF(SUMMARY!$D$21*12&gt;=K198,-PPMT(SUMMARY!$D$22/12,K198,SUMMARY!$D$21*12,SUMMARY!$D$20),0)</f>
        <v>604.305235112316</v>
      </c>
      <c r="N198" s="282" t="n">
        <f aca="false">+M198+L198</f>
        <v>848.059760065069</v>
      </c>
      <c r="P198" s="300"/>
      <c r="Q198" s="301"/>
      <c r="R198" s="301"/>
      <c r="S198" s="301"/>
    </row>
    <row r="199" customFormat="false" ht="12.75" hidden="false" customHeight="false" outlineLevel="0" collapsed="false">
      <c r="K199" s="280" t="n">
        <v>191</v>
      </c>
      <c r="L199" s="281" t="n">
        <f aca="false">-IF(SUMMARY!$D$21*12&gt;=K199,IPMT(SUMMARY!$D$22/12,K199,SUMMARY!$D$21*12,SUMMARY!$D$20),0)</f>
        <v>239.725823385339</v>
      </c>
      <c r="M199" s="281" t="n">
        <f aca="false">IF(SUMMARY!$D$21*12&gt;=K199,-PPMT(SUMMARY!$D$22/12,K199,SUMMARY!$D$21*12,SUMMARY!$D$20),0)</f>
        <v>608.333936679731</v>
      </c>
      <c r="N199" s="282" t="n">
        <f aca="false">+M199+L199</f>
        <v>848.059760065069</v>
      </c>
      <c r="P199" s="300"/>
      <c r="Q199" s="301"/>
      <c r="R199" s="301"/>
      <c r="S199" s="301"/>
    </row>
    <row r="200" customFormat="false" ht="12.75" hidden="false" customHeight="false" outlineLevel="0" collapsed="false">
      <c r="K200" s="280" t="n">
        <v>192</v>
      </c>
      <c r="L200" s="281" t="n">
        <f aca="false">-IF(SUMMARY!$D$21*12&gt;=K200,IPMT(SUMMARY!$D$22/12,K200,SUMMARY!$D$21*12,SUMMARY!$D$20),0)</f>
        <v>235.670263807474</v>
      </c>
      <c r="M200" s="281" t="n">
        <f aca="false">IF(SUMMARY!$D$21*12&gt;=K200,-PPMT(SUMMARY!$D$22/12,K200,SUMMARY!$D$21*12,SUMMARY!$D$20),0)</f>
        <v>612.389496257596</v>
      </c>
      <c r="N200" s="282" t="n">
        <f aca="false">+M200+L200</f>
        <v>848.059760065069</v>
      </c>
      <c r="P200" s="300"/>
      <c r="Q200" s="301"/>
      <c r="R200" s="301"/>
      <c r="S200" s="301"/>
    </row>
    <row r="201" customFormat="false" ht="12.75" hidden="false" customHeight="false" outlineLevel="0" collapsed="false">
      <c r="K201" s="280" t="n">
        <v>193</v>
      </c>
      <c r="L201" s="281" t="n">
        <f aca="false">-IF(SUMMARY!$D$21*12&gt;=K201,IPMT(SUMMARY!$D$22/12,K201,SUMMARY!$D$21*12,SUMMARY!$D$20),0)</f>
        <v>231.587667165756</v>
      </c>
      <c r="M201" s="281" t="n">
        <f aca="false">IF(SUMMARY!$D$21*12&gt;=K201,-PPMT(SUMMARY!$D$22/12,K201,SUMMARY!$D$21*12,SUMMARY!$D$20),0)</f>
        <v>616.472092899313</v>
      </c>
      <c r="N201" s="282" t="n">
        <f aca="false">+M201+L201</f>
        <v>848.059760065069</v>
      </c>
      <c r="P201" s="300"/>
      <c r="Q201" s="301"/>
      <c r="R201" s="301"/>
      <c r="S201" s="301"/>
    </row>
    <row r="202" customFormat="false" ht="12.75" hidden="false" customHeight="false" outlineLevel="0" collapsed="false">
      <c r="K202" s="280" t="n">
        <v>194</v>
      </c>
      <c r="L202" s="281" t="n">
        <f aca="false">-IF(SUMMARY!$D$21*12&gt;=K202,IPMT(SUMMARY!$D$22/12,K202,SUMMARY!$D$21*12,SUMMARY!$D$20),0)</f>
        <v>227.477853213094</v>
      </c>
      <c r="M202" s="281" t="n">
        <f aca="false">IF(SUMMARY!$D$21*12&gt;=K202,-PPMT(SUMMARY!$D$22/12,K202,SUMMARY!$D$21*12,SUMMARY!$D$20),0)</f>
        <v>620.581906851975</v>
      </c>
      <c r="N202" s="282" t="n">
        <f aca="false">+M202+L202</f>
        <v>848.059760065069</v>
      </c>
      <c r="P202" s="300"/>
      <c r="Q202" s="301"/>
      <c r="R202" s="301"/>
      <c r="S202" s="301"/>
    </row>
    <row r="203" customFormat="false" ht="12.75" hidden="false" customHeight="false" outlineLevel="0" collapsed="false">
      <c r="K203" s="280" t="n">
        <v>195</v>
      </c>
      <c r="L203" s="281" t="n">
        <f aca="false">-IF(SUMMARY!$D$21*12&gt;=K203,IPMT(SUMMARY!$D$22/12,K203,SUMMARY!$D$21*12,SUMMARY!$D$20),0)</f>
        <v>223.340640500748</v>
      </c>
      <c r="M203" s="281" t="n">
        <f aca="false">IF(SUMMARY!$D$21*12&gt;=K203,-PPMT(SUMMARY!$D$22/12,K203,SUMMARY!$D$21*12,SUMMARY!$D$20),0)</f>
        <v>624.719119564321</v>
      </c>
      <c r="N203" s="282" t="n">
        <f aca="false">+M203+L203</f>
        <v>848.059760065069</v>
      </c>
      <c r="P203" s="300"/>
      <c r="Q203" s="301"/>
      <c r="R203" s="301"/>
      <c r="S203" s="301"/>
    </row>
    <row r="204" customFormat="false" ht="12.75" hidden="false" customHeight="false" outlineLevel="0" collapsed="false">
      <c r="K204" s="280" t="n">
        <v>196</v>
      </c>
      <c r="L204" s="281" t="n">
        <f aca="false">-IF(SUMMARY!$D$21*12&gt;=K204,IPMT(SUMMARY!$D$22/12,K204,SUMMARY!$D$21*12,SUMMARY!$D$20),0)</f>
        <v>219.175846370319</v>
      </c>
      <c r="M204" s="281" t="n">
        <f aca="false">IF(SUMMARY!$D$21*12&gt;=K204,-PPMT(SUMMARY!$D$22/12,K204,SUMMARY!$D$21*12,SUMMARY!$D$20),0)</f>
        <v>628.88391369475</v>
      </c>
      <c r="N204" s="282" t="n">
        <f aca="false">+M204+L204</f>
        <v>848.059760065069</v>
      </c>
      <c r="P204" s="300"/>
      <c r="Q204" s="301"/>
      <c r="R204" s="301"/>
      <c r="S204" s="301"/>
    </row>
    <row r="205" customFormat="false" ht="12.75" hidden="false" customHeight="false" outlineLevel="0" collapsed="false">
      <c r="K205" s="280" t="n">
        <v>197</v>
      </c>
      <c r="L205" s="281" t="n">
        <f aca="false">-IF(SUMMARY!$D$21*12&gt;=K205,IPMT(SUMMARY!$D$22/12,K205,SUMMARY!$D$21*12,SUMMARY!$D$20),0)</f>
        <v>214.983286945687</v>
      </c>
      <c r="M205" s="281" t="n">
        <f aca="false">IF(SUMMARY!$D$21*12&gt;=K205,-PPMT(SUMMARY!$D$22/12,K205,SUMMARY!$D$21*12,SUMMARY!$D$20),0)</f>
        <v>633.076473119382</v>
      </c>
      <c r="N205" s="282" t="n">
        <f aca="false">+M205+L205</f>
        <v>848.059760065069</v>
      </c>
      <c r="P205" s="300"/>
      <c r="Q205" s="301"/>
      <c r="R205" s="301"/>
      <c r="S205" s="301"/>
    </row>
    <row r="206" customFormat="false" ht="12.75" hidden="false" customHeight="false" outlineLevel="0" collapsed="false">
      <c r="K206" s="280" t="n">
        <v>198</v>
      </c>
      <c r="L206" s="281" t="n">
        <f aca="false">-IF(SUMMARY!$D$21*12&gt;=K206,IPMT(SUMMARY!$D$22/12,K206,SUMMARY!$D$21*12,SUMMARY!$D$20),0)</f>
        <v>210.762777124892</v>
      </c>
      <c r="M206" s="281" t="n">
        <f aca="false">IF(SUMMARY!$D$21*12&gt;=K206,-PPMT(SUMMARY!$D$22/12,K206,SUMMARY!$D$21*12,SUMMARY!$D$20),0)</f>
        <v>637.296982940178</v>
      </c>
      <c r="N206" s="282" t="n">
        <f aca="false">+M206+L206</f>
        <v>848.059760065069</v>
      </c>
      <c r="P206" s="300"/>
      <c r="Q206" s="301"/>
      <c r="R206" s="301"/>
      <c r="S206" s="301"/>
    </row>
    <row r="207" customFormat="false" ht="12.75" hidden="false" customHeight="false" outlineLevel="0" collapsed="false">
      <c r="K207" s="280" t="n">
        <v>199</v>
      </c>
      <c r="L207" s="281" t="n">
        <f aca="false">-IF(SUMMARY!$D$21*12&gt;=K207,IPMT(SUMMARY!$D$22/12,K207,SUMMARY!$D$21*12,SUMMARY!$D$20),0)</f>
        <v>206.514130571957</v>
      </c>
      <c r="M207" s="281" t="n">
        <f aca="false">IF(SUMMARY!$D$21*12&gt;=K207,-PPMT(SUMMARY!$D$22/12,K207,SUMMARY!$D$21*12,SUMMARY!$D$20),0)</f>
        <v>641.545629493113</v>
      </c>
      <c r="N207" s="282" t="n">
        <f aca="false">+M207+L207</f>
        <v>848.059760065069</v>
      </c>
      <c r="P207" s="300"/>
      <c r="Q207" s="301"/>
      <c r="R207" s="301"/>
      <c r="S207" s="301"/>
    </row>
    <row r="208" customFormat="false" ht="12.75" hidden="false" customHeight="false" outlineLevel="0" collapsed="false">
      <c r="K208" s="280" t="n">
        <v>200</v>
      </c>
      <c r="L208" s="281" t="n">
        <f aca="false">-IF(SUMMARY!$D$21*12&gt;=K208,IPMT(SUMMARY!$D$22/12,K208,SUMMARY!$D$21*12,SUMMARY!$D$20),0)</f>
        <v>202.23715970867</v>
      </c>
      <c r="M208" s="281" t="n">
        <f aca="false">IF(SUMMARY!$D$21*12&gt;=K208,-PPMT(SUMMARY!$D$22/12,K208,SUMMARY!$D$21*12,SUMMARY!$D$20),0)</f>
        <v>645.8226003564</v>
      </c>
      <c r="N208" s="282" t="n">
        <f aca="false">+M208+L208</f>
        <v>848.059760065069</v>
      </c>
      <c r="P208" s="300"/>
      <c r="Q208" s="301"/>
      <c r="R208" s="301"/>
      <c r="S208" s="301"/>
    </row>
    <row r="209" customFormat="false" ht="12.75" hidden="false" customHeight="false" outlineLevel="0" collapsed="false">
      <c r="K209" s="280" t="n">
        <v>201</v>
      </c>
      <c r="L209" s="281" t="n">
        <f aca="false">-IF(SUMMARY!$D$21*12&gt;=K209,IPMT(SUMMARY!$D$22/12,K209,SUMMARY!$D$21*12,SUMMARY!$D$20),0)</f>
        <v>197.931675706294</v>
      </c>
      <c r="M209" s="281" t="n">
        <f aca="false">IF(SUMMARY!$D$21*12&gt;=K209,-PPMT(SUMMARY!$D$22/12,K209,SUMMARY!$D$21*12,SUMMARY!$D$20),0)</f>
        <v>650.128084358775</v>
      </c>
      <c r="N209" s="282" t="n">
        <f aca="false">+M209+L209</f>
        <v>848.059760065069</v>
      </c>
      <c r="P209" s="300"/>
      <c r="Q209" s="301"/>
      <c r="R209" s="301"/>
      <c r="S209" s="301"/>
    </row>
    <row r="210" customFormat="false" ht="12.75" hidden="false" customHeight="false" outlineLevel="0" collapsed="false">
      <c r="K210" s="280" t="n">
        <v>202</v>
      </c>
      <c r="L210" s="281" t="n">
        <f aca="false">-IF(SUMMARY!$D$21*12&gt;=K210,IPMT(SUMMARY!$D$22/12,K210,SUMMARY!$D$21*12,SUMMARY!$D$20),0)</f>
        <v>193.597488477235</v>
      </c>
      <c r="M210" s="281" t="n">
        <f aca="false">IF(SUMMARY!$D$21*12&gt;=K210,-PPMT(SUMMARY!$D$22/12,K210,SUMMARY!$D$21*12,SUMMARY!$D$20),0)</f>
        <v>654.462271587834</v>
      </c>
      <c r="N210" s="282" t="n">
        <f aca="false">+M210+L210</f>
        <v>848.059760065069</v>
      </c>
      <c r="P210" s="300"/>
      <c r="Q210" s="301"/>
      <c r="R210" s="301"/>
      <c r="S210" s="301"/>
    </row>
    <row r="211" customFormat="false" ht="12.75" hidden="false" customHeight="false" outlineLevel="0" collapsed="false">
      <c r="K211" s="280" t="n">
        <v>203</v>
      </c>
      <c r="L211" s="281" t="n">
        <f aca="false">-IF(SUMMARY!$D$21*12&gt;=K211,IPMT(SUMMARY!$D$22/12,K211,SUMMARY!$D$21*12,SUMMARY!$D$20),0)</f>
        <v>189.23440666665</v>
      </c>
      <c r="M211" s="281" t="n">
        <f aca="false">IF(SUMMARY!$D$21*12&gt;=K211,-PPMT(SUMMARY!$D$22/12,K211,SUMMARY!$D$21*12,SUMMARY!$D$20),0)</f>
        <v>658.82535339842</v>
      </c>
      <c r="N211" s="282" t="n">
        <f aca="false">+M211+L211</f>
        <v>848.059760065069</v>
      </c>
      <c r="P211" s="300"/>
      <c r="Q211" s="301"/>
      <c r="R211" s="301"/>
      <c r="S211" s="301"/>
    </row>
    <row r="212" customFormat="false" ht="12.75" hidden="false" customHeight="false" outlineLevel="0" collapsed="false">
      <c r="K212" s="280" t="n">
        <v>204</v>
      </c>
      <c r="L212" s="281" t="n">
        <f aca="false">-IF(SUMMARY!$D$21*12&gt;=K212,IPMT(SUMMARY!$D$22/12,K212,SUMMARY!$D$21*12,SUMMARY!$D$20),0)</f>
        <v>184.842237643993</v>
      </c>
      <c r="M212" s="281" t="n">
        <f aca="false">IF(SUMMARY!$D$21*12&gt;=K212,-PPMT(SUMMARY!$D$22/12,K212,SUMMARY!$D$21*12,SUMMARY!$D$20),0)</f>
        <v>663.217522421076</v>
      </c>
      <c r="N212" s="282" t="n">
        <f aca="false">+M212+L212</f>
        <v>848.059760065069</v>
      </c>
      <c r="P212" s="300"/>
      <c r="Q212" s="301"/>
      <c r="R212" s="301"/>
      <c r="S212" s="301"/>
    </row>
    <row r="213" customFormat="false" ht="12.75" hidden="false" customHeight="false" outlineLevel="0" collapsed="false">
      <c r="K213" s="280" t="n">
        <v>205</v>
      </c>
      <c r="L213" s="281" t="n">
        <f aca="false">-IF(SUMMARY!$D$21*12&gt;=K213,IPMT(SUMMARY!$D$22/12,K213,SUMMARY!$D$21*12,SUMMARY!$D$20),0)</f>
        <v>180.42078749452</v>
      </c>
      <c r="M213" s="281" t="n">
        <f aca="false">IF(SUMMARY!$D$21*12&gt;=K213,-PPMT(SUMMARY!$D$22/12,K213,SUMMARY!$D$21*12,SUMMARY!$D$20),0)</f>
        <v>667.638972570549</v>
      </c>
      <c r="N213" s="282" t="n">
        <f aca="false">+M213+L213</f>
        <v>848.059760065069</v>
      </c>
      <c r="P213" s="300"/>
      <c r="Q213" s="301"/>
      <c r="R213" s="301"/>
      <c r="S213" s="301"/>
    </row>
    <row r="214" customFormat="false" ht="12.75" hidden="false" customHeight="false" outlineLevel="0" collapsed="false">
      <c r="K214" s="280" t="n">
        <v>206</v>
      </c>
      <c r="L214" s="281" t="n">
        <f aca="false">-IF(SUMMARY!$D$21*12&gt;=K214,IPMT(SUMMARY!$D$22/12,K214,SUMMARY!$D$21*12,SUMMARY!$D$20),0)</f>
        <v>175.969861010716</v>
      </c>
      <c r="M214" s="281" t="n">
        <f aca="false">IF(SUMMARY!$D$21*12&gt;=K214,-PPMT(SUMMARY!$D$22/12,K214,SUMMARY!$D$21*12,SUMMARY!$D$20),0)</f>
        <v>672.089899054353</v>
      </c>
      <c r="N214" s="282" t="n">
        <f aca="false">+M214+L214</f>
        <v>848.059760065069</v>
      </c>
      <c r="P214" s="300"/>
      <c r="Q214" s="301"/>
      <c r="R214" s="301"/>
      <c r="S214" s="301"/>
    </row>
    <row r="215" customFormat="false" ht="12.75" hidden="false" customHeight="false" outlineLevel="0" collapsed="false">
      <c r="K215" s="280" t="n">
        <v>207</v>
      </c>
      <c r="L215" s="281" t="n">
        <f aca="false">-IF(SUMMARY!$D$21*12&gt;=K215,IPMT(SUMMARY!$D$22/12,K215,SUMMARY!$D$21*12,SUMMARY!$D$20),0)</f>
        <v>171.489261683687</v>
      </c>
      <c r="M215" s="281" t="n">
        <f aca="false">IF(SUMMARY!$D$21*12&gt;=K215,-PPMT(SUMMARY!$D$22/12,K215,SUMMARY!$D$21*12,SUMMARY!$D$20),0)</f>
        <v>676.570498381382</v>
      </c>
      <c r="N215" s="282" t="n">
        <f aca="false">+M215+L215</f>
        <v>848.059760065069</v>
      </c>
      <c r="P215" s="300"/>
      <c r="Q215" s="301"/>
      <c r="R215" s="301"/>
      <c r="S215" s="301"/>
    </row>
    <row r="216" customFormat="false" ht="12.75" hidden="false" customHeight="false" outlineLevel="0" collapsed="false">
      <c r="K216" s="280" t="n">
        <v>208</v>
      </c>
      <c r="L216" s="281" t="n">
        <f aca="false">-IF(SUMMARY!$D$21*12&gt;=K216,IPMT(SUMMARY!$D$22/12,K216,SUMMARY!$D$21*12,SUMMARY!$D$20),0)</f>
        <v>166.978791694478</v>
      </c>
      <c r="M216" s="281" t="n">
        <f aca="false">IF(SUMMARY!$D$21*12&gt;=K216,-PPMT(SUMMARY!$D$22/12,K216,SUMMARY!$D$21*12,SUMMARY!$D$20),0)</f>
        <v>681.080968370591</v>
      </c>
      <c r="N216" s="282" t="n">
        <f aca="false">+M216+L216</f>
        <v>848.059760065069</v>
      </c>
      <c r="P216" s="300"/>
      <c r="Q216" s="301"/>
      <c r="R216" s="301"/>
      <c r="S216" s="301"/>
    </row>
    <row r="217" customFormat="false" ht="12.75" hidden="false" customHeight="false" outlineLevel="0" collapsed="false">
      <c r="K217" s="280" t="n">
        <v>209</v>
      </c>
      <c r="L217" s="281" t="n">
        <f aca="false">-IF(SUMMARY!$D$21*12&gt;=K217,IPMT(SUMMARY!$D$22/12,K217,SUMMARY!$D$21*12,SUMMARY!$D$20),0)</f>
        <v>162.438251905341</v>
      </c>
      <c r="M217" s="281" t="n">
        <f aca="false">IF(SUMMARY!$D$21*12&gt;=K217,-PPMT(SUMMARY!$D$22/12,K217,SUMMARY!$D$21*12,SUMMARY!$D$20),0)</f>
        <v>685.621508159728</v>
      </c>
      <c r="N217" s="282" t="n">
        <f aca="false">+M217+L217</f>
        <v>848.059760065069</v>
      </c>
      <c r="P217" s="300"/>
      <c r="Q217" s="301"/>
      <c r="R217" s="301"/>
      <c r="S217" s="301"/>
    </row>
    <row r="218" customFormat="false" ht="12.75" hidden="false" customHeight="false" outlineLevel="0" collapsed="false">
      <c r="K218" s="280" t="n">
        <v>210</v>
      </c>
      <c r="L218" s="281" t="n">
        <f aca="false">-IF(SUMMARY!$D$21*12&gt;=K218,IPMT(SUMMARY!$D$22/12,K218,SUMMARY!$D$21*12,SUMMARY!$D$20),0)</f>
        <v>157.867441850943</v>
      </c>
      <c r="M218" s="281" t="n">
        <f aca="false">IF(SUMMARY!$D$21*12&gt;=K218,-PPMT(SUMMARY!$D$22/12,K218,SUMMARY!$D$21*12,SUMMARY!$D$20),0)</f>
        <v>690.192318214126</v>
      </c>
      <c r="N218" s="282" t="n">
        <f aca="false">+M218+L218</f>
        <v>848.059760065069</v>
      </c>
      <c r="P218" s="300"/>
      <c r="Q218" s="301"/>
      <c r="R218" s="301"/>
      <c r="S218" s="301"/>
    </row>
    <row r="219" customFormat="false" ht="12.75" hidden="false" customHeight="false" outlineLevel="0" collapsed="false">
      <c r="K219" s="280" t="n">
        <v>211</v>
      </c>
      <c r="L219" s="281" t="n">
        <f aca="false">-IF(SUMMARY!$D$21*12&gt;=K219,IPMT(SUMMARY!$D$22/12,K219,SUMMARY!$D$21*12,SUMMARY!$D$20),0)</f>
        <v>153.266159729515</v>
      </c>
      <c r="M219" s="281" t="n">
        <f aca="false">IF(SUMMARY!$D$21*12&gt;=K219,-PPMT(SUMMARY!$D$22/12,K219,SUMMARY!$D$21*12,SUMMARY!$D$20),0)</f>
        <v>694.793600335554</v>
      </c>
      <c r="N219" s="282" t="n">
        <f aca="false">+M219+L219</f>
        <v>848.059760065069</v>
      </c>
      <c r="P219" s="300"/>
      <c r="Q219" s="301"/>
      <c r="R219" s="301"/>
      <c r="S219" s="301"/>
    </row>
    <row r="220" customFormat="false" ht="12.75" hidden="false" customHeight="false" outlineLevel="0" collapsed="false">
      <c r="K220" s="280" t="n">
        <v>212</v>
      </c>
      <c r="L220" s="281" t="n">
        <f aca="false">-IF(SUMMARY!$D$21*12&gt;=K220,IPMT(SUMMARY!$D$22/12,K220,SUMMARY!$D$21*12,SUMMARY!$D$20),0)</f>
        <v>148.634202393945</v>
      </c>
      <c r="M220" s="281" t="n">
        <f aca="false">IF(SUMMARY!$D$21*12&gt;=K220,-PPMT(SUMMARY!$D$22/12,K220,SUMMARY!$D$21*12,SUMMARY!$D$20),0)</f>
        <v>699.425557671124</v>
      </c>
      <c r="N220" s="282" t="n">
        <f aca="false">+M220+L220</f>
        <v>848.059760065069</v>
      </c>
      <c r="P220" s="300"/>
      <c r="Q220" s="301"/>
      <c r="R220" s="301"/>
      <c r="S220" s="301"/>
    </row>
    <row r="221" customFormat="false" ht="12.75" hidden="false" customHeight="false" outlineLevel="0" collapsed="false">
      <c r="K221" s="280" t="n">
        <v>213</v>
      </c>
      <c r="L221" s="281" t="n">
        <f aca="false">-IF(SUMMARY!$D$21*12&gt;=K221,IPMT(SUMMARY!$D$22/12,K221,SUMMARY!$D$21*12,SUMMARY!$D$20),0)</f>
        <v>143.971365342804</v>
      </c>
      <c r="M221" s="281" t="n">
        <f aca="false">IF(SUMMARY!$D$21*12&gt;=K221,-PPMT(SUMMARY!$D$22/12,K221,SUMMARY!$D$21*12,SUMMARY!$D$20),0)</f>
        <v>704.088394722265</v>
      </c>
      <c r="N221" s="282" t="n">
        <f aca="false">+M221+L221</f>
        <v>848.059760065069</v>
      </c>
      <c r="P221" s="300"/>
      <c r="Q221" s="301"/>
      <c r="R221" s="301"/>
      <c r="S221" s="301"/>
    </row>
    <row r="222" customFormat="false" ht="12.75" hidden="false" customHeight="false" outlineLevel="0" collapsed="false">
      <c r="K222" s="280" t="n">
        <v>214</v>
      </c>
      <c r="L222" s="281" t="n">
        <f aca="false">-IF(SUMMARY!$D$21*12&gt;=K222,IPMT(SUMMARY!$D$22/12,K222,SUMMARY!$D$21*12,SUMMARY!$D$20),0)</f>
        <v>139.277442711322</v>
      </c>
      <c r="M222" s="281" t="n">
        <f aca="false">IF(SUMMARY!$D$21*12&gt;=K222,-PPMT(SUMMARY!$D$22/12,K222,SUMMARY!$D$21*12,SUMMARY!$D$20),0)</f>
        <v>708.782317353747</v>
      </c>
      <c r="N222" s="282" t="n">
        <f aca="false">+M222+L222</f>
        <v>848.059760065069</v>
      </c>
      <c r="P222" s="300"/>
      <c r="Q222" s="301"/>
      <c r="R222" s="301"/>
      <c r="S222" s="301"/>
    </row>
    <row r="223" customFormat="false" ht="12.75" hidden="false" customHeight="false" outlineLevel="0" collapsed="false">
      <c r="K223" s="280" t="n">
        <v>215</v>
      </c>
      <c r="L223" s="281" t="n">
        <f aca="false">-IF(SUMMARY!$D$21*12&gt;=K223,IPMT(SUMMARY!$D$22/12,K223,SUMMARY!$D$21*12,SUMMARY!$D$20),0)</f>
        <v>134.552227262298</v>
      </c>
      <c r="M223" s="281" t="n">
        <f aca="false">IF(SUMMARY!$D$21*12&gt;=K223,-PPMT(SUMMARY!$D$22/12,K223,SUMMARY!$D$21*12,SUMMARY!$D$20),0)</f>
        <v>713.507532802772</v>
      </c>
      <c r="N223" s="282" t="n">
        <f aca="false">+M223+L223</f>
        <v>848.059760065069</v>
      </c>
      <c r="P223" s="300"/>
      <c r="Q223" s="301"/>
      <c r="R223" s="301"/>
      <c r="S223" s="301"/>
    </row>
    <row r="224" customFormat="false" ht="12.75" hidden="false" customHeight="false" outlineLevel="0" collapsed="false">
      <c r="K224" s="280" t="n">
        <v>216</v>
      </c>
      <c r="L224" s="281" t="n">
        <f aca="false">-IF(SUMMARY!$D$21*12&gt;=K224,IPMT(SUMMARY!$D$22/12,K224,SUMMARY!$D$21*12,SUMMARY!$D$20),0)</f>
        <v>129.795510376946</v>
      </c>
      <c r="M224" s="281" t="n">
        <f aca="false">IF(SUMMARY!$D$21*12&gt;=K224,-PPMT(SUMMARY!$D$22/12,K224,SUMMARY!$D$21*12,SUMMARY!$D$20),0)</f>
        <v>718.264249688124</v>
      </c>
      <c r="N224" s="282" t="n">
        <f aca="false">+M224+L224</f>
        <v>848.059760065069</v>
      </c>
      <c r="P224" s="300"/>
      <c r="Q224" s="301"/>
      <c r="R224" s="301"/>
      <c r="S224" s="301"/>
    </row>
    <row r="225" customFormat="false" ht="12.75" hidden="false" customHeight="false" outlineLevel="0" collapsed="false">
      <c r="K225" s="280" t="n">
        <v>217</v>
      </c>
      <c r="L225" s="281" t="n">
        <f aca="false">-IF(SUMMARY!$D$21*12&gt;=K225,IPMT(SUMMARY!$D$22/12,K225,SUMMARY!$D$21*12,SUMMARY!$D$20),0)</f>
        <v>125.007082045692</v>
      </c>
      <c r="M225" s="281" t="n">
        <f aca="false">IF(SUMMARY!$D$21*12&gt;=K225,-PPMT(SUMMARY!$D$22/12,K225,SUMMARY!$D$21*12,SUMMARY!$D$20),0)</f>
        <v>723.052678019378</v>
      </c>
      <c r="N225" s="282" t="n">
        <f aca="false">+M225+L225</f>
        <v>848.059760065069</v>
      </c>
      <c r="P225" s="300"/>
      <c r="Q225" s="301"/>
      <c r="R225" s="301"/>
      <c r="S225" s="301"/>
    </row>
    <row r="226" customFormat="false" ht="12.75" hidden="false" customHeight="false" outlineLevel="0" collapsed="false">
      <c r="K226" s="280" t="n">
        <v>218</v>
      </c>
      <c r="L226" s="281" t="n">
        <f aca="false">-IF(SUMMARY!$D$21*12&gt;=K226,IPMT(SUMMARY!$D$22/12,K226,SUMMARY!$D$21*12,SUMMARY!$D$20),0)</f>
        <v>120.186730858896</v>
      </c>
      <c r="M226" s="281" t="n">
        <f aca="false">IF(SUMMARY!$D$21*12&gt;=K226,-PPMT(SUMMARY!$D$22/12,K226,SUMMARY!$D$21*12,SUMMARY!$D$20),0)</f>
        <v>727.873029206174</v>
      </c>
      <c r="N226" s="282" t="n">
        <f aca="false">+M226+L226</f>
        <v>848.059760065069</v>
      </c>
      <c r="P226" s="300"/>
      <c r="Q226" s="301"/>
      <c r="R226" s="301"/>
      <c r="S226" s="301"/>
    </row>
    <row r="227" customFormat="false" ht="12.75" hidden="false" customHeight="false" outlineLevel="0" collapsed="false">
      <c r="K227" s="280" t="n">
        <v>219</v>
      </c>
      <c r="L227" s="281" t="n">
        <f aca="false">-IF(SUMMARY!$D$21*12&gt;=K227,IPMT(SUMMARY!$D$22/12,K227,SUMMARY!$D$21*12,SUMMARY!$D$20),0)</f>
        <v>115.334243997521</v>
      </c>
      <c r="M227" s="281" t="n">
        <f aca="false">IF(SUMMARY!$D$21*12&gt;=K227,-PPMT(SUMMARY!$D$22/12,K227,SUMMARY!$D$21*12,SUMMARY!$D$20),0)</f>
        <v>732.725516067548</v>
      </c>
      <c r="N227" s="282" t="n">
        <f aca="false">+M227+L227</f>
        <v>848.059760065069</v>
      </c>
      <c r="P227" s="300"/>
      <c r="Q227" s="301"/>
      <c r="R227" s="301"/>
      <c r="S227" s="301"/>
    </row>
    <row r="228" customFormat="false" ht="12.75" hidden="false" customHeight="false" outlineLevel="0" collapsed="false">
      <c r="K228" s="280" t="n">
        <v>220</v>
      </c>
      <c r="L228" s="281" t="n">
        <f aca="false">-IF(SUMMARY!$D$21*12&gt;=K228,IPMT(SUMMARY!$D$22/12,K228,SUMMARY!$D$21*12,SUMMARY!$D$20),0)</f>
        <v>110.449407223738</v>
      </c>
      <c r="M228" s="281" t="n">
        <f aca="false">IF(SUMMARY!$D$21*12&gt;=K228,-PPMT(SUMMARY!$D$22/12,K228,SUMMARY!$D$21*12,SUMMARY!$D$20),0)</f>
        <v>737.610352841332</v>
      </c>
      <c r="N228" s="282" t="n">
        <f aca="false">+M228+L228</f>
        <v>848.059760065069</v>
      </c>
      <c r="P228" s="300"/>
      <c r="Q228" s="301"/>
      <c r="R228" s="301"/>
      <c r="S228" s="301"/>
    </row>
    <row r="229" customFormat="false" ht="12.75" hidden="false" customHeight="false" outlineLevel="0" collapsed="false">
      <c r="K229" s="280" t="n">
        <v>221</v>
      </c>
      <c r="L229" s="281" t="n">
        <f aca="false">-IF(SUMMARY!$D$21*12&gt;=K229,IPMT(SUMMARY!$D$22/12,K229,SUMMARY!$D$21*12,SUMMARY!$D$20),0)</f>
        <v>105.532004871462</v>
      </c>
      <c r="M229" s="281" t="n">
        <f aca="false">IF(SUMMARY!$D$21*12&gt;=K229,-PPMT(SUMMARY!$D$22/12,K229,SUMMARY!$D$21*12,SUMMARY!$D$20),0)</f>
        <v>742.527755193607</v>
      </c>
      <c r="N229" s="282" t="n">
        <f aca="false">+M229+L229</f>
        <v>848.059760065069</v>
      </c>
      <c r="P229" s="300"/>
      <c r="Q229" s="301"/>
      <c r="R229" s="301"/>
      <c r="S229" s="301"/>
    </row>
    <row r="230" customFormat="false" ht="12.75" hidden="false" customHeight="false" outlineLevel="0" collapsed="false">
      <c r="K230" s="280" t="n">
        <v>222</v>
      </c>
      <c r="L230" s="281" t="n">
        <f aca="false">-IF(SUMMARY!$D$21*12&gt;=K230,IPMT(SUMMARY!$D$22/12,K230,SUMMARY!$D$21*12,SUMMARY!$D$20),0)</f>
        <v>100.581819836838</v>
      </c>
      <c r="M230" s="281" t="n">
        <f aca="false">IF(SUMMARY!$D$21*12&gt;=K230,-PPMT(SUMMARY!$D$22/12,K230,SUMMARY!$D$21*12,SUMMARY!$D$20),0)</f>
        <v>747.477940228231</v>
      </c>
      <c r="N230" s="282" t="n">
        <f aca="false">+M230+L230</f>
        <v>848.059760065069</v>
      </c>
      <c r="P230" s="300"/>
      <c r="Q230" s="301"/>
      <c r="R230" s="301"/>
      <c r="S230" s="301"/>
    </row>
    <row r="231" customFormat="false" ht="12.75" hidden="false" customHeight="false" outlineLevel="0" collapsed="false">
      <c r="K231" s="280" t="n">
        <v>223</v>
      </c>
      <c r="L231" s="281" t="n">
        <f aca="false">-IF(SUMMARY!$D$21*12&gt;=K231,IPMT(SUMMARY!$D$22/12,K231,SUMMARY!$D$21*12,SUMMARY!$D$20),0)</f>
        <v>95.5986335686499</v>
      </c>
      <c r="M231" s="281" t="n">
        <f aca="false">IF(SUMMARY!$D$21*12&gt;=K231,-PPMT(SUMMARY!$D$22/12,K231,SUMMARY!$D$21*12,SUMMARY!$D$20),0)</f>
        <v>752.461126496419</v>
      </c>
      <c r="N231" s="282" t="n">
        <f aca="false">+M231+L231</f>
        <v>848.059760065069</v>
      </c>
      <c r="P231" s="300"/>
      <c r="Q231" s="301"/>
      <c r="R231" s="301"/>
      <c r="S231" s="301"/>
    </row>
    <row r="232" customFormat="false" ht="12.75" hidden="false" customHeight="false" outlineLevel="0" collapsed="false">
      <c r="K232" s="280" t="n">
        <v>224</v>
      </c>
      <c r="L232" s="281" t="n">
        <f aca="false">-IF(SUMMARY!$D$21*12&gt;=K232,IPMT(SUMMARY!$D$22/12,K232,SUMMARY!$D$21*12,SUMMARY!$D$20),0)</f>
        <v>90.5822260586741</v>
      </c>
      <c r="M232" s="281" t="n">
        <f aca="false">IF(SUMMARY!$D$21*12&gt;=K232,-PPMT(SUMMARY!$D$22/12,K232,SUMMARY!$D$21*12,SUMMARY!$D$20),0)</f>
        <v>757.477534006395</v>
      </c>
      <c r="N232" s="282" t="n">
        <f aca="false">+M232+L232</f>
        <v>848.059760065069</v>
      </c>
      <c r="P232" s="300"/>
      <c r="Q232" s="301"/>
      <c r="R232" s="301"/>
      <c r="S232" s="301"/>
    </row>
    <row r="233" customFormat="false" ht="12.75" hidden="false" customHeight="false" outlineLevel="0" collapsed="false">
      <c r="K233" s="280" t="n">
        <v>225</v>
      </c>
      <c r="L233" s="281" t="n">
        <f aca="false">-IF(SUMMARY!$D$21*12&gt;=K233,IPMT(SUMMARY!$D$22/12,K233,SUMMARY!$D$21*12,SUMMARY!$D$20),0)</f>
        <v>85.5323758319647</v>
      </c>
      <c r="M233" s="281" t="n">
        <f aca="false">IF(SUMMARY!$D$21*12&gt;=K233,-PPMT(SUMMARY!$D$22/12,K233,SUMMARY!$D$21*12,SUMMARY!$D$20),0)</f>
        <v>762.527384233105</v>
      </c>
      <c r="N233" s="282" t="n">
        <f aca="false">+M233+L233</f>
        <v>848.059760065069</v>
      </c>
      <c r="P233" s="300"/>
      <c r="Q233" s="301"/>
      <c r="R233" s="301"/>
      <c r="S233" s="301"/>
    </row>
    <row r="234" customFormat="false" ht="12.75" hidden="false" customHeight="false" outlineLevel="0" collapsed="false">
      <c r="K234" s="280" t="n">
        <v>226</v>
      </c>
      <c r="L234" s="281" t="n">
        <f aca="false">-IF(SUMMARY!$D$21*12&gt;=K234,IPMT(SUMMARY!$D$22/12,K234,SUMMARY!$D$21*12,SUMMARY!$D$20),0)</f>
        <v>80.4488599370775</v>
      </c>
      <c r="M234" s="281" t="n">
        <f aca="false">IF(SUMMARY!$D$21*12&gt;=K234,-PPMT(SUMMARY!$D$22/12,K234,SUMMARY!$D$21*12,SUMMARY!$D$20),0)</f>
        <v>767.610900127992</v>
      </c>
      <c r="N234" s="282" t="n">
        <f aca="false">+M234+L234</f>
        <v>848.059760065069</v>
      </c>
      <c r="P234" s="300"/>
      <c r="Q234" s="301"/>
      <c r="R234" s="301"/>
      <c r="S234" s="301"/>
    </row>
    <row r="235" customFormat="false" ht="12.75" hidden="false" customHeight="false" outlineLevel="0" collapsed="false">
      <c r="K235" s="280" t="n">
        <v>227</v>
      </c>
      <c r="L235" s="281" t="n">
        <f aca="false">-IF(SUMMARY!$D$21*12&gt;=K235,IPMT(SUMMARY!$D$22/12,K235,SUMMARY!$D$21*12,SUMMARY!$D$20),0)</f>
        <v>75.3314539362245</v>
      </c>
      <c r="M235" s="281" t="n">
        <f aca="false">IF(SUMMARY!$D$21*12&gt;=K235,-PPMT(SUMMARY!$D$22/12,K235,SUMMARY!$D$21*12,SUMMARY!$D$20),0)</f>
        <v>772.728306128845</v>
      </c>
      <c r="N235" s="282" t="n">
        <f aca="false">+M235+L235</f>
        <v>848.059760065069</v>
      </c>
      <c r="P235" s="300"/>
      <c r="Q235" s="301"/>
      <c r="R235" s="301"/>
      <c r="S235" s="301"/>
    </row>
    <row r="236" customFormat="false" ht="12.75" hidden="false" customHeight="false" outlineLevel="0" collapsed="false">
      <c r="K236" s="280" t="n">
        <v>228</v>
      </c>
      <c r="L236" s="281" t="n">
        <f aca="false">-IF(SUMMARY!$D$21*12&gt;=K236,IPMT(SUMMARY!$D$22/12,K236,SUMMARY!$D$21*12,SUMMARY!$D$20),0)</f>
        <v>70.1799318953655</v>
      </c>
      <c r="M236" s="281" t="n">
        <f aca="false">IF(SUMMARY!$D$21*12&gt;=K236,-PPMT(SUMMARY!$D$22/12,K236,SUMMARY!$D$21*12,SUMMARY!$D$20),0)</f>
        <v>777.879828169704</v>
      </c>
      <c r="N236" s="282" t="n">
        <f aca="false">+M236+L236</f>
        <v>848.059760065069</v>
      </c>
      <c r="P236" s="300"/>
      <c r="Q236" s="301"/>
      <c r="R236" s="301"/>
      <c r="S236" s="301"/>
    </row>
    <row r="237" customFormat="false" ht="12.75" hidden="false" customHeight="false" outlineLevel="0" collapsed="false">
      <c r="K237" s="280" t="n">
        <v>229</v>
      </c>
      <c r="L237" s="281" t="n">
        <f aca="false">-IF(SUMMARY!$D$21*12&gt;=K237,IPMT(SUMMARY!$D$22/12,K237,SUMMARY!$D$21*12,SUMMARY!$D$20),0)</f>
        <v>64.9940663742342</v>
      </c>
      <c r="M237" s="281" t="n">
        <f aca="false">IF(SUMMARY!$D$21*12&gt;=K237,-PPMT(SUMMARY!$D$22/12,K237,SUMMARY!$D$21*12,SUMMARY!$D$20),0)</f>
        <v>783.065693690835</v>
      </c>
      <c r="N237" s="282" t="n">
        <f aca="false">+M237+L237</f>
        <v>848.059760065069</v>
      </c>
      <c r="P237" s="300"/>
      <c r="Q237" s="301"/>
      <c r="R237" s="301"/>
      <c r="S237" s="301"/>
    </row>
    <row r="238" customFormat="false" ht="12.75" hidden="false" customHeight="false" outlineLevel="0" collapsed="false">
      <c r="K238" s="280" t="n">
        <v>230</v>
      </c>
      <c r="L238" s="281" t="n">
        <f aca="false">-IF(SUMMARY!$D$21*12&gt;=K238,IPMT(SUMMARY!$D$22/12,K238,SUMMARY!$D$21*12,SUMMARY!$D$20),0)</f>
        <v>59.7736284162951</v>
      </c>
      <c r="M238" s="281" t="n">
        <f aca="false">IF(SUMMARY!$D$21*12&gt;=K238,-PPMT(SUMMARY!$D$22/12,K238,SUMMARY!$D$21*12,SUMMARY!$D$20),0)</f>
        <v>788.286131648774</v>
      </c>
      <c r="N238" s="282" t="n">
        <f aca="false">+M238+L238</f>
        <v>848.059760065069</v>
      </c>
      <c r="P238" s="300"/>
      <c r="Q238" s="301"/>
      <c r="R238" s="301"/>
      <c r="S238" s="301"/>
    </row>
    <row r="239" customFormat="false" ht="12.75" hidden="false" customHeight="false" outlineLevel="0" collapsed="false">
      <c r="K239" s="280" t="n">
        <v>231</v>
      </c>
      <c r="L239" s="281" t="n">
        <f aca="false">-IF(SUMMARY!$D$21*12&gt;=K239,IPMT(SUMMARY!$D$22/12,K239,SUMMARY!$D$21*12,SUMMARY!$D$20),0)</f>
        <v>54.5183875386368</v>
      </c>
      <c r="M239" s="281" t="n">
        <f aca="false">IF(SUMMARY!$D$21*12&gt;=K239,-PPMT(SUMMARY!$D$22/12,K239,SUMMARY!$D$21*12,SUMMARY!$D$20),0)</f>
        <v>793.541372526433</v>
      </c>
      <c r="N239" s="282" t="n">
        <f aca="false">+M239+L239</f>
        <v>848.059760065069</v>
      </c>
      <c r="P239" s="300"/>
      <c r="Q239" s="301"/>
      <c r="R239" s="301"/>
      <c r="S239" s="301"/>
    </row>
    <row r="240" customFormat="false" ht="12.75" hidden="false" customHeight="false" outlineLevel="0" collapsed="false">
      <c r="K240" s="280" t="n">
        <v>232</v>
      </c>
      <c r="L240" s="281" t="n">
        <f aca="false">-IF(SUMMARY!$D$21*12&gt;=K240,IPMT(SUMMARY!$D$22/12,K240,SUMMARY!$D$21*12,SUMMARY!$D$20),0)</f>
        <v>49.2281117217942</v>
      </c>
      <c r="M240" s="281" t="n">
        <f aca="false">IF(SUMMARY!$D$21*12&gt;=K240,-PPMT(SUMMARY!$D$22/12,K240,SUMMARY!$D$21*12,SUMMARY!$D$20),0)</f>
        <v>798.831648343275</v>
      </c>
      <c r="N240" s="282" t="n">
        <f aca="false">+M240+L240</f>
        <v>848.059760065069</v>
      </c>
      <c r="P240" s="300"/>
      <c r="Q240" s="301"/>
      <c r="R240" s="301"/>
      <c r="S240" s="301"/>
    </row>
    <row r="241" customFormat="false" ht="12.75" hidden="false" customHeight="false" outlineLevel="0" collapsed="false">
      <c r="K241" s="280" t="n">
        <v>233</v>
      </c>
      <c r="L241" s="281" t="n">
        <f aca="false">-IF(SUMMARY!$D$21*12&gt;=K241,IPMT(SUMMARY!$D$22/12,K241,SUMMARY!$D$21*12,SUMMARY!$D$20),0)</f>
        <v>43.9025673995057</v>
      </c>
      <c r="M241" s="281" t="n">
        <f aca="false">IF(SUMMARY!$D$21*12&gt;=K241,-PPMT(SUMMARY!$D$22/12,K241,SUMMARY!$D$21*12,SUMMARY!$D$20),0)</f>
        <v>804.157192665564</v>
      </c>
      <c r="N241" s="282" t="n">
        <f aca="false">+M241+L241</f>
        <v>848.059760065069</v>
      </c>
      <c r="P241" s="300"/>
      <c r="Q241" s="301"/>
      <c r="R241" s="301"/>
      <c r="S241" s="301"/>
    </row>
    <row r="242" customFormat="false" ht="12.75" hidden="false" customHeight="false" outlineLevel="0" collapsed="false">
      <c r="K242" s="280" t="n">
        <v>234</v>
      </c>
      <c r="L242" s="281" t="n">
        <f aca="false">-IF(SUMMARY!$D$21*12&gt;=K242,IPMT(SUMMARY!$D$22/12,K242,SUMMARY!$D$21*12,SUMMARY!$D$20),0)</f>
        <v>38.5415194484019</v>
      </c>
      <c r="M242" s="281" t="n">
        <f aca="false">IF(SUMMARY!$D$21*12&gt;=K242,-PPMT(SUMMARY!$D$22/12,K242,SUMMARY!$D$21*12,SUMMARY!$D$20),0)</f>
        <v>809.518240616667</v>
      </c>
      <c r="N242" s="282" t="n">
        <f aca="false">+M242+L242</f>
        <v>848.059760065069</v>
      </c>
      <c r="P242" s="300"/>
      <c r="Q242" s="301"/>
      <c r="R242" s="301"/>
      <c r="S242" s="301"/>
    </row>
    <row r="243" customFormat="false" ht="12.75" hidden="false" customHeight="false" outlineLevel="0" collapsed="false">
      <c r="K243" s="280" t="n">
        <v>235</v>
      </c>
      <c r="L243" s="281" t="n">
        <f aca="false">-IF(SUMMARY!$D$21*12&gt;=K243,IPMT(SUMMARY!$D$22/12,K243,SUMMARY!$D$21*12,SUMMARY!$D$20),0)</f>
        <v>33.1447311776243</v>
      </c>
      <c r="M243" s="281" t="n">
        <f aca="false">IF(SUMMARY!$D$21*12&gt;=K243,-PPMT(SUMMARY!$D$22/12,K243,SUMMARY!$D$21*12,SUMMARY!$D$20),0)</f>
        <v>814.915028887445</v>
      </c>
      <c r="N243" s="282" t="n">
        <f aca="false">+M243+L243</f>
        <v>848.059760065069</v>
      </c>
      <c r="P243" s="300"/>
      <c r="Q243" s="301"/>
      <c r="R243" s="301"/>
      <c r="S243" s="301"/>
    </row>
    <row r="244" customFormat="false" ht="12.75" hidden="false" customHeight="false" outlineLevel="0" collapsed="false">
      <c r="K244" s="280" t="n">
        <v>236</v>
      </c>
      <c r="L244" s="281" t="n">
        <f aca="false">-IF(SUMMARY!$D$21*12&gt;=K244,IPMT(SUMMARY!$D$22/12,K244,SUMMARY!$D$21*12,SUMMARY!$D$20),0)</f>
        <v>27.7119643183741</v>
      </c>
      <c r="M244" s="281" t="n">
        <f aca="false">IF(SUMMARY!$D$21*12&gt;=K244,-PPMT(SUMMARY!$D$22/12,K244,SUMMARY!$D$21*12,SUMMARY!$D$20),0)</f>
        <v>820.347795746695</v>
      </c>
      <c r="N244" s="282" t="n">
        <f aca="false">+M244+L244</f>
        <v>848.059760065069</v>
      </c>
      <c r="P244" s="300"/>
      <c r="Q244" s="301"/>
      <c r="R244" s="301"/>
      <c r="S244" s="301"/>
    </row>
    <row r="245" customFormat="false" ht="12.75" hidden="false" customHeight="false" outlineLevel="0" collapsed="false">
      <c r="K245" s="280" t="n">
        <v>237</v>
      </c>
      <c r="L245" s="281" t="n">
        <f aca="false">-IF(SUMMARY!$D$21*12&gt;=K245,IPMT(SUMMARY!$D$22/12,K245,SUMMARY!$D$21*12,SUMMARY!$D$20),0)</f>
        <v>22.2429790133965</v>
      </c>
      <c r="M245" s="281" t="n">
        <f aca="false">IF(SUMMARY!$D$21*12&gt;=K245,-PPMT(SUMMARY!$D$22/12,K245,SUMMARY!$D$21*12,SUMMARY!$D$20),0)</f>
        <v>825.816781051673</v>
      </c>
      <c r="N245" s="282" t="n">
        <f aca="false">+M245+L245</f>
        <v>848.059760065069</v>
      </c>
      <c r="P245" s="300"/>
      <c r="Q245" s="301"/>
      <c r="R245" s="301"/>
      <c r="S245" s="301"/>
    </row>
    <row r="246" customFormat="false" ht="12.75" hidden="false" customHeight="false" outlineLevel="0" collapsed="false">
      <c r="K246" s="280" t="n">
        <v>238</v>
      </c>
      <c r="L246" s="281" t="n">
        <f aca="false">-IF(SUMMARY!$D$21*12&gt;=K246,IPMT(SUMMARY!$D$22/12,K246,SUMMARY!$D$21*12,SUMMARY!$D$20),0)</f>
        <v>16.7375338063855</v>
      </c>
      <c r="M246" s="281" t="n">
        <f aca="false">IF(SUMMARY!$D$21*12&gt;=K246,-PPMT(SUMMARY!$D$22/12,K246,SUMMARY!$D$21*12,SUMMARY!$D$20),0)</f>
        <v>831.322226258684</v>
      </c>
      <c r="N246" s="282" t="n">
        <f aca="false">+M246+L246</f>
        <v>848.059760065069</v>
      </c>
      <c r="P246" s="300"/>
      <c r="Q246" s="301"/>
      <c r="R246" s="301"/>
      <c r="S246" s="301"/>
    </row>
    <row r="247" customFormat="false" ht="12.75" hidden="false" customHeight="false" outlineLevel="0" collapsed="false">
      <c r="K247" s="280" t="n">
        <v>239</v>
      </c>
      <c r="L247" s="281" t="n">
        <f aca="false">-IF(SUMMARY!$D$21*12&gt;=K247,IPMT(SUMMARY!$D$22/12,K247,SUMMARY!$D$21*12,SUMMARY!$D$20),0)</f>
        <v>11.1953856313277</v>
      </c>
      <c r="M247" s="281" t="n">
        <f aca="false">IF(SUMMARY!$D$21*12&gt;=K247,-PPMT(SUMMARY!$D$22/12,K247,SUMMARY!$D$21*12,SUMMARY!$D$20),0)</f>
        <v>836.864374433742</v>
      </c>
      <c r="N247" s="282" t="n">
        <f aca="false">+M247+L247</f>
        <v>848.059760065069</v>
      </c>
      <c r="P247" s="300"/>
      <c r="Q247" s="301"/>
      <c r="R247" s="301"/>
      <c r="S247" s="301"/>
    </row>
    <row r="248" customFormat="false" ht="12.75" hidden="false" customHeight="false" outlineLevel="0" collapsed="false">
      <c r="K248" s="280" t="n">
        <v>240</v>
      </c>
      <c r="L248" s="281" t="n">
        <f aca="false">-IF(SUMMARY!$D$21*12&gt;=K248,IPMT(SUMMARY!$D$22/12,K248,SUMMARY!$D$21*12,SUMMARY!$D$20),0)</f>
        <v>5.61628980176945</v>
      </c>
      <c r="M248" s="281" t="n">
        <f aca="false">IF(SUMMARY!$D$21*12&gt;=K248,-PPMT(SUMMARY!$D$22/12,K248,SUMMARY!$D$21*12,SUMMARY!$D$20),0)</f>
        <v>842.4434702633</v>
      </c>
      <c r="N248" s="282" t="n">
        <f aca="false">+M248+L248</f>
        <v>848.059760065069</v>
      </c>
      <c r="P248" s="300"/>
      <c r="Q248" s="301"/>
      <c r="R248" s="301"/>
      <c r="S248" s="301"/>
    </row>
    <row r="249" customFormat="false" ht="12.75" hidden="false" customHeight="false" outlineLevel="0" collapsed="false">
      <c r="K249" s="280" t="n">
        <v>241</v>
      </c>
      <c r="L249" s="281" t="n">
        <f aca="false">-IF(SUMMARY!$D$21*12&gt;=K249,IPMT(SUMMARY!$D$22/12,K249,SUMMARY!$D$21*12,SUMMARY!$D$20),0)</f>
        <v>-0</v>
      </c>
      <c r="M249" s="281" t="n">
        <f aca="false">IF(SUMMARY!$D$21*12&gt;=K249,-PPMT(SUMMARY!$D$22/12,K249,SUMMARY!$D$21*12,SUMMARY!$D$20),0)</f>
        <v>0</v>
      </c>
      <c r="N249" s="282" t="n">
        <f aca="false">+M249+L249</f>
        <v>0</v>
      </c>
      <c r="P249" s="300"/>
      <c r="Q249" s="301"/>
      <c r="R249" s="301"/>
      <c r="S249" s="301"/>
    </row>
    <row r="250" customFormat="false" ht="12.75" hidden="false" customHeight="false" outlineLevel="0" collapsed="false">
      <c r="K250" s="280" t="n">
        <v>242</v>
      </c>
      <c r="L250" s="281" t="n">
        <f aca="false">-IF(SUMMARY!$D$21*12&gt;=K250,IPMT(SUMMARY!$D$22/12,K250,SUMMARY!$D$21*12,SUMMARY!$D$20),0)</f>
        <v>-0</v>
      </c>
      <c r="M250" s="281" t="n">
        <f aca="false">IF(SUMMARY!$D$21*12&gt;=K250,-PPMT(SUMMARY!$D$22/12,K250,SUMMARY!$D$21*12,SUMMARY!$D$20),0)</f>
        <v>0</v>
      </c>
      <c r="N250" s="282" t="n">
        <f aca="false">+M250+L250</f>
        <v>0</v>
      </c>
      <c r="P250" s="300"/>
      <c r="Q250" s="301"/>
      <c r="R250" s="301"/>
      <c r="S250" s="301"/>
    </row>
    <row r="251" customFormat="false" ht="12.75" hidden="false" customHeight="false" outlineLevel="0" collapsed="false">
      <c r="K251" s="280" t="n">
        <v>243</v>
      </c>
      <c r="L251" s="281" t="n">
        <f aca="false">-IF(SUMMARY!$D$21*12&gt;=K251,IPMT(SUMMARY!$D$22/12,K251,SUMMARY!$D$21*12,SUMMARY!$D$20),0)</f>
        <v>-0</v>
      </c>
      <c r="M251" s="281" t="n">
        <f aca="false">IF(SUMMARY!$D$21*12&gt;=K251,-PPMT(SUMMARY!$D$22/12,K251,SUMMARY!$D$21*12,SUMMARY!$D$20),0)</f>
        <v>0</v>
      </c>
      <c r="N251" s="282" t="n">
        <f aca="false">+M251+L251</f>
        <v>0</v>
      </c>
      <c r="P251" s="300"/>
      <c r="Q251" s="301"/>
      <c r="R251" s="301"/>
      <c r="S251" s="301"/>
    </row>
    <row r="252" customFormat="false" ht="12.75" hidden="false" customHeight="false" outlineLevel="0" collapsed="false">
      <c r="K252" s="280" t="n">
        <v>244</v>
      </c>
      <c r="L252" s="281" t="n">
        <f aca="false">-IF(SUMMARY!$D$21*12&gt;=K252,IPMT(SUMMARY!$D$22/12,K252,SUMMARY!$D$21*12,SUMMARY!$D$20),0)</f>
        <v>-0</v>
      </c>
      <c r="M252" s="281" t="n">
        <f aca="false">IF(SUMMARY!$D$21*12&gt;=K252,-PPMT(SUMMARY!$D$22/12,K252,SUMMARY!$D$21*12,SUMMARY!$D$20),0)</f>
        <v>0</v>
      </c>
      <c r="N252" s="282" t="n">
        <f aca="false">+M252+L252</f>
        <v>0</v>
      </c>
      <c r="P252" s="300"/>
      <c r="Q252" s="301"/>
      <c r="R252" s="301"/>
      <c r="S252" s="301"/>
    </row>
    <row r="253" customFormat="false" ht="12.75" hidden="false" customHeight="false" outlineLevel="0" collapsed="false">
      <c r="K253" s="280" t="n">
        <v>245</v>
      </c>
      <c r="L253" s="281" t="n">
        <f aca="false">-IF(SUMMARY!$D$21*12&gt;=K253,IPMT(SUMMARY!$D$22/12,K253,SUMMARY!$D$21*12,SUMMARY!$D$20),0)</f>
        <v>-0</v>
      </c>
      <c r="M253" s="281" t="n">
        <f aca="false">IF(SUMMARY!$D$21*12&gt;=K253,-PPMT(SUMMARY!$D$22/12,K253,SUMMARY!$D$21*12,SUMMARY!$D$20),0)</f>
        <v>0</v>
      </c>
      <c r="N253" s="282" t="n">
        <f aca="false">+M253+L253</f>
        <v>0</v>
      </c>
      <c r="P253" s="300"/>
      <c r="Q253" s="301"/>
      <c r="R253" s="301"/>
      <c r="S253" s="301"/>
    </row>
    <row r="254" customFormat="false" ht="12.75" hidden="false" customHeight="false" outlineLevel="0" collapsed="false">
      <c r="K254" s="280" t="n">
        <v>246</v>
      </c>
      <c r="L254" s="281" t="n">
        <f aca="false">-IF(SUMMARY!$D$21*12&gt;=K254,IPMT(SUMMARY!$D$22/12,K254,SUMMARY!$D$21*12,SUMMARY!$D$20),0)</f>
        <v>-0</v>
      </c>
      <c r="M254" s="281" t="n">
        <f aca="false">IF(SUMMARY!$D$21*12&gt;=K254,-PPMT(SUMMARY!$D$22/12,K254,SUMMARY!$D$21*12,SUMMARY!$D$20),0)</f>
        <v>0</v>
      </c>
      <c r="N254" s="282" t="n">
        <f aca="false">+M254+L254</f>
        <v>0</v>
      </c>
      <c r="P254" s="300"/>
      <c r="Q254" s="301"/>
      <c r="R254" s="301"/>
      <c r="S254" s="301"/>
    </row>
    <row r="255" customFormat="false" ht="12.75" hidden="false" customHeight="false" outlineLevel="0" collapsed="false">
      <c r="K255" s="280" t="n">
        <v>247</v>
      </c>
      <c r="L255" s="281" t="n">
        <f aca="false">-IF(SUMMARY!$D$21*12&gt;=K255,IPMT(SUMMARY!$D$22/12,K255,SUMMARY!$D$21*12,SUMMARY!$D$20),0)</f>
        <v>-0</v>
      </c>
      <c r="M255" s="281" t="n">
        <f aca="false">IF(SUMMARY!$D$21*12&gt;=K255,-PPMT(SUMMARY!$D$22/12,K255,SUMMARY!$D$21*12,SUMMARY!$D$20),0)</f>
        <v>0</v>
      </c>
      <c r="N255" s="282" t="n">
        <f aca="false">+M255+L255</f>
        <v>0</v>
      </c>
      <c r="P255" s="300"/>
      <c r="Q255" s="301"/>
      <c r="R255" s="301"/>
      <c r="S255" s="301"/>
    </row>
    <row r="256" customFormat="false" ht="12.75" hidden="false" customHeight="false" outlineLevel="0" collapsed="false">
      <c r="K256" s="280" t="n">
        <v>248</v>
      </c>
      <c r="L256" s="281" t="n">
        <f aca="false">-IF(SUMMARY!$D$21*12&gt;=K256,IPMT(SUMMARY!$D$22/12,K256,SUMMARY!$D$21*12,SUMMARY!$D$20),0)</f>
        <v>-0</v>
      </c>
      <c r="M256" s="281" t="n">
        <f aca="false">IF(SUMMARY!$D$21*12&gt;=K256,-PPMT(SUMMARY!$D$22/12,K256,SUMMARY!$D$21*12,SUMMARY!$D$20),0)</f>
        <v>0</v>
      </c>
      <c r="N256" s="282" t="n">
        <f aca="false">+M256+L256</f>
        <v>0</v>
      </c>
      <c r="P256" s="300"/>
      <c r="Q256" s="301"/>
      <c r="R256" s="301"/>
      <c r="S256" s="301"/>
    </row>
    <row r="257" customFormat="false" ht="12.75" hidden="false" customHeight="false" outlineLevel="0" collapsed="false">
      <c r="K257" s="280" t="n">
        <v>249</v>
      </c>
      <c r="L257" s="281" t="n">
        <f aca="false">-IF(SUMMARY!$D$21*12&gt;=K257,IPMT(SUMMARY!$D$22/12,K257,SUMMARY!$D$21*12,SUMMARY!$D$20),0)</f>
        <v>-0</v>
      </c>
      <c r="M257" s="281" t="n">
        <f aca="false">IF(SUMMARY!$D$21*12&gt;=K257,-PPMT(SUMMARY!$D$22/12,K257,SUMMARY!$D$21*12,SUMMARY!$D$20),0)</f>
        <v>0</v>
      </c>
      <c r="N257" s="282" t="n">
        <f aca="false">+M257+L257</f>
        <v>0</v>
      </c>
      <c r="P257" s="300"/>
      <c r="Q257" s="301"/>
      <c r="R257" s="301"/>
      <c r="S257" s="301"/>
    </row>
    <row r="258" customFormat="false" ht="12.75" hidden="false" customHeight="false" outlineLevel="0" collapsed="false">
      <c r="K258" s="280" t="n">
        <v>250</v>
      </c>
      <c r="L258" s="281" t="n">
        <f aca="false">-IF(SUMMARY!$D$21*12&gt;=K258,IPMT(SUMMARY!$D$22/12,K258,SUMMARY!$D$21*12,SUMMARY!$D$20),0)</f>
        <v>-0</v>
      </c>
      <c r="M258" s="281" t="n">
        <f aca="false">IF(SUMMARY!$D$21*12&gt;=K258,-PPMT(SUMMARY!$D$22/12,K258,SUMMARY!$D$21*12,SUMMARY!$D$20),0)</f>
        <v>0</v>
      </c>
      <c r="N258" s="282" t="n">
        <f aca="false">+M258+L258</f>
        <v>0</v>
      </c>
      <c r="P258" s="300"/>
      <c r="Q258" s="301"/>
      <c r="R258" s="301"/>
      <c r="S258" s="301"/>
    </row>
    <row r="259" customFormat="false" ht="12.75" hidden="false" customHeight="false" outlineLevel="0" collapsed="false">
      <c r="K259" s="280" t="n">
        <v>251</v>
      </c>
      <c r="L259" s="281" t="n">
        <f aca="false">-IF(SUMMARY!$D$21*12&gt;=K259,IPMT(SUMMARY!$D$22/12,K259,SUMMARY!$D$21*12,SUMMARY!$D$20),0)</f>
        <v>-0</v>
      </c>
      <c r="M259" s="281" t="n">
        <f aca="false">IF(SUMMARY!$D$21*12&gt;=K259,-PPMT(SUMMARY!$D$22/12,K259,SUMMARY!$D$21*12,SUMMARY!$D$20),0)</f>
        <v>0</v>
      </c>
      <c r="N259" s="282" t="n">
        <f aca="false">+M259+L259</f>
        <v>0</v>
      </c>
      <c r="P259" s="300"/>
      <c r="Q259" s="301"/>
      <c r="R259" s="301"/>
      <c r="S259" s="301"/>
    </row>
    <row r="260" customFormat="false" ht="12.75" hidden="false" customHeight="false" outlineLevel="0" collapsed="false">
      <c r="K260" s="280" t="n">
        <v>252</v>
      </c>
      <c r="L260" s="281" t="n">
        <f aca="false">-IF(SUMMARY!$D$21*12&gt;=K260,IPMT(SUMMARY!$D$22/12,K260,SUMMARY!$D$21*12,SUMMARY!$D$20),0)</f>
        <v>-0</v>
      </c>
      <c r="M260" s="281" t="n">
        <f aca="false">IF(SUMMARY!$D$21*12&gt;=K260,-PPMT(SUMMARY!$D$22/12,K260,SUMMARY!$D$21*12,SUMMARY!$D$20),0)</f>
        <v>0</v>
      </c>
      <c r="N260" s="282" t="n">
        <f aca="false">+M260+L260</f>
        <v>0</v>
      </c>
      <c r="P260" s="300"/>
      <c r="Q260" s="301"/>
      <c r="R260" s="301"/>
      <c r="S260" s="301"/>
    </row>
    <row r="261" customFormat="false" ht="12.75" hidden="false" customHeight="false" outlineLevel="0" collapsed="false">
      <c r="K261" s="280" t="n">
        <v>253</v>
      </c>
      <c r="L261" s="281" t="n">
        <f aca="false">-IF(SUMMARY!$D$21*12&gt;=K261,IPMT(SUMMARY!$D$22/12,K261,SUMMARY!$D$21*12,SUMMARY!$D$20),0)</f>
        <v>-0</v>
      </c>
      <c r="M261" s="281" t="n">
        <f aca="false">IF(SUMMARY!$D$21*12&gt;=K261,-PPMT(SUMMARY!$D$22/12,K261,SUMMARY!$D$21*12,SUMMARY!$D$20),0)</f>
        <v>0</v>
      </c>
      <c r="N261" s="282" t="n">
        <f aca="false">+M261+L261</f>
        <v>0</v>
      </c>
      <c r="P261" s="300"/>
      <c r="Q261" s="301"/>
      <c r="R261" s="301"/>
      <c r="S261" s="301"/>
    </row>
    <row r="262" customFormat="false" ht="12.75" hidden="false" customHeight="false" outlineLevel="0" collapsed="false">
      <c r="K262" s="280" t="n">
        <v>254</v>
      </c>
      <c r="L262" s="281" t="n">
        <f aca="false">-IF(SUMMARY!$D$21*12&gt;=K262,IPMT(SUMMARY!$D$22/12,K262,SUMMARY!$D$21*12,SUMMARY!$D$20),0)</f>
        <v>-0</v>
      </c>
      <c r="M262" s="281" t="n">
        <f aca="false">IF(SUMMARY!$D$21*12&gt;=K262,-PPMT(SUMMARY!$D$22/12,K262,SUMMARY!$D$21*12,SUMMARY!$D$20),0)</f>
        <v>0</v>
      </c>
      <c r="N262" s="282" t="n">
        <f aca="false">+M262+L262</f>
        <v>0</v>
      </c>
      <c r="P262" s="300"/>
      <c r="Q262" s="301"/>
      <c r="R262" s="301"/>
      <c r="S262" s="301"/>
    </row>
    <row r="263" customFormat="false" ht="12.75" hidden="false" customHeight="false" outlineLevel="0" collapsed="false">
      <c r="K263" s="280" t="n">
        <v>255</v>
      </c>
      <c r="L263" s="281" t="n">
        <f aca="false">-IF(SUMMARY!$D$21*12&gt;=K263,IPMT(SUMMARY!$D$22/12,K263,SUMMARY!$D$21*12,SUMMARY!$D$20),0)</f>
        <v>-0</v>
      </c>
      <c r="M263" s="281" t="n">
        <f aca="false">IF(SUMMARY!$D$21*12&gt;=K263,-PPMT(SUMMARY!$D$22/12,K263,SUMMARY!$D$21*12,SUMMARY!$D$20),0)</f>
        <v>0</v>
      </c>
      <c r="N263" s="282" t="n">
        <f aca="false">+M263+L263</f>
        <v>0</v>
      </c>
      <c r="P263" s="300"/>
      <c r="Q263" s="301"/>
      <c r="R263" s="301"/>
      <c r="S263" s="301"/>
    </row>
    <row r="264" customFormat="false" ht="12.75" hidden="false" customHeight="false" outlineLevel="0" collapsed="false">
      <c r="K264" s="280" t="n">
        <v>256</v>
      </c>
      <c r="L264" s="281" t="n">
        <f aca="false">-IF(SUMMARY!$D$21*12&gt;=K264,IPMT(SUMMARY!$D$22/12,K264,SUMMARY!$D$21*12,SUMMARY!$D$20),0)</f>
        <v>-0</v>
      </c>
      <c r="M264" s="281" t="n">
        <f aca="false">IF(SUMMARY!$D$21*12&gt;=K264,-PPMT(SUMMARY!$D$22/12,K264,SUMMARY!$D$21*12,SUMMARY!$D$20),0)</f>
        <v>0</v>
      </c>
      <c r="N264" s="282" t="n">
        <f aca="false">+M264+L264</f>
        <v>0</v>
      </c>
      <c r="P264" s="300"/>
      <c r="Q264" s="301"/>
      <c r="R264" s="301"/>
      <c r="S264" s="301"/>
    </row>
    <row r="265" customFormat="false" ht="12.75" hidden="false" customHeight="false" outlineLevel="0" collapsed="false">
      <c r="K265" s="280" t="n">
        <v>257</v>
      </c>
      <c r="L265" s="281" t="n">
        <f aca="false">-IF(SUMMARY!$D$21*12&gt;=K265,IPMT(SUMMARY!$D$22/12,K265,SUMMARY!$D$21*12,SUMMARY!$D$20),0)</f>
        <v>-0</v>
      </c>
      <c r="M265" s="281" t="n">
        <f aca="false">IF(SUMMARY!$D$21*12&gt;=K265,-PPMT(SUMMARY!$D$22/12,K265,SUMMARY!$D$21*12,SUMMARY!$D$20),0)</f>
        <v>0</v>
      </c>
      <c r="N265" s="282" t="n">
        <f aca="false">+M265+L265</f>
        <v>0</v>
      </c>
      <c r="P265" s="300"/>
      <c r="Q265" s="301"/>
      <c r="R265" s="301"/>
      <c r="S265" s="301"/>
    </row>
    <row r="266" customFormat="false" ht="12.75" hidden="false" customHeight="false" outlineLevel="0" collapsed="false">
      <c r="K266" s="280" t="n">
        <v>258</v>
      </c>
      <c r="L266" s="281" t="n">
        <f aca="false">-IF(SUMMARY!$D$21*12&gt;=K266,IPMT(SUMMARY!$D$22/12,K266,SUMMARY!$D$21*12,SUMMARY!$D$20),0)</f>
        <v>-0</v>
      </c>
      <c r="M266" s="281" t="n">
        <f aca="false">IF(SUMMARY!$D$21*12&gt;=K266,-PPMT(SUMMARY!$D$22/12,K266,SUMMARY!$D$21*12,SUMMARY!$D$20),0)</f>
        <v>0</v>
      </c>
      <c r="N266" s="282" t="n">
        <f aca="false">+M266+L266</f>
        <v>0</v>
      </c>
      <c r="P266" s="300"/>
      <c r="Q266" s="301"/>
      <c r="R266" s="301"/>
      <c r="S266" s="301"/>
    </row>
    <row r="267" customFormat="false" ht="12.75" hidden="false" customHeight="false" outlineLevel="0" collapsed="false">
      <c r="K267" s="280" t="n">
        <v>259</v>
      </c>
      <c r="L267" s="281" t="n">
        <f aca="false">-IF(SUMMARY!$D$21*12&gt;=K267,IPMT(SUMMARY!$D$22/12,K267,SUMMARY!$D$21*12,SUMMARY!$D$20),0)</f>
        <v>-0</v>
      </c>
      <c r="M267" s="281" t="n">
        <f aca="false">IF(SUMMARY!$D$21*12&gt;=K267,-PPMT(SUMMARY!$D$22/12,K267,SUMMARY!$D$21*12,SUMMARY!$D$20),0)</f>
        <v>0</v>
      </c>
      <c r="N267" s="282" t="n">
        <f aca="false">+M267+L267</f>
        <v>0</v>
      </c>
      <c r="P267" s="300"/>
      <c r="Q267" s="301"/>
      <c r="R267" s="301"/>
      <c r="S267" s="301"/>
    </row>
    <row r="268" customFormat="false" ht="12.75" hidden="false" customHeight="false" outlineLevel="0" collapsed="false">
      <c r="K268" s="280" t="n">
        <v>260</v>
      </c>
      <c r="L268" s="281" t="n">
        <f aca="false">-IF(SUMMARY!$D$21*12&gt;=K268,IPMT(SUMMARY!$D$22/12,K268,SUMMARY!$D$21*12,SUMMARY!$D$20),0)</f>
        <v>-0</v>
      </c>
      <c r="M268" s="281" t="n">
        <f aca="false">IF(SUMMARY!$D$21*12&gt;=K268,-PPMT(SUMMARY!$D$22/12,K268,SUMMARY!$D$21*12,SUMMARY!$D$20),0)</f>
        <v>0</v>
      </c>
      <c r="N268" s="282" t="n">
        <f aca="false">+M268+L268</f>
        <v>0</v>
      </c>
      <c r="P268" s="300"/>
      <c r="Q268" s="301"/>
      <c r="R268" s="301"/>
      <c r="S268" s="301"/>
    </row>
    <row r="269" customFormat="false" ht="12.75" hidden="false" customHeight="false" outlineLevel="0" collapsed="false">
      <c r="K269" s="280" t="n">
        <v>261</v>
      </c>
      <c r="L269" s="281" t="n">
        <f aca="false">-IF(SUMMARY!$D$21*12&gt;=K269,IPMT(SUMMARY!$D$22/12,K269,SUMMARY!$D$21*12,SUMMARY!$D$20),0)</f>
        <v>-0</v>
      </c>
      <c r="M269" s="281" t="n">
        <f aca="false">IF(SUMMARY!$D$21*12&gt;=K269,-PPMT(SUMMARY!$D$22/12,K269,SUMMARY!$D$21*12,SUMMARY!$D$20),0)</f>
        <v>0</v>
      </c>
      <c r="N269" s="282" t="n">
        <f aca="false">+M269+L269</f>
        <v>0</v>
      </c>
      <c r="P269" s="300"/>
      <c r="Q269" s="301"/>
      <c r="R269" s="301"/>
      <c r="S269" s="301"/>
    </row>
    <row r="270" customFormat="false" ht="12.75" hidden="false" customHeight="false" outlineLevel="0" collapsed="false">
      <c r="K270" s="280" t="n">
        <v>262</v>
      </c>
      <c r="L270" s="281" t="n">
        <f aca="false">-IF(SUMMARY!$D$21*12&gt;=K270,IPMT(SUMMARY!$D$22/12,K270,SUMMARY!$D$21*12,SUMMARY!$D$20),0)</f>
        <v>-0</v>
      </c>
      <c r="M270" s="281" t="n">
        <f aca="false">IF(SUMMARY!$D$21*12&gt;=K270,-PPMT(SUMMARY!$D$22/12,K270,SUMMARY!$D$21*12,SUMMARY!$D$20),0)</f>
        <v>0</v>
      </c>
      <c r="N270" s="282" t="n">
        <f aca="false">+M270+L270</f>
        <v>0</v>
      </c>
      <c r="P270" s="300"/>
      <c r="Q270" s="301"/>
      <c r="R270" s="301"/>
      <c r="S270" s="301"/>
    </row>
    <row r="271" customFormat="false" ht="12.75" hidden="false" customHeight="false" outlineLevel="0" collapsed="false">
      <c r="K271" s="280" t="n">
        <v>263</v>
      </c>
      <c r="L271" s="281" t="n">
        <f aca="false">-IF(SUMMARY!$D$21*12&gt;=K271,IPMT(SUMMARY!$D$22/12,K271,SUMMARY!$D$21*12,SUMMARY!$D$20),0)</f>
        <v>-0</v>
      </c>
      <c r="M271" s="281" t="n">
        <f aca="false">IF(SUMMARY!$D$21*12&gt;=K271,-PPMT(SUMMARY!$D$22/12,K271,SUMMARY!$D$21*12,SUMMARY!$D$20),0)</f>
        <v>0</v>
      </c>
      <c r="N271" s="282" t="n">
        <f aca="false">+M271+L271</f>
        <v>0</v>
      </c>
      <c r="P271" s="300"/>
      <c r="Q271" s="301"/>
      <c r="R271" s="301"/>
      <c r="S271" s="301"/>
    </row>
    <row r="272" customFormat="false" ht="12.75" hidden="false" customHeight="false" outlineLevel="0" collapsed="false">
      <c r="K272" s="280" t="n">
        <v>264</v>
      </c>
      <c r="L272" s="281" t="n">
        <f aca="false">-IF(SUMMARY!$D$21*12&gt;=K272,IPMT(SUMMARY!$D$22/12,K272,SUMMARY!$D$21*12,SUMMARY!$D$20),0)</f>
        <v>-0</v>
      </c>
      <c r="M272" s="281" t="n">
        <f aca="false">IF(SUMMARY!$D$21*12&gt;=K272,-PPMT(SUMMARY!$D$22/12,K272,SUMMARY!$D$21*12,SUMMARY!$D$20),0)</f>
        <v>0</v>
      </c>
      <c r="N272" s="282" t="n">
        <f aca="false">+M272+L272</f>
        <v>0</v>
      </c>
      <c r="P272" s="300"/>
      <c r="Q272" s="301"/>
      <c r="R272" s="301"/>
      <c r="S272" s="301"/>
    </row>
    <row r="273" customFormat="false" ht="12.75" hidden="false" customHeight="false" outlineLevel="0" collapsed="false">
      <c r="K273" s="280" t="n">
        <v>265</v>
      </c>
      <c r="L273" s="281" t="n">
        <f aca="false">-IF(SUMMARY!$D$21*12&gt;=K273,IPMT(SUMMARY!$D$22/12,K273,SUMMARY!$D$21*12,SUMMARY!$D$20),0)</f>
        <v>-0</v>
      </c>
      <c r="M273" s="281" t="n">
        <f aca="false">IF(SUMMARY!$D$21*12&gt;=K273,-PPMT(SUMMARY!$D$22/12,K273,SUMMARY!$D$21*12,SUMMARY!$D$20),0)</f>
        <v>0</v>
      </c>
      <c r="N273" s="282" t="n">
        <f aca="false">+M273+L273</f>
        <v>0</v>
      </c>
      <c r="P273" s="300"/>
      <c r="Q273" s="301"/>
      <c r="R273" s="301"/>
      <c r="S273" s="301"/>
    </row>
    <row r="274" customFormat="false" ht="12.75" hidden="false" customHeight="false" outlineLevel="0" collapsed="false">
      <c r="K274" s="280" t="n">
        <v>266</v>
      </c>
      <c r="L274" s="281" t="n">
        <f aca="false">-IF(SUMMARY!$D$21*12&gt;=K274,IPMT(SUMMARY!$D$22/12,K274,SUMMARY!$D$21*12,SUMMARY!$D$20),0)</f>
        <v>-0</v>
      </c>
      <c r="M274" s="281" t="n">
        <f aca="false">IF(SUMMARY!$D$21*12&gt;=K274,-PPMT(SUMMARY!$D$22/12,K274,SUMMARY!$D$21*12,SUMMARY!$D$20),0)</f>
        <v>0</v>
      </c>
      <c r="N274" s="282" t="n">
        <f aca="false">+M274+L274</f>
        <v>0</v>
      </c>
      <c r="P274" s="300"/>
      <c r="Q274" s="301"/>
      <c r="R274" s="301"/>
      <c r="S274" s="301"/>
    </row>
    <row r="275" customFormat="false" ht="12.75" hidden="false" customHeight="false" outlineLevel="0" collapsed="false">
      <c r="K275" s="280" t="n">
        <v>267</v>
      </c>
      <c r="L275" s="281" t="n">
        <f aca="false">-IF(SUMMARY!$D$21*12&gt;=K275,IPMT(SUMMARY!$D$22/12,K275,SUMMARY!$D$21*12,SUMMARY!$D$20),0)</f>
        <v>-0</v>
      </c>
      <c r="M275" s="281" t="n">
        <f aca="false">IF(SUMMARY!$D$21*12&gt;=K275,-PPMT(SUMMARY!$D$22/12,K275,SUMMARY!$D$21*12,SUMMARY!$D$20),0)</f>
        <v>0</v>
      </c>
      <c r="N275" s="282" t="n">
        <f aca="false">+M275+L275</f>
        <v>0</v>
      </c>
      <c r="P275" s="300"/>
      <c r="Q275" s="301"/>
      <c r="R275" s="301"/>
      <c r="S275" s="301"/>
    </row>
    <row r="276" customFormat="false" ht="12.75" hidden="false" customHeight="false" outlineLevel="0" collapsed="false">
      <c r="K276" s="280" t="n">
        <v>268</v>
      </c>
      <c r="L276" s="281" t="n">
        <f aca="false">-IF(SUMMARY!$D$21*12&gt;=K276,IPMT(SUMMARY!$D$22/12,K276,SUMMARY!$D$21*12,SUMMARY!$D$20),0)</f>
        <v>-0</v>
      </c>
      <c r="M276" s="281" t="n">
        <f aca="false">IF(SUMMARY!$D$21*12&gt;=K276,-PPMT(SUMMARY!$D$22/12,K276,SUMMARY!$D$21*12,SUMMARY!$D$20),0)</f>
        <v>0</v>
      </c>
      <c r="N276" s="282" t="n">
        <f aca="false">+M276+L276</f>
        <v>0</v>
      </c>
      <c r="P276" s="300"/>
      <c r="Q276" s="301"/>
      <c r="R276" s="301"/>
      <c r="S276" s="301"/>
    </row>
    <row r="277" customFormat="false" ht="12.75" hidden="false" customHeight="false" outlineLevel="0" collapsed="false">
      <c r="K277" s="280" t="n">
        <v>269</v>
      </c>
      <c r="L277" s="281" t="n">
        <f aca="false">-IF(SUMMARY!$D$21*12&gt;=K277,IPMT(SUMMARY!$D$22/12,K277,SUMMARY!$D$21*12,SUMMARY!$D$20),0)</f>
        <v>-0</v>
      </c>
      <c r="M277" s="281" t="n">
        <f aca="false">IF(SUMMARY!$D$21*12&gt;=K277,-PPMT(SUMMARY!$D$22/12,K277,SUMMARY!$D$21*12,SUMMARY!$D$20),0)</f>
        <v>0</v>
      </c>
      <c r="N277" s="282" t="n">
        <f aca="false">+M277+L277</f>
        <v>0</v>
      </c>
      <c r="P277" s="300"/>
      <c r="Q277" s="301"/>
      <c r="R277" s="301"/>
      <c r="S277" s="301"/>
    </row>
    <row r="278" customFormat="false" ht="12.75" hidden="false" customHeight="false" outlineLevel="0" collapsed="false">
      <c r="K278" s="280" t="n">
        <v>270</v>
      </c>
      <c r="L278" s="281" t="n">
        <f aca="false">-IF(SUMMARY!$D$21*12&gt;=K278,IPMT(SUMMARY!$D$22/12,K278,SUMMARY!$D$21*12,SUMMARY!$D$20),0)</f>
        <v>-0</v>
      </c>
      <c r="M278" s="281" t="n">
        <f aca="false">IF(SUMMARY!$D$21*12&gt;=K278,-PPMT(SUMMARY!$D$22/12,K278,SUMMARY!$D$21*12,SUMMARY!$D$20),0)</f>
        <v>0</v>
      </c>
      <c r="N278" s="282" t="n">
        <f aca="false">+M278+L278</f>
        <v>0</v>
      </c>
      <c r="P278" s="300"/>
      <c r="Q278" s="301"/>
      <c r="R278" s="301"/>
      <c r="S278" s="301"/>
    </row>
    <row r="279" customFormat="false" ht="12.75" hidden="false" customHeight="false" outlineLevel="0" collapsed="false">
      <c r="K279" s="280" t="n">
        <v>271</v>
      </c>
      <c r="L279" s="281" t="n">
        <f aca="false">-IF(SUMMARY!$D$21*12&gt;=K279,IPMT(SUMMARY!$D$22/12,K279,SUMMARY!$D$21*12,SUMMARY!$D$20),0)</f>
        <v>-0</v>
      </c>
      <c r="M279" s="281" t="n">
        <f aca="false">IF(SUMMARY!$D$21*12&gt;=K279,-PPMT(SUMMARY!$D$22/12,K279,SUMMARY!$D$21*12,SUMMARY!$D$20),0)</f>
        <v>0</v>
      </c>
      <c r="N279" s="282" t="n">
        <f aca="false">+M279+L279</f>
        <v>0</v>
      </c>
      <c r="P279" s="300"/>
      <c r="Q279" s="301"/>
      <c r="R279" s="301"/>
      <c r="S279" s="301"/>
    </row>
    <row r="280" customFormat="false" ht="12.75" hidden="false" customHeight="false" outlineLevel="0" collapsed="false">
      <c r="K280" s="280" t="n">
        <v>272</v>
      </c>
      <c r="L280" s="281" t="n">
        <f aca="false">-IF(SUMMARY!$D$21*12&gt;=K280,IPMT(SUMMARY!$D$22/12,K280,SUMMARY!$D$21*12,SUMMARY!$D$20),0)</f>
        <v>-0</v>
      </c>
      <c r="M280" s="281" t="n">
        <f aca="false">IF(SUMMARY!$D$21*12&gt;=K280,-PPMT(SUMMARY!$D$22/12,K280,SUMMARY!$D$21*12,SUMMARY!$D$20),0)</f>
        <v>0</v>
      </c>
      <c r="N280" s="282" t="n">
        <f aca="false">+M280+L280</f>
        <v>0</v>
      </c>
      <c r="P280" s="300"/>
      <c r="Q280" s="301"/>
      <c r="R280" s="301"/>
      <c r="S280" s="301"/>
    </row>
    <row r="281" customFormat="false" ht="12.75" hidden="false" customHeight="false" outlineLevel="0" collapsed="false">
      <c r="K281" s="280" t="n">
        <v>273</v>
      </c>
      <c r="L281" s="281" t="n">
        <f aca="false">-IF(SUMMARY!$D$21*12&gt;=K281,IPMT(SUMMARY!$D$22/12,K281,SUMMARY!$D$21*12,SUMMARY!$D$20),0)</f>
        <v>-0</v>
      </c>
      <c r="M281" s="281" t="n">
        <f aca="false">IF(SUMMARY!$D$21*12&gt;=K281,-PPMT(SUMMARY!$D$22/12,K281,SUMMARY!$D$21*12,SUMMARY!$D$20),0)</f>
        <v>0</v>
      </c>
      <c r="N281" s="282" t="n">
        <f aca="false">+M281+L281</f>
        <v>0</v>
      </c>
      <c r="P281" s="300"/>
      <c r="Q281" s="301"/>
      <c r="R281" s="301"/>
      <c r="S281" s="301"/>
    </row>
    <row r="282" customFormat="false" ht="12.75" hidden="false" customHeight="false" outlineLevel="0" collapsed="false">
      <c r="K282" s="280" t="n">
        <v>274</v>
      </c>
      <c r="L282" s="281" t="n">
        <f aca="false">-IF(SUMMARY!$D$21*12&gt;=K282,IPMT(SUMMARY!$D$22/12,K282,SUMMARY!$D$21*12,SUMMARY!$D$20),0)</f>
        <v>-0</v>
      </c>
      <c r="M282" s="281" t="n">
        <f aca="false">IF(SUMMARY!$D$21*12&gt;=K282,-PPMT(SUMMARY!$D$22/12,K282,SUMMARY!$D$21*12,SUMMARY!$D$20),0)</f>
        <v>0</v>
      </c>
      <c r="N282" s="282" t="n">
        <f aca="false">+M282+L282</f>
        <v>0</v>
      </c>
      <c r="P282" s="300"/>
      <c r="Q282" s="301"/>
      <c r="R282" s="301"/>
      <c r="S282" s="301"/>
    </row>
    <row r="283" customFormat="false" ht="12.75" hidden="false" customHeight="false" outlineLevel="0" collapsed="false">
      <c r="K283" s="280" t="n">
        <v>275</v>
      </c>
      <c r="L283" s="281" t="n">
        <f aca="false">-IF(SUMMARY!$D$21*12&gt;=K283,IPMT(SUMMARY!$D$22/12,K283,SUMMARY!$D$21*12,SUMMARY!$D$20),0)</f>
        <v>-0</v>
      </c>
      <c r="M283" s="281" t="n">
        <f aca="false">IF(SUMMARY!$D$21*12&gt;=K283,-PPMT(SUMMARY!$D$22/12,K283,SUMMARY!$D$21*12,SUMMARY!$D$20),0)</f>
        <v>0</v>
      </c>
      <c r="N283" s="282" t="n">
        <f aca="false">+M283+L283</f>
        <v>0</v>
      </c>
      <c r="P283" s="300"/>
      <c r="Q283" s="301"/>
      <c r="R283" s="301"/>
      <c r="S283" s="301"/>
    </row>
    <row r="284" customFormat="false" ht="12.75" hidden="false" customHeight="false" outlineLevel="0" collapsed="false">
      <c r="K284" s="280" t="n">
        <v>276</v>
      </c>
      <c r="L284" s="281" t="n">
        <f aca="false">-IF(SUMMARY!$D$21*12&gt;=K284,IPMT(SUMMARY!$D$22/12,K284,SUMMARY!$D$21*12,SUMMARY!$D$20),0)</f>
        <v>-0</v>
      </c>
      <c r="M284" s="281" t="n">
        <f aca="false">IF(SUMMARY!$D$21*12&gt;=K284,-PPMT(SUMMARY!$D$22/12,K284,SUMMARY!$D$21*12,SUMMARY!$D$20),0)</f>
        <v>0</v>
      </c>
      <c r="N284" s="282" t="n">
        <f aca="false">+M284+L284</f>
        <v>0</v>
      </c>
      <c r="P284" s="300"/>
      <c r="Q284" s="301"/>
      <c r="R284" s="301"/>
      <c r="S284" s="301"/>
    </row>
    <row r="285" customFormat="false" ht="12.75" hidden="false" customHeight="false" outlineLevel="0" collapsed="false">
      <c r="K285" s="280" t="n">
        <v>277</v>
      </c>
      <c r="L285" s="281" t="n">
        <f aca="false">-IF(SUMMARY!$D$21*12&gt;=K285,IPMT(SUMMARY!$D$22/12,K285,SUMMARY!$D$21*12,SUMMARY!$D$20),0)</f>
        <v>-0</v>
      </c>
      <c r="M285" s="281" t="n">
        <f aca="false">IF(SUMMARY!$D$21*12&gt;=K285,-PPMT(SUMMARY!$D$22/12,K285,SUMMARY!$D$21*12,SUMMARY!$D$20),0)</f>
        <v>0</v>
      </c>
      <c r="N285" s="282" t="n">
        <f aca="false">+M285+L285</f>
        <v>0</v>
      </c>
      <c r="P285" s="300"/>
      <c r="Q285" s="301"/>
      <c r="R285" s="301"/>
      <c r="S285" s="301"/>
    </row>
    <row r="286" customFormat="false" ht="12.75" hidden="false" customHeight="false" outlineLevel="0" collapsed="false">
      <c r="K286" s="280" t="n">
        <v>278</v>
      </c>
      <c r="L286" s="281" t="n">
        <f aca="false">-IF(SUMMARY!$D$21*12&gt;=K286,IPMT(SUMMARY!$D$22/12,K286,SUMMARY!$D$21*12,SUMMARY!$D$20),0)</f>
        <v>-0</v>
      </c>
      <c r="M286" s="281" t="n">
        <f aca="false">IF(SUMMARY!$D$21*12&gt;=K286,-PPMT(SUMMARY!$D$22/12,K286,SUMMARY!$D$21*12,SUMMARY!$D$20),0)</f>
        <v>0</v>
      </c>
      <c r="N286" s="282" t="n">
        <f aca="false">+M286+L286</f>
        <v>0</v>
      </c>
      <c r="P286" s="300"/>
      <c r="Q286" s="301"/>
      <c r="R286" s="301"/>
      <c r="S286" s="301"/>
    </row>
    <row r="287" customFormat="false" ht="12.75" hidden="false" customHeight="false" outlineLevel="0" collapsed="false">
      <c r="K287" s="280" t="n">
        <v>279</v>
      </c>
      <c r="L287" s="281" t="n">
        <f aca="false">-IF(SUMMARY!$D$21*12&gt;=K287,IPMT(SUMMARY!$D$22/12,K287,SUMMARY!$D$21*12,SUMMARY!$D$20),0)</f>
        <v>-0</v>
      </c>
      <c r="M287" s="281" t="n">
        <f aca="false">IF(SUMMARY!$D$21*12&gt;=K287,-PPMT(SUMMARY!$D$22/12,K287,SUMMARY!$D$21*12,SUMMARY!$D$20),0)</f>
        <v>0</v>
      </c>
      <c r="N287" s="282" t="n">
        <f aca="false">+M287+L287</f>
        <v>0</v>
      </c>
      <c r="P287" s="300"/>
      <c r="Q287" s="301"/>
      <c r="R287" s="301"/>
      <c r="S287" s="301"/>
    </row>
    <row r="288" customFormat="false" ht="12.75" hidden="false" customHeight="false" outlineLevel="0" collapsed="false">
      <c r="K288" s="280" t="n">
        <v>280</v>
      </c>
      <c r="L288" s="281" t="n">
        <f aca="false">-IF(SUMMARY!$D$21*12&gt;=K288,IPMT(SUMMARY!$D$22/12,K288,SUMMARY!$D$21*12,SUMMARY!$D$20),0)</f>
        <v>-0</v>
      </c>
      <c r="M288" s="281" t="n">
        <f aca="false">IF(SUMMARY!$D$21*12&gt;=K288,-PPMT(SUMMARY!$D$22/12,K288,SUMMARY!$D$21*12,SUMMARY!$D$20),0)</f>
        <v>0</v>
      </c>
      <c r="N288" s="282" t="n">
        <f aca="false">+M288+L288</f>
        <v>0</v>
      </c>
      <c r="P288" s="300"/>
      <c r="Q288" s="301"/>
      <c r="R288" s="301"/>
      <c r="S288" s="301"/>
    </row>
    <row r="289" customFormat="false" ht="12.75" hidden="false" customHeight="false" outlineLevel="0" collapsed="false">
      <c r="K289" s="280" t="n">
        <v>281</v>
      </c>
      <c r="L289" s="281" t="n">
        <f aca="false">-IF(SUMMARY!$D$21*12&gt;=K289,IPMT(SUMMARY!$D$22/12,K289,SUMMARY!$D$21*12,SUMMARY!$D$20),0)</f>
        <v>-0</v>
      </c>
      <c r="M289" s="281" t="n">
        <f aca="false">IF(SUMMARY!$D$21*12&gt;=K289,-PPMT(SUMMARY!$D$22/12,K289,SUMMARY!$D$21*12,SUMMARY!$D$20),0)</f>
        <v>0</v>
      </c>
      <c r="N289" s="282" t="n">
        <f aca="false">+M289+L289</f>
        <v>0</v>
      </c>
      <c r="P289" s="300"/>
      <c r="Q289" s="301"/>
      <c r="R289" s="301"/>
      <c r="S289" s="301"/>
    </row>
    <row r="290" customFormat="false" ht="12.75" hidden="false" customHeight="false" outlineLevel="0" collapsed="false">
      <c r="K290" s="280" t="n">
        <v>282</v>
      </c>
      <c r="L290" s="281" t="n">
        <f aca="false">-IF(SUMMARY!$D$21*12&gt;=K290,IPMT(SUMMARY!$D$22/12,K290,SUMMARY!$D$21*12,SUMMARY!$D$20),0)</f>
        <v>-0</v>
      </c>
      <c r="M290" s="281" t="n">
        <f aca="false">IF(SUMMARY!$D$21*12&gt;=K290,-PPMT(SUMMARY!$D$22/12,K290,SUMMARY!$D$21*12,SUMMARY!$D$20),0)</f>
        <v>0</v>
      </c>
      <c r="N290" s="282" t="n">
        <f aca="false">+M290+L290</f>
        <v>0</v>
      </c>
      <c r="P290" s="300"/>
      <c r="Q290" s="301"/>
      <c r="R290" s="301"/>
      <c r="S290" s="301"/>
    </row>
    <row r="291" customFormat="false" ht="12.75" hidden="false" customHeight="false" outlineLevel="0" collapsed="false">
      <c r="K291" s="280" t="n">
        <v>283</v>
      </c>
      <c r="L291" s="281" t="n">
        <f aca="false">-IF(SUMMARY!$D$21*12&gt;=K291,IPMT(SUMMARY!$D$22/12,K291,SUMMARY!$D$21*12,SUMMARY!$D$20),0)</f>
        <v>-0</v>
      </c>
      <c r="M291" s="281" t="n">
        <f aca="false">IF(SUMMARY!$D$21*12&gt;=K291,-PPMT(SUMMARY!$D$22/12,K291,SUMMARY!$D$21*12,SUMMARY!$D$20),0)</f>
        <v>0</v>
      </c>
      <c r="N291" s="282" t="n">
        <f aca="false">+M291+L291</f>
        <v>0</v>
      </c>
      <c r="P291" s="300"/>
      <c r="Q291" s="301"/>
      <c r="R291" s="301"/>
      <c r="S291" s="301"/>
    </row>
    <row r="292" customFormat="false" ht="12.75" hidden="false" customHeight="false" outlineLevel="0" collapsed="false">
      <c r="K292" s="280" t="n">
        <v>284</v>
      </c>
      <c r="L292" s="281" t="n">
        <f aca="false">-IF(SUMMARY!$D$21*12&gt;=K292,IPMT(SUMMARY!$D$22/12,K292,SUMMARY!$D$21*12,SUMMARY!$D$20),0)</f>
        <v>-0</v>
      </c>
      <c r="M292" s="281" t="n">
        <f aca="false">IF(SUMMARY!$D$21*12&gt;=K292,-PPMT(SUMMARY!$D$22/12,K292,SUMMARY!$D$21*12,SUMMARY!$D$20),0)</f>
        <v>0</v>
      </c>
      <c r="N292" s="282" t="n">
        <f aca="false">+M292+L292</f>
        <v>0</v>
      </c>
      <c r="P292" s="300"/>
      <c r="Q292" s="301"/>
      <c r="R292" s="301"/>
      <c r="S292" s="301"/>
    </row>
    <row r="293" customFormat="false" ht="12.75" hidden="false" customHeight="false" outlineLevel="0" collapsed="false">
      <c r="K293" s="280" t="n">
        <v>285</v>
      </c>
      <c r="L293" s="281" t="n">
        <f aca="false">-IF(SUMMARY!$D$21*12&gt;=K293,IPMT(SUMMARY!$D$22/12,K293,SUMMARY!$D$21*12,SUMMARY!$D$20),0)</f>
        <v>-0</v>
      </c>
      <c r="M293" s="281" t="n">
        <f aca="false">IF(SUMMARY!$D$21*12&gt;=K293,-PPMT(SUMMARY!$D$22/12,K293,SUMMARY!$D$21*12,SUMMARY!$D$20),0)</f>
        <v>0</v>
      </c>
      <c r="N293" s="282" t="n">
        <f aca="false">+M293+L293</f>
        <v>0</v>
      </c>
      <c r="P293" s="300"/>
      <c r="Q293" s="301"/>
      <c r="R293" s="301"/>
      <c r="S293" s="301"/>
    </row>
    <row r="294" customFormat="false" ht="12.75" hidden="false" customHeight="false" outlineLevel="0" collapsed="false">
      <c r="K294" s="280" t="n">
        <v>286</v>
      </c>
      <c r="L294" s="281" t="n">
        <f aca="false">-IF(SUMMARY!$D$21*12&gt;=K294,IPMT(SUMMARY!$D$22/12,K294,SUMMARY!$D$21*12,SUMMARY!$D$20),0)</f>
        <v>-0</v>
      </c>
      <c r="M294" s="281" t="n">
        <f aca="false">IF(SUMMARY!$D$21*12&gt;=K294,-PPMT(SUMMARY!$D$22/12,K294,SUMMARY!$D$21*12,SUMMARY!$D$20),0)</f>
        <v>0</v>
      </c>
      <c r="N294" s="282" t="n">
        <f aca="false">+M294+L294</f>
        <v>0</v>
      </c>
      <c r="P294" s="300"/>
      <c r="Q294" s="301"/>
      <c r="R294" s="301"/>
      <c r="S294" s="301"/>
    </row>
    <row r="295" customFormat="false" ht="12.75" hidden="false" customHeight="false" outlineLevel="0" collapsed="false">
      <c r="K295" s="280" t="n">
        <v>287</v>
      </c>
      <c r="L295" s="281" t="n">
        <f aca="false">-IF(SUMMARY!$D$21*12&gt;=K295,IPMT(SUMMARY!$D$22/12,K295,SUMMARY!$D$21*12,SUMMARY!$D$20),0)</f>
        <v>-0</v>
      </c>
      <c r="M295" s="281" t="n">
        <f aca="false">IF(SUMMARY!$D$21*12&gt;=K295,-PPMT(SUMMARY!$D$22/12,K295,SUMMARY!$D$21*12,SUMMARY!$D$20),0)</f>
        <v>0</v>
      </c>
      <c r="N295" s="282" t="n">
        <f aca="false">+M295+L295</f>
        <v>0</v>
      </c>
      <c r="P295" s="300"/>
      <c r="Q295" s="301"/>
      <c r="R295" s="301"/>
      <c r="S295" s="301"/>
    </row>
    <row r="296" customFormat="false" ht="12.75" hidden="false" customHeight="false" outlineLevel="0" collapsed="false">
      <c r="K296" s="280" t="n">
        <v>288</v>
      </c>
      <c r="L296" s="281" t="n">
        <f aca="false">-IF(SUMMARY!$D$21*12&gt;=K296,IPMT(SUMMARY!$D$22/12,K296,SUMMARY!$D$21*12,SUMMARY!$D$20),0)</f>
        <v>-0</v>
      </c>
      <c r="M296" s="281" t="n">
        <f aca="false">IF(SUMMARY!$D$21*12&gt;=K296,-PPMT(SUMMARY!$D$22/12,K296,SUMMARY!$D$21*12,SUMMARY!$D$20),0)</f>
        <v>0</v>
      </c>
      <c r="N296" s="282" t="n">
        <f aca="false">+M296+L296</f>
        <v>0</v>
      </c>
      <c r="P296" s="300"/>
      <c r="Q296" s="301"/>
      <c r="R296" s="301"/>
      <c r="S296" s="301"/>
    </row>
    <row r="297" customFormat="false" ht="12.75" hidden="false" customHeight="false" outlineLevel="0" collapsed="false">
      <c r="K297" s="280" t="n">
        <v>289</v>
      </c>
      <c r="L297" s="281" t="n">
        <f aca="false">-IF(SUMMARY!$D$21*12&gt;=K297,IPMT(SUMMARY!$D$22/12,K297,SUMMARY!$D$21*12,SUMMARY!$D$20),0)</f>
        <v>-0</v>
      </c>
      <c r="M297" s="281" t="n">
        <f aca="false">IF(SUMMARY!$D$21*12&gt;=K297,-PPMT(SUMMARY!$D$22/12,K297,SUMMARY!$D$21*12,SUMMARY!$D$20),0)</f>
        <v>0</v>
      </c>
      <c r="N297" s="282" t="n">
        <f aca="false">+M297+L297</f>
        <v>0</v>
      </c>
      <c r="P297" s="300"/>
      <c r="Q297" s="301"/>
      <c r="R297" s="301"/>
      <c r="S297" s="301"/>
    </row>
    <row r="298" customFormat="false" ht="12.75" hidden="false" customHeight="false" outlineLevel="0" collapsed="false">
      <c r="K298" s="280" t="n">
        <v>290</v>
      </c>
      <c r="L298" s="281" t="n">
        <f aca="false">-IF(SUMMARY!$D$21*12&gt;=K298,IPMT(SUMMARY!$D$22/12,K298,SUMMARY!$D$21*12,SUMMARY!$D$20),0)</f>
        <v>-0</v>
      </c>
      <c r="M298" s="281" t="n">
        <f aca="false">IF(SUMMARY!$D$21*12&gt;=K298,-PPMT(SUMMARY!$D$22/12,K298,SUMMARY!$D$21*12,SUMMARY!$D$20),0)</f>
        <v>0</v>
      </c>
      <c r="N298" s="282" t="n">
        <f aca="false">+M298+L298</f>
        <v>0</v>
      </c>
      <c r="P298" s="300"/>
      <c r="Q298" s="301"/>
      <c r="R298" s="301"/>
      <c r="S298" s="301"/>
    </row>
    <row r="299" customFormat="false" ht="12.75" hidden="false" customHeight="false" outlineLevel="0" collapsed="false">
      <c r="K299" s="280" t="n">
        <v>291</v>
      </c>
      <c r="L299" s="281" t="n">
        <f aca="false">-IF(SUMMARY!$D$21*12&gt;=K299,IPMT(SUMMARY!$D$22/12,K299,SUMMARY!$D$21*12,SUMMARY!$D$20),0)</f>
        <v>-0</v>
      </c>
      <c r="M299" s="281" t="n">
        <f aca="false">IF(SUMMARY!$D$21*12&gt;=K299,-PPMT(SUMMARY!$D$22/12,K299,SUMMARY!$D$21*12,SUMMARY!$D$20),0)</f>
        <v>0</v>
      </c>
      <c r="N299" s="282" t="n">
        <f aca="false">+M299+L299</f>
        <v>0</v>
      </c>
      <c r="P299" s="300"/>
      <c r="Q299" s="301"/>
      <c r="R299" s="301"/>
      <c r="S299" s="301"/>
    </row>
    <row r="300" customFormat="false" ht="12.75" hidden="false" customHeight="false" outlineLevel="0" collapsed="false">
      <c r="K300" s="280" t="n">
        <v>292</v>
      </c>
      <c r="L300" s="281" t="n">
        <f aca="false">-IF(SUMMARY!$D$21*12&gt;=K300,IPMT(SUMMARY!$D$22/12,K300,SUMMARY!$D$21*12,SUMMARY!$D$20),0)</f>
        <v>-0</v>
      </c>
      <c r="M300" s="281" t="n">
        <f aca="false">IF(SUMMARY!$D$21*12&gt;=K300,-PPMT(SUMMARY!$D$22/12,K300,SUMMARY!$D$21*12,SUMMARY!$D$20),0)</f>
        <v>0</v>
      </c>
      <c r="N300" s="282" t="n">
        <f aca="false">+M300+L300</f>
        <v>0</v>
      </c>
      <c r="P300" s="300"/>
      <c r="Q300" s="301"/>
      <c r="R300" s="301"/>
      <c r="S300" s="301"/>
    </row>
    <row r="301" customFormat="false" ht="12.75" hidden="false" customHeight="false" outlineLevel="0" collapsed="false">
      <c r="K301" s="280" t="n">
        <v>293</v>
      </c>
      <c r="L301" s="281" t="n">
        <f aca="false">-IF(SUMMARY!$D$21*12&gt;=K301,IPMT(SUMMARY!$D$22/12,K301,SUMMARY!$D$21*12,SUMMARY!$D$20),0)</f>
        <v>-0</v>
      </c>
      <c r="M301" s="281" t="n">
        <f aca="false">IF(SUMMARY!$D$21*12&gt;=K301,-PPMT(SUMMARY!$D$22/12,K301,SUMMARY!$D$21*12,SUMMARY!$D$20),0)</f>
        <v>0</v>
      </c>
      <c r="N301" s="282" t="n">
        <f aca="false">+M301+L301</f>
        <v>0</v>
      </c>
      <c r="P301" s="300"/>
      <c r="Q301" s="301"/>
      <c r="R301" s="301"/>
      <c r="S301" s="301"/>
    </row>
    <row r="302" customFormat="false" ht="12.75" hidden="false" customHeight="false" outlineLevel="0" collapsed="false">
      <c r="K302" s="280" t="n">
        <v>294</v>
      </c>
      <c r="L302" s="281" t="n">
        <f aca="false">-IF(SUMMARY!$D$21*12&gt;=K302,IPMT(SUMMARY!$D$22/12,K302,SUMMARY!$D$21*12,SUMMARY!$D$20),0)</f>
        <v>-0</v>
      </c>
      <c r="M302" s="281" t="n">
        <f aca="false">IF(SUMMARY!$D$21*12&gt;=K302,-PPMT(SUMMARY!$D$22/12,K302,SUMMARY!$D$21*12,SUMMARY!$D$20),0)</f>
        <v>0</v>
      </c>
      <c r="N302" s="282" t="n">
        <f aca="false">+M302+L302</f>
        <v>0</v>
      </c>
      <c r="P302" s="300"/>
      <c r="Q302" s="301"/>
      <c r="R302" s="301"/>
      <c r="S302" s="301"/>
    </row>
    <row r="303" customFormat="false" ht="12.75" hidden="false" customHeight="false" outlineLevel="0" collapsed="false">
      <c r="K303" s="280" t="n">
        <v>295</v>
      </c>
      <c r="L303" s="281" t="n">
        <f aca="false">-IF(SUMMARY!$D$21*12&gt;=K303,IPMT(SUMMARY!$D$22/12,K303,SUMMARY!$D$21*12,SUMMARY!$D$20),0)</f>
        <v>-0</v>
      </c>
      <c r="M303" s="281" t="n">
        <f aca="false">IF(SUMMARY!$D$21*12&gt;=K303,-PPMT(SUMMARY!$D$22/12,K303,SUMMARY!$D$21*12,SUMMARY!$D$20),0)</f>
        <v>0</v>
      </c>
      <c r="N303" s="282" t="n">
        <f aca="false">+M303+L303</f>
        <v>0</v>
      </c>
      <c r="P303" s="300"/>
      <c r="Q303" s="301"/>
      <c r="R303" s="301"/>
      <c r="S303" s="301"/>
    </row>
    <row r="304" customFormat="false" ht="12.75" hidden="false" customHeight="false" outlineLevel="0" collapsed="false">
      <c r="K304" s="280" t="n">
        <v>296</v>
      </c>
      <c r="L304" s="281" t="n">
        <f aca="false">-IF(SUMMARY!$D$21*12&gt;=K304,IPMT(SUMMARY!$D$22/12,K304,SUMMARY!$D$21*12,SUMMARY!$D$20),0)</f>
        <v>-0</v>
      </c>
      <c r="M304" s="281" t="n">
        <f aca="false">IF(SUMMARY!$D$21*12&gt;=K304,-PPMT(SUMMARY!$D$22/12,K304,SUMMARY!$D$21*12,SUMMARY!$D$20),0)</f>
        <v>0</v>
      </c>
      <c r="N304" s="282" t="n">
        <f aca="false">+M304+L304</f>
        <v>0</v>
      </c>
      <c r="P304" s="300"/>
      <c r="Q304" s="301"/>
      <c r="R304" s="301"/>
      <c r="S304" s="301"/>
    </row>
    <row r="305" customFormat="false" ht="12.75" hidden="false" customHeight="false" outlineLevel="0" collapsed="false">
      <c r="K305" s="280" t="n">
        <v>297</v>
      </c>
      <c r="L305" s="281" t="n">
        <f aca="false">-IF(SUMMARY!$D$21*12&gt;=K305,IPMT(SUMMARY!$D$22/12,K305,SUMMARY!$D$21*12,SUMMARY!$D$20),0)</f>
        <v>-0</v>
      </c>
      <c r="M305" s="281" t="n">
        <f aca="false">IF(SUMMARY!$D$21*12&gt;=K305,-PPMT(SUMMARY!$D$22/12,K305,SUMMARY!$D$21*12,SUMMARY!$D$20),0)</f>
        <v>0</v>
      </c>
      <c r="N305" s="282" t="n">
        <f aca="false">+M305+L305</f>
        <v>0</v>
      </c>
      <c r="P305" s="300"/>
      <c r="Q305" s="301"/>
      <c r="R305" s="301"/>
      <c r="S305" s="301"/>
    </row>
    <row r="306" customFormat="false" ht="12.75" hidden="false" customHeight="false" outlineLevel="0" collapsed="false">
      <c r="K306" s="280" t="n">
        <v>298</v>
      </c>
      <c r="L306" s="281" t="n">
        <f aca="false">-IF(SUMMARY!$D$21*12&gt;=K306,IPMT(SUMMARY!$D$22/12,K306,SUMMARY!$D$21*12,SUMMARY!$D$20),0)</f>
        <v>-0</v>
      </c>
      <c r="M306" s="281" t="n">
        <f aca="false">IF(SUMMARY!$D$21*12&gt;=K306,-PPMT(SUMMARY!$D$22/12,K306,SUMMARY!$D$21*12,SUMMARY!$D$20),0)</f>
        <v>0</v>
      </c>
      <c r="N306" s="282" t="n">
        <f aca="false">+M306+L306</f>
        <v>0</v>
      </c>
      <c r="P306" s="300"/>
      <c r="Q306" s="301"/>
      <c r="R306" s="301"/>
      <c r="S306" s="301"/>
    </row>
    <row r="307" customFormat="false" ht="12.75" hidden="false" customHeight="false" outlineLevel="0" collapsed="false">
      <c r="K307" s="280" t="n">
        <v>299</v>
      </c>
      <c r="L307" s="281" t="n">
        <f aca="false">-IF(SUMMARY!$D$21*12&gt;=K307,IPMT(SUMMARY!$D$22/12,K307,SUMMARY!$D$21*12,SUMMARY!$D$20),0)</f>
        <v>-0</v>
      </c>
      <c r="M307" s="281" t="n">
        <f aca="false">IF(SUMMARY!$D$21*12&gt;=K307,-PPMT(SUMMARY!$D$22/12,K307,SUMMARY!$D$21*12,SUMMARY!$D$20),0)</f>
        <v>0</v>
      </c>
      <c r="N307" s="282" t="n">
        <f aca="false">+M307+L307</f>
        <v>0</v>
      </c>
      <c r="P307" s="300"/>
      <c r="Q307" s="301"/>
      <c r="R307" s="301"/>
      <c r="S307" s="301"/>
    </row>
    <row r="308" customFormat="false" ht="12.75" hidden="false" customHeight="false" outlineLevel="0" collapsed="false">
      <c r="K308" s="280" t="n">
        <v>300</v>
      </c>
      <c r="L308" s="281" t="n">
        <f aca="false">-IF(SUMMARY!$D$21*12&gt;=K308,IPMT(SUMMARY!$D$22/12,K308,SUMMARY!$D$21*12,SUMMARY!$D$20),0)</f>
        <v>-0</v>
      </c>
      <c r="M308" s="281" t="n">
        <f aca="false">IF(SUMMARY!$D$21*12&gt;=K308,-PPMT(SUMMARY!$D$22/12,K308,SUMMARY!$D$21*12,SUMMARY!$D$20),0)</f>
        <v>0</v>
      </c>
      <c r="N308" s="282" t="n">
        <f aca="false">+M308+L308</f>
        <v>0</v>
      </c>
      <c r="P308" s="300"/>
      <c r="Q308" s="301"/>
      <c r="R308" s="301"/>
      <c r="S308" s="301"/>
    </row>
    <row r="309" customFormat="false" ht="12.75" hidden="false" customHeight="false" outlineLevel="0" collapsed="false">
      <c r="K309" s="280" t="n">
        <v>301</v>
      </c>
      <c r="L309" s="281" t="n">
        <f aca="false">-IF(SUMMARY!$D$21*12&gt;=K309,IPMT(SUMMARY!$D$22/12,K309,SUMMARY!$D$21*12,SUMMARY!$D$20),0)</f>
        <v>-0</v>
      </c>
      <c r="M309" s="281" t="n">
        <f aca="false">IF(SUMMARY!$D$21*12&gt;=K309,-PPMT(SUMMARY!$D$22/12,K309,SUMMARY!$D$21*12,SUMMARY!$D$20),0)</f>
        <v>0</v>
      </c>
      <c r="N309" s="282" t="n">
        <f aca="false">+M309+L309</f>
        <v>0</v>
      </c>
      <c r="P309" s="300"/>
      <c r="Q309" s="301"/>
      <c r="R309" s="301"/>
      <c r="S309" s="301"/>
    </row>
    <row r="310" customFormat="false" ht="12.75" hidden="false" customHeight="false" outlineLevel="0" collapsed="false">
      <c r="K310" s="280" t="n">
        <v>302</v>
      </c>
      <c r="L310" s="281" t="n">
        <f aca="false">-IF(SUMMARY!$D$21*12&gt;=K310,IPMT(SUMMARY!$D$22/12,K310,SUMMARY!$D$21*12,SUMMARY!$D$20),0)</f>
        <v>-0</v>
      </c>
      <c r="M310" s="281" t="n">
        <f aca="false">IF(SUMMARY!$D$21*12&gt;=K310,-PPMT(SUMMARY!$D$22/12,K310,SUMMARY!$D$21*12,SUMMARY!$D$20),0)</f>
        <v>0</v>
      </c>
      <c r="N310" s="282" t="n">
        <f aca="false">+M310+L310</f>
        <v>0</v>
      </c>
      <c r="P310" s="300"/>
      <c r="Q310" s="301"/>
      <c r="R310" s="301"/>
      <c r="S310" s="301"/>
    </row>
    <row r="311" customFormat="false" ht="12.75" hidden="false" customHeight="false" outlineLevel="0" collapsed="false">
      <c r="K311" s="280" t="n">
        <v>303</v>
      </c>
      <c r="L311" s="281" t="n">
        <f aca="false">-IF(SUMMARY!$D$21*12&gt;=K311,IPMT(SUMMARY!$D$22/12,K311,SUMMARY!$D$21*12,SUMMARY!$D$20),0)</f>
        <v>-0</v>
      </c>
      <c r="M311" s="281" t="n">
        <f aca="false">IF(SUMMARY!$D$21*12&gt;=K311,-PPMT(SUMMARY!$D$22/12,K311,SUMMARY!$D$21*12,SUMMARY!$D$20),0)</f>
        <v>0</v>
      </c>
      <c r="N311" s="282" t="n">
        <f aca="false">+M311+L311</f>
        <v>0</v>
      </c>
      <c r="P311" s="300"/>
      <c r="Q311" s="301"/>
      <c r="R311" s="301"/>
      <c r="S311" s="301"/>
    </row>
    <row r="312" customFormat="false" ht="12.75" hidden="false" customHeight="false" outlineLevel="0" collapsed="false">
      <c r="K312" s="280" t="n">
        <v>304</v>
      </c>
      <c r="L312" s="281" t="n">
        <f aca="false">-IF(SUMMARY!$D$21*12&gt;=K312,IPMT(SUMMARY!$D$22/12,K312,SUMMARY!$D$21*12,SUMMARY!$D$20),0)</f>
        <v>-0</v>
      </c>
      <c r="M312" s="281" t="n">
        <f aca="false">IF(SUMMARY!$D$21*12&gt;=K312,-PPMT(SUMMARY!$D$22/12,K312,SUMMARY!$D$21*12,SUMMARY!$D$20),0)</f>
        <v>0</v>
      </c>
      <c r="N312" s="282" t="n">
        <f aca="false">+M312+L312</f>
        <v>0</v>
      </c>
      <c r="P312" s="300"/>
      <c r="Q312" s="301"/>
      <c r="R312" s="301"/>
      <c r="S312" s="301"/>
    </row>
    <row r="313" customFormat="false" ht="12.75" hidden="false" customHeight="false" outlineLevel="0" collapsed="false">
      <c r="K313" s="280" t="n">
        <v>305</v>
      </c>
      <c r="L313" s="281" t="n">
        <f aca="false">-IF(SUMMARY!$D$21*12&gt;=K313,IPMT(SUMMARY!$D$22/12,K313,SUMMARY!$D$21*12,SUMMARY!$D$20),0)</f>
        <v>-0</v>
      </c>
      <c r="M313" s="281" t="n">
        <f aca="false">IF(SUMMARY!$D$21*12&gt;=K313,-PPMT(SUMMARY!$D$22/12,K313,SUMMARY!$D$21*12,SUMMARY!$D$20),0)</f>
        <v>0</v>
      </c>
      <c r="N313" s="282" t="n">
        <f aca="false">+M313+L313</f>
        <v>0</v>
      </c>
      <c r="P313" s="300"/>
      <c r="Q313" s="301"/>
      <c r="R313" s="301"/>
      <c r="S313" s="301"/>
    </row>
    <row r="314" customFormat="false" ht="12.75" hidden="false" customHeight="false" outlineLevel="0" collapsed="false">
      <c r="K314" s="280" t="n">
        <v>306</v>
      </c>
      <c r="L314" s="281" t="n">
        <f aca="false">-IF(SUMMARY!$D$21*12&gt;=K314,IPMT(SUMMARY!$D$22/12,K314,SUMMARY!$D$21*12,SUMMARY!$D$20),0)</f>
        <v>-0</v>
      </c>
      <c r="M314" s="281" t="n">
        <f aca="false">IF(SUMMARY!$D$21*12&gt;=K314,-PPMT(SUMMARY!$D$22/12,K314,SUMMARY!$D$21*12,SUMMARY!$D$20),0)</f>
        <v>0</v>
      </c>
      <c r="N314" s="282" t="n">
        <f aca="false">+M314+L314</f>
        <v>0</v>
      </c>
      <c r="P314" s="300"/>
      <c r="Q314" s="301"/>
      <c r="R314" s="301"/>
      <c r="S314" s="301"/>
    </row>
    <row r="315" customFormat="false" ht="12.75" hidden="false" customHeight="false" outlineLevel="0" collapsed="false">
      <c r="K315" s="280" t="n">
        <v>307</v>
      </c>
      <c r="L315" s="281" t="n">
        <f aca="false">-IF(SUMMARY!$D$21*12&gt;=K315,IPMT(SUMMARY!$D$22/12,K315,SUMMARY!$D$21*12,SUMMARY!$D$20),0)</f>
        <v>-0</v>
      </c>
      <c r="M315" s="281" t="n">
        <f aca="false">IF(SUMMARY!$D$21*12&gt;=K315,-PPMT(SUMMARY!$D$22/12,K315,SUMMARY!$D$21*12,SUMMARY!$D$20),0)</f>
        <v>0</v>
      </c>
      <c r="N315" s="282" t="n">
        <f aca="false">+M315+L315</f>
        <v>0</v>
      </c>
      <c r="P315" s="300"/>
      <c r="Q315" s="301"/>
      <c r="R315" s="301"/>
      <c r="S315" s="301"/>
    </row>
    <row r="316" customFormat="false" ht="12.75" hidden="false" customHeight="false" outlineLevel="0" collapsed="false">
      <c r="K316" s="280" t="n">
        <v>308</v>
      </c>
      <c r="L316" s="281" t="n">
        <f aca="false">-IF(SUMMARY!$D$21*12&gt;=K316,IPMT(SUMMARY!$D$22/12,K316,SUMMARY!$D$21*12,SUMMARY!$D$20),0)</f>
        <v>-0</v>
      </c>
      <c r="M316" s="281" t="n">
        <f aca="false">IF(SUMMARY!$D$21*12&gt;=K316,-PPMT(SUMMARY!$D$22/12,K316,SUMMARY!$D$21*12,SUMMARY!$D$20),0)</f>
        <v>0</v>
      </c>
      <c r="N316" s="282" t="n">
        <f aca="false">+M316+L316</f>
        <v>0</v>
      </c>
      <c r="P316" s="300"/>
      <c r="Q316" s="301"/>
      <c r="R316" s="301"/>
      <c r="S316" s="301"/>
    </row>
    <row r="317" customFormat="false" ht="12.75" hidden="false" customHeight="false" outlineLevel="0" collapsed="false">
      <c r="K317" s="280" t="n">
        <v>309</v>
      </c>
      <c r="L317" s="281" t="n">
        <f aca="false">-IF(SUMMARY!$D$21*12&gt;=K317,IPMT(SUMMARY!$D$22/12,K317,SUMMARY!$D$21*12,SUMMARY!$D$20),0)</f>
        <v>-0</v>
      </c>
      <c r="M317" s="281" t="n">
        <f aca="false">IF(SUMMARY!$D$21*12&gt;=K317,-PPMT(SUMMARY!$D$22/12,K317,SUMMARY!$D$21*12,SUMMARY!$D$20),0)</f>
        <v>0</v>
      </c>
      <c r="N317" s="282" t="n">
        <f aca="false">+M317+L317</f>
        <v>0</v>
      </c>
      <c r="P317" s="300"/>
      <c r="Q317" s="301"/>
      <c r="R317" s="301"/>
      <c r="S317" s="301"/>
    </row>
    <row r="318" customFormat="false" ht="12.75" hidden="false" customHeight="false" outlineLevel="0" collapsed="false">
      <c r="K318" s="280" t="n">
        <v>310</v>
      </c>
      <c r="L318" s="281" t="n">
        <f aca="false">-IF(SUMMARY!$D$21*12&gt;=K318,IPMT(SUMMARY!$D$22/12,K318,SUMMARY!$D$21*12,SUMMARY!$D$20),0)</f>
        <v>-0</v>
      </c>
      <c r="M318" s="281" t="n">
        <f aca="false">IF(SUMMARY!$D$21*12&gt;=K318,-PPMT(SUMMARY!$D$22/12,K318,SUMMARY!$D$21*12,SUMMARY!$D$20),0)</f>
        <v>0</v>
      </c>
      <c r="N318" s="282" t="n">
        <f aca="false">+M318+L318</f>
        <v>0</v>
      </c>
      <c r="P318" s="300"/>
      <c r="Q318" s="301"/>
      <c r="R318" s="301"/>
      <c r="S318" s="301"/>
    </row>
    <row r="319" customFormat="false" ht="12.75" hidden="false" customHeight="false" outlineLevel="0" collapsed="false">
      <c r="K319" s="280" t="n">
        <v>311</v>
      </c>
      <c r="L319" s="281" t="n">
        <f aca="false">-IF(SUMMARY!$D$21*12&gt;=K319,IPMT(SUMMARY!$D$22/12,K319,SUMMARY!$D$21*12,SUMMARY!$D$20),0)</f>
        <v>-0</v>
      </c>
      <c r="M319" s="281" t="n">
        <f aca="false">IF(SUMMARY!$D$21*12&gt;=K319,-PPMT(SUMMARY!$D$22/12,K319,SUMMARY!$D$21*12,SUMMARY!$D$20),0)</f>
        <v>0</v>
      </c>
      <c r="N319" s="282" t="n">
        <f aca="false">+M319+L319</f>
        <v>0</v>
      </c>
      <c r="P319" s="300"/>
      <c r="Q319" s="301"/>
      <c r="R319" s="301"/>
      <c r="S319" s="301"/>
    </row>
    <row r="320" customFormat="false" ht="12.75" hidden="false" customHeight="false" outlineLevel="0" collapsed="false">
      <c r="K320" s="280" t="n">
        <v>312</v>
      </c>
      <c r="L320" s="281" t="n">
        <f aca="false">-IF(SUMMARY!$D$21*12&gt;=K320,IPMT(SUMMARY!$D$22/12,K320,SUMMARY!$D$21*12,SUMMARY!$D$20),0)</f>
        <v>-0</v>
      </c>
      <c r="M320" s="281" t="n">
        <f aca="false">IF(SUMMARY!$D$21*12&gt;=K320,-PPMT(SUMMARY!$D$22/12,K320,SUMMARY!$D$21*12,SUMMARY!$D$20),0)</f>
        <v>0</v>
      </c>
      <c r="N320" s="282" t="n">
        <f aca="false">+M320+L320</f>
        <v>0</v>
      </c>
      <c r="P320" s="300"/>
      <c r="Q320" s="301"/>
      <c r="R320" s="301"/>
      <c r="S320" s="301"/>
    </row>
    <row r="321" customFormat="false" ht="12.75" hidden="false" customHeight="false" outlineLevel="0" collapsed="false">
      <c r="K321" s="280" t="n">
        <v>313</v>
      </c>
      <c r="L321" s="281" t="n">
        <f aca="false">-IF(SUMMARY!$D$21*12&gt;=K321,IPMT(SUMMARY!$D$22/12,K321,SUMMARY!$D$21*12,SUMMARY!$D$20),0)</f>
        <v>-0</v>
      </c>
      <c r="M321" s="281" t="n">
        <f aca="false">IF(SUMMARY!$D$21*12&gt;=K321,-PPMT(SUMMARY!$D$22/12,K321,SUMMARY!$D$21*12,SUMMARY!$D$20),0)</f>
        <v>0</v>
      </c>
      <c r="N321" s="282" t="n">
        <f aca="false">+M321+L321</f>
        <v>0</v>
      </c>
      <c r="P321" s="300"/>
      <c r="Q321" s="301"/>
      <c r="R321" s="301"/>
      <c r="S321" s="301"/>
    </row>
    <row r="322" customFormat="false" ht="12.75" hidden="false" customHeight="false" outlineLevel="0" collapsed="false">
      <c r="K322" s="280" t="n">
        <v>314</v>
      </c>
      <c r="L322" s="281" t="n">
        <f aca="false">-IF(SUMMARY!$D$21*12&gt;=K322,IPMT(SUMMARY!$D$22/12,K322,SUMMARY!$D$21*12,SUMMARY!$D$20),0)</f>
        <v>-0</v>
      </c>
      <c r="M322" s="281" t="n">
        <f aca="false">IF(SUMMARY!$D$21*12&gt;=K322,-PPMT(SUMMARY!$D$22/12,K322,SUMMARY!$D$21*12,SUMMARY!$D$20),0)</f>
        <v>0</v>
      </c>
      <c r="N322" s="282" t="n">
        <f aca="false">+M322+L322</f>
        <v>0</v>
      </c>
      <c r="P322" s="300"/>
      <c r="Q322" s="301"/>
      <c r="R322" s="301"/>
      <c r="S322" s="301"/>
    </row>
    <row r="323" customFormat="false" ht="12.75" hidden="false" customHeight="false" outlineLevel="0" collapsed="false">
      <c r="K323" s="280" t="n">
        <v>315</v>
      </c>
      <c r="L323" s="281" t="n">
        <f aca="false">-IF(SUMMARY!$D$21*12&gt;=K323,IPMT(SUMMARY!$D$22/12,K323,SUMMARY!$D$21*12,SUMMARY!$D$20),0)</f>
        <v>-0</v>
      </c>
      <c r="M323" s="281" t="n">
        <f aca="false">IF(SUMMARY!$D$21*12&gt;=K323,-PPMT(SUMMARY!$D$22/12,K323,SUMMARY!$D$21*12,SUMMARY!$D$20),0)</f>
        <v>0</v>
      </c>
      <c r="N323" s="282" t="n">
        <f aca="false">+M323+L323</f>
        <v>0</v>
      </c>
      <c r="P323" s="300"/>
      <c r="Q323" s="301"/>
      <c r="R323" s="301"/>
      <c r="S323" s="301"/>
    </row>
    <row r="324" customFormat="false" ht="12.75" hidden="false" customHeight="false" outlineLevel="0" collapsed="false">
      <c r="K324" s="280" t="n">
        <v>316</v>
      </c>
      <c r="L324" s="281" t="n">
        <f aca="false">-IF(SUMMARY!$D$21*12&gt;=K324,IPMT(SUMMARY!$D$22/12,K324,SUMMARY!$D$21*12,SUMMARY!$D$20),0)</f>
        <v>-0</v>
      </c>
      <c r="M324" s="281" t="n">
        <f aca="false">IF(SUMMARY!$D$21*12&gt;=K324,-PPMT(SUMMARY!$D$22/12,K324,SUMMARY!$D$21*12,SUMMARY!$D$20),0)</f>
        <v>0</v>
      </c>
      <c r="N324" s="282" t="n">
        <f aca="false">+M324+L324</f>
        <v>0</v>
      </c>
      <c r="P324" s="300"/>
      <c r="Q324" s="301"/>
      <c r="R324" s="301"/>
      <c r="S324" s="301"/>
    </row>
    <row r="325" customFormat="false" ht="12.75" hidden="false" customHeight="false" outlineLevel="0" collapsed="false">
      <c r="K325" s="280" t="n">
        <v>317</v>
      </c>
      <c r="L325" s="281" t="n">
        <f aca="false">-IF(SUMMARY!$D$21*12&gt;=K325,IPMT(SUMMARY!$D$22/12,K325,SUMMARY!$D$21*12,SUMMARY!$D$20),0)</f>
        <v>-0</v>
      </c>
      <c r="M325" s="281" t="n">
        <f aca="false">IF(SUMMARY!$D$21*12&gt;=K325,-PPMT(SUMMARY!$D$22/12,K325,SUMMARY!$D$21*12,SUMMARY!$D$20),0)</f>
        <v>0</v>
      </c>
      <c r="N325" s="282" t="n">
        <f aca="false">+M325+L325</f>
        <v>0</v>
      </c>
      <c r="P325" s="300"/>
      <c r="Q325" s="301"/>
      <c r="R325" s="301"/>
      <c r="S325" s="301"/>
    </row>
    <row r="326" customFormat="false" ht="12.75" hidden="false" customHeight="false" outlineLevel="0" collapsed="false">
      <c r="K326" s="280" t="n">
        <v>318</v>
      </c>
      <c r="L326" s="281" t="n">
        <f aca="false">-IF(SUMMARY!$D$21*12&gt;=K326,IPMT(SUMMARY!$D$22/12,K326,SUMMARY!$D$21*12,SUMMARY!$D$20),0)</f>
        <v>-0</v>
      </c>
      <c r="M326" s="281" t="n">
        <f aca="false">IF(SUMMARY!$D$21*12&gt;=K326,-PPMT(SUMMARY!$D$22/12,K326,SUMMARY!$D$21*12,SUMMARY!$D$20),0)</f>
        <v>0</v>
      </c>
      <c r="N326" s="282" t="n">
        <f aca="false">+M326+L326</f>
        <v>0</v>
      </c>
      <c r="P326" s="300"/>
      <c r="Q326" s="301"/>
      <c r="R326" s="301"/>
      <c r="S326" s="301"/>
    </row>
    <row r="327" customFormat="false" ht="12.75" hidden="false" customHeight="false" outlineLevel="0" collapsed="false">
      <c r="K327" s="280" t="n">
        <v>319</v>
      </c>
      <c r="L327" s="281" t="n">
        <f aca="false">-IF(SUMMARY!$D$21*12&gt;=K327,IPMT(SUMMARY!$D$22/12,K327,SUMMARY!$D$21*12,SUMMARY!$D$20),0)</f>
        <v>-0</v>
      </c>
      <c r="M327" s="281" t="n">
        <f aca="false">IF(SUMMARY!$D$21*12&gt;=K327,-PPMT(SUMMARY!$D$22/12,K327,SUMMARY!$D$21*12,SUMMARY!$D$20),0)</f>
        <v>0</v>
      </c>
      <c r="N327" s="282" t="n">
        <f aca="false">+M327+L327</f>
        <v>0</v>
      </c>
      <c r="P327" s="300"/>
      <c r="Q327" s="301"/>
      <c r="R327" s="301"/>
      <c r="S327" s="301"/>
    </row>
    <row r="328" customFormat="false" ht="12.75" hidden="false" customHeight="false" outlineLevel="0" collapsed="false">
      <c r="K328" s="280" t="n">
        <v>320</v>
      </c>
      <c r="L328" s="281" t="n">
        <f aca="false">-IF(SUMMARY!$D$21*12&gt;=K328,IPMT(SUMMARY!$D$22/12,K328,SUMMARY!$D$21*12,SUMMARY!$D$20),0)</f>
        <v>-0</v>
      </c>
      <c r="M328" s="281" t="n">
        <f aca="false">IF(SUMMARY!$D$21*12&gt;=K328,-PPMT(SUMMARY!$D$22/12,K328,SUMMARY!$D$21*12,SUMMARY!$D$20),0)</f>
        <v>0</v>
      </c>
      <c r="N328" s="282" t="n">
        <f aca="false">+M328+L328</f>
        <v>0</v>
      </c>
      <c r="P328" s="300"/>
      <c r="Q328" s="301"/>
      <c r="R328" s="301"/>
      <c r="S328" s="301"/>
    </row>
    <row r="329" customFormat="false" ht="12.75" hidden="false" customHeight="false" outlineLevel="0" collapsed="false">
      <c r="K329" s="280" t="n">
        <v>321</v>
      </c>
      <c r="L329" s="281" t="n">
        <f aca="false">-IF(SUMMARY!$D$21*12&gt;=K329,IPMT(SUMMARY!$D$22/12,K329,SUMMARY!$D$21*12,SUMMARY!$D$20),0)</f>
        <v>-0</v>
      </c>
      <c r="M329" s="281" t="n">
        <f aca="false">IF(SUMMARY!$D$21*12&gt;=K329,-PPMT(SUMMARY!$D$22/12,K329,SUMMARY!$D$21*12,SUMMARY!$D$20),0)</f>
        <v>0</v>
      </c>
      <c r="N329" s="282" t="n">
        <f aca="false">+M329+L329</f>
        <v>0</v>
      </c>
      <c r="P329" s="300"/>
      <c r="Q329" s="301"/>
      <c r="R329" s="301"/>
      <c r="S329" s="301"/>
    </row>
    <row r="330" customFormat="false" ht="12.75" hidden="false" customHeight="false" outlineLevel="0" collapsed="false">
      <c r="K330" s="280" t="n">
        <v>322</v>
      </c>
      <c r="L330" s="281" t="n">
        <f aca="false">-IF(SUMMARY!$D$21*12&gt;=K330,IPMT(SUMMARY!$D$22/12,K330,SUMMARY!$D$21*12,SUMMARY!$D$20),0)</f>
        <v>-0</v>
      </c>
      <c r="M330" s="281" t="n">
        <f aca="false">IF(SUMMARY!$D$21*12&gt;=K330,-PPMT(SUMMARY!$D$22/12,K330,SUMMARY!$D$21*12,SUMMARY!$D$20),0)</f>
        <v>0</v>
      </c>
      <c r="N330" s="282" t="n">
        <f aca="false">+M330+L330</f>
        <v>0</v>
      </c>
      <c r="P330" s="300"/>
      <c r="Q330" s="301"/>
      <c r="R330" s="301"/>
      <c r="S330" s="301"/>
    </row>
    <row r="331" customFormat="false" ht="12.75" hidden="false" customHeight="false" outlineLevel="0" collapsed="false">
      <c r="K331" s="280" t="n">
        <v>323</v>
      </c>
      <c r="L331" s="281" t="n">
        <f aca="false">-IF(SUMMARY!$D$21*12&gt;=K331,IPMT(SUMMARY!$D$22/12,K331,SUMMARY!$D$21*12,SUMMARY!$D$20),0)</f>
        <v>-0</v>
      </c>
      <c r="M331" s="281" t="n">
        <f aca="false">IF(SUMMARY!$D$21*12&gt;=K331,-PPMT(SUMMARY!$D$22/12,K331,SUMMARY!$D$21*12,SUMMARY!$D$20),0)</f>
        <v>0</v>
      </c>
      <c r="N331" s="282" t="n">
        <f aca="false">+M331+L331</f>
        <v>0</v>
      </c>
      <c r="P331" s="300"/>
      <c r="Q331" s="301"/>
      <c r="R331" s="301"/>
      <c r="S331" s="301"/>
    </row>
    <row r="332" customFormat="false" ht="12.75" hidden="false" customHeight="false" outlineLevel="0" collapsed="false">
      <c r="K332" s="280" t="n">
        <v>324</v>
      </c>
      <c r="L332" s="281" t="n">
        <f aca="false">-IF(SUMMARY!$D$21*12&gt;=K332,IPMT(SUMMARY!$D$22/12,K332,SUMMARY!$D$21*12,SUMMARY!$D$20),0)</f>
        <v>-0</v>
      </c>
      <c r="M332" s="281" t="n">
        <f aca="false">IF(SUMMARY!$D$21*12&gt;=K332,-PPMT(SUMMARY!$D$22/12,K332,SUMMARY!$D$21*12,SUMMARY!$D$20),0)</f>
        <v>0</v>
      </c>
      <c r="N332" s="282" t="n">
        <f aca="false">+M332+L332</f>
        <v>0</v>
      </c>
      <c r="P332" s="300"/>
      <c r="Q332" s="301"/>
      <c r="R332" s="301"/>
      <c r="S332" s="301"/>
    </row>
    <row r="333" customFormat="false" ht="12.75" hidden="false" customHeight="false" outlineLevel="0" collapsed="false">
      <c r="K333" s="280" t="n">
        <v>325</v>
      </c>
      <c r="L333" s="281" t="n">
        <f aca="false">-IF(SUMMARY!$D$21*12&gt;=K333,IPMT(SUMMARY!$D$22/12,K333,SUMMARY!$D$21*12,SUMMARY!$D$20),0)</f>
        <v>-0</v>
      </c>
      <c r="M333" s="281" t="n">
        <f aca="false">IF(SUMMARY!$D$21*12&gt;=K333,-PPMT(SUMMARY!$D$22/12,K333,SUMMARY!$D$21*12,SUMMARY!$D$20),0)</f>
        <v>0</v>
      </c>
      <c r="N333" s="282" t="n">
        <f aca="false">+M333+L333</f>
        <v>0</v>
      </c>
      <c r="P333" s="300"/>
      <c r="Q333" s="301"/>
      <c r="R333" s="301"/>
      <c r="S333" s="301"/>
    </row>
    <row r="334" customFormat="false" ht="12.75" hidden="false" customHeight="false" outlineLevel="0" collapsed="false">
      <c r="K334" s="280" t="n">
        <v>326</v>
      </c>
      <c r="L334" s="281" t="n">
        <f aca="false">-IF(SUMMARY!$D$21*12&gt;=K334,IPMT(SUMMARY!$D$22/12,K334,SUMMARY!$D$21*12,SUMMARY!$D$20),0)</f>
        <v>-0</v>
      </c>
      <c r="M334" s="281" t="n">
        <f aca="false">IF(SUMMARY!$D$21*12&gt;=K334,-PPMT(SUMMARY!$D$22/12,K334,SUMMARY!$D$21*12,SUMMARY!$D$20),0)</f>
        <v>0</v>
      </c>
      <c r="N334" s="282" t="n">
        <f aca="false">+M334+L334</f>
        <v>0</v>
      </c>
      <c r="P334" s="300"/>
      <c r="Q334" s="301"/>
      <c r="R334" s="301"/>
      <c r="S334" s="301"/>
    </row>
    <row r="335" customFormat="false" ht="12.75" hidden="false" customHeight="false" outlineLevel="0" collapsed="false">
      <c r="K335" s="280" t="n">
        <v>327</v>
      </c>
      <c r="L335" s="281" t="n">
        <f aca="false">-IF(SUMMARY!$D$21*12&gt;=K335,IPMT(SUMMARY!$D$22/12,K335,SUMMARY!$D$21*12,SUMMARY!$D$20),0)</f>
        <v>-0</v>
      </c>
      <c r="M335" s="281" t="n">
        <f aca="false">IF(SUMMARY!$D$21*12&gt;=K335,-PPMT(SUMMARY!$D$22/12,K335,SUMMARY!$D$21*12,SUMMARY!$D$20),0)</f>
        <v>0</v>
      </c>
      <c r="N335" s="282" t="n">
        <f aca="false">+M335+L335</f>
        <v>0</v>
      </c>
      <c r="P335" s="300"/>
      <c r="Q335" s="301"/>
      <c r="R335" s="301"/>
      <c r="S335" s="301"/>
    </row>
    <row r="336" customFormat="false" ht="12.75" hidden="false" customHeight="false" outlineLevel="0" collapsed="false">
      <c r="K336" s="280" t="n">
        <v>328</v>
      </c>
      <c r="L336" s="281" t="n">
        <f aca="false">-IF(SUMMARY!$D$21*12&gt;=K336,IPMT(SUMMARY!$D$22/12,K336,SUMMARY!$D$21*12,SUMMARY!$D$20),0)</f>
        <v>-0</v>
      </c>
      <c r="M336" s="281" t="n">
        <f aca="false">IF(SUMMARY!$D$21*12&gt;=K336,-PPMT(SUMMARY!$D$22/12,K336,SUMMARY!$D$21*12,SUMMARY!$D$20),0)</f>
        <v>0</v>
      </c>
      <c r="N336" s="282" t="n">
        <f aca="false">+M336+L336</f>
        <v>0</v>
      </c>
      <c r="P336" s="300"/>
      <c r="Q336" s="301"/>
      <c r="R336" s="301"/>
      <c r="S336" s="301"/>
    </row>
    <row r="337" customFormat="false" ht="12.75" hidden="false" customHeight="false" outlineLevel="0" collapsed="false">
      <c r="K337" s="280" t="n">
        <v>329</v>
      </c>
      <c r="L337" s="281" t="n">
        <f aca="false">-IF(SUMMARY!$D$21*12&gt;=K337,IPMT(SUMMARY!$D$22/12,K337,SUMMARY!$D$21*12,SUMMARY!$D$20),0)</f>
        <v>-0</v>
      </c>
      <c r="M337" s="281" t="n">
        <f aca="false">IF(SUMMARY!$D$21*12&gt;=K337,-PPMT(SUMMARY!$D$22/12,K337,SUMMARY!$D$21*12,SUMMARY!$D$20),0)</f>
        <v>0</v>
      </c>
      <c r="N337" s="282" t="n">
        <f aca="false">+M337+L337</f>
        <v>0</v>
      </c>
      <c r="P337" s="300"/>
      <c r="Q337" s="301"/>
      <c r="R337" s="301"/>
      <c r="S337" s="301"/>
    </row>
    <row r="338" customFormat="false" ht="12.75" hidden="false" customHeight="false" outlineLevel="0" collapsed="false">
      <c r="K338" s="280" t="n">
        <v>330</v>
      </c>
      <c r="L338" s="281" t="n">
        <f aca="false">-IF(SUMMARY!$D$21*12&gt;=K338,IPMT(SUMMARY!$D$22/12,K338,SUMMARY!$D$21*12,SUMMARY!$D$20),0)</f>
        <v>-0</v>
      </c>
      <c r="M338" s="281" t="n">
        <f aca="false">IF(SUMMARY!$D$21*12&gt;=K338,-PPMT(SUMMARY!$D$22/12,K338,SUMMARY!$D$21*12,SUMMARY!$D$20),0)</f>
        <v>0</v>
      </c>
      <c r="N338" s="282" t="n">
        <f aca="false">+M338+L338</f>
        <v>0</v>
      </c>
      <c r="P338" s="300"/>
      <c r="Q338" s="301"/>
      <c r="R338" s="301"/>
      <c r="S338" s="301"/>
    </row>
    <row r="339" customFormat="false" ht="12.75" hidden="false" customHeight="false" outlineLevel="0" collapsed="false">
      <c r="K339" s="280" t="n">
        <v>331</v>
      </c>
      <c r="L339" s="281" t="n">
        <f aca="false">-IF(SUMMARY!$D$21*12&gt;=K339,IPMT(SUMMARY!$D$22/12,K339,SUMMARY!$D$21*12,SUMMARY!$D$20),0)</f>
        <v>-0</v>
      </c>
      <c r="M339" s="281" t="n">
        <f aca="false">IF(SUMMARY!$D$21*12&gt;=K339,-PPMT(SUMMARY!$D$22/12,K339,SUMMARY!$D$21*12,SUMMARY!$D$20),0)</f>
        <v>0</v>
      </c>
      <c r="N339" s="282" t="n">
        <f aca="false">+M339+L339</f>
        <v>0</v>
      </c>
      <c r="P339" s="300"/>
      <c r="Q339" s="301"/>
      <c r="R339" s="301"/>
      <c r="S339" s="301"/>
    </row>
    <row r="340" customFormat="false" ht="12.75" hidden="false" customHeight="false" outlineLevel="0" collapsed="false">
      <c r="K340" s="280" t="n">
        <v>332</v>
      </c>
      <c r="L340" s="281" t="n">
        <f aca="false">-IF(SUMMARY!$D$21*12&gt;=K340,IPMT(SUMMARY!$D$22/12,K340,SUMMARY!$D$21*12,SUMMARY!$D$20),0)</f>
        <v>-0</v>
      </c>
      <c r="M340" s="281" t="n">
        <f aca="false">IF(SUMMARY!$D$21*12&gt;=K340,-PPMT(SUMMARY!$D$22/12,K340,SUMMARY!$D$21*12,SUMMARY!$D$20),0)</f>
        <v>0</v>
      </c>
      <c r="N340" s="282" t="n">
        <f aca="false">+M340+L340</f>
        <v>0</v>
      </c>
      <c r="P340" s="300"/>
      <c r="Q340" s="301"/>
      <c r="R340" s="301"/>
      <c r="S340" s="301"/>
    </row>
    <row r="341" customFormat="false" ht="12.75" hidden="false" customHeight="false" outlineLevel="0" collapsed="false">
      <c r="K341" s="280" t="n">
        <v>333</v>
      </c>
      <c r="L341" s="281" t="n">
        <f aca="false">-IF(SUMMARY!$D$21*12&gt;=K341,IPMT(SUMMARY!$D$22/12,K341,SUMMARY!$D$21*12,SUMMARY!$D$20),0)</f>
        <v>-0</v>
      </c>
      <c r="M341" s="281" t="n">
        <f aca="false">IF(SUMMARY!$D$21*12&gt;=K341,-PPMT(SUMMARY!$D$22/12,K341,SUMMARY!$D$21*12,SUMMARY!$D$20),0)</f>
        <v>0</v>
      </c>
      <c r="N341" s="282" t="n">
        <f aca="false">+M341+L341</f>
        <v>0</v>
      </c>
      <c r="P341" s="300"/>
      <c r="Q341" s="301"/>
      <c r="R341" s="301"/>
      <c r="S341" s="301"/>
    </row>
    <row r="342" customFormat="false" ht="12.75" hidden="false" customHeight="false" outlineLevel="0" collapsed="false">
      <c r="K342" s="280" t="n">
        <v>334</v>
      </c>
      <c r="L342" s="281" t="n">
        <f aca="false">-IF(SUMMARY!$D$21*12&gt;=K342,IPMT(SUMMARY!$D$22/12,K342,SUMMARY!$D$21*12,SUMMARY!$D$20),0)</f>
        <v>-0</v>
      </c>
      <c r="M342" s="281" t="n">
        <f aca="false">IF(SUMMARY!$D$21*12&gt;=K342,-PPMT(SUMMARY!$D$22/12,K342,SUMMARY!$D$21*12,SUMMARY!$D$20),0)</f>
        <v>0</v>
      </c>
      <c r="N342" s="282" t="n">
        <f aca="false">+M342+L342</f>
        <v>0</v>
      </c>
      <c r="P342" s="300"/>
      <c r="Q342" s="301"/>
      <c r="R342" s="301"/>
      <c r="S342" s="301"/>
    </row>
    <row r="343" customFormat="false" ht="12.75" hidden="false" customHeight="false" outlineLevel="0" collapsed="false">
      <c r="K343" s="280" t="n">
        <v>335</v>
      </c>
      <c r="L343" s="281" t="n">
        <f aca="false">-IF(SUMMARY!$D$21*12&gt;=K343,IPMT(SUMMARY!$D$22/12,K343,SUMMARY!$D$21*12,SUMMARY!$D$20),0)</f>
        <v>-0</v>
      </c>
      <c r="M343" s="281" t="n">
        <f aca="false">IF(SUMMARY!$D$21*12&gt;=K343,-PPMT(SUMMARY!$D$22/12,K343,SUMMARY!$D$21*12,SUMMARY!$D$20),0)</f>
        <v>0</v>
      </c>
      <c r="N343" s="282" t="n">
        <f aca="false">+M343+L343</f>
        <v>0</v>
      </c>
      <c r="P343" s="300"/>
      <c r="Q343" s="301"/>
      <c r="R343" s="301"/>
      <c r="S343" s="301"/>
    </row>
    <row r="344" customFormat="false" ht="12.75" hidden="false" customHeight="false" outlineLevel="0" collapsed="false">
      <c r="K344" s="280" t="n">
        <v>336</v>
      </c>
      <c r="L344" s="281" t="n">
        <f aca="false">-IF(SUMMARY!$D$21*12&gt;=K344,IPMT(SUMMARY!$D$22/12,K344,SUMMARY!$D$21*12,SUMMARY!$D$20),0)</f>
        <v>-0</v>
      </c>
      <c r="M344" s="281" t="n">
        <f aca="false">IF(SUMMARY!$D$21*12&gt;=K344,-PPMT(SUMMARY!$D$22/12,K344,SUMMARY!$D$21*12,SUMMARY!$D$20),0)</f>
        <v>0</v>
      </c>
      <c r="N344" s="282" t="n">
        <f aca="false">+M344+L344</f>
        <v>0</v>
      </c>
      <c r="P344" s="300"/>
      <c r="Q344" s="301"/>
      <c r="R344" s="301"/>
      <c r="S344" s="301"/>
    </row>
    <row r="345" customFormat="false" ht="12.75" hidden="false" customHeight="false" outlineLevel="0" collapsed="false">
      <c r="K345" s="280" t="n">
        <v>337</v>
      </c>
      <c r="L345" s="281" t="n">
        <f aca="false">-IF(SUMMARY!$D$21*12&gt;=K345,IPMT(SUMMARY!$D$22/12,K345,SUMMARY!$D$21*12,SUMMARY!$D$20),0)</f>
        <v>-0</v>
      </c>
      <c r="M345" s="281" t="n">
        <f aca="false">IF(SUMMARY!$D$21*12&gt;=K345,-PPMT(SUMMARY!$D$22/12,K345,SUMMARY!$D$21*12,SUMMARY!$D$20),0)</f>
        <v>0</v>
      </c>
      <c r="N345" s="282" t="n">
        <f aca="false">+M345+L345</f>
        <v>0</v>
      </c>
      <c r="P345" s="300"/>
      <c r="Q345" s="301"/>
      <c r="R345" s="301"/>
      <c r="S345" s="301"/>
    </row>
    <row r="346" customFormat="false" ht="12.75" hidden="false" customHeight="false" outlineLevel="0" collapsed="false">
      <c r="K346" s="280" t="n">
        <v>338</v>
      </c>
      <c r="L346" s="281" t="n">
        <f aca="false">-IF(SUMMARY!$D$21*12&gt;=K346,IPMT(SUMMARY!$D$22/12,K346,SUMMARY!$D$21*12,SUMMARY!$D$20),0)</f>
        <v>-0</v>
      </c>
      <c r="M346" s="281" t="n">
        <f aca="false">IF(SUMMARY!$D$21*12&gt;=K346,-PPMT(SUMMARY!$D$22/12,K346,SUMMARY!$D$21*12,SUMMARY!$D$20),0)</f>
        <v>0</v>
      </c>
      <c r="N346" s="282" t="n">
        <f aca="false">+M346+L346</f>
        <v>0</v>
      </c>
      <c r="P346" s="300"/>
      <c r="Q346" s="301"/>
      <c r="R346" s="301"/>
      <c r="S346" s="301"/>
    </row>
    <row r="347" customFormat="false" ht="12.75" hidden="false" customHeight="false" outlineLevel="0" collapsed="false">
      <c r="K347" s="280" t="n">
        <v>339</v>
      </c>
      <c r="L347" s="281" t="n">
        <f aca="false">-IF(SUMMARY!$D$21*12&gt;=K347,IPMT(SUMMARY!$D$22/12,K347,SUMMARY!$D$21*12,SUMMARY!$D$20),0)</f>
        <v>-0</v>
      </c>
      <c r="M347" s="281" t="n">
        <f aca="false">IF(SUMMARY!$D$21*12&gt;=K347,-PPMT(SUMMARY!$D$22/12,K347,SUMMARY!$D$21*12,SUMMARY!$D$20),0)</f>
        <v>0</v>
      </c>
      <c r="N347" s="282" t="n">
        <f aca="false">+M347+L347</f>
        <v>0</v>
      </c>
      <c r="P347" s="300"/>
      <c r="Q347" s="301"/>
      <c r="R347" s="301"/>
      <c r="S347" s="301"/>
    </row>
    <row r="348" customFormat="false" ht="12.75" hidden="false" customHeight="false" outlineLevel="0" collapsed="false">
      <c r="K348" s="280" t="n">
        <v>340</v>
      </c>
      <c r="L348" s="281" t="n">
        <f aca="false">-IF(SUMMARY!$D$21*12&gt;=K348,IPMT(SUMMARY!$D$22/12,K348,SUMMARY!$D$21*12,SUMMARY!$D$20),0)</f>
        <v>-0</v>
      </c>
      <c r="M348" s="281" t="n">
        <f aca="false">IF(SUMMARY!$D$21*12&gt;=K348,-PPMT(SUMMARY!$D$22/12,K348,SUMMARY!$D$21*12,SUMMARY!$D$20),0)</f>
        <v>0</v>
      </c>
      <c r="N348" s="282" t="n">
        <f aca="false">+M348+L348</f>
        <v>0</v>
      </c>
      <c r="P348" s="300"/>
      <c r="Q348" s="301"/>
      <c r="R348" s="301"/>
      <c r="S348" s="301"/>
    </row>
    <row r="349" customFormat="false" ht="12.75" hidden="false" customHeight="false" outlineLevel="0" collapsed="false">
      <c r="K349" s="280" t="n">
        <v>341</v>
      </c>
      <c r="L349" s="281" t="n">
        <f aca="false">-IF(SUMMARY!$D$21*12&gt;=K349,IPMT(SUMMARY!$D$22/12,K349,SUMMARY!$D$21*12,SUMMARY!$D$20),0)</f>
        <v>-0</v>
      </c>
      <c r="M349" s="281" t="n">
        <f aca="false">IF(SUMMARY!$D$21*12&gt;=K349,-PPMT(SUMMARY!$D$22/12,K349,SUMMARY!$D$21*12,SUMMARY!$D$20),0)</f>
        <v>0</v>
      </c>
      <c r="N349" s="282" t="n">
        <f aca="false">+M349+L349</f>
        <v>0</v>
      </c>
      <c r="P349" s="300"/>
      <c r="Q349" s="301"/>
      <c r="R349" s="301"/>
      <c r="S349" s="301"/>
    </row>
    <row r="350" customFormat="false" ht="12.75" hidden="false" customHeight="false" outlineLevel="0" collapsed="false">
      <c r="K350" s="280" t="n">
        <v>342</v>
      </c>
      <c r="L350" s="281" t="n">
        <f aca="false">-IF(SUMMARY!$D$21*12&gt;=K350,IPMT(SUMMARY!$D$22/12,K350,SUMMARY!$D$21*12,SUMMARY!$D$20),0)</f>
        <v>-0</v>
      </c>
      <c r="M350" s="281" t="n">
        <f aca="false">IF(SUMMARY!$D$21*12&gt;=K350,-PPMT(SUMMARY!$D$22/12,K350,SUMMARY!$D$21*12,SUMMARY!$D$20),0)</f>
        <v>0</v>
      </c>
      <c r="N350" s="282" t="n">
        <f aca="false">+M350+L350</f>
        <v>0</v>
      </c>
      <c r="P350" s="300"/>
      <c r="Q350" s="301"/>
      <c r="R350" s="301"/>
      <c r="S350" s="301"/>
    </row>
    <row r="351" customFormat="false" ht="12.75" hidden="false" customHeight="false" outlineLevel="0" collapsed="false">
      <c r="K351" s="280" t="n">
        <v>343</v>
      </c>
      <c r="L351" s="281" t="n">
        <f aca="false">-IF(SUMMARY!$D$21*12&gt;=K351,IPMT(SUMMARY!$D$22/12,K351,SUMMARY!$D$21*12,SUMMARY!$D$20),0)</f>
        <v>-0</v>
      </c>
      <c r="M351" s="281" t="n">
        <f aca="false">IF(SUMMARY!$D$21*12&gt;=K351,-PPMT(SUMMARY!$D$22/12,K351,SUMMARY!$D$21*12,SUMMARY!$D$20),0)</f>
        <v>0</v>
      </c>
      <c r="N351" s="282" t="n">
        <f aca="false">+M351+L351</f>
        <v>0</v>
      </c>
      <c r="P351" s="300"/>
      <c r="Q351" s="301"/>
      <c r="R351" s="301"/>
      <c r="S351" s="301"/>
    </row>
    <row r="352" customFormat="false" ht="12.75" hidden="false" customHeight="false" outlineLevel="0" collapsed="false">
      <c r="K352" s="280" t="n">
        <v>344</v>
      </c>
      <c r="L352" s="281" t="n">
        <f aca="false">-IF(SUMMARY!$D$21*12&gt;=K352,IPMT(SUMMARY!$D$22/12,K352,SUMMARY!$D$21*12,SUMMARY!$D$20),0)</f>
        <v>-0</v>
      </c>
      <c r="M352" s="281" t="n">
        <f aca="false">IF(SUMMARY!$D$21*12&gt;=K352,-PPMT(SUMMARY!$D$22/12,K352,SUMMARY!$D$21*12,SUMMARY!$D$20),0)</f>
        <v>0</v>
      </c>
      <c r="N352" s="282" t="n">
        <f aca="false">+M352+L352</f>
        <v>0</v>
      </c>
      <c r="P352" s="300"/>
      <c r="Q352" s="301"/>
      <c r="R352" s="301"/>
      <c r="S352" s="301"/>
    </row>
    <row r="353" customFormat="false" ht="12.75" hidden="false" customHeight="false" outlineLevel="0" collapsed="false">
      <c r="K353" s="280" t="n">
        <v>345</v>
      </c>
      <c r="L353" s="281" t="n">
        <f aca="false">-IF(SUMMARY!$D$21*12&gt;=K353,IPMT(SUMMARY!$D$22/12,K353,SUMMARY!$D$21*12,SUMMARY!$D$20),0)</f>
        <v>-0</v>
      </c>
      <c r="M353" s="281" t="n">
        <f aca="false">IF(SUMMARY!$D$21*12&gt;=K353,-PPMT(SUMMARY!$D$22/12,K353,SUMMARY!$D$21*12,SUMMARY!$D$20),0)</f>
        <v>0</v>
      </c>
      <c r="N353" s="282" t="n">
        <f aca="false">+M353+L353</f>
        <v>0</v>
      </c>
      <c r="P353" s="300"/>
      <c r="Q353" s="301"/>
      <c r="R353" s="301"/>
      <c r="S353" s="301"/>
    </row>
    <row r="354" customFormat="false" ht="12.75" hidden="false" customHeight="false" outlineLevel="0" collapsed="false">
      <c r="K354" s="280" t="n">
        <v>346</v>
      </c>
      <c r="L354" s="281" t="n">
        <f aca="false">-IF(SUMMARY!$D$21*12&gt;=K354,IPMT(SUMMARY!$D$22/12,K354,SUMMARY!$D$21*12,SUMMARY!$D$20),0)</f>
        <v>-0</v>
      </c>
      <c r="M354" s="281" t="n">
        <f aca="false">IF(SUMMARY!$D$21*12&gt;=K354,-PPMT(SUMMARY!$D$22/12,K354,SUMMARY!$D$21*12,SUMMARY!$D$20),0)</f>
        <v>0</v>
      </c>
      <c r="N354" s="282" t="n">
        <f aca="false">+M354+L354</f>
        <v>0</v>
      </c>
      <c r="P354" s="300"/>
      <c r="Q354" s="301"/>
      <c r="R354" s="301"/>
      <c r="S354" s="301"/>
    </row>
    <row r="355" customFormat="false" ht="12.75" hidden="false" customHeight="false" outlineLevel="0" collapsed="false">
      <c r="K355" s="280" t="n">
        <v>347</v>
      </c>
      <c r="L355" s="281" t="n">
        <f aca="false">-IF(SUMMARY!$D$21*12&gt;=K355,IPMT(SUMMARY!$D$22/12,K355,SUMMARY!$D$21*12,SUMMARY!$D$20),0)</f>
        <v>-0</v>
      </c>
      <c r="M355" s="281" t="n">
        <f aca="false">IF(SUMMARY!$D$21*12&gt;=K355,-PPMT(SUMMARY!$D$22/12,K355,SUMMARY!$D$21*12,SUMMARY!$D$20),0)</f>
        <v>0</v>
      </c>
      <c r="N355" s="282" t="n">
        <f aca="false">+M355+L355</f>
        <v>0</v>
      </c>
      <c r="P355" s="300"/>
      <c r="Q355" s="301"/>
      <c r="R355" s="301"/>
      <c r="S355" s="301"/>
    </row>
    <row r="356" customFormat="false" ht="12.75" hidden="false" customHeight="false" outlineLevel="0" collapsed="false">
      <c r="K356" s="280" t="n">
        <v>348</v>
      </c>
      <c r="L356" s="281" t="n">
        <f aca="false">-IF(SUMMARY!$D$21*12&gt;=K356,IPMT(SUMMARY!$D$22/12,K356,SUMMARY!$D$21*12,SUMMARY!$D$20),0)</f>
        <v>-0</v>
      </c>
      <c r="M356" s="281" t="n">
        <f aca="false">IF(SUMMARY!$D$21*12&gt;=K356,-PPMT(SUMMARY!$D$22/12,K356,SUMMARY!$D$21*12,SUMMARY!$D$20),0)</f>
        <v>0</v>
      </c>
      <c r="N356" s="282" t="n">
        <f aca="false">+M356+L356</f>
        <v>0</v>
      </c>
      <c r="P356" s="300"/>
      <c r="Q356" s="301"/>
      <c r="R356" s="301"/>
      <c r="S356" s="301"/>
    </row>
    <row r="357" customFormat="false" ht="12.75" hidden="false" customHeight="false" outlineLevel="0" collapsed="false">
      <c r="K357" s="280" t="n">
        <v>349</v>
      </c>
      <c r="L357" s="281" t="n">
        <f aca="false">-IF(SUMMARY!$D$21*12&gt;=K357,IPMT(SUMMARY!$D$22/12,K357,SUMMARY!$D$21*12,SUMMARY!$D$20),0)</f>
        <v>-0</v>
      </c>
      <c r="M357" s="281" t="n">
        <f aca="false">IF(SUMMARY!$D$21*12&gt;=K357,-PPMT(SUMMARY!$D$22/12,K357,SUMMARY!$D$21*12,SUMMARY!$D$20),0)</f>
        <v>0</v>
      </c>
      <c r="N357" s="282" t="n">
        <f aca="false">+M357+L357</f>
        <v>0</v>
      </c>
      <c r="P357" s="300"/>
      <c r="Q357" s="301"/>
      <c r="R357" s="301"/>
      <c r="S357" s="301"/>
    </row>
    <row r="358" customFormat="false" ht="12.75" hidden="false" customHeight="false" outlineLevel="0" collapsed="false">
      <c r="K358" s="280" t="n">
        <v>350</v>
      </c>
      <c r="L358" s="281" t="n">
        <f aca="false">-IF(SUMMARY!$D$21*12&gt;=K358,IPMT(SUMMARY!$D$22/12,K358,SUMMARY!$D$21*12,SUMMARY!$D$20),0)</f>
        <v>-0</v>
      </c>
      <c r="M358" s="281" t="n">
        <f aca="false">IF(SUMMARY!$D$21*12&gt;=K358,-PPMT(SUMMARY!$D$22/12,K358,SUMMARY!$D$21*12,SUMMARY!$D$20),0)</f>
        <v>0</v>
      </c>
      <c r="N358" s="282" t="n">
        <f aca="false">+M358+L358</f>
        <v>0</v>
      </c>
      <c r="P358" s="300"/>
      <c r="Q358" s="301"/>
      <c r="R358" s="301"/>
      <c r="S358" s="301"/>
    </row>
    <row r="359" customFormat="false" ht="12.75" hidden="false" customHeight="false" outlineLevel="0" collapsed="false">
      <c r="K359" s="280" t="n">
        <v>351</v>
      </c>
      <c r="L359" s="281" t="n">
        <f aca="false">-IF(SUMMARY!$D$21*12&gt;=K359,IPMT(SUMMARY!$D$22/12,K359,SUMMARY!$D$21*12,SUMMARY!$D$20),0)</f>
        <v>-0</v>
      </c>
      <c r="M359" s="281" t="n">
        <f aca="false">IF(SUMMARY!$D$21*12&gt;=K359,-PPMT(SUMMARY!$D$22/12,K359,SUMMARY!$D$21*12,SUMMARY!$D$20),0)</f>
        <v>0</v>
      </c>
      <c r="N359" s="282" t="n">
        <f aca="false">+M359+L359</f>
        <v>0</v>
      </c>
      <c r="P359" s="300"/>
      <c r="Q359" s="301"/>
      <c r="R359" s="301"/>
      <c r="S359" s="301"/>
    </row>
    <row r="360" customFormat="false" ht="12.75" hidden="false" customHeight="false" outlineLevel="0" collapsed="false">
      <c r="K360" s="280" t="n">
        <v>352</v>
      </c>
      <c r="L360" s="281" t="n">
        <f aca="false">-IF(SUMMARY!$D$21*12&gt;=K360,IPMT(SUMMARY!$D$22/12,K360,SUMMARY!$D$21*12,SUMMARY!$D$20),0)</f>
        <v>-0</v>
      </c>
      <c r="M360" s="281" t="n">
        <f aca="false">IF(SUMMARY!$D$21*12&gt;=K360,-PPMT(SUMMARY!$D$22/12,K360,SUMMARY!$D$21*12,SUMMARY!$D$20),0)</f>
        <v>0</v>
      </c>
      <c r="N360" s="282" t="n">
        <f aca="false">+M360+L360</f>
        <v>0</v>
      </c>
      <c r="P360" s="300"/>
      <c r="Q360" s="301"/>
      <c r="R360" s="301"/>
      <c r="S360" s="301"/>
    </row>
    <row r="361" customFormat="false" ht="12.75" hidden="false" customHeight="false" outlineLevel="0" collapsed="false">
      <c r="K361" s="280" t="n">
        <v>353</v>
      </c>
      <c r="L361" s="281" t="n">
        <f aca="false">-IF(SUMMARY!$D$21*12&gt;=K361,IPMT(SUMMARY!$D$22/12,K361,SUMMARY!$D$21*12,SUMMARY!$D$20),0)</f>
        <v>-0</v>
      </c>
      <c r="M361" s="281" t="n">
        <f aca="false">IF(SUMMARY!$D$21*12&gt;=K361,-PPMT(SUMMARY!$D$22/12,K361,SUMMARY!$D$21*12,SUMMARY!$D$20),0)</f>
        <v>0</v>
      </c>
      <c r="N361" s="282" t="n">
        <f aca="false">+M361+L361</f>
        <v>0</v>
      </c>
      <c r="P361" s="300"/>
      <c r="Q361" s="301"/>
      <c r="R361" s="301"/>
      <c r="S361" s="301"/>
    </row>
    <row r="362" customFormat="false" ht="12.75" hidden="false" customHeight="false" outlineLevel="0" collapsed="false">
      <c r="K362" s="280" t="n">
        <v>354</v>
      </c>
      <c r="L362" s="281" t="n">
        <f aca="false">-IF(SUMMARY!$D$21*12&gt;=K362,IPMT(SUMMARY!$D$22/12,K362,SUMMARY!$D$21*12,SUMMARY!$D$20),0)</f>
        <v>-0</v>
      </c>
      <c r="M362" s="281" t="n">
        <f aca="false">IF(SUMMARY!$D$21*12&gt;=K362,-PPMT(SUMMARY!$D$22/12,K362,SUMMARY!$D$21*12,SUMMARY!$D$20),0)</f>
        <v>0</v>
      </c>
      <c r="N362" s="282" t="n">
        <f aca="false">+M362+L362</f>
        <v>0</v>
      </c>
      <c r="P362" s="300"/>
      <c r="Q362" s="301"/>
      <c r="R362" s="301"/>
      <c r="S362" s="301"/>
    </row>
    <row r="363" customFormat="false" ht="12.75" hidden="false" customHeight="false" outlineLevel="0" collapsed="false">
      <c r="K363" s="280" t="n">
        <v>355</v>
      </c>
      <c r="L363" s="281" t="n">
        <f aca="false">-IF(SUMMARY!$D$21*12&gt;=K363,IPMT(SUMMARY!$D$22/12,K363,SUMMARY!$D$21*12,SUMMARY!$D$20),0)</f>
        <v>-0</v>
      </c>
      <c r="M363" s="281" t="n">
        <f aca="false">IF(SUMMARY!$D$21*12&gt;=K363,-PPMT(SUMMARY!$D$22/12,K363,SUMMARY!$D$21*12,SUMMARY!$D$20),0)</f>
        <v>0</v>
      </c>
      <c r="N363" s="282" t="n">
        <f aca="false">+M363+L363</f>
        <v>0</v>
      </c>
      <c r="P363" s="300"/>
      <c r="Q363" s="301"/>
      <c r="R363" s="301"/>
      <c r="S363" s="301"/>
    </row>
    <row r="364" customFormat="false" ht="12.75" hidden="false" customHeight="false" outlineLevel="0" collapsed="false">
      <c r="K364" s="280" t="n">
        <v>356</v>
      </c>
      <c r="L364" s="281" t="n">
        <f aca="false">-IF(SUMMARY!$D$21*12&gt;=K364,IPMT(SUMMARY!$D$22/12,K364,SUMMARY!$D$21*12,SUMMARY!$D$20),0)</f>
        <v>-0</v>
      </c>
      <c r="M364" s="281" t="n">
        <f aca="false">IF(SUMMARY!$D$21*12&gt;=K364,-PPMT(SUMMARY!$D$22/12,K364,SUMMARY!$D$21*12,SUMMARY!$D$20),0)</f>
        <v>0</v>
      </c>
      <c r="N364" s="282" t="n">
        <f aca="false">+M364+L364</f>
        <v>0</v>
      </c>
      <c r="P364" s="300"/>
      <c r="Q364" s="301"/>
      <c r="R364" s="301"/>
      <c r="S364" s="301"/>
    </row>
    <row r="365" customFormat="false" ht="12.75" hidden="false" customHeight="false" outlineLevel="0" collapsed="false">
      <c r="K365" s="280" t="n">
        <v>357</v>
      </c>
      <c r="L365" s="281" t="n">
        <f aca="false">-IF(SUMMARY!$D$21*12&gt;=K365,IPMT(SUMMARY!$D$22/12,K365,SUMMARY!$D$21*12,SUMMARY!$D$20),0)</f>
        <v>-0</v>
      </c>
      <c r="M365" s="281" t="n">
        <f aca="false">IF(SUMMARY!$D$21*12&gt;=K365,-PPMT(SUMMARY!$D$22/12,K365,SUMMARY!$D$21*12,SUMMARY!$D$20),0)</f>
        <v>0</v>
      </c>
      <c r="N365" s="282" t="n">
        <f aca="false">+M365+L365</f>
        <v>0</v>
      </c>
      <c r="P365" s="300"/>
      <c r="Q365" s="301"/>
      <c r="R365" s="301"/>
      <c r="S365" s="301"/>
    </row>
    <row r="366" customFormat="false" ht="12.75" hidden="false" customHeight="false" outlineLevel="0" collapsed="false">
      <c r="K366" s="280" t="n">
        <v>358</v>
      </c>
      <c r="L366" s="281" t="n">
        <f aca="false">-IF(SUMMARY!$D$21*12&gt;=K366,IPMT(SUMMARY!$D$22/12,K366,SUMMARY!$D$21*12,SUMMARY!$D$20),0)</f>
        <v>-0</v>
      </c>
      <c r="M366" s="281" t="n">
        <f aca="false">IF(SUMMARY!$D$21*12&gt;=K366,-PPMT(SUMMARY!$D$22/12,K366,SUMMARY!$D$21*12,SUMMARY!$D$20),0)</f>
        <v>0</v>
      </c>
      <c r="N366" s="282" t="n">
        <f aca="false">+M366+L366</f>
        <v>0</v>
      </c>
      <c r="P366" s="300"/>
      <c r="Q366" s="301"/>
      <c r="R366" s="301"/>
      <c r="S366" s="301"/>
    </row>
    <row r="367" customFormat="false" ht="12.75" hidden="false" customHeight="false" outlineLevel="0" collapsed="false">
      <c r="K367" s="280" t="n">
        <v>359</v>
      </c>
      <c r="L367" s="281" t="n">
        <f aca="false">-IF(SUMMARY!$D$21*12&gt;=K367,IPMT(SUMMARY!$D$22/12,K367,SUMMARY!$D$21*12,SUMMARY!$D$20),0)</f>
        <v>-0</v>
      </c>
      <c r="M367" s="281" t="n">
        <f aca="false">IF(SUMMARY!$D$21*12&gt;=K367,-PPMT(SUMMARY!$D$22/12,K367,SUMMARY!$D$21*12,SUMMARY!$D$20),0)</f>
        <v>0</v>
      </c>
      <c r="N367" s="282" t="n">
        <f aca="false">+M367+L367</f>
        <v>0</v>
      </c>
      <c r="P367" s="300"/>
      <c r="Q367" s="301"/>
      <c r="R367" s="301"/>
      <c r="S367" s="301"/>
    </row>
    <row r="368" customFormat="false" ht="13.5" hidden="false" customHeight="false" outlineLevel="0" collapsed="false">
      <c r="K368" s="297" t="n">
        <v>360</v>
      </c>
      <c r="L368" s="302" t="n">
        <f aca="false">-IF(SUMMARY!$D$21*12&gt;=K368,IPMT(SUMMARY!$D$22/12,K368,SUMMARY!$D$21*12,SUMMARY!$D$20),0)</f>
        <v>-0</v>
      </c>
      <c r="M368" s="302" t="n">
        <f aca="false">IF(SUMMARY!$D$21*12&gt;=K368,-PPMT(SUMMARY!$D$22/12,K368,SUMMARY!$D$21*12,SUMMARY!$D$20),0)</f>
        <v>0</v>
      </c>
      <c r="N368" s="303" t="n">
        <f aca="false">+M368+L368</f>
        <v>0</v>
      </c>
      <c r="P368" s="300"/>
      <c r="Q368" s="301"/>
      <c r="R368" s="301"/>
      <c r="S368" s="301"/>
    </row>
  </sheetData>
  <mergeCells count="3">
    <mergeCell ref="B5:F5"/>
    <mergeCell ref="K5:N5"/>
    <mergeCell ref="P5:S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56"/>
    <col collapsed="false" customWidth="true" hidden="false" outlineLevel="0" max="3" min="2" style="0" width="15.85"/>
    <col collapsed="false" customWidth="true" hidden="false" outlineLevel="0" max="4" min="4" style="0" width="18.41"/>
    <col collapsed="false" customWidth="true" hidden="false" outlineLevel="0" max="5" min="5" style="0" width="17.14"/>
    <col collapsed="false" customWidth="true" hidden="false" outlineLevel="0" max="6" min="6" style="0" width="16.84"/>
  </cols>
  <sheetData>
    <row r="2" customFormat="false" ht="20.25" hidden="false" customHeight="false" outlineLevel="0" collapsed="false">
      <c r="B2" s="304" t="s">
        <v>247</v>
      </c>
      <c r="C2" s="304"/>
      <c r="D2" s="304"/>
      <c r="E2" s="304"/>
    </row>
    <row r="5" customFormat="false" ht="12.75" hidden="false" customHeight="false" outlineLevel="0" collapsed="false">
      <c r="B5" s="305" t="s">
        <v>248</v>
      </c>
      <c r="C5" s="305" t="s">
        <v>249</v>
      </c>
      <c r="D5" s="305" t="s">
        <v>135</v>
      </c>
      <c r="E5" s="305" t="s">
        <v>250</v>
      </c>
      <c r="G5" s="115"/>
    </row>
    <row r="6" customFormat="false" ht="13.5" hidden="false" customHeight="false" outlineLevel="0" collapsed="false">
      <c r="B6" s="305" t="s">
        <v>251</v>
      </c>
      <c r="C6" s="305" t="s">
        <v>252</v>
      </c>
      <c r="D6" s="305" t="s">
        <v>253</v>
      </c>
      <c r="E6" s="305" t="s">
        <v>254</v>
      </c>
      <c r="F6" s="115"/>
    </row>
    <row r="7" customFormat="false" ht="12.75" hidden="false" customHeight="false" outlineLevel="0" collapsed="false">
      <c r="B7" s="306" t="s">
        <v>255</v>
      </c>
      <c r="C7" s="307" t="n">
        <v>3</v>
      </c>
      <c r="D7" s="308" t="n">
        <v>36737</v>
      </c>
      <c r="E7" s="309" t="n">
        <v>36829</v>
      </c>
    </row>
    <row r="8" customFormat="false" ht="12.75" hidden="false" customHeight="false" outlineLevel="0" collapsed="false">
      <c r="B8" s="310" t="s">
        <v>256</v>
      </c>
      <c r="C8" s="311" t="n">
        <v>3</v>
      </c>
      <c r="D8" s="312" t="n">
        <v>36768</v>
      </c>
      <c r="E8" s="313" t="n">
        <v>36829</v>
      </c>
    </row>
    <row r="9" customFormat="false" ht="12.75" hidden="false" customHeight="false" outlineLevel="0" collapsed="false">
      <c r="B9" s="310" t="s">
        <v>257</v>
      </c>
      <c r="C9" s="311" t="n">
        <v>2</v>
      </c>
      <c r="D9" s="312" t="n">
        <v>36799</v>
      </c>
      <c r="E9" s="313" t="n">
        <v>36829</v>
      </c>
    </row>
    <row r="10" customFormat="false" ht="12.75" hidden="false" customHeight="false" outlineLevel="0" collapsed="false">
      <c r="B10" s="310" t="s">
        <v>258</v>
      </c>
      <c r="C10" s="311" t="n">
        <v>3</v>
      </c>
      <c r="D10" s="312" t="n">
        <v>36829</v>
      </c>
      <c r="E10" s="313" t="n">
        <v>36829</v>
      </c>
    </row>
    <row r="11" customFormat="false" ht="12.75" hidden="false" customHeight="false" outlineLevel="0" collapsed="false">
      <c r="B11" s="310" t="s">
        <v>259</v>
      </c>
      <c r="C11" s="311" t="n">
        <v>2</v>
      </c>
      <c r="D11" s="312" t="n">
        <v>36860</v>
      </c>
      <c r="E11" s="313" t="n">
        <v>36860</v>
      </c>
    </row>
    <row r="12" customFormat="false" ht="12.75" hidden="false" customHeight="false" outlineLevel="0" collapsed="false">
      <c r="B12" s="310" t="s">
        <v>260</v>
      </c>
      <c r="C12" s="311" t="n">
        <v>2</v>
      </c>
      <c r="D12" s="312" t="n">
        <v>36890</v>
      </c>
      <c r="E12" s="313" t="n">
        <v>36890</v>
      </c>
    </row>
    <row r="13" customFormat="false" ht="12.75" hidden="false" customHeight="false" outlineLevel="0" collapsed="false">
      <c r="B13" s="310" t="s">
        <v>261</v>
      </c>
      <c r="C13" s="311" t="n">
        <v>3</v>
      </c>
      <c r="D13" s="312" t="n">
        <v>36555</v>
      </c>
      <c r="E13" s="313" t="n">
        <v>36555</v>
      </c>
    </row>
    <row r="14" customFormat="false" ht="12.75" hidden="false" customHeight="false" outlineLevel="0" collapsed="false">
      <c r="B14" s="310" t="s">
        <v>262</v>
      </c>
      <c r="C14" s="311" t="n">
        <v>2</v>
      </c>
      <c r="D14" s="312" t="n">
        <v>36950</v>
      </c>
      <c r="E14" s="313" t="n">
        <v>36950</v>
      </c>
    </row>
    <row r="15" customFormat="false" ht="12.75" hidden="false" customHeight="false" outlineLevel="0" collapsed="false">
      <c r="B15" s="310" t="s">
        <v>263</v>
      </c>
      <c r="C15" s="311" t="n">
        <v>2</v>
      </c>
      <c r="D15" s="312" t="n">
        <v>36980</v>
      </c>
      <c r="E15" s="313" t="n">
        <v>36980</v>
      </c>
    </row>
    <row r="16" customFormat="false" ht="13.5" hidden="false" customHeight="false" outlineLevel="0" collapsed="false">
      <c r="B16" s="314" t="s">
        <v>264</v>
      </c>
      <c r="C16" s="315" t="n">
        <v>2</v>
      </c>
      <c r="D16" s="316" t="n">
        <v>37011</v>
      </c>
      <c r="E16" s="317" t="n">
        <v>37011</v>
      </c>
    </row>
    <row r="18" customFormat="false" ht="13.5" hidden="false" customHeight="false" outlineLevel="0" collapsed="false"/>
    <row r="19" customFormat="false" ht="12.75" hidden="false" customHeight="false" outlineLevel="0" collapsed="false">
      <c r="D19" s="277" t="s">
        <v>131</v>
      </c>
      <c r="E19" s="318" t="n">
        <v>13500000</v>
      </c>
    </row>
    <row r="20" customFormat="false" ht="12.75" hidden="false" customHeight="false" outlineLevel="0" collapsed="false">
      <c r="D20" s="147" t="s">
        <v>265</v>
      </c>
      <c r="E20" s="319" t="n">
        <v>450000</v>
      </c>
    </row>
    <row r="21" customFormat="false" ht="13.5" hidden="false" customHeight="false" outlineLevel="0" collapsed="false">
      <c r="D21" s="162" t="s">
        <v>266</v>
      </c>
      <c r="E21" s="320" t="n">
        <v>62000</v>
      </c>
      <c r="F21" s="321"/>
    </row>
    <row r="22" customFormat="false" ht="13.5" hidden="false" customHeight="false" outlineLevel="0" collapsed="false">
      <c r="D22" s="109" t="s">
        <v>267</v>
      </c>
      <c r="E22" s="320" t="n">
        <f aca="false">+SUM(E19:E21)</f>
        <v>14012000</v>
      </c>
      <c r="F22" s="321"/>
    </row>
    <row r="23" customFormat="false" ht="12.75" hidden="false" customHeight="false" outlineLevel="0" collapsed="false">
      <c r="D23" s="321"/>
      <c r="E23" s="321"/>
      <c r="F23" s="321"/>
    </row>
    <row r="24" customFormat="false" ht="12.75" hidden="false" customHeight="false" outlineLevel="0" collapsed="false">
      <c r="C24" s="321"/>
      <c r="D24" s="321"/>
      <c r="E24" s="321"/>
      <c r="F24" s="321"/>
    </row>
    <row r="25" customFormat="false" ht="12.75" hidden="false" customHeight="false" outlineLevel="0" collapsed="false">
      <c r="B25" s="321"/>
      <c r="C25" s="321"/>
      <c r="D25" s="321"/>
      <c r="E25" s="321"/>
      <c r="F25" s="321"/>
    </row>
    <row r="26" customFormat="false" ht="12.75" hidden="false" customHeight="false" outlineLevel="0" collapsed="false">
      <c r="B26" s="321"/>
      <c r="C26" s="321"/>
      <c r="D26" s="321"/>
      <c r="E26" s="321"/>
      <c r="F26" s="321"/>
    </row>
    <row r="27" customFormat="false" ht="12.75" hidden="false" customHeight="false" outlineLevel="0" collapsed="false">
      <c r="B27" s="321"/>
      <c r="C27" s="321"/>
      <c r="D27" s="321"/>
      <c r="E27" s="321"/>
      <c r="F27" s="321"/>
    </row>
    <row r="28" customFormat="false" ht="12.75" hidden="false" customHeight="false" outlineLevel="0" collapsed="false">
      <c r="B28" s="321"/>
      <c r="C28" s="321"/>
      <c r="D28" s="321"/>
      <c r="E28" s="321"/>
      <c r="F28" s="321"/>
    </row>
    <row r="29" customFormat="false" ht="12.75" hidden="false" customHeight="false" outlineLevel="0" collapsed="false">
      <c r="B29" s="321"/>
      <c r="C29" s="321"/>
      <c r="D29" s="321"/>
      <c r="E29" s="321"/>
      <c r="F29" s="321"/>
    </row>
    <row r="30" customFormat="false" ht="12.75" hidden="false" customHeight="false" outlineLevel="0" collapsed="false">
      <c r="B30" s="321"/>
      <c r="C30" s="321"/>
      <c r="D30" s="321"/>
      <c r="E30" s="321"/>
      <c r="F30" s="321"/>
    </row>
  </sheetData>
  <mergeCells count="1">
    <mergeCell ref="B2:E2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" activeCellId="0" sqref="B3:K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4" min="2" style="0" width="11.28"/>
    <col collapsed="false" customWidth="true" hidden="false" outlineLevel="0" max="8" min="5" style="0" width="10.28"/>
    <col collapsed="false" customWidth="true" hidden="false" outlineLevel="0" max="11" min="9" style="0" width="11.28"/>
    <col collapsed="false" customWidth="true" hidden="false" outlineLevel="0" max="13" min="13" style="0" width="2.99"/>
    <col collapsed="false" customWidth="true" hidden="false" outlineLevel="0" max="14" min="14" style="0" width="20.85"/>
    <col collapsed="false" customWidth="true" hidden="false" outlineLevel="0" max="16" min="16" style="0" width="10.85"/>
  </cols>
  <sheetData>
    <row r="1" customFormat="false" ht="20.25" hidden="false" customHeight="false" outlineLevel="0" collapsed="false">
      <c r="A1" s="1" t="s">
        <v>268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322" t="s">
        <v>63</v>
      </c>
      <c r="B3" s="139" t="n">
        <v>1</v>
      </c>
      <c r="C3" s="139" t="n">
        <v>2</v>
      </c>
      <c r="D3" s="139" t="n">
        <v>3</v>
      </c>
      <c r="E3" s="139" t="n">
        <v>4</v>
      </c>
      <c r="F3" s="139" t="n">
        <v>5</v>
      </c>
      <c r="G3" s="139" t="n">
        <v>6</v>
      </c>
      <c r="H3" s="139" t="n">
        <v>7</v>
      </c>
      <c r="I3" s="139" t="n">
        <v>8</v>
      </c>
      <c r="J3" s="139" t="n">
        <v>9</v>
      </c>
      <c r="K3" s="139" t="n">
        <v>10</v>
      </c>
      <c r="L3" s="142"/>
    </row>
    <row r="4" customFormat="false" ht="12.75" hidden="false" customHeight="false" outlineLevel="0" collapsed="false">
      <c r="A4" s="323"/>
      <c r="B4" s="321" t="n">
        <f aca="false">13500+450+62</f>
        <v>14012</v>
      </c>
      <c r="C4" s="321" t="n">
        <f aca="false">+$B$4*C3</f>
        <v>28024</v>
      </c>
      <c r="D4" s="321" t="n">
        <f aca="false">+$B$4*D3</f>
        <v>42036</v>
      </c>
      <c r="E4" s="321" t="n">
        <f aca="false">+$B$4*E3</f>
        <v>56048</v>
      </c>
      <c r="F4" s="321" t="n">
        <f aca="false">+$B$4*F3</f>
        <v>70060</v>
      </c>
      <c r="G4" s="321" t="n">
        <f aca="false">+$B$4*G3</f>
        <v>84072</v>
      </c>
      <c r="H4" s="321" t="n">
        <f aca="false">+$B$4*H3</f>
        <v>98084</v>
      </c>
      <c r="I4" s="321" t="n">
        <f aca="false">+$B$4*I3</f>
        <v>112096</v>
      </c>
      <c r="J4" s="321" t="n">
        <f aca="false">+$B$4*J3</f>
        <v>126108</v>
      </c>
      <c r="K4" s="321" t="n">
        <f aca="false">+$B$4*K3</f>
        <v>140120</v>
      </c>
      <c r="L4" s="146"/>
      <c r="N4" s="0" t="s">
        <v>269</v>
      </c>
    </row>
    <row r="5" customFormat="false" ht="13.5" hidden="false" customHeight="false" outlineLevel="0" collapsed="false">
      <c r="A5" s="324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59"/>
    </row>
    <row r="6" customFormat="false" ht="12.75" hidden="false" customHeight="false" outlineLevel="0" collapsed="false">
      <c r="A6" s="322" t="s">
        <v>65</v>
      </c>
      <c r="B6" s="325" t="n">
        <f aca="false">9300-(685/2)</f>
        <v>8957.5</v>
      </c>
      <c r="C6" s="326" t="n">
        <f aca="false">$B$6*C3*$P$6+$B$6*(C3^$P$7)*(1-$P$6)</f>
        <v>16905.9505042166</v>
      </c>
      <c r="D6" s="326" t="n">
        <f aca="false">$B$6*D3*$P$6+$B$6*(D3^$P$7)*(1-$P$6)</f>
        <v>24608.9467726117</v>
      </c>
      <c r="E6" s="326" t="n">
        <f aca="false">$B$6*E3*$P$6+$B$6*(E3^$P$7)*(1-$P$6)</f>
        <v>32172.6952664489</v>
      </c>
      <c r="F6" s="326" t="n">
        <f aca="false">$B$6*F3*$P$6+$B$6*(F3^$P$7)*(1-$P$6)</f>
        <v>39641.8712379717</v>
      </c>
      <c r="G6" s="326" t="n">
        <f aca="false">$B$6*G3*$P$6+$B$6*(G3^$P$7)*(1-$P$6)</f>
        <v>47040.6984461977</v>
      </c>
      <c r="H6" s="326" t="n">
        <f aca="false">$B$6*H3*$P$6+$B$6*(H3^$P$7)*(1-$P$6)</f>
        <v>54384.194956323</v>
      </c>
      <c r="I6" s="326" t="n">
        <f aca="false">$B$6*I3*$P$6+$B$6*(I3^$P$7)*(1-$P$6)</f>
        <v>61682.4929488026</v>
      </c>
      <c r="J6" s="326" t="n">
        <f aca="false">$B$6*J3*$P$6+$B$6*(J3^$P$7)*(1-$P$6)</f>
        <v>68942.8410555122</v>
      </c>
      <c r="K6" s="326" t="n">
        <f aca="false">$B$6*K3*$P$6+$B$6*(K3^$P$7)*(1-$P$6)</f>
        <v>76170.6539356489</v>
      </c>
      <c r="L6" s="142"/>
      <c r="N6" s="104" t="s">
        <v>270</v>
      </c>
      <c r="O6" s="104"/>
      <c r="P6" s="327" t="n">
        <v>0.7</v>
      </c>
      <c r="Q6" s="0" t="s">
        <v>271</v>
      </c>
    </row>
    <row r="7" customFormat="false" ht="13.5" hidden="false" customHeight="false" outlineLevel="0" collapsed="false">
      <c r="A7" s="324"/>
      <c r="B7" s="328" t="n">
        <f aca="false">B6/B3</f>
        <v>8957.5</v>
      </c>
      <c r="C7" s="328" t="n">
        <f aca="false">C6/C3</f>
        <v>8452.97525210829</v>
      </c>
      <c r="D7" s="328" t="n">
        <f aca="false">D6/D3</f>
        <v>8202.98225753724</v>
      </c>
      <c r="E7" s="328" t="n">
        <f aca="false">E6/E3</f>
        <v>8043.17381661223</v>
      </c>
      <c r="F7" s="328" t="n">
        <f aca="false">F6/F3</f>
        <v>7928.37424759435</v>
      </c>
      <c r="G7" s="328" t="n">
        <f aca="false">G6/G3</f>
        <v>7840.11640769962</v>
      </c>
      <c r="H7" s="328" t="n">
        <f aca="false">H6/H3</f>
        <v>7769.17070804615</v>
      </c>
      <c r="I7" s="328" t="n">
        <f aca="false">I6/I3</f>
        <v>7710.31161860033</v>
      </c>
      <c r="J7" s="328" t="n">
        <f aca="false">J6/J3</f>
        <v>7660.31567283468</v>
      </c>
      <c r="K7" s="328" t="n">
        <f aca="false">K6/K3</f>
        <v>7617.06539356489</v>
      </c>
      <c r="L7" s="159"/>
      <c r="N7" s="104" t="s">
        <v>25</v>
      </c>
      <c r="O7" s="104"/>
      <c r="P7" s="327" t="n">
        <v>0.7</v>
      </c>
    </row>
    <row r="8" customFormat="false" ht="12.75" hidden="false" customHeight="false" outlineLevel="0" collapsed="false">
      <c r="A8" s="322" t="s">
        <v>272</v>
      </c>
      <c r="B8" s="139" t="n">
        <v>4</v>
      </c>
      <c r="C8" s="139" t="n">
        <v>10</v>
      </c>
      <c r="D8" s="139" t="n">
        <v>16</v>
      </c>
      <c r="E8" s="139" t="n">
        <v>24</v>
      </c>
      <c r="F8" s="141"/>
      <c r="G8" s="141"/>
      <c r="H8" s="141"/>
      <c r="I8" s="141"/>
      <c r="J8" s="141"/>
      <c r="K8" s="141"/>
      <c r="L8" s="142"/>
    </row>
    <row r="9" customFormat="false" ht="13.5" hidden="false" customHeight="false" outlineLevel="0" collapsed="false">
      <c r="A9" s="324"/>
      <c r="B9" s="110" t="n">
        <v>250</v>
      </c>
      <c r="C9" s="110" t="n">
        <v>400</v>
      </c>
      <c r="D9" s="110" t="n">
        <v>600</v>
      </c>
      <c r="E9" s="110" t="n">
        <v>1000</v>
      </c>
      <c r="F9" s="158"/>
      <c r="G9" s="158"/>
      <c r="H9" s="158"/>
      <c r="I9" s="158"/>
      <c r="J9" s="158"/>
      <c r="K9" s="158"/>
      <c r="L9" s="159"/>
    </row>
    <row r="10" customFormat="false" ht="12.75" hidden="true" customHeight="false" outlineLevel="0" collapsed="false">
      <c r="A10" s="329"/>
      <c r="B10" s="73"/>
      <c r="C10" s="73"/>
      <c r="D10" s="73"/>
      <c r="E10" s="73"/>
    </row>
    <row r="11" customFormat="false" ht="13.5" hidden="true" customHeight="false" outlineLevel="0" collapsed="false">
      <c r="A11" s="329"/>
      <c r="B11" s="73"/>
      <c r="C11" s="115"/>
      <c r="D11" s="115"/>
      <c r="E11" s="115"/>
      <c r="F11" s="115"/>
      <c r="G11" s="115"/>
      <c r="H11" s="115"/>
    </row>
    <row r="12" customFormat="false" ht="12.75" hidden="false" customHeight="false" outlineLevel="0" collapsed="false">
      <c r="A12" s="322" t="s">
        <v>71</v>
      </c>
      <c r="B12" s="141"/>
      <c r="C12" s="139" t="n">
        <v>69</v>
      </c>
      <c r="D12" s="139" t="n">
        <v>138</v>
      </c>
      <c r="E12" s="139" t="n">
        <v>240</v>
      </c>
      <c r="F12" s="139" t="n">
        <v>345</v>
      </c>
      <c r="G12" s="139" t="n">
        <v>500</v>
      </c>
      <c r="H12" s="139" t="n">
        <v>745</v>
      </c>
      <c r="I12" s="141"/>
      <c r="J12" s="141"/>
      <c r="K12" s="141"/>
      <c r="L12" s="142"/>
    </row>
    <row r="13" customFormat="false" ht="12.75" hidden="false" customHeight="false" outlineLevel="0" collapsed="false">
      <c r="A13" s="329"/>
      <c r="B13" s="148" t="s">
        <v>273</v>
      </c>
      <c r="C13" s="330" t="n">
        <f aca="false">50+30+120+35</f>
        <v>235</v>
      </c>
      <c r="D13" s="330" t="n">
        <f aca="false">C13</f>
        <v>235</v>
      </c>
      <c r="E13" s="330" t="n">
        <f aca="false">D13</f>
        <v>235</v>
      </c>
      <c r="F13" s="330" t="n">
        <f aca="false">E13</f>
        <v>235</v>
      </c>
      <c r="G13" s="330" t="n">
        <f aca="false">F13</f>
        <v>235</v>
      </c>
      <c r="H13" s="330" t="n">
        <f aca="false">G13</f>
        <v>235</v>
      </c>
      <c r="I13" s="65"/>
      <c r="J13" s="65"/>
      <c r="K13" s="65"/>
      <c r="L13" s="146"/>
      <c r="N13" s="0" t="s">
        <v>274</v>
      </c>
    </row>
    <row r="14" customFormat="false" ht="12.75" hidden="false" customHeight="false" outlineLevel="0" collapsed="false">
      <c r="A14" s="329"/>
      <c r="B14" s="148" t="s">
        <v>275</v>
      </c>
      <c r="C14" s="330" t="n">
        <v>250</v>
      </c>
      <c r="D14" s="330" t="n">
        <v>250</v>
      </c>
      <c r="E14" s="330" t="n">
        <v>350</v>
      </c>
      <c r="F14" s="330" t="n">
        <v>500</v>
      </c>
      <c r="G14" s="330" t="n">
        <v>750</v>
      </c>
      <c r="H14" s="330" t="n">
        <v>1000</v>
      </c>
      <c r="I14" s="65"/>
      <c r="J14" s="65"/>
      <c r="K14" s="65"/>
      <c r="L14" s="146"/>
      <c r="N14" s="0" t="s">
        <v>276</v>
      </c>
    </row>
    <row r="15" customFormat="false" ht="12.75" hidden="false" customHeight="false" outlineLevel="0" collapsed="false">
      <c r="A15" s="329"/>
      <c r="B15" s="148" t="s">
        <v>277</v>
      </c>
      <c r="C15" s="330" t="n">
        <v>150</v>
      </c>
      <c r="D15" s="330" t="n">
        <v>200</v>
      </c>
      <c r="E15" s="330" t="n">
        <v>300</v>
      </c>
      <c r="F15" s="330" t="n">
        <v>400</v>
      </c>
      <c r="G15" s="330" t="n">
        <v>500</v>
      </c>
      <c r="H15" s="330" t="n">
        <v>600</v>
      </c>
      <c r="I15" s="65"/>
      <c r="J15" s="65"/>
      <c r="K15" s="65"/>
      <c r="L15" s="146"/>
      <c r="N15" s="0" t="s">
        <v>278</v>
      </c>
    </row>
    <row r="16" customFormat="false" ht="12.75" hidden="false" customHeight="false" outlineLevel="0" collapsed="false">
      <c r="A16" s="323"/>
      <c r="B16" s="216" t="n">
        <v>1</v>
      </c>
      <c r="C16" s="155" t="n">
        <f aca="false">C$15*ROUND(B16/2,0)+C$13+C$14*2</f>
        <v>885</v>
      </c>
      <c r="D16" s="155" t="n">
        <f aca="false">D$15*ROUND(B16/2,0)+D$13+D$14*2</f>
        <v>935</v>
      </c>
      <c r="E16" s="155" t="n">
        <f aca="false">E$15*ROUND(B16/2,0)+E$13+E$14*2</f>
        <v>1235</v>
      </c>
      <c r="F16" s="155" t="n">
        <f aca="false">F$15*ROUND(B16/2,0)+F$13+F$14*2</f>
        <v>1635</v>
      </c>
      <c r="G16" s="155" t="n">
        <f aca="false">G$15*ROUND(B16/2,0)+G$13+G$14*2</f>
        <v>2235</v>
      </c>
      <c r="H16" s="155" t="n">
        <f aca="false">H$15*ROUND(B16/2,0)+H$13+H$14*2</f>
        <v>2835</v>
      </c>
      <c r="I16" s="65"/>
      <c r="J16" s="65"/>
      <c r="K16" s="65"/>
      <c r="L16" s="146"/>
      <c r="N16" s="0" t="s">
        <v>279</v>
      </c>
    </row>
    <row r="17" customFormat="false" ht="12.75" hidden="false" customHeight="false" outlineLevel="0" collapsed="false">
      <c r="A17" s="323"/>
      <c r="B17" s="216" t="n">
        <v>2</v>
      </c>
      <c r="C17" s="155" t="n">
        <f aca="false">C$15*ROUND(B17/2,0)+C$13+C$14*2</f>
        <v>885</v>
      </c>
      <c r="D17" s="155" t="n">
        <f aca="false">D$15*ROUND(B17/2,0)+D$13+D$14*2</f>
        <v>935</v>
      </c>
      <c r="E17" s="155" t="n">
        <f aca="false">E$15*ROUND(B17/2,0)+E$13+E$14*2</f>
        <v>1235</v>
      </c>
      <c r="F17" s="155" t="n">
        <f aca="false">F$15*ROUND(B17/2,0)+F$13+F$14*2</f>
        <v>1635</v>
      </c>
      <c r="G17" s="155" t="n">
        <f aca="false">G$15*ROUND(B17/2,0)+G$13+G$14*2</f>
        <v>2235</v>
      </c>
      <c r="H17" s="155" t="n">
        <f aca="false">H$15*ROUND(B17/2,0)+H$13+H$14*2</f>
        <v>2835</v>
      </c>
      <c r="I17" s="65"/>
      <c r="J17" s="65"/>
      <c r="K17" s="65"/>
      <c r="L17" s="146"/>
      <c r="N17" s="0" t="s">
        <v>280</v>
      </c>
    </row>
    <row r="18" customFormat="false" ht="12.75" hidden="false" customHeight="false" outlineLevel="0" collapsed="false">
      <c r="A18" s="323"/>
      <c r="B18" s="216" t="n">
        <v>3</v>
      </c>
      <c r="C18" s="155" t="n">
        <f aca="false">C$15*ROUND(B18/2,0)+C$13+C$14*2</f>
        <v>1035</v>
      </c>
      <c r="D18" s="155" t="n">
        <f aca="false">D$15*ROUND(B18/2,0)+D$13+D$14*2</f>
        <v>1135</v>
      </c>
      <c r="E18" s="155" t="n">
        <f aca="false">E$15*ROUND(B18/2,0)+E$13+E$14*2</f>
        <v>1535</v>
      </c>
      <c r="F18" s="155" t="n">
        <f aca="false">F$15*ROUND(B18/2,0)+F$13+F$14*2</f>
        <v>2035</v>
      </c>
      <c r="G18" s="155" t="n">
        <f aca="false">G$15*ROUND(B18/2,0)+G$13+G$14*2</f>
        <v>2735</v>
      </c>
      <c r="H18" s="155" t="n">
        <f aca="false">H$15*ROUND(B18/2,0)+H$13+H$14*2</f>
        <v>3435</v>
      </c>
      <c r="I18" s="65"/>
      <c r="J18" s="65"/>
      <c r="K18" s="65"/>
      <c r="L18" s="146"/>
      <c r="N18" s="0" t="s">
        <v>281</v>
      </c>
    </row>
    <row r="19" customFormat="false" ht="12.75" hidden="false" customHeight="false" outlineLevel="0" collapsed="false">
      <c r="A19" s="323"/>
      <c r="B19" s="216" t="n">
        <v>4</v>
      </c>
      <c r="C19" s="155" t="n">
        <f aca="false">C$15*ROUND(B19/2,0)+C$13+C$14*2</f>
        <v>1035</v>
      </c>
      <c r="D19" s="155" t="n">
        <f aca="false">D$15*ROUND(B19/2,0)+D$13+D$14*2</f>
        <v>1135</v>
      </c>
      <c r="E19" s="155" t="n">
        <f aca="false">E$15*ROUND(B19/2,0)+E$13+E$14*2</f>
        <v>1535</v>
      </c>
      <c r="F19" s="155" t="n">
        <f aca="false">F$15*ROUND(B19/2,0)+F$13+F$14*2</f>
        <v>2035</v>
      </c>
      <c r="G19" s="155" t="n">
        <f aca="false">G$15*ROUND(B19/2,0)+G$13+G$14*2</f>
        <v>2735</v>
      </c>
      <c r="H19" s="155" t="n">
        <f aca="false">H$15*ROUND(B19/2,0)+H$13+H$14*2</f>
        <v>3435</v>
      </c>
      <c r="I19" s="65"/>
      <c r="J19" s="65"/>
      <c r="K19" s="65"/>
      <c r="L19" s="146"/>
    </row>
    <row r="20" customFormat="false" ht="12.75" hidden="false" customHeight="false" outlineLevel="0" collapsed="false">
      <c r="A20" s="323"/>
      <c r="B20" s="216" t="n">
        <v>5</v>
      </c>
      <c r="C20" s="155" t="n">
        <f aca="false">C$15*ROUND(B20/2,0)+C$13+C$14*2</f>
        <v>1185</v>
      </c>
      <c r="D20" s="155" t="n">
        <f aca="false">D$15*ROUND(B20/2,0)+D$13+D$14*2</f>
        <v>1335</v>
      </c>
      <c r="E20" s="155" t="n">
        <f aca="false">E$15*ROUND(B20/2,0)+E$13+E$14*2</f>
        <v>1835</v>
      </c>
      <c r="F20" s="155" t="n">
        <f aca="false">F$15*ROUND(B20/2,0)+F$13+F$14*2</f>
        <v>2435</v>
      </c>
      <c r="G20" s="155" t="n">
        <f aca="false">G$15*ROUND(B20/2,0)+G$13+G$14*2</f>
        <v>3235</v>
      </c>
      <c r="H20" s="155" t="n">
        <f aca="false">H$15*ROUND(B20/2,0)+H$13+H$14*2</f>
        <v>4035</v>
      </c>
      <c r="I20" s="65"/>
      <c r="J20" s="65"/>
      <c r="K20" s="65"/>
      <c r="L20" s="146"/>
    </row>
    <row r="21" customFormat="false" ht="12.75" hidden="false" customHeight="false" outlineLevel="0" collapsed="false">
      <c r="A21" s="323"/>
      <c r="B21" s="216" t="n">
        <v>6</v>
      </c>
      <c r="C21" s="155" t="n">
        <f aca="false">C$15*ROUND(B21/2,0)+C$13+C$14*2</f>
        <v>1185</v>
      </c>
      <c r="D21" s="155" t="n">
        <f aca="false">D$15*ROUND(B21/2,0)+D$13+D$14*2</f>
        <v>1335</v>
      </c>
      <c r="E21" s="155" t="n">
        <f aca="false">E$15*ROUND(B21/2,0)+E$13+E$14*2</f>
        <v>1835</v>
      </c>
      <c r="F21" s="155" t="n">
        <f aca="false">F$15*ROUND(B21/2,0)+F$13+F$14*2</f>
        <v>2435</v>
      </c>
      <c r="G21" s="155" t="n">
        <f aca="false">G$15*ROUND(B21/2,0)+G$13+G$14*2</f>
        <v>3235</v>
      </c>
      <c r="H21" s="155" t="n">
        <f aca="false">H$15*ROUND(B21/2,0)+H$13+H$14*2</f>
        <v>4035</v>
      </c>
      <c r="I21" s="65"/>
      <c r="J21" s="65"/>
      <c r="K21" s="65"/>
      <c r="L21" s="146"/>
    </row>
    <row r="22" customFormat="false" ht="12.75" hidden="false" customHeight="false" outlineLevel="0" collapsed="false">
      <c r="A22" s="323"/>
      <c r="B22" s="216" t="n">
        <v>7</v>
      </c>
      <c r="C22" s="155" t="n">
        <f aca="false">C$15*ROUND(B22/2,0)+C$13+C$14*2</f>
        <v>1335</v>
      </c>
      <c r="D22" s="155" t="n">
        <f aca="false">D$15*ROUND(B22/2,0)+D$13+D$14*2</f>
        <v>1535</v>
      </c>
      <c r="E22" s="155" t="n">
        <f aca="false">E$15*ROUND(B22/2,0)+E$13+E$14*2</f>
        <v>2135</v>
      </c>
      <c r="F22" s="155" t="n">
        <f aca="false">F$15*ROUND(B22/2,0)+F$13+F$14*2</f>
        <v>2835</v>
      </c>
      <c r="G22" s="155" t="n">
        <f aca="false">G$15*ROUND(B22/2,0)+G$13+G$14*2</f>
        <v>3735</v>
      </c>
      <c r="H22" s="155" t="n">
        <f aca="false">H$15*ROUND(B22/2,0)+H$13+H$14*2</f>
        <v>4635</v>
      </c>
      <c r="I22" s="65"/>
      <c r="J22" s="65"/>
      <c r="K22" s="65"/>
      <c r="L22" s="146"/>
    </row>
    <row r="23" customFormat="false" ht="12.75" hidden="false" customHeight="false" outlineLevel="0" collapsed="false">
      <c r="A23" s="323"/>
      <c r="B23" s="216" t="n">
        <v>8</v>
      </c>
      <c r="C23" s="155" t="n">
        <f aca="false">C$15*ROUND(B23/2,0)+C$13+C$14*2</f>
        <v>1335</v>
      </c>
      <c r="D23" s="155" t="n">
        <f aca="false">D$15*ROUND(B23/2,0)+D$13+D$14*2</f>
        <v>1535</v>
      </c>
      <c r="E23" s="155" t="n">
        <f aca="false">E$15*ROUND(B23/2,0)+E$13+E$14*2</f>
        <v>2135</v>
      </c>
      <c r="F23" s="155" t="n">
        <f aca="false">F$15*ROUND(B23/2,0)+F$13+F$14*2</f>
        <v>2835</v>
      </c>
      <c r="G23" s="155" t="n">
        <f aca="false">G$15*ROUND(B23/2,0)+G$13+G$14*2</f>
        <v>3735</v>
      </c>
      <c r="H23" s="155" t="n">
        <f aca="false">H$15*ROUND(B23/2,0)+H$13+H$14*2</f>
        <v>4635</v>
      </c>
      <c r="I23" s="65"/>
      <c r="J23" s="65"/>
      <c r="K23" s="65"/>
      <c r="L23" s="146"/>
    </row>
    <row r="24" customFormat="false" ht="12.75" hidden="false" customHeight="false" outlineLevel="0" collapsed="false">
      <c r="A24" s="323"/>
      <c r="B24" s="216" t="n">
        <v>9</v>
      </c>
      <c r="C24" s="155" t="n">
        <f aca="false">C$15*ROUND(B24/2,0)+C$13+C$14*2</f>
        <v>1485</v>
      </c>
      <c r="D24" s="155" t="n">
        <f aca="false">D$15*ROUND(B24/2,0)+D$13+D$14*2</f>
        <v>1735</v>
      </c>
      <c r="E24" s="155" t="n">
        <f aca="false">E$15*ROUND(B24/2,0)+E$13+E$14*2</f>
        <v>2435</v>
      </c>
      <c r="F24" s="155" t="n">
        <f aca="false">F$15*ROUND(B24/2,0)+F$13+F$14*2</f>
        <v>3235</v>
      </c>
      <c r="G24" s="155" t="n">
        <f aca="false">G$15*ROUND(B24/2,0)+G$13+G$14*2</f>
        <v>4235</v>
      </c>
      <c r="H24" s="155" t="n">
        <f aca="false">H$15*ROUND(B24/2,0)+H$13+H$14*2</f>
        <v>5235</v>
      </c>
      <c r="I24" s="65"/>
      <c r="J24" s="65"/>
      <c r="K24" s="65"/>
      <c r="L24" s="146"/>
    </row>
    <row r="25" customFormat="false" ht="13.5" hidden="false" customHeight="false" outlineLevel="0" collapsed="false">
      <c r="A25" s="331"/>
      <c r="B25" s="332" t="n">
        <v>10</v>
      </c>
      <c r="C25" s="155" t="n">
        <f aca="false">C$15*ROUND(B25/2,0)+C$13+C$14*2</f>
        <v>1485</v>
      </c>
      <c r="D25" s="155" t="n">
        <f aca="false">D$15*ROUND(B25/2,0)+D$13+D$14*2</f>
        <v>1735</v>
      </c>
      <c r="E25" s="155" t="n">
        <f aca="false">E$15*ROUND(B25/2,0)+E$13+E$14*2</f>
        <v>2435</v>
      </c>
      <c r="F25" s="155" t="n">
        <f aca="false">F$15*ROUND(B25/2,0)+F$13+F$14*2</f>
        <v>3235</v>
      </c>
      <c r="G25" s="155" t="n">
        <f aca="false">G$15*ROUND(B25/2,0)+G$13+G$14*2</f>
        <v>4235</v>
      </c>
      <c r="H25" s="155" t="n">
        <f aca="false">H$15*ROUND(B25/2,0)+H$13+H$14*2</f>
        <v>5235</v>
      </c>
      <c r="I25" s="158"/>
      <c r="J25" s="158"/>
      <c r="K25" s="158"/>
      <c r="L25" s="159"/>
    </row>
    <row r="26" customFormat="false" ht="12.75" hidden="true" customHeight="false" outlineLevel="0" collapsed="false">
      <c r="A26" s="323"/>
      <c r="B26" s="321"/>
      <c r="C26" s="321"/>
      <c r="D26" s="321"/>
      <c r="E26" s="321"/>
      <c r="F26" s="321"/>
      <c r="G26" s="321"/>
      <c r="H26" s="321"/>
    </row>
    <row r="27" customFormat="false" ht="12.75" hidden="true" customHeight="false" outlineLevel="0" collapsed="false">
      <c r="A27" s="323"/>
      <c r="B27" s="321"/>
      <c r="C27" s="321"/>
      <c r="D27" s="321"/>
      <c r="E27" s="321"/>
      <c r="F27" s="321"/>
      <c r="G27" s="321"/>
      <c r="H27" s="321"/>
    </row>
    <row r="28" customFormat="false" ht="12.75" hidden="true" customHeight="false" outlineLevel="0" collapsed="false">
      <c r="A28" s="329"/>
    </row>
    <row r="29" customFormat="false" ht="12.75" hidden="true" customHeight="false" outlineLevel="0" collapsed="false">
      <c r="A29" s="323"/>
    </row>
    <row r="30" customFormat="false" ht="12.75" hidden="false" customHeight="false" outlineLevel="0" collapsed="false">
      <c r="A30" s="322" t="s">
        <v>35</v>
      </c>
      <c r="B30" s="139" t="n">
        <v>1</v>
      </c>
      <c r="C30" s="139" t="n">
        <v>2</v>
      </c>
      <c r="D30" s="139" t="n">
        <v>3</v>
      </c>
      <c r="E30" s="139" t="n">
        <v>4</v>
      </c>
      <c r="F30" s="139" t="n">
        <v>5</v>
      </c>
      <c r="G30" s="139" t="n">
        <v>6</v>
      </c>
      <c r="H30" s="139" t="n">
        <v>7</v>
      </c>
      <c r="I30" s="139" t="n">
        <v>8</v>
      </c>
      <c r="J30" s="139" t="n">
        <v>9</v>
      </c>
      <c r="K30" s="139" t="n">
        <v>10</v>
      </c>
      <c r="L30" s="142"/>
    </row>
    <row r="31" customFormat="false" ht="13.5" hidden="false" customHeight="false" outlineLevel="0" collapsed="false">
      <c r="A31" s="331"/>
      <c r="B31" s="333" t="n">
        <v>1000</v>
      </c>
      <c r="C31" s="334" t="n">
        <f aca="false">+$B$31*C30^$P$31</f>
        <v>1931.87265784969</v>
      </c>
      <c r="D31" s="334" t="n">
        <f aca="false">+$B$31*D30^$P$31</f>
        <v>2839.65246792048</v>
      </c>
      <c r="E31" s="334" t="n">
        <f aca="false">+$B$31*E30^$P$31</f>
        <v>3732.13196614723</v>
      </c>
      <c r="F31" s="334" t="n">
        <f aca="false">+$B$31*F30^$P$31</f>
        <v>4613.40417295294</v>
      </c>
      <c r="G31" s="334" t="n">
        <f aca="false">+$B$31*G30^$P$31</f>
        <v>5485.84696057097</v>
      </c>
      <c r="H31" s="334" t="n">
        <f aca="false">+$B$31*H30^$P$31</f>
        <v>6351.01499334234</v>
      </c>
      <c r="I31" s="334" t="n">
        <f aca="false">+$B$31*I30^$P$31</f>
        <v>7210.00370088664</v>
      </c>
      <c r="J31" s="334" t="n">
        <f aca="false">+$B$31*J30^$P$31</f>
        <v>8063.62613856686</v>
      </c>
      <c r="K31" s="334" t="n">
        <f aca="false">+$B$31*K30^$P$31</f>
        <v>8912.50938133745</v>
      </c>
      <c r="L31" s="159"/>
      <c r="N31" s="104" t="s">
        <v>25</v>
      </c>
      <c r="P31" s="327" t="n">
        <v>0.95</v>
      </c>
    </row>
    <row r="32" customFormat="false" ht="12.75" hidden="true" customHeight="false" outlineLevel="0" collapsed="false">
      <c r="A32" s="323"/>
    </row>
    <row r="33" customFormat="false" ht="12.75" hidden="false" customHeight="false" outlineLevel="0" collapsed="false">
      <c r="A33" s="322" t="s">
        <v>72</v>
      </c>
      <c r="B33" s="139" t="n">
        <f aca="false">+B30</f>
        <v>1</v>
      </c>
      <c r="C33" s="139" t="n">
        <f aca="false">+C30</f>
        <v>2</v>
      </c>
      <c r="D33" s="139" t="n">
        <f aca="false">+D30</f>
        <v>3</v>
      </c>
      <c r="E33" s="139" t="n">
        <f aca="false">+E30</f>
        <v>4</v>
      </c>
      <c r="F33" s="139" t="n">
        <f aca="false">+F30</f>
        <v>5</v>
      </c>
      <c r="G33" s="139" t="n">
        <f aca="false">+G30</f>
        <v>6</v>
      </c>
      <c r="H33" s="139" t="n">
        <f aca="false">+H30</f>
        <v>7</v>
      </c>
      <c r="I33" s="139" t="n">
        <f aca="false">+I30</f>
        <v>8</v>
      </c>
      <c r="J33" s="139" t="n">
        <f aca="false">+J30</f>
        <v>9</v>
      </c>
      <c r="K33" s="139" t="n">
        <f aca="false">+K30</f>
        <v>10</v>
      </c>
      <c r="L33" s="142"/>
    </row>
    <row r="34" customFormat="false" ht="13.5" hidden="false" customHeight="false" outlineLevel="0" collapsed="false">
      <c r="A34" s="331"/>
      <c r="B34" s="333" t="n">
        <f aca="false">280+225+175</f>
        <v>680</v>
      </c>
      <c r="C34" s="334" t="n">
        <f aca="false">+$B$34*C33^$P$34</f>
        <v>1268.92486849006</v>
      </c>
      <c r="D34" s="334" t="n">
        <f aca="false">+$B$34*D33^$P$34</f>
        <v>1827.75525807515</v>
      </c>
      <c r="E34" s="334" t="n">
        <f aca="false">+$B$34*E33^$P$34</f>
        <v>2367.89753216546</v>
      </c>
      <c r="F34" s="334" t="n">
        <f aca="false">+$B$34*F33^$P$34</f>
        <v>2894.55573657067</v>
      </c>
      <c r="G34" s="334" t="n">
        <f aca="false">+$B$34*G33^$P$34</f>
        <v>3410.71191247798</v>
      </c>
      <c r="H34" s="334" t="n">
        <f aca="false">+$B$34*H33^$P$34</f>
        <v>3918.29516900689</v>
      </c>
      <c r="I34" s="334" t="n">
        <f aca="false">+$B$34*I33^$P$34</f>
        <v>4418.65303617792</v>
      </c>
      <c r="J34" s="334" t="n">
        <f aca="false">+$B$34*J33^$P$34</f>
        <v>4912.77835797261</v>
      </c>
      <c r="K34" s="334" t="n">
        <f aca="false">+$B$34*K33^$P$34</f>
        <v>5401.43199612512</v>
      </c>
      <c r="L34" s="159"/>
      <c r="N34" s="104" t="s">
        <v>25</v>
      </c>
      <c r="P34" s="327" t="n">
        <v>0.9</v>
      </c>
      <c r="Q34" s="0" t="s">
        <v>282</v>
      </c>
    </row>
    <row r="35" customFormat="false" ht="12.75" hidden="true" customHeight="false" outlineLevel="0" collapsed="false">
      <c r="A35" s="323"/>
    </row>
    <row r="36" customFormat="false" ht="13.5" hidden="false" customHeight="false" outlineLevel="0" collapsed="false">
      <c r="A36" s="335" t="s">
        <v>283</v>
      </c>
      <c r="B36" s="336" t="n">
        <v>0.2</v>
      </c>
      <c r="C36" s="26"/>
      <c r="D36" s="26"/>
      <c r="E36" s="26"/>
      <c r="F36" s="26"/>
      <c r="G36" s="26"/>
      <c r="H36" s="26"/>
      <c r="I36" s="26"/>
      <c r="J36" s="26"/>
      <c r="K36" s="26"/>
      <c r="L36" s="137"/>
    </row>
    <row r="37" customFormat="false" ht="12.75" hidden="true" customHeight="false" outlineLevel="0" collapsed="false">
      <c r="A37" s="323"/>
    </row>
    <row r="38" customFormat="false" ht="13.5" hidden="false" customHeight="false" outlineLevel="0" collapsed="false">
      <c r="A38" s="335" t="s">
        <v>73</v>
      </c>
      <c r="B38" s="337" t="n">
        <v>1000</v>
      </c>
      <c r="C38" s="26"/>
      <c r="D38" s="26"/>
      <c r="E38" s="26"/>
      <c r="F38" s="26"/>
      <c r="G38" s="26"/>
      <c r="H38" s="26"/>
      <c r="I38" s="26"/>
      <c r="J38" s="26"/>
      <c r="K38" s="26"/>
      <c r="L38" s="137"/>
    </row>
    <row r="39" customFormat="false" ht="12.75" hidden="true" customHeight="false" outlineLevel="0" collapsed="false">
      <c r="A39" s="323"/>
    </row>
    <row r="40" customFormat="false" ht="12.75" hidden="false" customHeight="false" outlineLevel="0" collapsed="false">
      <c r="A40" s="322" t="s">
        <v>82</v>
      </c>
      <c r="B40" s="277"/>
      <c r="C40" s="139" t="n">
        <f aca="false">+B33</f>
        <v>1</v>
      </c>
      <c r="D40" s="139" t="n">
        <f aca="false">+C40+1</f>
        <v>2</v>
      </c>
      <c r="E40" s="139" t="n">
        <f aca="false">+D40+1</f>
        <v>3</v>
      </c>
      <c r="F40" s="139" t="n">
        <f aca="false">+E40+1</f>
        <v>4</v>
      </c>
      <c r="G40" s="139" t="n">
        <f aca="false">+F40+1</f>
        <v>5</v>
      </c>
      <c r="H40" s="139" t="n">
        <f aca="false">+G40+1</f>
        <v>6</v>
      </c>
      <c r="I40" s="139" t="n">
        <f aca="false">+H40+1</f>
        <v>7</v>
      </c>
      <c r="J40" s="139" t="n">
        <f aca="false">+I40+1</f>
        <v>8</v>
      </c>
      <c r="K40" s="139" t="n">
        <f aca="false">+J40+1</f>
        <v>9</v>
      </c>
      <c r="L40" s="338" t="n">
        <f aca="false">+K40+1</f>
        <v>10</v>
      </c>
      <c r="N40" s="339" t="s">
        <v>284</v>
      </c>
      <c r="O40" s="340" t="s">
        <v>285</v>
      </c>
      <c r="P40" s="341" t="n">
        <f aca="false">PROJECTCONFIGURATION!$E$25</f>
        <v>600</v>
      </c>
    </row>
    <row r="41" customFormat="false" ht="12.75" hidden="false" customHeight="false" outlineLevel="0" collapsed="false">
      <c r="A41" s="329" t="s">
        <v>286</v>
      </c>
      <c r="B41" s="99" t="n">
        <v>100</v>
      </c>
      <c r="C41" s="155" t="n">
        <f aca="false">$C$43*$P$51*(66/244)*C40^$P$50</f>
        <v>267.786885245902</v>
      </c>
      <c r="D41" s="155" t="n">
        <f aca="false">$C$43*$P$51*(66/244)*D40^$P$50</f>
        <v>405.889018261432</v>
      </c>
      <c r="E41" s="155" t="n">
        <f aca="false">$C$43*$P$51*(66/244)*E40^$P$50</f>
        <v>517.68079842558</v>
      </c>
      <c r="F41" s="155" t="n">
        <f aca="false">$C$43*$P$51*(66/244)*F40^$P$50</f>
        <v>615.212709143494</v>
      </c>
      <c r="G41" s="155" t="n">
        <f aca="false">$C$43*$P$51*(66/244)*G40^$P$50</f>
        <v>703.349699753042</v>
      </c>
      <c r="H41" s="155" t="n">
        <f aca="false">$C$43*$P$51*(66/244)*H40^$P$50</f>
        <v>784.657362337981</v>
      </c>
      <c r="I41" s="155" t="n">
        <f aca="false">$C$43*$P$51*(66/244)*I40^$P$50</f>
        <v>860.692716477238</v>
      </c>
      <c r="J41" s="155" t="n">
        <f aca="false">$C$43*$P$51*(66/244)*J40^$P$50</f>
        <v>932.488095176537</v>
      </c>
      <c r="K41" s="155" t="n">
        <f aca="false">$C$43*$P$51*(66/244)*K40^$P$50</f>
        <v>1000.77122452227</v>
      </c>
      <c r="L41" s="342" t="n">
        <f aca="false">$C$43*$P$51*(66/244)*L40^$P$50</f>
        <v>1066.0787919658</v>
      </c>
      <c r="N41" s="343" t="s">
        <v>287</v>
      </c>
      <c r="O41" s="148" t="s">
        <v>285</v>
      </c>
      <c r="P41" s="342" t="n">
        <v>700</v>
      </c>
    </row>
    <row r="42" customFormat="false" ht="12.75" hidden="false" customHeight="false" outlineLevel="0" collapsed="false">
      <c r="A42" s="323"/>
      <c r="B42" s="99" t="n">
        <v>200</v>
      </c>
      <c r="C42" s="155" t="n">
        <f aca="false">$C$43*$P$51*(143/244)*C40^$P$50</f>
        <v>580.204918032787</v>
      </c>
      <c r="D42" s="155" t="n">
        <f aca="false">$C$43*$P$51*(143/244)*D40^$P$50</f>
        <v>879.426206233103</v>
      </c>
      <c r="E42" s="155" t="n">
        <f aca="false">$C$43*$P$51*(143/244)*E40^$P$50</f>
        <v>1121.64172992209</v>
      </c>
      <c r="F42" s="155" t="n">
        <f aca="false">$C$43*$P$51*(143/244)*F40^$P$50</f>
        <v>1332.9608698109</v>
      </c>
      <c r="G42" s="155" t="n">
        <f aca="false">$C$43*$P$51*(143/244)*G40^$P$50</f>
        <v>1523.92434946492</v>
      </c>
      <c r="H42" s="155" t="n">
        <f aca="false">$C$43*$P$51*(143/244)*H40^$P$50</f>
        <v>1700.09095173229</v>
      </c>
      <c r="I42" s="155" t="n">
        <f aca="false">$C$43*$P$51*(143/244)*I40^$P$50</f>
        <v>1864.83421903401</v>
      </c>
      <c r="J42" s="155" t="n">
        <f aca="false">$C$43*$P$51*(143/244)*J40^$P$50</f>
        <v>2020.3908728825</v>
      </c>
      <c r="K42" s="155" t="n">
        <f aca="false">$C$43*$P$51*(143/244)*K40^$P$50</f>
        <v>2168.33765313158</v>
      </c>
      <c r="L42" s="342" t="n">
        <f aca="false">$C$43*$P$51*(143/244)*L40^$P$50</f>
        <v>2309.83738259257</v>
      </c>
      <c r="N42" s="343" t="s">
        <v>288</v>
      </c>
      <c r="O42" s="148" t="s">
        <v>289</v>
      </c>
      <c r="P42" s="342" t="n">
        <v>80</v>
      </c>
    </row>
    <row r="43" customFormat="false" ht="12.75" hidden="false" customHeight="false" outlineLevel="0" collapsed="false">
      <c r="A43" s="329" t="s">
        <v>22</v>
      </c>
      <c r="B43" s="99" t="n">
        <v>300</v>
      </c>
      <c r="C43" s="330" t="n">
        <v>900</v>
      </c>
      <c r="D43" s="155" t="n">
        <f aca="false">$C$43*$P$51*D40^$P$50</f>
        <v>1500.55940084529</v>
      </c>
      <c r="E43" s="155" t="n">
        <f aca="false">$C$43*$P$51*E40^$P$50</f>
        <v>1913.85022448245</v>
      </c>
      <c r="F43" s="155" t="n">
        <f aca="false">$C$43*$P$51*F40^$P$50</f>
        <v>2274.42274289413</v>
      </c>
      <c r="G43" s="155" t="n">
        <f aca="false">$C$43*$P$51*G40^$P$50</f>
        <v>2600.26252635973</v>
      </c>
      <c r="H43" s="155" t="n">
        <f aca="false">$C$43*$P$51*H40^$P$50</f>
        <v>2900.85449106769</v>
      </c>
      <c r="I43" s="155" t="n">
        <f aca="false">$C$43*$P$51*I40^$P$50</f>
        <v>3181.95489121888</v>
      </c>
      <c r="J43" s="155" t="n">
        <f aca="false">$C$43*$P$51*J40^$P$50</f>
        <v>3447.38023065265</v>
      </c>
      <c r="K43" s="155" t="n">
        <f aca="false">$C$43*$P$51*K40^$P$50</f>
        <v>3699.82089065809</v>
      </c>
      <c r="L43" s="342" t="n">
        <f aca="false">$C$43*$P$51*L40^$P$50</f>
        <v>3941.26098847962</v>
      </c>
      <c r="N43" s="343" t="s">
        <v>290</v>
      </c>
      <c r="O43" s="148" t="s">
        <v>291</v>
      </c>
      <c r="P43" s="344" t="n">
        <v>0.82</v>
      </c>
    </row>
    <row r="44" customFormat="false" ht="12.75" hidden="false" customHeight="false" outlineLevel="0" collapsed="false">
      <c r="A44" s="323"/>
      <c r="B44" s="99" t="n">
        <v>400</v>
      </c>
      <c r="C44" s="155" t="n">
        <f aca="false">$C$43*$P$51*(369/244)*C40^$P$50</f>
        <v>1497.17213114754</v>
      </c>
      <c r="D44" s="155" t="n">
        <f aca="false">$C$43*$P$51*(369/244)*D40^$P$50</f>
        <v>2269.28860209801</v>
      </c>
      <c r="E44" s="155" t="n">
        <f aca="false">$C$43*$P$51*(369/244)*E40^$P$50</f>
        <v>2894.30628210665</v>
      </c>
      <c r="F44" s="155" t="n">
        <f aca="false">$C$43*$P$51*(369/244)*F40^$P$50</f>
        <v>3439.59832839317</v>
      </c>
      <c r="G44" s="155" t="n">
        <f aca="false">$C$43*$P$51*(369/244)*G40^$P$50</f>
        <v>3932.36423043746</v>
      </c>
      <c r="H44" s="155" t="n">
        <f aca="false">$C$43*$P$51*(369/244)*H40^$P$50</f>
        <v>4386.94798034417</v>
      </c>
      <c r="I44" s="155" t="n">
        <f aca="false">$C$43*$P$51*(369/244)*I40^$P$50</f>
        <v>4812.05473303183</v>
      </c>
      <c r="J44" s="155" t="n">
        <f aca="false">$C$43*$P$51*(369/244)*J40^$P$50</f>
        <v>5213.456168487</v>
      </c>
      <c r="K44" s="155" t="n">
        <f aca="false">$C$43*$P$51*(369/244)*K40^$P$50</f>
        <v>5595.22093710178</v>
      </c>
      <c r="L44" s="342" t="n">
        <f aca="false">$C$43*$P$51*(369/244)*L40^$P$50</f>
        <v>5960.34960962697</v>
      </c>
      <c r="N44" s="343" t="s">
        <v>292</v>
      </c>
      <c r="O44" s="148" t="s">
        <v>293</v>
      </c>
      <c r="P44" s="342" t="n">
        <v>10</v>
      </c>
    </row>
    <row r="45" customFormat="false" ht="13.5" hidden="false" customHeight="false" outlineLevel="0" collapsed="false">
      <c r="A45" s="324"/>
      <c r="B45" s="109" t="n">
        <v>500</v>
      </c>
      <c r="C45" s="334" t="n">
        <f aca="false">$C$43*$P$51*(619/244)*C40^$P$50</f>
        <v>2511.51639344262</v>
      </c>
      <c r="D45" s="334" t="n">
        <f aca="false">$C$43*$P$51*(619/244)*D40^$P$50</f>
        <v>3806.74700460343</v>
      </c>
      <c r="E45" s="334" t="n">
        <f aca="false">$C$43*$P$51*(619/244)*E40^$P$50</f>
        <v>4855.21839735506</v>
      </c>
      <c r="F45" s="334" t="n">
        <f aca="false">$C$43*$P$51*(619/244)*F40^$P$50</f>
        <v>5769.94949939125</v>
      </c>
      <c r="G45" s="334" t="n">
        <f aca="false">$C$43*$P$51*(619/244)*G40^$P$50</f>
        <v>6596.56763859292</v>
      </c>
      <c r="H45" s="334" t="n">
        <f aca="false">$C$43*$P$51*(619/244)*H40^$P$50</f>
        <v>7359.13495889712</v>
      </c>
      <c r="I45" s="334" t="n">
        <f aca="false">$C$43*$P$51*(619/244)*I40^$P$50</f>
        <v>8072.25441665773</v>
      </c>
      <c r="J45" s="334" t="n">
        <f aca="false">$C$43*$P$51*(619/244)*J40^$P$50</f>
        <v>8745.6080441557</v>
      </c>
      <c r="K45" s="334" t="n">
        <f aca="false">$C$43*$P$51*(619/244)*K40^$P$50</f>
        <v>9386.02102998916</v>
      </c>
      <c r="L45" s="345" t="n">
        <f aca="false">$C$43*$P$51*(619/244)*L40^$P$50</f>
        <v>9998.52685192167</v>
      </c>
      <c r="N45" s="343" t="s">
        <v>294</v>
      </c>
      <c r="O45" s="148" t="s">
        <v>22</v>
      </c>
      <c r="P45" s="346" t="n">
        <f aca="false">(0.91+(P42-70)/1000)*((P40+15)/650)^-0.1</f>
        <v>0.925106327496687</v>
      </c>
    </row>
    <row r="46" customFormat="false" ht="13.5" hidden="true" customHeight="false" outlineLevel="0" collapsed="false">
      <c r="A46" s="323"/>
      <c r="N46" s="343"/>
      <c r="O46" s="148"/>
      <c r="P46" s="346"/>
    </row>
    <row r="47" customFormat="false" ht="12.75" hidden="false" customHeight="false" outlineLevel="0" collapsed="false">
      <c r="A47" s="323"/>
      <c r="N47" s="343" t="s">
        <v>295</v>
      </c>
      <c r="O47" s="148" t="s">
        <v>22</v>
      </c>
      <c r="P47" s="346" t="n">
        <f aca="false">(P41+14.7+5)/(P40+14.7-5)</f>
        <v>1.18041659832705</v>
      </c>
    </row>
    <row r="48" customFormat="false" ht="13.5" hidden="false" customHeight="false" outlineLevel="0" collapsed="false">
      <c r="A48" s="323"/>
      <c r="N48" s="156" t="s">
        <v>296</v>
      </c>
      <c r="O48" s="157" t="s">
        <v>297</v>
      </c>
      <c r="P48" s="345" t="n">
        <f aca="false">P44*((8.584*(460+P42)*P45)/(P43*100*0.231))*((P47)^0.231-1)*0.747</f>
        <v>66.0525543417852</v>
      </c>
    </row>
    <row r="49" customFormat="false" ht="12.75" hidden="true" customHeight="false" outlineLevel="0" collapsed="false">
      <c r="A49" s="323"/>
    </row>
    <row r="50" customFormat="false" ht="12.75" hidden="false" customHeight="false" outlineLevel="0" collapsed="false">
      <c r="A50" s="323"/>
      <c r="N50" s="104" t="s">
        <v>25</v>
      </c>
      <c r="P50" s="327" t="n">
        <v>0.6</v>
      </c>
    </row>
    <row r="51" customFormat="false" ht="12.75" hidden="false" customHeight="false" outlineLevel="0" collapsed="false">
      <c r="A51" s="323"/>
      <c r="N51" s="104" t="s">
        <v>298</v>
      </c>
      <c r="P51" s="347" t="n">
        <v>1.1</v>
      </c>
    </row>
    <row r="52" customFormat="false" ht="13.5" hidden="false" customHeight="false" outlineLevel="0" collapsed="false">
      <c r="A52" s="323"/>
    </row>
    <row r="53" customFormat="false" ht="12.75" hidden="false" customHeight="false" outlineLevel="0" collapsed="false">
      <c r="A53" s="322" t="s">
        <v>299</v>
      </c>
      <c r="B53" s="139" t="n">
        <f aca="false">+B33</f>
        <v>1</v>
      </c>
      <c r="C53" s="139" t="n">
        <f aca="false">+C33</f>
        <v>2</v>
      </c>
      <c r="D53" s="139" t="n">
        <f aca="false">+D33</f>
        <v>3</v>
      </c>
      <c r="E53" s="139" t="n">
        <f aca="false">+E33</f>
        <v>4</v>
      </c>
      <c r="F53" s="139" t="n">
        <f aca="false">+F33</f>
        <v>5</v>
      </c>
      <c r="G53" s="139" t="n">
        <f aca="false">+G33</f>
        <v>6</v>
      </c>
      <c r="H53" s="139" t="n">
        <f aca="false">+H33</f>
        <v>7</v>
      </c>
      <c r="I53" s="139" t="n">
        <f aca="false">+I33</f>
        <v>8</v>
      </c>
      <c r="J53" s="139" t="n">
        <f aca="false">+J33</f>
        <v>9</v>
      </c>
      <c r="K53" s="139" t="n">
        <f aca="false">+K33</f>
        <v>10</v>
      </c>
      <c r="L53" s="142"/>
    </row>
    <row r="54" customFormat="false" ht="13.5" hidden="false" customHeight="false" outlineLevel="0" collapsed="false">
      <c r="A54" s="324"/>
      <c r="B54" s="348" t="n">
        <v>600</v>
      </c>
      <c r="C54" s="334" t="n">
        <f aca="false">+$B$54*C53^$P$54</f>
        <v>848.528137423857</v>
      </c>
      <c r="D54" s="334" t="n">
        <f aca="false">+$B$54*D53^$P$54</f>
        <v>1039.23048454133</v>
      </c>
      <c r="E54" s="334" t="n">
        <f aca="false">+$B$54*E53^$P$54</f>
        <v>1200</v>
      </c>
      <c r="F54" s="334" t="n">
        <f aca="false">+$B$54*F53^$P$54</f>
        <v>1341.64078649987</v>
      </c>
      <c r="G54" s="334" t="n">
        <f aca="false">+$B$54*G53^$P$54</f>
        <v>1469.69384566991</v>
      </c>
      <c r="H54" s="334" t="n">
        <f aca="false">+$B$54*H53^$P$54</f>
        <v>1587.45078663875</v>
      </c>
      <c r="I54" s="334" t="n">
        <f aca="false">+$B$54*I53^$P$54</f>
        <v>1697.05627484771</v>
      </c>
      <c r="J54" s="334" t="n">
        <f aca="false">+$B$54*J53^$P$54</f>
        <v>1800</v>
      </c>
      <c r="K54" s="334" t="n">
        <f aca="false">+$B$54*K53^$P$54</f>
        <v>1897.36659610103</v>
      </c>
      <c r="L54" s="159"/>
      <c r="N54" s="104" t="s">
        <v>25</v>
      </c>
      <c r="O54" s="104"/>
      <c r="P54" s="327" t="n">
        <v>0.5</v>
      </c>
      <c r="Q54" s="0" t="s">
        <v>300</v>
      </c>
    </row>
    <row r="55" customFormat="false" ht="13.5" hidden="false" customHeight="false" outlineLevel="0" collapsed="false">
      <c r="A55" s="323"/>
    </row>
    <row r="56" customFormat="false" ht="12.75" hidden="false" customHeight="false" outlineLevel="0" collapsed="false">
      <c r="A56" s="322" t="s">
        <v>79</v>
      </c>
      <c r="B56" s="139" t="n">
        <f aca="false">+B53</f>
        <v>1</v>
      </c>
      <c r="C56" s="139" t="n">
        <f aca="false">+C53</f>
        <v>2</v>
      </c>
      <c r="D56" s="139" t="n">
        <f aca="false">+D53</f>
        <v>3</v>
      </c>
      <c r="E56" s="139" t="n">
        <f aca="false">+E53</f>
        <v>4</v>
      </c>
      <c r="F56" s="139" t="n">
        <f aca="false">+F53</f>
        <v>5</v>
      </c>
      <c r="G56" s="139" t="n">
        <f aca="false">+G53</f>
        <v>6</v>
      </c>
      <c r="H56" s="139" t="n">
        <f aca="false">+H53</f>
        <v>7</v>
      </c>
      <c r="I56" s="139" t="n">
        <f aca="false">+I53</f>
        <v>8</v>
      </c>
      <c r="J56" s="139" t="n">
        <f aca="false">+J53</f>
        <v>9</v>
      </c>
      <c r="K56" s="139" t="n">
        <f aca="false">+K53</f>
        <v>10</v>
      </c>
      <c r="L56" s="142"/>
    </row>
    <row r="57" customFormat="false" ht="13.5" hidden="false" customHeight="false" outlineLevel="0" collapsed="false">
      <c r="A57" s="331"/>
      <c r="B57" s="348" t="n">
        <v>500</v>
      </c>
      <c r="C57" s="334" t="n">
        <f aca="false">+$B$57*C56^$P$57</f>
        <v>812.252396356236</v>
      </c>
      <c r="D57" s="334" t="n">
        <f aca="false">+$B$57*D56^$P$57</f>
        <v>1078.8346399873</v>
      </c>
      <c r="E57" s="334" t="n">
        <f aca="false">+$B$57*E56^$P$57</f>
        <v>1319.50791077289</v>
      </c>
      <c r="F57" s="334" t="n">
        <f aca="false">+$B$57*F56^$P$57</f>
        <v>1542.58465680002</v>
      </c>
      <c r="G57" s="334" t="n">
        <f aca="false">+$B$57*G56^$P$57</f>
        <v>1752.5720432036</v>
      </c>
      <c r="H57" s="334" t="n">
        <f aca="false">+$B$57*H56^$P$57</f>
        <v>1952.26438856136</v>
      </c>
      <c r="I57" s="334" t="n">
        <f aca="false">+$B$57*I56^$P$57</f>
        <v>2143.54692507259</v>
      </c>
      <c r="J57" s="334" t="n">
        <f aca="false">+$B$57*J56^$P$57</f>
        <v>2327.76836087304</v>
      </c>
      <c r="K57" s="334" t="n">
        <f aca="false">+$B$57*K56^$P$57</f>
        <v>2505.93616813636</v>
      </c>
      <c r="L57" s="159"/>
      <c r="N57" s="104" t="s">
        <v>25</v>
      </c>
      <c r="O57" s="104"/>
      <c r="P57" s="327" t="n">
        <v>0.7</v>
      </c>
    </row>
    <row r="58" customFormat="false" ht="12.75" hidden="false" customHeight="false" outlineLevel="0" collapsed="false">
      <c r="A58" s="322" t="s">
        <v>78</v>
      </c>
      <c r="B58" s="139" t="n">
        <v>1</v>
      </c>
      <c r="C58" s="139" t="n">
        <v>2</v>
      </c>
      <c r="D58" s="139" t="n">
        <v>3</v>
      </c>
      <c r="E58" s="139" t="n">
        <v>4</v>
      </c>
      <c r="F58" s="139" t="n">
        <v>5</v>
      </c>
      <c r="G58" s="139" t="n">
        <v>6</v>
      </c>
      <c r="H58" s="139" t="n">
        <v>7</v>
      </c>
      <c r="I58" s="139" t="n">
        <v>8</v>
      </c>
      <c r="J58" s="139" t="n">
        <v>9</v>
      </c>
      <c r="K58" s="139" t="n">
        <v>10</v>
      </c>
      <c r="L58" s="142"/>
    </row>
    <row r="59" customFormat="false" ht="13.5" hidden="false" customHeight="false" outlineLevel="0" collapsed="false">
      <c r="A59" s="324"/>
      <c r="B59" s="333" t="n">
        <v>1250</v>
      </c>
      <c r="C59" s="334" t="n">
        <f aca="false">+$B$59*C58^$P$59</f>
        <v>2253.12615652708</v>
      </c>
      <c r="D59" s="334" t="n">
        <f aca="false">+$B$59*D58^$P$59</f>
        <v>3180.26331455131</v>
      </c>
      <c r="E59" s="334" t="n">
        <f aca="false">+$B$59*E58^$P$59</f>
        <v>4061.26198178118</v>
      </c>
      <c r="F59" s="334" t="n">
        <f aca="false">+$B$59*F58^$P$59</f>
        <v>4909.46893894853</v>
      </c>
      <c r="G59" s="334" t="n">
        <f aca="false">+$B$59*G58^$P$59</f>
        <v>5732.42756692725</v>
      </c>
      <c r="H59" s="334" t="n">
        <f aca="false">+$B$59*H58^$P$59</f>
        <v>6534.9662202478</v>
      </c>
      <c r="I59" s="334" t="n">
        <f aca="false">+$B$59*I58^$P$59</f>
        <v>7320.42847972813</v>
      </c>
      <c r="J59" s="334" t="n">
        <f aca="false">+$B$59*J58^$P$59</f>
        <v>8091.25979990472</v>
      </c>
      <c r="K59" s="334" t="n">
        <f aca="false">+$B$59*K58^$P$59</f>
        <v>8849.32230480172</v>
      </c>
      <c r="L59" s="159"/>
      <c r="N59" s="104" t="s">
        <v>25</v>
      </c>
      <c r="O59" s="104"/>
      <c r="P59" s="327" t="n">
        <v>0.85</v>
      </c>
      <c r="Q59" s="0" t="s">
        <v>301</v>
      </c>
    </row>
    <row r="63" customFormat="false" ht="13.5" hidden="false" customHeight="false" outlineLevel="0" collapsed="false"/>
    <row r="64" customFormat="false" ht="12.75" hidden="false" customHeight="false" outlineLevel="0" collapsed="false">
      <c r="A64" s="339" t="s">
        <v>302</v>
      </c>
      <c r="B64" s="141"/>
      <c r="C64" s="340" t="s">
        <v>303</v>
      </c>
      <c r="D64" s="349" t="n">
        <f aca="false">(60*60)/47</f>
        <v>76.5957446808511</v>
      </c>
    </row>
    <row r="65" customFormat="false" ht="12.75" hidden="false" customHeight="false" outlineLevel="0" collapsed="false">
      <c r="A65" s="147"/>
      <c r="B65" s="148" t="s">
        <v>304</v>
      </c>
      <c r="C65" s="148" t="s">
        <v>305</v>
      </c>
      <c r="D65" s="350" t="n">
        <v>3.5</v>
      </c>
    </row>
    <row r="66" customFormat="false" ht="12.75" hidden="false" customHeight="false" outlineLevel="0" collapsed="false">
      <c r="A66" s="147"/>
      <c r="B66" s="65"/>
      <c r="C66" s="148" t="s">
        <v>306</v>
      </c>
      <c r="D66" s="350" t="n">
        <f aca="false">D65/(1000/D64)</f>
        <v>0.268085106382979</v>
      </c>
    </row>
    <row r="67" customFormat="false" ht="12.75" hidden="false" customHeight="false" outlineLevel="0" collapsed="false">
      <c r="A67" s="147"/>
      <c r="B67" s="65"/>
      <c r="C67" s="65"/>
      <c r="D67" s="146"/>
    </row>
    <row r="68" customFormat="false" ht="12.75" hidden="false" customHeight="false" outlineLevel="0" collapsed="false">
      <c r="A68" s="343" t="s">
        <v>307</v>
      </c>
      <c r="B68" s="148"/>
      <c r="C68" s="148" t="s">
        <v>303</v>
      </c>
      <c r="D68" s="351" t="n">
        <f aca="false">((60+60)*1.1*60)/47</f>
        <v>168.510638297872</v>
      </c>
    </row>
    <row r="69" customFormat="false" ht="12.75" hidden="false" customHeight="false" outlineLevel="0" collapsed="false">
      <c r="A69" s="343"/>
      <c r="B69" s="148" t="s">
        <v>304</v>
      </c>
      <c r="C69" s="148" t="s">
        <v>305</v>
      </c>
      <c r="D69" s="350" t="n">
        <v>1.6</v>
      </c>
    </row>
    <row r="70" customFormat="false" ht="12.75" hidden="false" customHeight="false" outlineLevel="0" collapsed="false">
      <c r="A70" s="147"/>
      <c r="B70" s="65"/>
      <c r="C70" s="148" t="s">
        <v>306</v>
      </c>
      <c r="D70" s="350" t="n">
        <f aca="false">D69/(1000/D68)</f>
        <v>0.269617021276596</v>
      </c>
    </row>
    <row r="71" customFormat="false" ht="12.75" hidden="false" customHeight="false" outlineLevel="0" collapsed="false">
      <c r="A71" s="147"/>
      <c r="B71" s="65"/>
      <c r="C71" s="65"/>
      <c r="D71" s="146"/>
    </row>
    <row r="72" customFormat="false" ht="13.5" hidden="false" customHeight="false" outlineLevel="0" collapsed="false">
      <c r="A72" s="156" t="s">
        <v>308</v>
      </c>
      <c r="B72" s="158"/>
      <c r="C72" s="157" t="s">
        <v>306</v>
      </c>
      <c r="D72" s="352" t="n">
        <f aca="false">D66+D70</f>
        <v>0.537702127659575</v>
      </c>
    </row>
    <row r="73" customFormat="false" ht="13.5" hidden="false" customHeight="false" outlineLevel="0" collapsed="false"/>
    <row r="74" customFormat="false" ht="12.75" hidden="false" customHeight="false" outlineLevel="0" collapsed="false">
      <c r="A74" s="339" t="s">
        <v>309</v>
      </c>
      <c r="B74" s="340"/>
      <c r="C74" s="340" t="s">
        <v>310</v>
      </c>
      <c r="D74" s="353" t="n">
        <f aca="false">480000/2</f>
        <v>240000</v>
      </c>
      <c r="E74" s="340" t="s">
        <v>311</v>
      </c>
      <c r="F74" s="141"/>
      <c r="G74" s="142"/>
    </row>
    <row r="75" customFormat="false" ht="12.75" hidden="false" customHeight="false" outlineLevel="0" collapsed="false">
      <c r="A75" s="343" t="s">
        <v>312</v>
      </c>
      <c r="B75" s="148"/>
      <c r="C75" s="148" t="s">
        <v>313</v>
      </c>
      <c r="D75" s="155" t="n">
        <v>1314</v>
      </c>
      <c r="E75" s="65"/>
      <c r="F75" s="65"/>
      <c r="G75" s="146"/>
    </row>
    <row r="76" customFormat="false" ht="13.5" hidden="false" customHeight="false" outlineLevel="0" collapsed="false">
      <c r="A76" s="156" t="s">
        <v>309</v>
      </c>
      <c r="B76" s="157"/>
      <c r="C76" s="157" t="s">
        <v>314</v>
      </c>
      <c r="D76" s="354" t="n">
        <f aca="false">D74/D75</f>
        <v>182.648401826484</v>
      </c>
      <c r="E76" s="158"/>
      <c r="F76" s="158"/>
      <c r="G76" s="159"/>
    </row>
  </sheetData>
  <printOptions headings="false" gridLines="false" gridLinesSet="true" horizontalCentered="false" verticalCentered="false"/>
  <pageMargins left="0.747916666666667" right="0.747916666666667" top="0.529861111111111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C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99"/>
    <col collapsed="false" customWidth="true" hidden="false" outlineLevel="0" max="3" min="3" style="0" width="106.99"/>
    <col collapsed="false" customWidth="true" hidden="false" outlineLevel="0" max="4" min="4" style="0" width="9.85"/>
  </cols>
  <sheetData>
    <row r="3" customFormat="false" ht="12.75" hidden="false" customHeight="false" outlineLevel="0" collapsed="false">
      <c r="A3" s="115" t="s">
        <v>315</v>
      </c>
    </row>
    <row r="4" customFormat="false" ht="12.75" hidden="false" customHeight="false" outlineLevel="0" collapsed="false">
      <c r="A4" s="0" t="n">
        <v>1</v>
      </c>
      <c r="B4" s="0" t="s">
        <v>316</v>
      </c>
    </row>
    <row r="5" customFormat="false" ht="12.75" hidden="false" customHeight="false" outlineLevel="0" collapsed="false">
      <c r="A5" s="0" t="n">
        <f aca="false">A4+1</f>
        <v>2</v>
      </c>
      <c r="B5" s="0" t="s">
        <v>317</v>
      </c>
    </row>
    <row r="6" customFormat="false" ht="12.75" hidden="false" customHeight="false" outlineLevel="0" collapsed="false">
      <c r="A6" s="0" t="n">
        <f aca="false">A5+1</f>
        <v>3</v>
      </c>
      <c r="B6" s="0" t="s">
        <v>318</v>
      </c>
    </row>
    <row r="7" customFormat="false" ht="12.75" hidden="false" customHeight="false" outlineLevel="0" collapsed="false">
      <c r="A7" s="0" t="n">
        <f aca="false">A6+1</f>
        <v>4</v>
      </c>
      <c r="B7" s="0" t="s">
        <v>319</v>
      </c>
    </row>
    <row r="8" customFormat="false" ht="12.75" hidden="false" customHeight="false" outlineLevel="0" collapsed="false">
      <c r="A8" s="0" t="n">
        <f aca="false">A7+1</f>
        <v>5</v>
      </c>
      <c r="B8" s="0" t="s">
        <v>320</v>
      </c>
    </row>
    <row r="9" customFormat="false" ht="12.75" hidden="false" customHeight="false" outlineLevel="0" collapsed="false">
      <c r="A9" s="0" t="n">
        <f aca="false">A8+1</f>
        <v>6</v>
      </c>
      <c r="B9" s="0" t="s">
        <v>321</v>
      </c>
    </row>
    <row r="10" customFormat="false" ht="12.75" hidden="false" customHeight="false" outlineLevel="0" collapsed="false">
      <c r="C10" s="0" t="s">
        <v>322</v>
      </c>
    </row>
    <row r="11" customFormat="false" ht="12.75" hidden="false" customHeight="false" outlineLevel="0" collapsed="false">
      <c r="C11" s="0" t="s">
        <v>323</v>
      </c>
    </row>
    <row r="12" customFormat="false" ht="12.75" hidden="false" customHeight="false" outlineLevel="0" collapsed="false">
      <c r="C12" s="0" t="s">
        <v>324</v>
      </c>
    </row>
    <row r="15" customFormat="false" ht="12.75" hidden="false" customHeight="false" outlineLevel="0" collapsed="false">
      <c r="A15" s="0" t="n">
        <f aca="false">A9+1</f>
        <v>7</v>
      </c>
      <c r="B15" s="0" t="s">
        <v>325</v>
      </c>
    </row>
    <row r="16" customFormat="false" ht="12.75" hidden="false" customHeight="false" outlineLevel="0" collapsed="false">
      <c r="C16" s="0" t="s">
        <v>326</v>
      </c>
    </row>
    <row r="17" customFormat="false" ht="12.75" hidden="false" customHeight="false" outlineLevel="0" collapsed="false">
      <c r="C17" s="0" t="s">
        <v>327</v>
      </c>
    </row>
    <row r="18" customFormat="false" ht="12.75" hidden="false" customHeight="false" outlineLevel="0" collapsed="false">
      <c r="C18" s="0" t="s">
        <v>328</v>
      </c>
    </row>
    <row r="19" customFormat="false" ht="12.75" hidden="false" customHeight="false" outlineLevel="0" collapsed="false">
      <c r="C19" s="0" t="s">
        <v>329</v>
      </c>
    </row>
    <row r="21" customFormat="false" ht="12.75" hidden="false" customHeight="false" outlineLevel="0" collapsed="false">
      <c r="A21" s="0" t="n">
        <f aca="false">A15+1</f>
        <v>8</v>
      </c>
      <c r="B21" s="0" t="s">
        <v>330</v>
      </c>
    </row>
    <row r="22" customFormat="false" ht="12.75" hidden="false" customHeight="false" outlineLevel="0" collapsed="false">
      <c r="A22" s="0" t="n">
        <f aca="false">A21+1</f>
        <v>9</v>
      </c>
      <c r="B22" s="0" t="s">
        <v>331</v>
      </c>
    </row>
    <row r="23" customFormat="false" ht="12.75" hidden="false" customHeight="false" outlineLevel="0" collapsed="false">
      <c r="A23" s="0" t="n">
        <f aca="false">A22+1</f>
        <v>10</v>
      </c>
    </row>
    <row r="24" customFormat="false" ht="12.75" hidden="false" customHeight="false" outlineLevel="0" collapsed="false">
      <c r="A24" s="0" t="n">
        <f aca="false">A23+1</f>
        <v>11</v>
      </c>
    </row>
    <row r="25" customFormat="false" ht="12.75" hidden="false" customHeight="false" outlineLevel="0" collapsed="false">
      <c r="A25" s="0" t="n">
        <f aca="false">A24+1</f>
        <v>12</v>
      </c>
    </row>
    <row r="27" customFormat="false" ht="12.75" hidden="false" customHeight="false" outlineLevel="0" collapsed="false">
      <c r="A27" s="115" t="s">
        <v>332</v>
      </c>
    </row>
    <row r="28" customFormat="false" ht="12.75" hidden="false" customHeight="false" outlineLevel="0" collapsed="false">
      <c r="A28" s="0" t="n">
        <v>1</v>
      </c>
      <c r="B28" s="0" t="s">
        <v>333</v>
      </c>
    </row>
    <row r="29" customFormat="false" ht="12.75" hidden="false" customHeight="false" outlineLevel="0" collapsed="false">
      <c r="A29" s="0" t="n">
        <f aca="false">A28+1</f>
        <v>2</v>
      </c>
      <c r="B29" s="0" t="s">
        <v>334</v>
      </c>
    </row>
    <row r="30" customFormat="false" ht="12.75" hidden="false" customHeight="false" outlineLevel="0" collapsed="false">
      <c r="A30" s="0" t="n">
        <f aca="false">A29+1</f>
        <v>3</v>
      </c>
      <c r="B30" s="0" t="s">
        <v>335</v>
      </c>
    </row>
    <row r="31" customFormat="false" ht="12.75" hidden="false" customHeight="false" outlineLevel="0" collapsed="false">
      <c r="A31" s="0" t="n">
        <f aca="false">A30+1</f>
        <v>4</v>
      </c>
      <c r="B31" s="0" t="s">
        <v>336</v>
      </c>
    </row>
    <row r="32" customFormat="false" ht="12.75" hidden="false" customHeight="false" outlineLevel="0" collapsed="false">
      <c r="A32" s="0" t="n">
        <f aca="false">A31+1</f>
        <v>5</v>
      </c>
      <c r="B32" s="0" t="s">
        <v>337</v>
      </c>
    </row>
    <row r="33" customFormat="false" ht="12.75" hidden="false" customHeight="false" outlineLevel="0" collapsed="false">
      <c r="A33" s="0" t="n">
        <f aca="false">A32+1</f>
        <v>6</v>
      </c>
      <c r="B33" s="0" t="s">
        <v>338</v>
      </c>
    </row>
    <row r="34" customFormat="false" ht="12.75" hidden="false" customHeight="false" outlineLevel="0" collapsed="false">
      <c r="A34" s="0" t="n">
        <f aca="false">A33+1</f>
        <v>7</v>
      </c>
      <c r="B34" s="0" t="s">
        <v>339</v>
      </c>
    </row>
    <row r="35" customFormat="false" ht="12.75" hidden="false" customHeight="false" outlineLevel="0" collapsed="false">
      <c r="A35" s="0" t="n">
        <f aca="false">A34+1</f>
        <v>8</v>
      </c>
      <c r="B35" s="0" t="s">
        <v>340</v>
      </c>
    </row>
    <row r="36" customFormat="false" ht="12.75" hidden="false" customHeight="false" outlineLevel="0" collapsed="false">
      <c r="A36" s="0" t="n">
        <f aca="false">A35+1</f>
        <v>9</v>
      </c>
      <c r="B36" s="0" t="s">
        <v>341</v>
      </c>
    </row>
    <row r="37" customFormat="false" ht="12.75" hidden="false" customHeight="false" outlineLevel="0" collapsed="false">
      <c r="A37" s="0" t="n">
        <f aca="false">A36+1</f>
        <v>10</v>
      </c>
      <c r="B37" s="0" t="s">
        <v>342</v>
      </c>
    </row>
    <row r="38" customFormat="false" ht="12.75" hidden="false" customHeight="false" outlineLevel="0" collapsed="false">
      <c r="A38" s="0" t="n">
        <f aca="false">A37+1</f>
        <v>11</v>
      </c>
      <c r="B38" s="0" t="s">
        <v>343</v>
      </c>
    </row>
    <row r="39" customFormat="false" ht="12.75" hidden="false" customHeight="false" outlineLevel="0" collapsed="false">
      <c r="A39" s="0" t="n">
        <f aca="false">A38+1</f>
        <v>12</v>
      </c>
      <c r="B39" s="0" t="s">
        <v>344</v>
      </c>
    </row>
    <row r="40" customFormat="false" ht="12.75" hidden="false" customHeight="false" outlineLevel="0" collapsed="false">
      <c r="A40" s="0" t="n">
        <f aca="false">A39+1</f>
        <v>13</v>
      </c>
      <c r="B40" s="0" t="s">
        <v>345</v>
      </c>
    </row>
    <row r="41" customFormat="false" ht="12.75" hidden="false" customHeight="false" outlineLevel="0" collapsed="false">
      <c r="A41" s="0" t="n">
        <f aca="false">A40+1</f>
        <v>14</v>
      </c>
      <c r="B41" s="0" t="s">
        <v>346</v>
      </c>
    </row>
    <row r="42" customFormat="false" ht="12.75" hidden="false" customHeight="false" outlineLevel="0" collapsed="false">
      <c r="A42" s="0" t="n">
        <f aca="false">A41+1</f>
        <v>15</v>
      </c>
      <c r="B42" s="0" t="s">
        <v>347</v>
      </c>
    </row>
    <row r="43" customFormat="false" ht="12.75" hidden="false" customHeight="false" outlineLevel="0" collapsed="false">
      <c r="A43" s="0" t="n">
        <f aca="false">A42+1</f>
        <v>16</v>
      </c>
      <c r="B43" s="0" t="s">
        <v>348</v>
      </c>
    </row>
    <row r="44" customFormat="false" ht="12.75" hidden="false" customHeight="false" outlineLevel="0" collapsed="false">
      <c r="A44" s="0" t="n">
        <f aca="false">A43+1</f>
        <v>17</v>
      </c>
      <c r="B44" s="0" t="s">
        <v>349</v>
      </c>
    </row>
    <row r="45" customFormat="false" ht="12.75" hidden="false" customHeight="false" outlineLevel="0" collapsed="false">
      <c r="A45" s="0" t="n">
        <f aca="false">A44+1</f>
        <v>18</v>
      </c>
      <c r="B45" s="0" t="s">
        <v>350</v>
      </c>
    </row>
    <row r="46" customFormat="false" ht="12.75" hidden="false" customHeight="false" outlineLevel="0" collapsed="false">
      <c r="A46" s="0" t="n">
        <f aca="false">A45+1</f>
        <v>19</v>
      </c>
      <c r="B46" s="0" t="s">
        <v>351</v>
      </c>
    </row>
    <row r="47" customFormat="false" ht="12.75" hidden="false" customHeight="false" outlineLevel="0" collapsed="false">
      <c r="A47" s="0" t="n">
        <f aca="false">A46+1</f>
        <v>20</v>
      </c>
      <c r="B47" s="0" t="s">
        <v>352</v>
      </c>
    </row>
    <row r="48" customFormat="false" ht="12.75" hidden="false" customHeight="false" outlineLevel="0" collapsed="false">
      <c r="A48" s="0" t="n">
        <f aca="false">A47+1</f>
        <v>21</v>
      </c>
      <c r="B48" s="0" t="s">
        <v>353</v>
      </c>
    </row>
    <row r="49" customFormat="false" ht="12.75" hidden="false" customHeight="false" outlineLevel="0" collapsed="false">
      <c r="A49" s="0" t="n">
        <f aca="false">A48+1</f>
        <v>22</v>
      </c>
      <c r="B49" s="0" t="s">
        <v>354</v>
      </c>
    </row>
    <row r="50" customFormat="false" ht="12.75" hidden="false" customHeight="false" outlineLevel="0" collapsed="false">
      <c r="A50" s="0" t="n">
        <f aca="false">A49+1</f>
        <v>23</v>
      </c>
      <c r="B50" s="0" t="s">
        <v>355</v>
      </c>
    </row>
    <row r="51" customFormat="false" ht="12.75" hidden="false" customHeight="false" outlineLevel="0" collapsed="false">
      <c r="A51" s="0" t="n">
        <f aca="false">A50+1</f>
        <v>24</v>
      </c>
      <c r="B51" s="0" t="s">
        <v>356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1999-11-17T21:33:45Z</dcterms:created>
  <dc:creator>Mark Bernstein</dc:creator>
  <dc:description/>
  <dc:language>en-US</dc:language>
  <cp:lastModifiedBy>Ben Rogers</cp:lastModifiedBy>
  <cp:lastPrinted>1999-12-28T17:02:43Z</cp:lastPrinted>
  <cp:revision>0</cp:revision>
  <dc:subject/>
  <dc:title/>
</cp:coreProperties>
</file>